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defaultThemeVersion="124226"/>
  <mc:AlternateContent xmlns:mc="http://schemas.openxmlformats.org/markup-compatibility/2006">
    <mc:Choice Requires="x15">
      <x15ac:absPath xmlns:x15ac="http://schemas.microsoft.com/office/spreadsheetml/2010/11/ac" url="https://cranfield-my.sharepoint.com/personal/p_burgess_cranfield_ac_uk/Documents/2021 Pauls work/Models/Farm-SAFE/"/>
    </mc:Choice>
  </mc:AlternateContent>
  <xr:revisionPtr revIDLastSave="2" documentId="8_{5F85ACB1-ABD4-445B-9C78-B7E4C460464F}" xr6:coauthVersionLast="47" xr6:coauthVersionMax="47" xr10:uidLastSave="{8BA00D7A-E2DF-4C2C-81EC-3E9AA2774053}"/>
  <bookViews>
    <workbookView xWindow="-120" yWindow="-120" windowWidth="29040" windowHeight="15840" xr2:uid="{C99257EC-4A96-4AED-AD46-FA5C243685A6}"/>
  </bookViews>
  <sheets>
    <sheet name="Options and results" sheetId="14" r:id="rId1"/>
    <sheet name="Systemlist" sheetId="11" state="hidden" r:id="rId2"/>
    <sheet name="Unit" sheetId="44" state="hidden" r:id="rId3"/>
    <sheet name="Optimisation" sheetId="50" state="hidden" r:id="rId4"/>
    <sheet name="Arablesystem" sheetId="12" r:id="rId5"/>
    <sheet name="Forestrysystem" sheetId="13" r:id="rId6"/>
    <sheet name="Agroforestrysystem" sheetId="28" r:id="rId7"/>
    <sheet name="Arablefinance" sheetId="1" r:id="rId8"/>
    <sheet name="Treecost" sheetId="2" r:id="rId9"/>
    <sheet name="Treevalue" sheetId="3" r:id="rId10"/>
    <sheet name="Treegrant" sheetId="4" r:id="rId11"/>
    <sheet name="Tabular results" sheetId="55" r:id="rId12"/>
    <sheet name="Plot" sheetId="5" r:id="rId13"/>
  </sheets>
  <definedNames>
    <definedName name="_Dbh1" hidden="1">{"Sim",3,"Forestry","'Options and results'!$C$201","Silvoarable","'Options and results'!$C$204","Arable","'Options and results'!$C$200","1","3","1,000","0"}</definedName>
    <definedName name="_xlnm._FilterDatabase" localSheetId="7" hidden="1">Arablefinance!$B$1:$B$128</definedName>
    <definedName name="Def_axis_labs">OFFSET('Tabular results'!$A$19:$A$79, 0, 0, 1+'Options and results'!$AS$14, 1)</definedName>
    <definedName name="Ha_arab_costs">OFFSET('Tabular results'!$CB$19:$CB$79, 0, 0, 1+'Options and results'!$AS$14, 1)</definedName>
    <definedName name="Ha_arab_crop_mov_av">OFFSET('Tabular results'!$AJ$19:$AJ$79, 0, 0, 1+'Options and results'!$AS$14, 1)</definedName>
    <definedName name="Ha_arab_crop_yield">OFFSET('Tabular results'!$AI$19:$AI$79, 0, 0, 1+'Options and results'!$AS$14, 1)</definedName>
    <definedName name="Ha_arab_grant">OFFSET('Tabular results'!$BY$19:$BY$79, 0, 0, 1+'Options and results'!$AS$14, 1)</definedName>
    <definedName name="Ha_arab_ngrant">OFFSET('Tabular results'!$BV$19:$BV$79, 0, 0, 1+'Options and results'!$AS$14, 1)</definedName>
    <definedName name="Ha_clf_lab">OFFSET('Tabular results'!$BU$19:$BU$79, 0, 0, 1+'Options and results'!$AS$14, 1)</definedName>
    <definedName name="Ha_cum_net_arab">OFFSET('Tabular results'!$J$19:$J$79, 0, 0, 1+'Options and results'!$AS$14, 1)</definedName>
    <definedName name="Ha_cum_net_for_estand">OFFSET('Tabular results'!$K$19:$K$79, 0, 0, 1+'Options and results'!$AS$14, 1)</definedName>
    <definedName name="Ha_cum_net_for_istand">OFFSET('Tabular results'!$O$19:$O$79, 0, 0, 1+'Options and results'!$AS$14, 1)</definedName>
    <definedName name="Ha_cum_net_sil_estand">OFFSET('Tabular results'!$N$19:$N$79, 0, 0, 1+'Options and results'!$AS$14, 1)</definedName>
    <definedName name="Ha_cum_net_sil_istand">OFFSET('Tabular results'!$Q$19:$Q$79, 0, 0, 1+'Options and results'!$AS$14, 1)</definedName>
    <definedName name="Ha_cum_net_silv">OFFSET('Tabular results'!$N$19:$N$79, 0, 0, 1+'Options and results'!$AS$14, 1)</definedName>
    <definedName name="Ha_cum_net_silv_istand">OFFSET('Tabular results'!$Q$19:$Q$79, 0, 0, 1+'Options and results'!$AS$14, 1)</definedName>
    <definedName name="Ha_cum_net_tree">OFFSET('Tabular results'!$K$19:$K$79, 0, 0, 1+'Options and results'!$AS$14, 1)</definedName>
    <definedName name="Ha_cum_net_tree_istand">OFFSET('Tabular results'!$O$19:$O$79, 0, 0, 1+'Options and results'!$AS$14, 1)</definedName>
    <definedName name="Ha_dis_cum_net_arab">OFFSET('Tabular results'!$Z$19:$Z$79, 0, 0, 1+'Options and results'!$AS$14, 1)</definedName>
    <definedName name="Ha_dis_cum_net_for_estand">OFFSET('Tabular results'!$AA$19:$AA$79, 0, 0, 1+'Options and results'!$AS$14, 1)</definedName>
    <definedName name="Ha_dis_cum_net_for_istand">OFFSET('Tabular results'!$AE$19:$AE$79, 0, 0, 1+'Options and results'!$AS$14, 1)</definedName>
    <definedName name="Ha_dis_cum_net_sil_estand">OFFSET('Tabular results'!$AD$19:$AD$79, 0, 0, 1+'Options and results'!$AS$14, 1)</definedName>
    <definedName name="Ha_dis_cum_net_sil_istand">OFFSET('Tabular results'!$AG$19:$AG$79, 0, 0, 1+'Options and results'!$AS$14, 1)</definedName>
    <definedName name="Ha_dis_cum_net_silv">OFFSET('Tabular results'!$AD$19:$AD$79, 0, 0, 1+'Options and results'!$AS$14, 1)</definedName>
    <definedName name="Ha_dis_cum_net_tree">OFFSET('Tabular results'!$AA$19:$AA$79, 0, 0, 1+'Options and results'!$AS$14, 1)</definedName>
    <definedName name="Ha_epi_lab">OFFSET('Tabular results'!$BS$19:$BS$79, 0, 0, 1+'Options and results'!$AS$14, 1)</definedName>
    <definedName name="Ha_est_lab">OFFSET('Tabular results'!$BO$19:$BO$79, 0, 0, 1+'Options and results'!$AS$14, 1)</definedName>
    <definedName name="Ha_for_costs">OFFSET('Tabular results'!$CC$19:$CC$79, 0, 0, 1+'Options and results'!$AS$14, 1)</definedName>
    <definedName name="Ha_for_grant">OFFSET('Tabular results'!$BZ$19:$BZ$79, 0, 0, 1+'Options and results'!$AS$14, 1)</definedName>
    <definedName name="Ha_for_harv_fire">OFFSET('Tabular results'!$AU$19:$AU$79, 0, 0, 1+'Options and results'!$AS$14, 1)</definedName>
    <definedName name="Ha_for_ngrant">OFFSET('Tabular results'!$BW$19:$BW$79, 0, 0, 1+'Options and results'!$AS$14, 1)</definedName>
    <definedName name="Ha_for_tot_stand_vol">OFFSET('Tabular results'!$AQ$19:$AQ$79, 0, 0, 1+'Options and results'!$AS$14, 1)</definedName>
    <definedName name="Ha_for_tot_timb">OFFSET('Tabular results'!$AT$19:$AT$79, 0, 0, 1+'Options and results'!$AS$14, 1)</definedName>
    <definedName name="Ha_for_tree_by">OFFSET('Tabular results'!$AV$19:$AV$79, 0, 0, 1+'Options and results'!$AS$14, 1)</definedName>
    <definedName name="Ha_harv_timb_for">OFFSET('Tabular results'!$AS$19:$AS$79, 0, 0, 1+'Options and results'!$AS$14, 1)</definedName>
    <definedName name="Ha_harv_timb_sil">OFFSET('Tabular results'!$AZ$19:$AZ$79, 0, 0, 1+'Options and results'!$AS$14, 1)</definedName>
    <definedName name="Ha_labour_arab">OFFSET('Tabular results'!$BD$19:$BD$79, 0, 0, 1+'Options and results'!$AS$14, 1)</definedName>
    <definedName name="Ha_labour_sil">OFFSET('Tabular results'!$BH$19:$BH$79, 0, 0, 1+'Options and results'!$AS$14, 1)</definedName>
    <definedName name="Ha_labour_tree">OFFSET('Tabular results'!$BE$19:$BE$79, 0, 0, 1+'Options and results'!$AS$14, 1)</definedName>
    <definedName name="Ha_mean_tree_vol_for">OFFSET('Tabular results'!$AR$19:$AR$79, 0, 0, 1+'Options and results'!$AS$14, 1)</definedName>
    <definedName name="Ha_mean_tree_vol_sil">OFFSET('Tabular results'!$AY$19:$AY$79, 0, 0, 1+'Options and results'!$AS$14, 1)</definedName>
    <definedName name="Ha_pru_lab">OFFSET('Tabular results'!$BQ$19:$BQ$79, 0, 0, 1+'Options and results'!$AS$14, 1)</definedName>
    <definedName name="Ha_sil_costs">OFFSET('Tabular results'!$CD$19:$CD$79, 0, 0, 1+'Options and results'!$AS$14, 1)</definedName>
    <definedName name="Ha_sil_crop_lab">OFFSET('Tabular results'!$BF$19:$BF$79, 0, 0, 1+'Options and results'!$AS$14, 1)</definedName>
    <definedName name="Ha_sil_crop_mov_av">OFFSET('Tabular results'!$AN$19:$AN$79, 0, 0, 1+'Options and results'!$AS$14, 1)</definedName>
    <definedName name="Ha_sil_crop_net">OFFSET('Tabular results'!$D$19:$D$79, 0, 0, 1+'Options and results'!$AS$14, 1)</definedName>
    <definedName name="Ha_sil_crop_yield">OFFSET('Tabular results'!$AM$19:$AM$79, 0, 0, 1+'Options and results'!$AS$14, 1)</definedName>
    <definedName name="Ha_sil_grant">OFFSET('Tabular results'!$CA$19:$CA$79, 0, 0, 1+'Options and results'!$AS$14, 1)</definedName>
    <definedName name="Ha_sil_harv_fire">OFFSET('Tabular results'!$BB$19:$BB$79, 0, 0, 1+'Options and results'!$AS$14, 1)</definedName>
    <definedName name="Ha_sil_ngrant">OFFSET('Tabular results'!$BX$19:$BX$79, 0, 0, 1+'Options and results'!$AS$14, 1)</definedName>
    <definedName name="Ha_sil_tot_stand_vol">OFFSET('Tabular results'!$AX$19:$AX$79, 0, 0, 1+'Options and results'!$AS$14, 1)</definedName>
    <definedName name="Ha_sil_tot_timb">OFFSET('Tabular results'!$BA$19:$BA$79, 0, 0, 1+'Options and results'!$AS$14, 1)</definedName>
    <definedName name="Ha_sil_tree_by">OFFSET('Tabular results'!$BC$19:$BC$79, 0, 0, 1+'Options and results'!$AS$14, 1)</definedName>
    <definedName name="Ha_sil_tree_lab">OFFSET('Tabular results'!$BG$19:$BG$79, 0, 0, 1+'Options and results'!$AS$14, 1)</definedName>
    <definedName name="Ha_swa_lab">OFFSET('Tabular results'!$BR$19:$BR$79, 0, 0, 1+'Options and results'!$AS$14, 1)</definedName>
    <definedName name="Ha_wee_lab">OFFSET('Tabular results'!$BP$19:$BP$79, 0, 0, 1+'Options and results'!$AS$14, 1)</definedName>
    <definedName name="Height" hidden="1">{"Sim",3,"Forestry","'Options and results'!$C$201","Silvoarable","'Options and results'!$C$204","Arable","'Options and results'!$C$200","1","3","1,000","0"}</definedName>
    <definedName name="LAIt" hidden="1">{"Sim",3,"Forestry","'Options and results'!$C$201","Silvoarable","'Options and results'!$C$204","Arable","'Options and results'!$C$200","1","3","1,000","0"}</definedName>
    <definedName name="solver_adj" localSheetId="0" hidden="1">'Options and results'!$I$73</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hs1" localSheetId="0" hidden="1">'Options and results'!#REF!</definedName>
    <definedName name="solver_lhs2" localSheetId="0" hidden="1">'Options and results'!$I$73</definedName>
    <definedName name="solver_lin" localSheetId="0" hidden="1">2</definedName>
    <definedName name="solver_neg" localSheetId="0" hidden="1">2</definedName>
    <definedName name="solver_num" localSheetId="0" hidden="1">1</definedName>
    <definedName name="solver_nwt" localSheetId="0" hidden="1">1</definedName>
    <definedName name="solver_opt" localSheetId="0" hidden="1">'Options and results'!#REF!</definedName>
    <definedName name="solver_pre" localSheetId="0" hidden="1">0.000001</definedName>
    <definedName name="solver_rel1" localSheetId="0" hidden="1">3</definedName>
    <definedName name="solver_rel2" localSheetId="0" hidden="1">1</definedName>
    <definedName name="solver_rhs1" localSheetId="0" hidden="1">0</definedName>
    <definedName name="solver_rhs2" localSheetId="0" hidden="1">7.5</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1</definedName>
    <definedName name="solver_val" localSheetId="0" hidden="1">0</definedName>
    <definedName name="U_cum_net_arab">OFFSET('Tabular results'!$CV$19:$CV$79, 0, 0, 1+'Options and results'!$AS$14, 1)</definedName>
    <definedName name="U_cum_net_silv">OFFSET('Tabular results'!$CX$19:$CX$79, 0, 0, 1+'Options and results'!$AS$14, 1)</definedName>
    <definedName name="U_cum_net_tree">OFFSET('Tabular results'!$CW$19:$CW$79, 0, 0, 1+'Options and results'!$AS$14, 1)</definedName>
    <definedName name="U_dis_cum_net_arab">OFFSET('Tabular results'!$CY$19:$CY$79, 0, 0, 1+'Options and results'!$AS$14, 1)</definedName>
    <definedName name="U_dis_cum_net_silv">OFFSET('Tabular results'!$DA$19:$DA$79, 0, 0, 1+'Options and results'!$AS$14, 1)</definedName>
    <definedName name="U_dis_cum_net_tree">OFFSET('Tabular results'!$CZ$19:$CZ$79, 0, 0, 1+'Options and results'!$AS$14, 1)</definedName>
    <definedName name="U_for_stand_trees">OFFSET('Tabular results'!$CL$19:$CL$79, 0, 0, 1+'Options and results'!$AS$14, 1)</definedName>
    <definedName name="U_harv_timb_for">OFFSET('Tabular results'!$CM$19:$CM$79, 0, 0, 1+'Options and results'!$AS$14, 1)</definedName>
    <definedName name="U_harv_timb_sil">OFFSET('Tabular results'!$CP$19:$CP$79, 0, 0, 1+'Options and results'!$AS$14, 1)</definedName>
    <definedName name="U_labour_arab">OFFSET('Tabular results'!$CQ$19:$CQ$79, 0, 0, 1+'Options and results'!$AS$14, 1)</definedName>
    <definedName name="U_labour_sil">OFFSET('Tabular results'!$CU$19:$CU$79, 0, 0, 1+'Options and results'!$AS$14, 1)</definedName>
    <definedName name="U_labour_tree">OFFSET('Tabular results'!$CR$19:$CR$79, 0, 0, 1+'Options and results'!$AS$14, 1)</definedName>
    <definedName name="U_lu_arab">OFFSET('Tabular results'!$CG$19:$CG$79, 0, 0, 1+'Options and results'!$AS$14, 1)</definedName>
    <definedName name="U_lu_silarb_crop">OFFSET('Tabular results'!$CI$19:$CI$79, 0, 0, 1+'Options and results'!$AS$14, 1)</definedName>
    <definedName name="U_lu_silarb_tree">OFFSET('Tabular results'!$CJ$19:$CJ$79, 0, 0, 1+'Options and results'!$AS$14, 1)</definedName>
    <definedName name="U_lu_tree">OFFSET('Tabular results'!$CH$19:$CH$79, 0, 0, 1+'Options and results'!$AS$14, 1)</definedName>
    <definedName name="U_prod_arab_crop">OFFSET('Tabular results'!$CK$19:$CK$79, 0, 0, 1+'Options and results'!$AS$14, 1)</definedName>
    <definedName name="U_prod_sil_crop">OFFSET('Tabular results'!$CN$19:$CN$79, 0, 0, 1+'Options and results'!$AS$14, 1)</definedName>
    <definedName name="U_sil_stand_trees">OFFSET('Tabular results'!$CO$19:$CO$79, 0, 0, 1+'Options and results'!$AS$14, 1)</definedName>
    <definedName name="XLSIMSIM" hidden="1">{"Sim",3,"Forestry","'Options and results'!$C$201","Silvoarable","'Options and results'!$C$204","Arable","'Options and results'!$C$200","1","3","1,000","0"}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05" i="1" l="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Z13" i="1"/>
  <c r="Z12" i="1"/>
  <c r="Z11" i="1"/>
  <c r="Z10" i="1"/>
  <c r="Z9" i="1"/>
  <c r="Z8" i="1"/>
  <c r="Z7" i="1"/>
  <c r="Z6" i="1"/>
  <c r="E13" i="1"/>
  <c r="E14" i="1"/>
  <c r="E15" i="1"/>
  <c r="E16" i="1"/>
  <c r="E17" i="1"/>
  <c r="E18" i="1"/>
  <c r="E19" i="1"/>
  <c r="E20" i="1"/>
  <c r="E21" i="1"/>
  <c r="E22" i="1"/>
  <c r="E23" i="1"/>
  <c r="E24" i="1"/>
  <c r="E25" i="1"/>
  <c r="E26" i="1"/>
  <c r="E27" i="1"/>
  <c r="E28" i="1"/>
  <c r="E11" i="1"/>
  <c r="E12"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7" i="1"/>
  <c r="E8" i="1"/>
  <c r="E9" i="1"/>
  <c r="E10" i="1"/>
  <c r="E6" i="1"/>
  <c r="AS14" i="14" l="1"/>
  <c r="AS10" i="14"/>
  <c r="BW16" i="55" l="1"/>
  <c r="BX16" i="55" s="1"/>
  <c r="BY16" i="55" s="1"/>
  <c r="BZ16" i="55" s="1"/>
  <c r="CA16" i="55" s="1"/>
  <c r="CB16" i="55" s="1"/>
  <c r="CC16" i="55" s="1"/>
  <c r="CD16" i="55" s="1"/>
  <c r="BV16" i="55"/>
  <c r="BE16" i="55"/>
  <c r="BF16" i="55" s="1"/>
  <c r="BG16" i="55" s="1"/>
  <c r="BH16" i="55" s="1"/>
  <c r="BI16" i="55" s="1"/>
  <c r="BJ16" i="55" s="1"/>
  <c r="BK16" i="55" s="1"/>
  <c r="BL16" i="55" s="1"/>
  <c r="BM16" i="55" s="1"/>
  <c r="BN16" i="55" s="1"/>
  <c r="BO16" i="55" s="1"/>
  <c r="BP16" i="55" s="1"/>
  <c r="BQ16" i="55" s="1"/>
  <c r="BR16" i="55" s="1"/>
  <c r="BS16" i="55" s="1"/>
  <c r="BT16" i="55" s="1"/>
  <c r="BU16" i="55" s="1"/>
  <c r="BD16" i="55"/>
  <c r="AQ16" i="55"/>
  <c r="AR16" i="55" s="1"/>
  <c r="AS16" i="55" s="1"/>
  <c r="AT16" i="55" s="1"/>
  <c r="AU16" i="55" s="1"/>
  <c r="AV16" i="55" s="1"/>
  <c r="AW16" i="55" s="1"/>
  <c r="AX16" i="55" s="1"/>
  <c r="AY16" i="55" s="1"/>
  <c r="AZ16" i="55" s="1"/>
  <c r="BA16" i="55" s="1"/>
  <c r="BB16" i="55" s="1"/>
  <c r="BC16" i="55" s="1"/>
  <c r="AP16" i="55"/>
  <c r="AI16" i="55"/>
  <c r="AJ16" i="55" s="1"/>
  <c r="AK16" i="55" s="1"/>
  <c r="AL16" i="55" s="1"/>
  <c r="AM16" i="55" s="1"/>
  <c r="AN16" i="55" s="1"/>
  <c r="AO16" i="55" s="1"/>
  <c r="AH16" i="55"/>
  <c r="W16" i="55" l="1"/>
  <c r="X16" i="55" s="1"/>
  <c r="Y16" i="55" s="1"/>
  <c r="Z16" i="55" s="1"/>
  <c r="AA16" i="55" s="1"/>
  <c r="AB16" i="55" s="1"/>
  <c r="AC16" i="55" s="1"/>
  <c r="AD16" i="55" s="1"/>
  <c r="AE16" i="55" s="1"/>
  <c r="AF16" i="55" s="1"/>
  <c r="AG16" i="55" s="1"/>
  <c r="B11" i="50"/>
  <c r="FK2" i="5"/>
  <c r="FL2" i="5" s="1"/>
  <c r="FM2" i="5" s="1"/>
  <c r="FN2" i="5" s="1"/>
  <c r="FO2" i="5" s="1"/>
  <c r="FP2" i="5" s="1"/>
  <c r="FQ2" i="5" s="1"/>
  <c r="FR2" i="5" s="1"/>
  <c r="FS2" i="5" s="1"/>
  <c r="FT2" i="5" s="1"/>
  <c r="FJ2" i="5"/>
  <c r="FP38" i="5"/>
  <c r="FP39" i="5"/>
  <c r="FP40" i="5"/>
  <c r="FP41" i="5"/>
  <c r="FP42" i="5"/>
  <c r="FP43" i="5"/>
  <c r="FP44" i="5"/>
  <c r="FP45" i="5"/>
  <c r="FP46" i="5"/>
  <c r="FP47" i="5"/>
  <c r="FP48" i="5"/>
  <c r="FP49" i="5"/>
  <c r="FP50" i="5"/>
  <c r="FP51" i="5"/>
  <c r="FP52" i="5"/>
  <c r="FP53" i="5"/>
  <c r="FP54" i="5"/>
  <c r="FP55" i="5"/>
  <c r="FP56" i="5"/>
  <c r="FP57" i="5"/>
  <c r="FP58" i="5"/>
  <c r="FP59" i="5"/>
  <c r="FP60" i="5"/>
  <c r="FP61" i="5"/>
  <c r="FP62" i="5"/>
  <c r="FP63" i="5"/>
  <c r="FP64" i="5"/>
  <c r="FP65" i="5"/>
  <c r="FP66" i="5"/>
  <c r="FP67" i="5"/>
  <c r="FO38" i="5"/>
  <c r="FO39" i="5"/>
  <c r="FO40" i="5"/>
  <c r="FO41" i="5"/>
  <c r="FO42" i="5"/>
  <c r="FO43" i="5"/>
  <c r="FO44" i="5"/>
  <c r="FO45" i="5"/>
  <c r="FO46" i="5"/>
  <c r="FO47" i="5"/>
  <c r="FO48" i="5"/>
  <c r="FO49" i="5"/>
  <c r="FO50" i="5"/>
  <c r="FO51" i="5"/>
  <c r="FO52" i="5"/>
  <c r="FO53" i="5"/>
  <c r="FO54" i="5"/>
  <c r="FO55" i="5"/>
  <c r="FO56" i="5"/>
  <c r="FO57" i="5"/>
  <c r="FO58" i="5"/>
  <c r="FO59" i="5"/>
  <c r="FO60" i="5"/>
  <c r="FO61" i="5"/>
  <c r="FO62" i="5"/>
  <c r="FO63" i="5"/>
  <c r="FO64" i="5"/>
  <c r="FO65" i="5"/>
  <c r="FO66" i="5"/>
  <c r="FO67" i="5"/>
  <c r="FN38" i="5"/>
  <c r="FN39" i="5"/>
  <c r="FN40" i="5"/>
  <c r="FN41" i="5"/>
  <c r="FN42" i="5"/>
  <c r="FN43" i="5"/>
  <c r="FN44" i="5"/>
  <c r="FN45" i="5"/>
  <c r="FN46" i="5"/>
  <c r="FN47" i="5"/>
  <c r="FN48" i="5"/>
  <c r="FN49" i="5"/>
  <c r="FN50" i="5"/>
  <c r="FN51" i="5"/>
  <c r="FN52" i="5"/>
  <c r="FN53" i="5"/>
  <c r="FN54" i="5"/>
  <c r="FN55" i="5"/>
  <c r="FN56" i="5"/>
  <c r="FN57" i="5"/>
  <c r="FN58" i="5"/>
  <c r="FN59" i="5"/>
  <c r="FN60" i="5"/>
  <c r="FN61" i="5"/>
  <c r="FN62" i="5"/>
  <c r="FN63" i="5"/>
  <c r="FN64" i="5"/>
  <c r="FN65" i="5"/>
  <c r="FN66" i="5"/>
  <c r="FN67" i="5"/>
  <c r="FM38" i="5"/>
  <c r="FM39" i="5"/>
  <c r="FM40" i="5"/>
  <c r="FM41" i="5"/>
  <c r="FM42" i="5"/>
  <c r="FM43" i="5"/>
  <c r="FM44" i="5"/>
  <c r="FM45" i="5"/>
  <c r="FM46" i="5"/>
  <c r="FM47" i="5"/>
  <c r="FM48" i="5"/>
  <c r="FM49" i="5"/>
  <c r="FM50" i="5"/>
  <c r="FM51" i="5"/>
  <c r="FM52" i="5"/>
  <c r="FM53" i="5"/>
  <c r="FM54" i="5"/>
  <c r="FM55" i="5"/>
  <c r="FM56" i="5"/>
  <c r="FM57" i="5"/>
  <c r="FM58" i="5"/>
  <c r="FM59" i="5"/>
  <c r="FM60" i="5"/>
  <c r="FM61" i="5"/>
  <c r="FM62" i="5"/>
  <c r="FM63" i="5"/>
  <c r="FM64" i="5"/>
  <c r="FM65" i="5"/>
  <c r="FM66" i="5"/>
  <c r="FM67" i="5"/>
  <c r="C16" i="55"/>
  <c r="D16" i="55" s="1"/>
  <c r="E16" i="55" s="1"/>
  <c r="F16" i="55" s="1"/>
  <c r="G16" i="55" s="1"/>
  <c r="H16" i="55" s="1"/>
  <c r="I16" i="55" s="1"/>
  <c r="J16" i="55" s="1"/>
  <c r="K16" i="55" s="1"/>
  <c r="L16" i="55" s="1"/>
  <c r="M16" i="55" s="1"/>
  <c r="N16" i="55" s="1"/>
  <c r="O16" i="55" s="1"/>
  <c r="P16" i="55" s="1"/>
  <c r="Q16" i="55" s="1"/>
  <c r="R16" i="55" s="1"/>
  <c r="S16" i="55" s="1"/>
  <c r="T16" i="55" s="1"/>
  <c r="U16" i="55" s="1"/>
  <c r="V16" i="55" s="1"/>
  <c r="B16" i="55"/>
  <c r="AF35" i="11" l="1"/>
  <c r="AF36" i="11" s="1"/>
  <c r="AF37" i="11" s="1"/>
  <c r="AF38" i="11" s="1"/>
  <c r="AF39" i="11" s="1"/>
  <c r="AF40" i="11" s="1"/>
  <c r="AF41" i="11" s="1"/>
  <c r="AF42" i="11" s="1"/>
  <c r="AF43" i="11" s="1"/>
  <c r="AF44" i="11" s="1"/>
  <c r="AF45" i="11" s="1"/>
  <c r="AF46" i="11" s="1"/>
  <c r="AF47" i="11" s="1"/>
  <c r="AF48" i="11" s="1"/>
  <c r="AF49" i="11" s="1"/>
  <c r="AF50" i="11" s="1"/>
  <c r="AF51" i="11" s="1"/>
  <c r="AF52" i="11" s="1"/>
  <c r="AF53" i="11" s="1"/>
  <c r="AF54" i="11" s="1"/>
  <c r="AF55" i="11" s="1"/>
  <c r="AF56" i="11" s="1"/>
  <c r="AF57" i="11" s="1"/>
  <c r="AF58" i="11" s="1"/>
  <c r="AF59" i="11" s="1"/>
  <c r="AF60" i="11" s="1"/>
  <c r="AF61" i="11" s="1"/>
  <c r="AF62" i="11" s="1"/>
  <c r="AF63" i="11" s="1"/>
  <c r="AF64" i="11" s="1"/>
  <c r="AB74" i="14"/>
  <c r="AB75" i="14"/>
  <c r="AB76" i="14"/>
  <c r="AB77" i="14"/>
  <c r="AB65" i="14"/>
  <c r="AB66" i="14"/>
  <c r="AB67" i="14"/>
  <c r="AB68" i="14"/>
  <c r="AU4" i="11" a="1"/>
  <c r="AU4" i="11" s="1"/>
  <c r="AB61" i="14" s="1"/>
  <c r="N4" i="11" a="1"/>
  <c r="N4" i="11" s="1"/>
  <c r="S4" i="11" a="1"/>
  <c r="S4" i="11" s="1"/>
  <c r="AG4" i="11" a="1"/>
  <c r="AG4" i="11" s="1"/>
  <c r="AF6" i="11"/>
  <c r="AF7" i="11" s="1"/>
  <c r="AF8" i="11" s="1"/>
  <c r="AF9" i="11" s="1"/>
  <c r="AF10" i="11" s="1"/>
  <c r="AF11" i="11" s="1"/>
  <c r="AF12" i="11" s="1"/>
  <c r="AF13" i="11" s="1"/>
  <c r="AF14" i="11" s="1"/>
  <c r="AF15" i="11" s="1"/>
  <c r="AF16" i="11" s="1"/>
  <c r="AF17" i="11" s="1"/>
  <c r="AF18" i="11" s="1"/>
  <c r="AF19" i="11" s="1"/>
  <c r="AF20" i="11" s="1"/>
  <c r="AF21" i="11" s="1"/>
  <c r="AF22" i="11" s="1"/>
  <c r="AF23" i="11" s="1"/>
  <c r="AF24" i="11" s="1"/>
  <c r="AF25" i="11" s="1"/>
  <c r="AF26" i="11" s="1"/>
  <c r="AF27" i="11" s="1"/>
  <c r="AF28" i="11" s="1"/>
  <c r="AF29" i="11" s="1"/>
  <c r="AF30" i="11" s="1"/>
  <c r="AF31" i="11" s="1"/>
  <c r="AF32" i="11" s="1"/>
  <c r="AF33" i="11" s="1"/>
  <c r="AF34" i="11" s="1"/>
  <c r="I4" i="11" a="1"/>
  <c r="I4" i="11" s="1"/>
  <c r="R6" i="11"/>
  <c r="R7" i="11" s="1"/>
  <c r="R8" i="11" s="1"/>
  <c r="R9" i="11" s="1"/>
  <c r="R10" i="11" s="1"/>
  <c r="R11" i="11" s="1"/>
  <c r="R12" i="11" s="1"/>
  <c r="R13" i="11" s="1"/>
  <c r="R14" i="11" s="1"/>
  <c r="R15" i="11" s="1"/>
  <c r="R16" i="11" s="1"/>
  <c r="R17" i="11" s="1"/>
  <c r="R18" i="11" s="1"/>
  <c r="R19" i="11" s="1"/>
  <c r="R20" i="11" s="1"/>
  <c r="R21" i="11" s="1"/>
  <c r="R22" i="11" s="1"/>
  <c r="R23" i="11" s="1"/>
  <c r="R24" i="11" s="1"/>
  <c r="R25" i="11" s="1"/>
  <c r="R26" i="11" s="1"/>
  <c r="R27" i="11" s="1"/>
  <c r="R28" i="11" s="1"/>
  <c r="R29" i="11" s="1"/>
  <c r="R30" i="11" s="1"/>
  <c r="R31" i="11" s="1"/>
  <c r="R32" i="11" s="1"/>
  <c r="R33" i="11" s="1"/>
  <c r="R34" i="11" s="1"/>
  <c r="R35" i="11" s="1"/>
  <c r="R36" i="11" s="1"/>
  <c r="R37" i="11" s="1"/>
  <c r="R38" i="11" s="1"/>
  <c r="R39" i="11" s="1"/>
  <c r="R40" i="11" s="1"/>
  <c r="R41" i="11" s="1"/>
  <c r="R42" i="11" s="1"/>
  <c r="R43" i="11" s="1"/>
  <c r="R44" i="11" s="1"/>
  <c r="R45" i="11" s="1"/>
  <c r="R46" i="11" s="1"/>
  <c r="R47" i="11" s="1"/>
  <c r="R48" i="11" s="1"/>
  <c r="R49" i="11" s="1"/>
  <c r="R50" i="11" s="1"/>
  <c r="R51" i="11" s="1"/>
  <c r="R52" i="11" s="1"/>
  <c r="R53" i="11" s="1"/>
  <c r="R54" i="11" s="1"/>
  <c r="R55" i="11" s="1"/>
  <c r="R56" i="11" s="1"/>
  <c r="R57" i="11" s="1"/>
  <c r="R58" i="11" s="1"/>
  <c r="R59" i="11" s="1"/>
  <c r="R60" i="11" s="1"/>
  <c r="R61" i="11" s="1"/>
  <c r="R62" i="11" s="1"/>
  <c r="R63" i="11" s="1"/>
  <c r="R64" i="11" s="1"/>
  <c r="U9" i="44"/>
  <c r="T9" i="44"/>
  <c r="AW26" i="11" l="1"/>
  <c r="AW14" i="11"/>
  <c r="AW25" i="11"/>
  <c r="AW13" i="11"/>
  <c r="AW24" i="11"/>
  <c r="AW12" i="11"/>
  <c r="AW15" i="11"/>
  <c r="AW23" i="11"/>
  <c r="AW11" i="11"/>
  <c r="AE77" i="14" s="1"/>
  <c r="AW28" i="11"/>
  <c r="AW34" i="11"/>
  <c r="AW22" i="11"/>
  <c r="AW10" i="11"/>
  <c r="AE76" i="14" s="1"/>
  <c r="AW27" i="11"/>
  <c r="AW33" i="11"/>
  <c r="AW21" i="11"/>
  <c r="AW9" i="11"/>
  <c r="AE75" i="14" s="1"/>
  <c r="AW32" i="11"/>
  <c r="AW20" i="11"/>
  <c r="AW8" i="11"/>
  <c r="AE74" i="14" s="1"/>
  <c r="AW16" i="11"/>
  <c r="AW31" i="11"/>
  <c r="AW19" i="11"/>
  <c r="AW7" i="11"/>
  <c r="AE73" i="14" s="1"/>
  <c r="AW30" i="11"/>
  <c r="AW18" i="11"/>
  <c r="AW6" i="11"/>
  <c r="AE72" i="14" s="1"/>
  <c r="AW29" i="11"/>
  <c r="AW17" i="11"/>
  <c r="AW5" i="11"/>
  <c r="AE71" i="14" s="1"/>
  <c r="AV15" i="11"/>
  <c r="AV26" i="11"/>
  <c r="AV14" i="11"/>
  <c r="AV25" i="11"/>
  <c r="AV13" i="11"/>
  <c r="AV24" i="11"/>
  <c r="AV12" i="11"/>
  <c r="AV23" i="11"/>
  <c r="AV11" i="11"/>
  <c r="AE68" i="14" s="1"/>
  <c r="AV27" i="11"/>
  <c r="AV34" i="11"/>
  <c r="AV22" i="11"/>
  <c r="AV10" i="11"/>
  <c r="AE67" i="14" s="1"/>
  <c r="AV33" i="11"/>
  <c r="AV21" i="11"/>
  <c r="AV9" i="11"/>
  <c r="AE66" i="14" s="1"/>
  <c r="AV28" i="11"/>
  <c r="AV32" i="11"/>
  <c r="AV20" i="11"/>
  <c r="AV8" i="11"/>
  <c r="AV16" i="11"/>
  <c r="AV31" i="11"/>
  <c r="AV19" i="11"/>
  <c r="AV7" i="11"/>
  <c r="AE64" i="14" s="1"/>
  <c r="AV30" i="11"/>
  <c r="AV18" i="11"/>
  <c r="AV6" i="11"/>
  <c r="AE63" i="14" s="1"/>
  <c r="AV29" i="11"/>
  <c r="AV17" i="11"/>
  <c r="AV5" i="11"/>
  <c r="AE62" i="14" s="1"/>
  <c r="AV4" i="11"/>
  <c r="AE61" i="14" s="1"/>
  <c r="AB73" i="14"/>
  <c r="AB72" i="14"/>
  <c r="AB71" i="14"/>
  <c r="AB70" i="14"/>
  <c r="AB64" i="14"/>
  <c r="AB63" i="14"/>
  <c r="AB62" i="14"/>
  <c r="BA4" i="11"/>
  <c r="AZ4" i="11"/>
  <c r="AY4" i="11"/>
  <c r="AG58" i="14" s="1"/>
  <c r="AX4" i="11"/>
  <c r="AG57" i="14" s="1"/>
  <c r="AW4" i="11"/>
  <c r="AE70" i="14" s="1"/>
  <c r="Z61" i="14"/>
  <c r="Z70" i="14"/>
  <c r="AD4" i="11"/>
  <c r="AC4" i="11"/>
  <c r="AB4" i="11"/>
  <c r="AC58" i="14" s="1"/>
  <c r="AA4" i="11"/>
  <c r="AC57" i="14" s="1"/>
  <c r="P4" i="11"/>
  <c r="AA70" i="14" s="1"/>
  <c r="O4" i="11"/>
  <c r="D5" i="3"/>
  <c r="D11" i="3"/>
  <c r="D10" i="3"/>
  <c r="D9" i="3"/>
  <c r="D8" i="3"/>
  <c r="D7" i="3"/>
  <c r="D6" i="3"/>
  <c r="D12" i="3"/>
  <c r="D13" i="3"/>
  <c r="D14" i="3"/>
  <c r="D15" i="3"/>
  <c r="D16" i="3"/>
  <c r="D17" i="3"/>
  <c r="D18" i="3"/>
  <c r="D19" i="3"/>
  <c r="D20" i="3"/>
  <c r="D21" i="3"/>
  <c r="D22" i="3"/>
  <c r="D23" i="3"/>
  <c r="D24" i="3"/>
  <c r="D25" i="3"/>
  <c r="D26" i="3"/>
  <c r="D27" i="3"/>
  <c r="X105" i="1"/>
  <c r="Y105" i="1" s="1"/>
  <c r="X104" i="1"/>
  <c r="Y104" i="1" s="1"/>
  <c r="X103" i="1"/>
  <c r="Y103" i="1" s="1"/>
  <c r="X102" i="1"/>
  <c r="Y102" i="1" s="1"/>
  <c r="X101" i="1"/>
  <c r="Y101" i="1" s="1"/>
  <c r="X100" i="1"/>
  <c r="Y100" i="1" s="1"/>
  <c r="X99" i="1"/>
  <c r="Y99" i="1" s="1"/>
  <c r="X98" i="1"/>
  <c r="Y98" i="1" s="1"/>
  <c r="X97" i="1"/>
  <c r="Y97" i="1" s="1"/>
  <c r="X96" i="1"/>
  <c r="Y96" i="1" s="1"/>
  <c r="X95" i="1"/>
  <c r="Y95" i="1" s="1"/>
  <c r="X94" i="1"/>
  <c r="Y94" i="1" s="1"/>
  <c r="X93" i="1"/>
  <c r="Y93" i="1" s="1"/>
  <c r="X92" i="1"/>
  <c r="Y92" i="1" s="1"/>
  <c r="X91" i="1"/>
  <c r="Y91" i="1" s="1"/>
  <c r="X90" i="1"/>
  <c r="Y90" i="1" s="1"/>
  <c r="X89" i="1"/>
  <c r="Y89" i="1" s="1"/>
  <c r="X88" i="1"/>
  <c r="Y88" i="1" s="1"/>
  <c r="X87" i="1"/>
  <c r="Y87" i="1" s="1"/>
  <c r="X86" i="1"/>
  <c r="Y86" i="1" s="1"/>
  <c r="X85" i="1"/>
  <c r="Y85" i="1" s="1"/>
  <c r="X84" i="1"/>
  <c r="Y84" i="1" s="1"/>
  <c r="X83" i="1"/>
  <c r="Y83" i="1" s="1"/>
  <c r="X82" i="1"/>
  <c r="Y82" i="1" s="1"/>
  <c r="X81" i="1"/>
  <c r="Y81" i="1" s="1"/>
  <c r="X80" i="1"/>
  <c r="Y80" i="1" s="1"/>
  <c r="X79" i="1"/>
  <c r="Y79" i="1" s="1"/>
  <c r="X78" i="1"/>
  <c r="Y78" i="1" s="1"/>
  <c r="X77" i="1"/>
  <c r="Y77" i="1" s="1"/>
  <c r="X76" i="1"/>
  <c r="Y76" i="1" s="1"/>
  <c r="X75" i="1"/>
  <c r="Y75" i="1" s="1"/>
  <c r="X74" i="1"/>
  <c r="Y74" i="1" s="1"/>
  <c r="X73" i="1"/>
  <c r="Y73" i="1" s="1"/>
  <c r="X72" i="1"/>
  <c r="Y72" i="1" s="1"/>
  <c r="X71" i="1"/>
  <c r="Y71" i="1" s="1"/>
  <c r="X70" i="1"/>
  <c r="Y70" i="1" s="1"/>
  <c r="X69" i="1"/>
  <c r="Y69" i="1" s="1"/>
  <c r="X68" i="1"/>
  <c r="Y68" i="1" s="1"/>
  <c r="X67" i="1"/>
  <c r="Y67" i="1" s="1"/>
  <c r="X66" i="1"/>
  <c r="Y66" i="1" s="1"/>
  <c r="X65" i="1"/>
  <c r="Y65" i="1" s="1"/>
  <c r="X64" i="1"/>
  <c r="Y64" i="1" s="1"/>
  <c r="X63" i="1"/>
  <c r="Y63" i="1" s="1"/>
  <c r="X62" i="1"/>
  <c r="Y62" i="1" s="1"/>
  <c r="X61" i="1"/>
  <c r="Y61" i="1" s="1"/>
  <c r="X60" i="1"/>
  <c r="Y60" i="1" s="1"/>
  <c r="X59" i="1"/>
  <c r="Y59" i="1" s="1"/>
  <c r="X58" i="1"/>
  <c r="Y58" i="1" s="1"/>
  <c r="X57" i="1"/>
  <c r="Y57" i="1" s="1"/>
  <c r="X56" i="1"/>
  <c r="Y56" i="1" s="1"/>
  <c r="X55" i="1"/>
  <c r="Y55" i="1" s="1"/>
  <c r="X54" i="1"/>
  <c r="Y54" i="1" s="1"/>
  <c r="X53" i="1"/>
  <c r="Y53" i="1" s="1"/>
  <c r="X52" i="1"/>
  <c r="Y52" i="1" s="1"/>
  <c r="X51" i="1"/>
  <c r="Y51" i="1" s="1"/>
  <c r="X50" i="1"/>
  <c r="Y50" i="1" s="1"/>
  <c r="X49" i="1"/>
  <c r="Y49" i="1" s="1"/>
  <c r="X48" i="1"/>
  <c r="Y48" i="1" s="1"/>
  <c r="X47" i="1"/>
  <c r="Y47" i="1" s="1"/>
  <c r="X46" i="1"/>
  <c r="Y46" i="1" s="1"/>
  <c r="X45" i="1"/>
  <c r="Y45" i="1" s="1"/>
  <c r="X44" i="1"/>
  <c r="Y44" i="1" s="1"/>
  <c r="X43" i="1"/>
  <c r="Y43" i="1" s="1"/>
  <c r="X42" i="1"/>
  <c r="Y42" i="1" s="1"/>
  <c r="X41" i="1"/>
  <c r="Y41" i="1" s="1"/>
  <c r="X40" i="1"/>
  <c r="Y40" i="1" s="1"/>
  <c r="X39" i="1"/>
  <c r="Y39" i="1" s="1"/>
  <c r="X38" i="1"/>
  <c r="Y38" i="1" s="1"/>
  <c r="X37" i="1"/>
  <c r="Y37" i="1" s="1"/>
  <c r="X36" i="1"/>
  <c r="Y36" i="1" s="1"/>
  <c r="X35" i="1"/>
  <c r="Y35" i="1" s="1"/>
  <c r="X34" i="1"/>
  <c r="Y34" i="1" s="1"/>
  <c r="X33" i="1"/>
  <c r="Y33" i="1" s="1"/>
  <c r="X32" i="1"/>
  <c r="Y32" i="1" s="1"/>
  <c r="X31" i="1"/>
  <c r="Y31" i="1" s="1"/>
  <c r="X30" i="1"/>
  <c r="Y30" i="1" s="1"/>
  <c r="X29" i="1"/>
  <c r="Y29" i="1" s="1"/>
  <c r="X28" i="1"/>
  <c r="Y28" i="1" s="1"/>
  <c r="X27" i="1"/>
  <c r="Y27" i="1" s="1"/>
  <c r="X26" i="1"/>
  <c r="Y26" i="1" s="1"/>
  <c r="X25" i="1"/>
  <c r="Y25" i="1" s="1"/>
  <c r="X24" i="1"/>
  <c r="Y24" i="1" s="1"/>
  <c r="X23" i="1"/>
  <c r="Y23" i="1" s="1"/>
  <c r="X22" i="1"/>
  <c r="Y22" i="1" s="1"/>
  <c r="X21" i="1"/>
  <c r="Y21" i="1" s="1"/>
  <c r="X20" i="1"/>
  <c r="Y20" i="1" s="1"/>
  <c r="X19" i="1"/>
  <c r="Y19" i="1" s="1"/>
  <c r="X18" i="1"/>
  <c r="Y18" i="1" s="1"/>
  <c r="X17" i="1"/>
  <c r="Y17" i="1" s="1"/>
  <c r="X16" i="1"/>
  <c r="Y16" i="1" s="1"/>
  <c r="X15" i="1"/>
  <c r="Y15" i="1" s="1"/>
  <c r="X14" i="1"/>
  <c r="Y14" i="1" s="1"/>
  <c r="X13" i="1"/>
  <c r="X12" i="1"/>
  <c r="X11" i="1"/>
  <c r="X10" i="1"/>
  <c r="X9" i="1"/>
  <c r="X8" i="1"/>
  <c r="X7" i="1"/>
  <c r="X6" i="1"/>
  <c r="Y8" i="1" l="1"/>
  <c r="Y12" i="1"/>
  <c r="Y13" i="1"/>
  <c r="AA61" i="14"/>
  <c r="AE65" i="14"/>
  <c r="Y85" i="14"/>
  <c r="P20" i="11"/>
  <c r="O20" i="11"/>
  <c r="O30" i="11"/>
  <c r="P30" i="11"/>
  <c r="O15" i="11"/>
  <c r="P15" i="11"/>
  <c r="Z63" i="14"/>
  <c r="O6" i="11"/>
  <c r="P6" i="11"/>
  <c r="AA72" i="14" s="1"/>
  <c r="Z72" i="14"/>
  <c r="Z75" i="14"/>
  <c r="O9" i="11"/>
  <c r="AA66" i="14" s="1"/>
  <c r="P9" i="11"/>
  <c r="AA75" i="14" s="1"/>
  <c r="P32" i="11"/>
  <c r="O32" i="11"/>
  <c r="P31" i="11"/>
  <c r="O31" i="11"/>
  <c r="P13" i="11"/>
  <c r="O13" i="11"/>
  <c r="P5" i="11"/>
  <c r="AA71" i="14" s="1"/>
  <c r="Z62" i="14"/>
  <c r="O5" i="11"/>
  <c r="Z71" i="14"/>
  <c r="P25" i="11"/>
  <c r="O25" i="11"/>
  <c r="O33" i="11"/>
  <c r="P33" i="11"/>
  <c r="Z77" i="14"/>
  <c r="Z68" i="14"/>
  <c r="P11" i="11"/>
  <c r="AA77" i="14" s="1"/>
  <c r="O11" i="11"/>
  <c r="O29" i="11"/>
  <c r="P29" i="11"/>
  <c r="O16" i="11"/>
  <c r="P16" i="11"/>
  <c r="Z74" i="14"/>
  <c r="Z65" i="14"/>
  <c r="P8" i="11"/>
  <c r="AA74" i="14" s="1"/>
  <c r="O8" i="11"/>
  <c r="Y83" i="14"/>
  <c r="O18" i="11"/>
  <c r="P18" i="11"/>
  <c r="O27" i="11"/>
  <c r="P27" i="11"/>
  <c r="O17" i="11"/>
  <c r="P17" i="11"/>
  <c r="P14" i="11"/>
  <c r="O14" i="11"/>
  <c r="O22" i="11"/>
  <c r="P22" i="11"/>
  <c r="Y86" i="14"/>
  <c r="O21" i="11"/>
  <c r="P21" i="11"/>
  <c r="Y84" i="14"/>
  <c r="P19" i="11"/>
  <c r="O19" i="11"/>
  <c r="P12" i="11"/>
  <c r="O12" i="11"/>
  <c r="O26" i="11"/>
  <c r="P26" i="11"/>
  <c r="Z76" i="14"/>
  <c r="Z67" i="14"/>
  <c r="O10" i="11"/>
  <c r="P10" i="11"/>
  <c r="AA76" i="14" s="1"/>
  <c r="Z64" i="14"/>
  <c r="P7" i="11"/>
  <c r="AA73" i="14" s="1"/>
  <c r="Z73" i="14"/>
  <c r="O7" i="11"/>
  <c r="P24" i="11"/>
  <c r="O24" i="11"/>
  <c r="P23" i="11"/>
  <c r="O23" i="11"/>
  <c r="O28" i="11"/>
  <c r="P28" i="1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Y11" i="1" s="1"/>
  <c r="R10" i="1"/>
  <c r="Y10" i="1" s="1"/>
  <c r="R9" i="1"/>
  <c r="Y9" i="1" s="1"/>
  <c r="R8" i="1"/>
  <c r="R7" i="1"/>
  <c r="Y7" i="1" s="1"/>
  <c r="R6" i="1"/>
  <c r="Y6" i="1" s="1"/>
  <c r="AA67" i="14" l="1"/>
  <c r="AA63" i="14"/>
  <c r="AA62" i="14"/>
  <c r="AA68" i="14"/>
  <c r="AA65" i="14"/>
  <c r="AA64" i="14"/>
  <c r="AX19" i="5"/>
  <c r="EI19" i="5"/>
  <c r="EI23" i="5"/>
  <c r="EI22" i="5"/>
  <c r="EI21" i="5"/>
  <c r="EI20" i="5"/>
  <c r="EI18" i="5"/>
  <c r="EI17" i="5"/>
  <c r="EI16" i="5"/>
  <c r="EI14" i="5"/>
  <c r="EI15" i="5"/>
  <c r="AX23" i="5"/>
  <c r="AX22" i="5"/>
  <c r="AX21" i="5"/>
  <c r="AX20" i="5"/>
  <c r="AX18" i="5"/>
  <c r="AX17" i="5"/>
  <c r="AX16" i="5"/>
  <c r="AX15" i="5"/>
  <c r="AX14" i="5" l="1"/>
  <c r="B5" i="11" l="1"/>
  <c r="A6" i="11" l="1"/>
  <c r="D6" i="11" s="1"/>
  <c r="D5" i="11"/>
  <c r="C33" i="14" s="1"/>
  <c r="F5" i="11"/>
  <c r="R28" i="50"/>
  <c r="T28" i="50" s="1"/>
  <c r="R29" i="50"/>
  <c r="A29" i="50"/>
  <c r="R30" i="50"/>
  <c r="R31" i="50"/>
  <c r="R32" i="50"/>
  <c r="R33" i="50"/>
  <c r="R34" i="50"/>
  <c r="R35" i="50"/>
  <c r="R36" i="50"/>
  <c r="C60" i="14"/>
  <c r="B11" i="28"/>
  <c r="C11" i="28"/>
  <c r="D11" i="28"/>
  <c r="F2" i="1"/>
  <c r="G2" i="1"/>
  <c r="H2" i="1" s="1"/>
  <c r="I2" i="1" s="1"/>
  <c r="J2" i="1" s="1"/>
  <c r="K2" i="1" s="1"/>
  <c r="L2" i="1" s="1"/>
  <c r="M2" i="1" s="1"/>
  <c r="N2" i="1" s="1"/>
  <c r="O2" i="1" s="1"/>
  <c r="P2" i="1" s="1"/>
  <c r="Q2" i="1" s="1"/>
  <c r="R2" i="1" s="1"/>
  <c r="S2" i="1" s="1"/>
  <c r="T2" i="1" s="1"/>
  <c r="U2" i="1" s="1"/>
  <c r="V2" i="1" s="1"/>
  <c r="W2" i="1" s="1"/>
  <c r="X2" i="1" s="1"/>
  <c r="Y2" i="1" s="1"/>
  <c r="E11" i="28"/>
  <c r="F11" i="28"/>
  <c r="G11" i="28"/>
  <c r="H11" i="28"/>
  <c r="I11" i="28"/>
  <c r="J11" i="28"/>
  <c r="K11" i="28"/>
  <c r="L11" i="28"/>
  <c r="M11" i="28"/>
  <c r="N11" i="28"/>
  <c r="O11" i="28"/>
  <c r="P11" i="28"/>
  <c r="Q11" i="28"/>
  <c r="R11" i="28"/>
  <c r="S11" i="28"/>
  <c r="T11" i="28"/>
  <c r="W28" i="50"/>
  <c r="Y28" i="50" s="1"/>
  <c r="W29" i="50"/>
  <c r="W30" i="50"/>
  <c r="W31" i="50"/>
  <c r="A7" i="1"/>
  <c r="A8" i="1" s="1"/>
  <c r="B22" i="50"/>
  <c r="C22" i="50" s="1"/>
  <c r="D22" i="50" s="1"/>
  <c r="E22" i="50" s="1"/>
  <c r="F22" i="50" s="1"/>
  <c r="G22" i="50" s="1"/>
  <c r="H22" i="50" s="1"/>
  <c r="I22" i="50" s="1"/>
  <c r="J22" i="50" s="1"/>
  <c r="K22" i="50" s="1"/>
  <c r="L22" i="50" s="1"/>
  <c r="M22" i="50" s="1"/>
  <c r="N22" i="50" s="1"/>
  <c r="O22" i="50" s="1"/>
  <c r="P22" i="50" s="1"/>
  <c r="R25" i="50"/>
  <c r="W25" i="50"/>
  <c r="H27" i="50"/>
  <c r="S28" i="50"/>
  <c r="X28" i="50"/>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BK11" i="28"/>
  <c r="BL11" i="28"/>
  <c r="BM11" i="28"/>
  <c r="BN11" i="28"/>
  <c r="BO11" i="28"/>
  <c r="BP11" i="28"/>
  <c r="BQ11" i="28"/>
  <c r="BR11" i="28"/>
  <c r="BS11" i="28"/>
  <c r="BT11" i="28"/>
  <c r="BU11" i="28"/>
  <c r="BV11" i="28"/>
  <c r="BW11" i="28"/>
  <c r="BX11" i="28"/>
  <c r="BY11" i="28"/>
  <c r="BZ11" i="28"/>
  <c r="CA11" i="28"/>
  <c r="CB11" i="28"/>
  <c r="CC11" i="28"/>
  <c r="CD11" i="28"/>
  <c r="CE11" i="28"/>
  <c r="CF11" i="28"/>
  <c r="CG11" i="28"/>
  <c r="CH11" i="28"/>
  <c r="CI11" i="28"/>
  <c r="CJ11" i="28"/>
  <c r="CK11" i="28"/>
  <c r="CL11" i="28"/>
  <c r="CM11" i="28"/>
  <c r="CN11" i="28"/>
  <c r="CO11" i="28"/>
  <c r="CP11" i="28"/>
  <c r="CQ11" i="28"/>
  <c r="CR11" i="28"/>
  <c r="CS11" i="28"/>
  <c r="CT11" i="28"/>
  <c r="CU11" i="28"/>
  <c r="CV11" i="28"/>
  <c r="CW11" i="28"/>
  <c r="CX11" i="28"/>
  <c r="CY11" i="28"/>
  <c r="CZ11" i="28"/>
  <c r="DA11" i="28"/>
  <c r="DB11" i="28"/>
  <c r="DC11" i="28"/>
  <c r="DD11" i="28"/>
  <c r="DE11" i="28"/>
  <c r="DF11" i="28"/>
  <c r="DG11" i="28"/>
  <c r="DH11" i="28"/>
  <c r="DI11" i="28"/>
  <c r="DJ11" i="28"/>
  <c r="DK11" i="28"/>
  <c r="DL11" i="28"/>
  <c r="DM11" i="28"/>
  <c r="DN11" i="28"/>
  <c r="DO11" i="28"/>
  <c r="DP11" i="28"/>
  <c r="DQ11" i="28"/>
  <c r="DR11" i="28"/>
  <c r="DS11" i="28"/>
  <c r="DT11" i="28"/>
  <c r="DU11" i="28"/>
  <c r="DV11" i="28"/>
  <c r="DW11" i="28"/>
  <c r="DX11" i="28"/>
  <c r="DY11" i="28"/>
  <c r="DZ11" i="28"/>
  <c r="EA11" i="28"/>
  <c r="EB11" i="28"/>
  <c r="EC11" i="28"/>
  <c r="ED11" i="28"/>
  <c r="EE11" i="28"/>
  <c r="EF11" i="28"/>
  <c r="EG11" i="28"/>
  <c r="EH11" i="28"/>
  <c r="EI11" i="28"/>
  <c r="EJ11" i="28"/>
  <c r="EK11" i="28"/>
  <c r="EL11" i="28"/>
  <c r="EM11" i="28"/>
  <c r="EN11" i="28"/>
  <c r="EO11" i="28"/>
  <c r="EP11" i="28"/>
  <c r="EQ11" i="28"/>
  <c r="ER11" i="28"/>
  <c r="ES11" i="28"/>
  <c r="ET11" i="28"/>
  <c r="EU11" i="28"/>
  <c r="EV11" i="28"/>
  <c r="EW11" i="28"/>
  <c r="EX11" i="28"/>
  <c r="EY11" i="28"/>
  <c r="EZ11" i="28"/>
  <c r="FA11" i="28"/>
  <c r="FB11" i="28"/>
  <c r="FC11" i="28"/>
  <c r="FD11" i="28"/>
  <c r="FE11" i="28"/>
  <c r="FF11" i="28"/>
  <c r="FG11" i="28"/>
  <c r="FH11" i="28"/>
  <c r="FI11" i="28"/>
  <c r="FJ11" i="28"/>
  <c r="FK11" i="28"/>
  <c r="FL11" i="28"/>
  <c r="FM11" i="28"/>
  <c r="FN11" i="28"/>
  <c r="FO11" i="28"/>
  <c r="FP11" i="28"/>
  <c r="FQ11" i="28"/>
  <c r="FR11" i="28"/>
  <c r="FS11" i="28"/>
  <c r="FT11" i="28"/>
  <c r="FU11" i="28"/>
  <c r="FV11" i="28"/>
  <c r="FW11" i="28"/>
  <c r="FX11" i="28"/>
  <c r="FY11" i="28"/>
  <c r="FZ11" i="28"/>
  <c r="GA11" i="28"/>
  <c r="GB11" i="28"/>
  <c r="GC11" i="28"/>
  <c r="GD11" i="28"/>
  <c r="GE11" i="28"/>
  <c r="GF11" i="28"/>
  <c r="GG11" i="28"/>
  <c r="GH11" i="28"/>
  <c r="GI11" i="28"/>
  <c r="GJ11" i="28"/>
  <c r="GK11" i="28"/>
  <c r="GL11" i="28"/>
  <c r="GM11" i="28"/>
  <c r="GN11" i="28"/>
  <c r="GO11" i="28"/>
  <c r="GP11" i="28"/>
  <c r="GQ11" i="28"/>
  <c r="GR11" i="28"/>
  <c r="GS11" i="28"/>
  <c r="GT11" i="28"/>
  <c r="GU11" i="28"/>
  <c r="GV11" i="28"/>
  <c r="GW11" i="28"/>
  <c r="GX11" i="28"/>
  <c r="GY11" i="28"/>
  <c r="GZ11" i="28"/>
  <c r="HA11" i="28"/>
  <c r="HB11" i="28"/>
  <c r="HC11" i="28"/>
  <c r="HD11" i="28"/>
  <c r="HE11" i="28"/>
  <c r="HF11" i="28"/>
  <c r="HG11" i="28"/>
  <c r="HH11" i="28"/>
  <c r="HI11" i="28"/>
  <c r="HJ11" i="28"/>
  <c r="HK11" i="28"/>
  <c r="HL11" i="28"/>
  <c r="HM11" i="28"/>
  <c r="HN11" i="28"/>
  <c r="HO11" i="28"/>
  <c r="HP11" i="28"/>
  <c r="HQ11" i="28"/>
  <c r="HR11" i="28"/>
  <c r="HS11" i="28"/>
  <c r="HT11" i="28"/>
  <c r="HU11" i="28"/>
  <c r="HV11" i="28"/>
  <c r="HW11" i="28"/>
  <c r="HX11" i="28"/>
  <c r="HY11" i="28"/>
  <c r="HZ11" i="28"/>
  <c r="IA11" i="28"/>
  <c r="IB11" i="28"/>
  <c r="IC11" i="28"/>
  <c r="ID11" i="28"/>
  <c r="IE11" i="28"/>
  <c r="IF11" i="28"/>
  <c r="IG11" i="28"/>
  <c r="IH11" i="28"/>
  <c r="II11" i="28"/>
  <c r="IJ11" i="28"/>
  <c r="IK11" i="28"/>
  <c r="IL11" i="28"/>
  <c r="IM11" i="28"/>
  <c r="S29" i="50"/>
  <c r="X29" i="50"/>
  <c r="S30" i="50"/>
  <c r="X30" i="50"/>
  <c r="S31" i="50"/>
  <c r="X31" i="50"/>
  <c r="S32" i="50"/>
  <c r="X32" i="50"/>
  <c r="S33" i="50"/>
  <c r="X33" i="50"/>
  <c r="S34" i="50"/>
  <c r="X34" i="50"/>
  <c r="S35" i="50"/>
  <c r="X35" i="50"/>
  <c r="S36" i="50"/>
  <c r="X36" i="50"/>
  <c r="S37" i="50"/>
  <c r="X37" i="50"/>
  <c r="S38" i="50"/>
  <c r="X38" i="50"/>
  <c r="S39" i="50"/>
  <c r="X39" i="50"/>
  <c r="S40" i="50"/>
  <c r="X40" i="50"/>
  <c r="S41" i="50"/>
  <c r="X41" i="50"/>
  <c r="S42" i="50"/>
  <c r="X42" i="50"/>
  <c r="S43" i="50"/>
  <c r="X43" i="50"/>
  <c r="S44" i="50"/>
  <c r="X44" i="50"/>
  <c r="S45" i="50"/>
  <c r="X45" i="50"/>
  <c r="S46" i="50"/>
  <c r="X46" i="50"/>
  <c r="S47" i="50"/>
  <c r="X47" i="50"/>
  <c r="S48" i="50"/>
  <c r="X48" i="50"/>
  <c r="S49" i="50"/>
  <c r="X49" i="50"/>
  <c r="S50" i="50"/>
  <c r="X50" i="50"/>
  <c r="S51" i="50"/>
  <c r="X51" i="50"/>
  <c r="S52" i="50"/>
  <c r="X52" i="50"/>
  <c r="S53" i="50"/>
  <c r="X53" i="50"/>
  <c r="S54" i="50"/>
  <c r="X54" i="50"/>
  <c r="S55" i="50"/>
  <c r="X55" i="50"/>
  <c r="S56" i="50"/>
  <c r="X56" i="50"/>
  <c r="S57" i="50"/>
  <c r="X57" i="50"/>
  <c r="S58" i="50"/>
  <c r="X58" i="50"/>
  <c r="S59" i="50"/>
  <c r="X59" i="50"/>
  <c r="S60" i="50"/>
  <c r="X60" i="50"/>
  <c r="S61" i="50"/>
  <c r="X61" i="50"/>
  <c r="S62" i="50"/>
  <c r="X62" i="50"/>
  <c r="S63" i="50"/>
  <c r="X63" i="50"/>
  <c r="S64" i="50"/>
  <c r="X64" i="50"/>
  <c r="S65" i="50"/>
  <c r="X65" i="50"/>
  <c r="S66" i="50"/>
  <c r="X66" i="50"/>
  <c r="S67" i="50"/>
  <c r="X67" i="50"/>
  <c r="S68" i="50"/>
  <c r="X68" i="50"/>
  <c r="S69" i="50"/>
  <c r="X69" i="50"/>
  <c r="S70" i="50"/>
  <c r="X70" i="50"/>
  <c r="S71" i="50"/>
  <c r="X71" i="50"/>
  <c r="S72" i="50"/>
  <c r="X72" i="50"/>
  <c r="S73" i="50"/>
  <c r="X73" i="50"/>
  <c r="S74" i="50"/>
  <c r="X74" i="50"/>
  <c r="S75" i="50"/>
  <c r="X75" i="50"/>
  <c r="S76" i="50"/>
  <c r="X76" i="50"/>
  <c r="S77" i="50"/>
  <c r="X77" i="50"/>
  <c r="S78" i="50"/>
  <c r="X78" i="50"/>
  <c r="S79" i="50"/>
  <c r="X79" i="50"/>
  <c r="S80" i="50"/>
  <c r="X80" i="50"/>
  <c r="S81" i="50"/>
  <c r="X81" i="50"/>
  <c r="S82" i="50"/>
  <c r="X82" i="50"/>
  <c r="S83" i="50"/>
  <c r="X83" i="50"/>
  <c r="S84" i="50"/>
  <c r="X84" i="50"/>
  <c r="S85" i="50"/>
  <c r="X85" i="50"/>
  <c r="S86" i="50"/>
  <c r="X86" i="50"/>
  <c r="S87" i="50"/>
  <c r="X87" i="50"/>
  <c r="C23" i="14"/>
  <c r="B8" i="5" s="1"/>
  <c r="D8" i="5" s="1"/>
  <c r="B10" i="12"/>
  <c r="C10" i="12"/>
  <c r="D10" i="12"/>
  <c r="E10" i="12"/>
  <c r="F10" i="12"/>
  <c r="AB2" i="1"/>
  <c r="AC2" i="1"/>
  <c r="AD2" i="1" s="1"/>
  <c r="AE2" i="1" s="1"/>
  <c r="AF2" i="1" s="1"/>
  <c r="AG2" i="1" s="1"/>
  <c r="AH2" i="1" s="1"/>
  <c r="AI2" i="1" s="1"/>
  <c r="A9" i="5"/>
  <c r="A7" i="2"/>
  <c r="B7" i="13"/>
  <c r="C7" i="13"/>
  <c r="Z8" i="5"/>
  <c r="AA8" i="5"/>
  <c r="D7" i="13"/>
  <c r="E7" i="13"/>
  <c r="F7" i="13"/>
  <c r="V9" i="5"/>
  <c r="Y8" i="5"/>
  <c r="G7" i="13"/>
  <c r="H7" i="13"/>
  <c r="I7" i="13"/>
  <c r="C2" i="2"/>
  <c r="D2" i="2" s="1"/>
  <c r="E2" i="2" s="1"/>
  <c r="F2" i="2" s="1"/>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X8" i="5"/>
  <c r="AX9" i="5"/>
  <c r="AX10" i="5"/>
  <c r="AX11" i="5"/>
  <c r="AX12" i="5"/>
  <c r="AX13" i="5"/>
  <c r="C42" i="14"/>
  <c r="C2" i="4"/>
  <c r="D2" i="4" s="1"/>
  <c r="E2" i="4" s="1"/>
  <c r="F2" i="4" s="1"/>
  <c r="G2" i="4" s="1"/>
  <c r="H2" i="4"/>
  <c r="I2" i="4" s="1"/>
  <c r="J2" i="4" s="1"/>
  <c r="K2" i="4" s="1"/>
  <c r="L2" i="4" s="1"/>
  <c r="M2" i="4" s="1"/>
  <c r="N2" i="4" s="1"/>
  <c r="O2" i="4" s="1"/>
  <c r="P2" i="4" s="1"/>
  <c r="Q2" i="4" s="1"/>
  <c r="R2" i="4" s="1"/>
  <c r="CM8" i="5"/>
  <c r="C65" i="14"/>
  <c r="DG8" i="5" s="1"/>
  <c r="DJ8" i="5"/>
  <c r="DK8" i="5"/>
  <c r="EI8" i="5"/>
  <c r="EI9" i="5"/>
  <c r="EI10" i="5"/>
  <c r="EI11" i="5"/>
  <c r="EI12" i="5"/>
  <c r="EI13" i="5"/>
  <c r="DF9" i="5"/>
  <c r="DF10" i="5" s="1"/>
  <c r="DI10" i="5" s="1"/>
  <c r="DI8" i="5"/>
  <c r="C69" i="14"/>
  <c r="CK9" i="5"/>
  <c r="D10" i="44"/>
  <c r="D11" i="44" s="1"/>
  <c r="D12" i="44" s="1"/>
  <c r="D13" i="44" s="1"/>
  <c r="D14" i="44" s="1"/>
  <c r="D15" i="44" s="1"/>
  <c r="D16" i="44" s="1"/>
  <c r="D17" i="44" s="1"/>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W2" i="5"/>
  <c r="X2" i="5" s="1"/>
  <c r="Y2" i="5" s="1"/>
  <c r="Z2" i="5" s="1"/>
  <c r="AA2" i="5" s="1"/>
  <c r="AB2" i="5" s="1"/>
  <c r="AC2" i="5" s="1"/>
  <c r="AD2" i="5" s="1"/>
  <c r="AE2" i="5" s="1"/>
  <c r="AF2" i="5" s="1"/>
  <c r="AG2" i="5" s="1"/>
  <c r="AH2" i="5" s="1"/>
  <c r="AI2" i="5" s="1"/>
  <c r="AJ2" i="5" s="1"/>
  <c r="AK2" i="5" s="1"/>
  <c r="AL2" i="5" s="1"/>
  <c r="AM2" i="5" s="1"/>
  <c r="AN2" i="5" s="1"/>
  <c r="AO2" i="5" s="1"/>
  <c r="AP2" i="5" s="1"/>
  <c r="AQ2" i="5" s="1"/>
  <c r="AR2" i="5" s="1"/>
  <c r="AS2" i="5" s="1"/>
  <c r="AT2" i="5" s="1"/>
  <c r="AU2" i="5" s="1"/>
  <c r="AV2" i="5" s="1"/>
  <c r="AW2" i="5" s="1"/>
  <c r="AX2" i="5" s="1"/>
  <c r="AY2" i="5" s="1"/>
  <c r="AZ2" i="5" s="1"/>
  <c r="BA2" i="5" s="1"/>
  <c r="BB2" i="5" s="1"/>
  <c r="BC2" i="5" s="1"/>
  <c r="BD2" i="5" s="1"/>
  <c r="BE2" i="5" s="1"/>
  <c r="BF2" i="5" s="1"/>
  <c r="BG2" i="5" s="1"/>
  <c r="BH2" i="5" s="1"/>
  <c r="BI2" i="5" s="1"/>
  <c r="BJ2" i="5" s="1"/>
  <c r="BK2" i="5" s="1"/>
  <c r="BL2" i="5" s="1"/>
  <c r="BM2" i="5" s="1"/>
  <c r="BN2" i="5" s="1"/>
  <c r="BO2" i="5" s="1"/>
  <c r="BP2" i="5" s="1"/>
  <c r="BQ2" i="5" s="1"/>
  <c r="BR2" i="5" s="1"/>
  <c r="BS2" i="5" s="1"/>
  <c r="BT2" i="5" s="1"/>
  <c r="BU2" i="5" s="1"/>
  <c r="BV2" i="5" s="1"/>
  <c r="BW2" i="5" s="1"/>
  <c r="BX2" i="5" s="1"/>
  <c r="BY2" i="5" s="1"/>
  <c r="BZ2" i="5" s="1"/>
  <c r="CA2" i="5" s="1"/>
  <c r="CB2" i="5" s="1"/>
  <c r="CC2" i="5" s="1"/>
  <c r="CD2" i="5" s="1"/>
  <c r="CE2" i="5" s="1"/>
  <c r="CF2" i="5" s="1"/>
  <c r="CG2" i="5" s="1"/>
  <c r="CH2" i="5" s="1"/>
  <c r="CI2" i="5" s="1"/>
  <c r="CL2" i="5"/>
  <c r="CM2" i="5" s="1"/>
  <c r="CN2" i="5" s="1"/>
  <c r="CO2" i="5" s="1"/>
  <c r="CP2" i="5" s="1"/>
  <c r="CQ2" i="5" s="1"/>
  <c r="CR2" i="5" s="1"/>
  <c r="CS2" i="5" s="1"/>
  <c r="CT2" i="5" s="1"/>
  <c r="CU2" i="5" s="1"/>
  <c r="CV2" i="5" s="1"/>
  <c r="CW2" i="5" s="1"/>
  <c r="CX2" i="5" s="1"/>
  <c r="CY2" i="5" s="1"/>
  <c r="CZ2" i="5" s="1"/>
  <c r="DA2" i="5" s="1"/>
  <c r="DB2" i="5" s="1"/>
  <c r="DC2" i="5" s="1"/>
  <c r="DD2" i="5" s="1"/>
  <c r="DG2" i="5"/>
  <c r="DH2" i="5" s="1"/>
  <c r="DI2" i="5" s="1"/>
  <c r="DJ2" i="5" s="1"/>
  <c r="DK2" i="5" s="1"/>
  <c r="DL2" i="5" s="1"/>
  <c r="DM2" i="5" s="1"/>
  <c r="DN2" i="5" s="1"/>
  <c r="DO2" i="5" s="1"/>
  <c r="DP2" i="5" s="1"/>
  <c r="DQ2" i="5" s="1"/>
  <c r="DR2" i="5" s="1"/>
  <c r="DS2" i="5" s="1"/>
  <c r="DT2" i="5" s="1"/>
  <c r="DU2" i="5" s="1"/>
  <c r="DV2" i="5" s="1"/>
  <c r="DW2" i="5" s="1"/>
  <c r="DX2" i="5" s="1"/>
  <c r="DY2" i="5" s="1"/>
  <c r="DZ2" i="5" s="1"/>
  <c r="EA2" i="5" s="1"/>
  <c r="EB2" i="5" s="1"/>
  <c r="EC2" i="5" s="1"/>
  <c r="ED2" i="5" s="1"/>
  <c r="EE2" i="5" s="1"/>
  <c r="EF2" i="5" s="1"/>
  <c r="EG2" i="5" s="1"/>
  <c r="EH2" i="5" s="1"/>
  <c r="EI2" i="5" s="1"/>
  <c r="EJ2" i="5" s="1"/>
  <c r="EK2" i="5" s="1"/>
  <c r="EL2" i="5" s="1"/>
  <c r="EM2" i="5" s="1"/>
  <c r="EN2" i="5" s="1"/>
  <c r="EO2" i="5" s="1"/>
  <c r="EP2" i="5" s="1"/>
  <c r="EQ2" i="5" s="1"/>
  <c r="ER2" i="5" s="1"/>
  <c r="ES2" i="5" s="1"/>
  <c r="ET2" i="5" s="1"/>
  <c r="EU2" i="5" s="1"/>
  <c r="EV2" i="5" s="1"/>
  <c r="EW2" i="5" s="1"/>
  <c r="EX2" i="5" s="1"/>
  <c r="EY2" i="5" s="1"/>
  <c r="EZ2" i="5" s="1"/>
  <c r="FA2" i="5" s="1"/>
  <c r="FB2" i="5" s="1"/>
  <c r="FC2" i="5" s="1"/>
  <c r="FD2" i="5" s="1"/>
  <c r="FE2" i="5" s="1"/>
  <c r="FF2" i="5" s="1"/>
  <c r="FG2" i="5" s="1"/>
  <c r="FH2" i="5" s="1"/>
  <c r="FI2" i="5" s="1"/>
  <c r="J7" i="13"/>
  <c r="G10" i="12"/>
  <c r="H10" i="12"/>
  <c r="I10" i="12"/>
  <c r="J10" i="12"/>
  <c r="K7" i="13"/>
  <c r="L7" i="13"/>
  <c r="M7" i="13"/>
  <c r="N7" i="13"/>
  <c r="K10" i="12"/>
  <c r="O7" i="13"/>
  <c r="P7" i="13"/>
  <c r="Q7" i="13"/>
  <c r="HM9" i="5"/>
  <c r="FV9" i="5"/>
  <c r="GO9" i="5"/>
  <c r="GO10" i="5" s="1"/>
  <c r="GO11" i="5" s="1"/>
  <c r="GO12" i="5" s="1"/>
  <c r="GO13" i="5" s="1"/>
  <c r="GO14" i="5" s="1"/>
  <c r="GO15" i="5" s="1"/>
  <c r="GO16" i="5" s="1"/>
  <c r="GO17" i="5" s="1"/>
  <c r="GO18" i="5" s="1"/>
  <c r="GO19" i="5" s="1"/>
  <c r="GO20" i="5" s="1"/>
  <c r="GO21" i="5" s="1"/>
  <c r="GO22" i="5" s="1"/>
  <c r="GO23" i="5" s="1"/>
  <c r="GO24" i="5" s="1"/>
  <c r="GO25" i="5" s="1"/>
  <c r="GO26" i="5" s="1"/>
  <c r="GO27" i="5" s="1"/>
  <c r="GO28" i="5" s="1"/>
  <c r="GO29" i="5" s="1"/>
  <c r="GO30" i="5" s="1"/>
  <c r="GO31" i="5" s="1"/>
  <c r="GO32" i="5" s="1"/>
  <c r="GO33" i="5" s="1"/>
  <c r="GO34" i="5" s="1"/>
  <c r="GO35" i="5" s="1"/>
  <c r="GO36" i="5" s="1"/>
  <c r="GO37" i="5" s="1"/>
  <c r="GO38" i="5" s="1"/>
  <c r="HA9" i="5"/>
  <c r="A10" i="44"/>
  <c r="D28" i="3"/>
  <c r="D29" i="3"/>
  <c r="D30" i="3"/>
  <c r="D31" i="3"/>
  <c r="D32" i="3"/>
  <c r="D33" i="3"/>
  <c r="D34" i="3"/>
  <c r="B3" i="44"/>
  <c r="C3" i="44" s="1"/>
  <c r="D3" i="44" s="1"/>
  <c r="E3" i="44" s="1"/>
  <c r="F3" i="44" s="1"/>
  <c r="G3" i="44" s="1"/>
  <c r="H3" i="44" s="1"/>
  <c r="I3" i="44" s="1"/>
  <c r="J3" i="44" s="1"/>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B2" i="5"/>
  <c r="C2" i="5" s="1"/>
  <c r="D2" i="5" s="1"/>
  <c r="E2" i="5" s="1"/>
  <c r="F2" i="5" s="1"/>
  <c r="G2" i="5" s="1"/>
  <c r="H2" i="5" s="1"/>
  <c r="I2" i="5" s="1"/>
  <c r="J2" i="5" s="1"/>
  <c r="K2" i="5" s="1"/>
  <c r="L2" i="5" s="1"/>
  <c r="M2" i="5" s="1"/>
  <c r="N2" i="5" s="1"/>
  <c r="O2" i="5" s="1"/>
  <c r="P2" i="5" s="1"/>
  <c r="Q2" i="5" s="1"/>
  <c r="R2" i="5" s="1"/>
  <c r="S2" i="5" s="1"/>
  <c r="T2" i="5" s="1"/>
  <c r="HN2" i="5"/>
  <c r="FW2" i="5"/>
  <c r="GP2" i="5"/>
  <c r="HB2" i="5"/>
  <c r="R7" i="13"/>
  <c r="S7" i="13"/>
  <c r="T7" i="13"/>
  <c r="U7" i="13"/>
  <c r="V7" i="13"/>
  <c r="W7" i="13"/>
  <c r="X7" i="13"/>
  <c r="Y7" i="13"/>
  <c r="Z7" i="13"/>
  <c r="AA7" i="13"/>
  <c r="AB7" i="13"/>
  <c r="AC7" i="13"/>
  <c r="AD7" i="13"/>
  <c r="AE7" i="13"/>
  <c r="AF7" i="13"/>
  <c r="AG7" i="13"/>
  <c r="AH7" i="13"/>
  <c r="AI7" i="13"/>
  <c r="AJ7" i="13"/>
  <c r="AK7" i="13"/>
  <c r="AL7" i="13"/>
  <c r="AM7" i="13"/>
  <c r="AN7" i="13"/>
  <c r="AO7" i="13"/>
  <c r="AP7" i="13"/>
  <c r="AQ7" i="13"/>
  <c r="AR7" i="13"/>
  <c r="AS7" i="13"/>
  <c r="AT7" i="13"/>
  <c r="AU7" i="13"/>
  <c r="AV7" i="13"/>
  <c r="AW7" i="13"/>
  <c r="AX7" i="13"/>
  <c r="AY7" i="13"/>
  <c r="AZ7" i="13"/>
  <c r="BA7" i="13"/>
  <c r="BB7" i="13"/>
  <c r="BC7" i="13"/>
  <c r="BD7" i="13"/>
  <c r="BE7" i="13"/>
  <c r="BF7" i="13"/>
  <c r="BG7" i="13"/>
  <c r="BH7" i="13"/>
  <c r="BI7" i="13"/>
  <c r="BJ7" i="13"/>
  <c r="BK7" i="13"/>
  <c r="BL7" i="13"/>
  <c r="BM7" i="13"/>
  <c r="BN7" i="13"/>
  <c r="BO7" i="13"/>
  <c r="BP7" i="13"/>
  <c r="BQ7" i="13"/>
  <c r="BR7" i="13"/>
  <c r="BS7" i="13"/>
  <c r="BT7" i="13"/>
  <c r="BU7" i="13"/>
  <c r="BV7" i="13"/>
  <c r="BW7" i="13"/>
  <c r="BX7" i="13"/>
  <c r="BY7" i="13"/>
  <c r="BZ7" i="13"/>
  <c r="CA7" i="13"/>
  <c r="CB7" i="13"/>
  <c r="CC7" i="13"/>
  <c r="CD7" i="13"/>
  <c r="CE7" i="13"/>
  <c r="CF7" i="13"/>
  <c r="CG7" i="13"/>
  <c r="CH7" i="13"/>
  <c r="CI7" i="13"/>
  <c r="CJ7" i="13"/>
  <c r="CK7" i="13"/>
  <c r="CL7" i="13"/>
  <c r="CM7" i="13"/>
  <c r="CN7" i="13"/>
  <c r="CO7" i="13"/>
  <c r="CP7" i="13"/>
  <c r="CQ7" i="13"/>
  <c r="CR7" i="13"/>
  <c r="CS7" i="13"/>
  <c r="CT7" i="13"/>
  <c r="CU7" i="13"/>
  <c r="CV7" i="13"/>
  <c r="CW7" i="13"/>
  <c r="CX7" i="13"/>
  <c r="CY7" i="13"/>
  <c r="CZ7" i="13"/>
  <c r="DA7" i="13"/>
  <c r="DB7" i="13"/>
  <c r="DC7" i="13"/>
  <c r="DD7" i="13"/>
  <c r="DE7" i="13"/>
  <c r="DF7" i="13"/>
  <c r="DG7" i="13"/>
  <c r="DH7" i="13"/>
  <c r="DI7" i="13"/>
  <c r="DJ7" i="13"/>
  <c r="DK7" i="13"/>
  <c r="DL7" i="13"/>
  <c r="DM7" i="13"/>
  <c r="DN7" i="13"/>
  <c r="DO7" i="13"/>
  <c r="DP7" i="13"/>
  <c r="DQ7" i="13"/>
  <c r="DR7" i="13"/>
  <c r="DS7" i="13"/>
  <c r="DT7" i="13"/>
  <c r="DU7" i="13"/>
  <c r="DV7" i="13"/>
  <c r="DW7" i="13"/>
  <c r="DX7" i="13"/>
  <c r="DY7" i="13"/>
  <c r="DZ7" i="13"/>
  <c r="EA7" i="13"/>
  <c r="EB7" i="13"/>
  <c r="EC7" i="13"/>
  <c r="ED7" i="13"/>
  <c r="EE7" i="13"/>
  <c r="EF7" i="13"/>
  <c r="EG7" i="13"/>
  <c r="EH7" i="13"/>
  <c r="EI7" i="13"/>
  <c r="EJ7" i="13"/>
  <c r="EK7" i="13"/>
  <c r="EL7" i="13"/>
  <c r="EM7" i="13"/>
  <c r="EN7" i="13"/>
  <c r="EO7" i="13"/>
  <c r="EP7" i="13"/>
  <c r="EQ7" i="13"/>
  <c r="ER7" i="13"/>
  <c r="ES7" i="13"/>
  <c r="ET7" i="13"/>
  <c r="EU7" i="13"/>
  <c r="EV7" i="13"/>
  <c r="EW7" i="13"/>
  <c r="EX7" i="13"/>
  <c r="EY7" i="13"/>
  <c r="EZ7" i="13"/>
  <c r="FA7" i="13"/>
  <c r="FB7" i="13"/>
  <c r="FC7" i="13"/>
  <c r="FD7" i="13"/>
  <c r="FE7" i="13"/>
  <c r="FF7" i="13"/>
  <c r="FG7" i="13"/>
  <c r="FH7" i="13"/>
  <c r="FI7" i="13"/>
  <c r="FJ7" i="13"/>
  <c r="FK7" i="13"/>
  <c r="FL7" i="13"/>
  <c r="FM7" i="13"/>
  <c r="FN7" i="13"/>
  <c r="FO7" i="13"/>
  <c r="FP7" i="13"/>
  <c r="FQ7" i="13"/>
  <c r="FR7" i="13"/>
  <c r="FS7" i="13"/>
  <c r="FT7" i="13"/>
  <c r="FU7" i="13"/>
  <c r="FV7" i="13"/>
  <c r="FW7" i="13"/>
  <c r="FX7" i="13"/>
  <c r="FY7" i="13"/>
  <c r="FZ7" i="13"/>
  <c r="GA7" i="13"/>
  <c r="GB7" i="13"/>
  <c r="GC7" i="13"/>
  <c r="GD7" i="13"/>
  <c r="GE7" i="13"/>
  <c r="GF7" i="13"/>
  <c r="GG7" i="13"/>
  <c r="GH7" i="13"/>
  <c r="GI7" i="13"/>
  <c r="GJ7" i="13"/>
  <c r="GK7" i="13"/>
  <c r="GL7" i="13"/>
  <c r="GM7" i="13"/>
  <c r="GN7" i="13"/>
  <c r="GO7" i="13"/>
  <c r="GP7" i="13"/>
  <c r="GQ7" i="13"/>
  <c r="GR7" i="13"/>
  <c r="GS7" i="13"/>
  <c r="GT7" i="13"/>
  <c r="GU7" i="13"/>
  <c r="GV7" i="13"/>
  <c r="GW7" i="13"/>
  <c r="GX7" i="13"/>
  <c r="GY7" i="13"/>
  <c r="GZ7" i="13"/>
  <c r="HA7" i="13"/>
  <c r="HB7" i="13"/>
  <c r="HC7" i="13"/>
  <c r="HD7" i="13"/>
  <c r="HE7" i="13"/>
  <c r="HF7" i="13"/>
  <c r="HG7" i="13"/>
  <c r="HH7" i="13"/>
  <c r="HI7" i="13"/>
  <c r="HJ7" i="13"/>
  <c r="HK7" i="13"/>
  <c r="HL7" i="13"/>
  <c r="HM7" i="13"/>
  <c r="HN7" i="13"/>
  <c r="HO7" i="13"/>
  <c r="HP7" i="13"/>
  <c r="HQ7" i="13"/>
  <c r="HR7" i="13"/>
  <c r="HS7" i="13"/>
  <c r="HT7" i="13"/>
  <c r="HU7" i="13"/>
  <c r="HV7" i="13"/>
  <c r="HW7" i="13"/>
  <c r="HX7" i="13"/>
  <c r="HY7" i="13"/>
  <c r="HZ7" i="13"/>
  <c r="IA7" i="13"/>
  <c r="IB7" i="13"/>
  <c r="IC7" i="13"/>
  <c r="ID7" i="13"/>
  <c r="IE7" i="13"/>
  <c r="IF7" i="13"/>
  <c r="IG7" i="13"/>
  <c r="A16" i="28"/>
  <c r="A17" i="28" s="1"/>
  <c r="A18" i="28" s="1"/>
  <c r="A19" i="28" s="1"/>
  <c r="A20" i="28" s="1"/>
  <c r="A21" i="28" s="1"/>
  <c r="A22" i="28" s="1"/>
  <c r="A23" i="28" s="1"/>
  <c r="A24" i="28" s="1"/>
  <c r="A25" i="28" s="1"/>
  <c r="A26" i="28" s="1"/>
  <c r="A27" i="28" s="1"/>
  <c r="A28" i="28" s="1"/>
  <c r="A29" i="28" s="1"/>
  <c r="A30" i="28" s="1"/>
  <c r="A31" i="28" s="1"/>
  <c r="A32" i="28" s="1"/>
  <c r="A33" i="28" s="1"/>
  <c r="A34" i="28" s="1"/>
  <c r="A35" i="28" s="1"/>
  <c r="A12" i="13"/>
  <c r="A13" i="13"/>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14" i="12"/>
  <c r="A15" i="12" s="1"/>
  <c r="A16" i="12" s="1"/>
  <c r="A17" i="12"/>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C40" i="14"/>
  <c r="C67" i="14"/>
  <c r="K56" i="14"/>
  <c r="C6" i="1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E6" i="11"/>
  <c r="E7" i="11" s="1"/>
  <c r="E8" i="11" s="1"/>
  <c r="E9" i="11" s="1"/>
  <c r="E10" i="11" s="1"/>
  <c r="E11" i="11" s="1"/>
  <c r="E12" i="11" s="1"/>
  <c r="E13" i="11" s="1"/>
  <c r="E14" i="11" s="1"/>
  <c r="E15" i="11" s="1"/>
  <c r="E16" i="11" s="1"/>
  <c r="E17" i="11" s="1"/>
  <c r="E18" i="11" s="1"/>
  <c r="E19" i="11" s="1"/>
  <c r="E20" i="11" s="1"/>
  <c r="E21" i="11" s="1"/>
  <c r="E22" i="11" s="1"/>
  <c r="E23" i="11" s="1"/>
  <c r="E24" i="11" s="1"/>
  <c r="E25" i="11" s="1"/>
  <c r="E26" i="11" s="1"/>
  <c r="E27" i="11" s="1"/>
  <c r="A7" i="11"/>
  <c r="A8" i="11" s="1"/>
  <c r="A9" i="11" s="1"/>
  <c r="D9" i="11" s="1"/>
  <c r="A11" i="44"/>
  <c r="A9" i="1"/>
  <c r="A10" i="1"/>
  <c r="C28" i="50"/>
  <c r="A30" i="50"/>
  <c r="A31" i="50" s="1"/>
  <c r="B18" i="50"/>
  <c r="A11" i="1"/>
  <c r="A12" i="1" s="1"/>
  <c r="A13" i="1"/>
  <c r="A14" i="1" s="1"/>
  <c r="A15" i="1" s="1"/>
  <c r="A16" i="1" s="1"/>
  <c r="A17" i="1" s="1"/>
  <c r="A18" i="1" s="1"/>
  <c r="A19" i="1" s="1"/>
  <c r="A20" i="1" s="1"/>
  <c r="A21" i="1" s="1"/>
  <c r="A22" i="1" s="1"/>
  <c r="A23" i="1" s="1"/>
  <c r="A24" i="1" s="1"/>
  <c r="A25" i="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C8" i="5"/>
  <c r="A8" i="2"/>
  <c r="C29" i="50"/>
  <c r="B6" i="11"/>
  <c r="F6" i="11"/>
  <c r="C18" i="14"/>
  <c r="A9" i="2"/>
  <c r="N8" i="5" l="1"/>
  <c r="U11" i="44"/>
  <c r="U10" i="44"/>
  <c r="CK10" i="5"/>
  <c r="V10" i="5"/>
  <c r="V11" i="5" s="1"/>
  <c r="C9" i="5"/>
  <c r="DW8" i="5"/>
  <c r="DV8" i="5" s="1"/>
  <c r="EB8" i="5" s="1"/>
  <c r="Y9" i="5"/>
  <c r="HM10" i="5"/>
  <c r="HM11" i="5" s="1"/>
  <c r="HM12" i="5" s="1"/>
  <c r="HM13" i="5" s="1"/>
  <c r="HM14" i="5" s="1"/>
  <c r="HM15" i="5" s="1"/>
  <c r="HM16" i="5" s="1"/>
  <c r="HM17" i="5" s="1"/>
  <c r="HM18" i="5" s="1"/>
  <c r="HM19" i="5" s="1"/>
  <c r="HM20" i="5" s="1"/>
  <c r="HM21" i="5" s="1"/>
  <c r="HM22" i="5" s="1"/>
  <c r="HM23" i="5" s="1"/>
  <c r="HM24" i="5" s="1"/>
  <c r="HM25" i="5" s="1"/>
  <c r="HM26" i="5" s="1"/>
  <c r="HM27" i="5" s="1"/>
  <c r="HM28" i="5" s="1"/>
  <c r="HM29" i="5" s="1"/>
  <c r="HM30" i="5" s="1"/>
  <c r="HM31" i="5" s="1"/>
  <c r="HM32" i="5" s="1"/>
  <c r="HM33" i="5" s="1"/>
  <c r="HM34" i="5" s="1"/>
  <c r="HM35" i="5" s="1"/>
  <c r="HM36" i="5" s="1"/>
  <c r="HM37" i="5" s="1"/>
  <c r="HM38" i="5" s="1"/>
  <c r="B42" i="50"/>
  <c r="B44" i="50"/>
  <c r="B43" i="50"/>
  <c r="B41" i="50"/>
  <c r="FV10" i="5"/>
  <c r="HA10" i="5"/>
  <c r="DI9" i="5"/>
  <c r="GO39" i="5"/>
  <c r="GX38" i="5"/>
  <c r="GV38" i="5"/>
  <c r="GY38" i="5"/>
  <c r="GW38" i="5"/>
  <c r="GU38" i="5"/>
  <c r="HC2" i="5"/>
  <c r="HD2" i="5" s="1"/>
  <c r="F7" i="11"/>
  <c r="B7" i="11"/>
  <c r="D7" i="11"/>
  <c r="D8" i="11"/>
  <c r="F9" i="11"/>
  <c r="A36" i="28"/>
  <c r="A37" i="28" s="1"/>
  <c r="B28" i="50"/>
  <c r="E28" i="50" s="1"/>
  <c r="B29" i="50"/>
  <c r="E29" i="50" s="1"/>
  <c r="B30" i="50"/>
  <c r="E30" i="50" s="1"/>
  <c r="C4" i="55"/>
  <c r="C2" i="55"/>
  <c r="T29" i="50"/>
  <c r="C31" i="50"/>
  <c r="B31" i="50"/>
  <c r="D31" i="50" s="1"/>
  <c r="A32" i="50"/>
  <c r="C30" i="50"/>
  <c r="Y29" i="50"/>
  <c r="T11" i="44"/>
  <c r="K3" i="44"/>
  <c r="L3" i="44" s="1"/>
  <c r="M3" i="44" s="1"/>
  <c r="N3" i="44" s="1"/>
  <c r="O3" i="44" s="1"/>
  <c r="P3" i="44" s="1"/>
  <c r="Q3" i="44" s="1"/>
  <c r="R3" i="44" s="1"/>
  <c r="S3" i="44" s="1"/>
  <c r="T3" i="44" s="1"/>
  <c r="U3" i="44" s="1"/>
  <c r="V3" i="44" s="1"/>
  <c r="W3" i="44" s="1"/>
  <c r="X3" i="44" s="1"/>
  <c r="Y3" i="44" s="1"/>
  <c r="Z3" i="44" s="1"/>
  <c r="AA3" i="44" s="1"/>
  <c r="T10" i="44"/>
  <c r="A12" i="44"/>
  <c r="GQ2" i="5"/>
  <c r="GR2" i="5" s="1"/>
  <c r="FX2" i="5"/>
  <c r="FY2" i="5" s="1"/>
  <c r="CM9" i="5"/>
  <c r="HO2" i="5"/>
  <c r="HP2" i="5" s="1"/>
  <c r="DF11" i="5"/>
  <c r="DI11" i="5" s="1"/>
  <c r="CK11" i="5"/>
  <c r="CM10" i="5"/>
  <c r="A10" i="5"/>
  <c r="EY8" i="5"/>
  <c r="EZ8" i="5" s="1"/>
  <c r="EY10" i="5"/>
  <c r="EZ10" i="5" s="1"/>
  <c r="EY9" i="5"/>
  <c r="EZ9" i="5" s="1"/>
  <c r="DW9" i="5"/>
  <c r="DX9" i="5"/>
  <c r="DX8" i="5"/>
  <c r="DW10" i="5"/>
  <c r="DX10" i="5"/>
  <c r="DX11" i="5"/>
  <c r="F8" i="5"/>
  <c r="E8" i="5"/>
  <c r="A10" i="2"/>
  <c r="A38" i="28"/>
  <c r="A10" i="11"/>
  <c r="F8" i="11"/>
  <c r="C55" i="14" s="1"/>
  <c r="C6" i="55" s="1"/>
  <c r="B9" i="11"/>
  <c r="B8" i="11"/>
  <c r="T32" i="50"/>
  <c r="T31" i="50"/>
  <c r="Y31" i="50"/>
  <c r="T30" i="50"/>
  <c r="Y30" i="50"/>
  <c r="DM9" i="5"/>
  <c r="DP8" i="5"/>
  <c r="DQ8" i="5"/>
  <c r="DM10" i="5"/>
  <c r="DP9" i="5"/>
  <c r="DM8" i="5"/>
  <c r="DP10" i="5"/>
  <c r="DR8" i="5"/>
  <c r="DR9" i="5" s="1"/>
  <c r="DR10" i="5" s="1"/>
  <c r="DH8" i="5"/>
  <c r="EO8" i="5" s="1"/>
  <c r="B9" i="5"/>
  <c r="ES8" i="5" l="1"/>
  <c r="Y10" i="5"/>
  <c r="B10" i="5"/>
  <c r="E10" i="5" s="1"/>
  <c r="HZ38" i="5"/>
  <c r="HW38" i="5"/>
  <c r="HU38" i="5"/>
  <c r="HY38" i="5"/>
  <c r="HV38" i="5"/>
  <c r="HT38" i="5"/>
  <c r="DM11" i="5"/>
  <c r="DR11" i="5"/>
  <c r="ES11" i="5" s="1"/>
  <c r="DP11" i="5"/>
  <c r="EC10" i="5"/>
  <c r="DV10" i="5"/>
  <c r="EB10" i="5" s="1"/>
  <c r="EC9" i="5"/>
  <c r="DV9" i="5"/>
  <c r="EB9" i="5" s="1"/>
  <c r="Y11" i="5"/>
  <c r="V12" i="5"/>
  <c r="HM39" i="5"/>
  <c r="HA11" i="5"/>
  <c r="GO40" i="5"/>
  <c r="GX39" i="5"/>
  <c r="GV39" i="5"/>
  <c r="GY39" i="5"/>
  <c r="GW39" i="5"/>
  <c r="GU39" i="5"/>
  <c r="FV11" i="5"/>
  <c r="EY11" i="5"/>
  <c r="EZ11" i="5" s="1"/>
  <c r="DW11" i="5"/>
  <c r="EQ11" i="5"/>
  <c r="ER11" i="5" s="1"/>
  <c r="HE2" i="5"/>
  <c r="HF2" i="5" s="1"/>
  <c r="HG2" i="5" s="1"/>
  <c r="G8" i="5"/>
  <c r="ED10" i="5"/>
  <c r="ED9" i="5"/>
  <c r="ED11" i="5"/>
  <c r="D29" i="50"/>
  <c r="M29" i="50" s="1"/>
  <c r="M8" i="5"/>
  <c r="F28" i="50"/>
  <c r="D28" i="50"/>
  <c r="J28" i="50" s="1"/>
  <c r="F29" i="50"/>
  <c r="D30" i="50"/>
  <c r="M30" i="50" s="1"/>
  <c r="F30" i="50"/>
  <c r="F31" i="50"/>
  <c r="E31" i="50"/>
  <c r="V31" i="50" s="1"/>
  <c r="ED8" i="5"/>
  <c r="EC8" i="5"/>
  <c r="C32" i="50"/>
  <c r="B32" i="50"/>
  <c r="A33" i="50"/>
  <c r="AB3" i="44"/>
  <c r="AC3" i="44" s="1"/>
  <c r="AD3" i="44" s="1"/>
  <c r="T12" i="44"/>
  <c r="A13" i="44"/>
  <c r="U12" i="44"/>
  <c r="GS2" i="5"/>
  <c r="GT2" i="5" s="1"/>
  <c r="GU2" i="5" s="1"/>
  <c r="CM11" i="5"/>
  <c r="FZ2" i="5"/>
  <c r="GA2" i="5" s="1"/>
  <c r="GB2" i="5" s="1"/>
  <c r="GC2" i="5" s="1"/>
  <c r="GD2" i="5" s="1"/>
  <c r="GE2" i="5" s="1"/>
  <c r="GF2" i="5" s="1"/>
  <c r="GG2" i="5" s="1"/>
  <c r="GH2" i="5" s="1"/>
  <c r="GI2" i="5" s="1"/>
  <c r="GJ2" i="5" s="1"/>
  <c r="GK2" i="5" s="1"/>
  <c r="GL2" i="5" s="1"/>
  <c r="GM2" i="5" s="1"/>
  <c r="CK12" i="5"/>
  <c r="HQ2" i="5"/>
  <c r="HR2" i="5" s="1"/>
  <c r="HS2" i="5" s="1"/>
  <c r="HT2" i="5" s="1"/>
  <c r="HU2" i="5" s="1"/>
  <c r="HV2" i="5" s="1"/>
  <c r="HW2" i="5" s="1"/>
  <c r="HX2" i="5" s="1"/>
  <c r="HY2" i="5" s="1"/>
  <c r="HZ2" i="5" s="1"/>
  <c r="DF12" i="5"/>
  <c r="C10" i="5"/>
  <c r="A11" i="5"/>
  <c r="J8" i="5"/>
  <c r="L8" i="5"/>
  <c r="H8" i="5"/>
  <c r="M31" i="50"/>
  <c r="L31" i="50"/>
  <c r="J31" i="50"/>
  <c r="H31" i="50"/>
  <c r="N31" i="50"/>
  <c r="EM8" i="5"/>
  <c r="E9" i="5"/>
  <c r="F9" i="5"/>
  <c r="EN8" i="5"/>
  <c r="EU8" i="5"/>
  <c r="EL8" i="5"/>
  <c r="EJ8" i="5"/>
  <c r="EK8" i="5"/>
  <c r="A11" i="2"/>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C38" i="14"/>
  <c r="W8" i="5" s="1"/>
  <c r="A39" i="28"/>
  <c r="D10" i="11"/>
  <c r="A11" i="11"/>
  <c r="B10" i="11"/>
  <c r="F10" i="11"/>
  <c r="DK9" i="5"/>
  <c r="EK9" i="5" s="1"/>
  <c r="DL8" i="5"/>
  <c r="DJ9" i="5"/>
  <c r="D9" i="5"/>
  <c r="N9" i="5" s="1"/>
  <c r="AE3" i="44" l="1"/>
  <c r="AF3" i="44" s="1"/>
  <c r="AG3" i="44" s="1"/>
  <c r="AH3" i="44" s="1"/>
  <c r="AI3" i="44" s="1"/>
  <c r="AJ3" i="44" s="1"/>
  <c r="AK3" i="44" s="1"/>
  <c r="AL3" i="44" s="1"/>
  <c r="AM3" i="44" s="1"/>
  <c r="AN3" i="44" s="1"/>
  <c r="AO3" i="44" s="1"/>
  <c r="AP3" i="44" s="1"/>
  <c r="AQ3" i="44" s="1"/>
  <c r="AR3" i="44" s="1"/>
  <c r="AS3" i="44" s="1"/>
  <c r="AT3" i="44" s="1"/>
  <c r="AU3" i="44" s="1"/>
  <c r="AV3" i="44" s="1"/>
  <c r="AW3" i="44" s="1"/>
  <c r="AX3" i="44" s="1"/>
  <c r="AY3" i="44" s="1"/>
  <c r="AZ3" i="44" s="1"/>
  <c r="BA3" i="44" s="1"/>
  <c r="BB3" i="44" s="1"/>
  <c r="BC3" i="44" s="1"/>
  <c r="BD3" i="44" s="1"/>
  <c r="BE3" i="44" s="1"/>
  <c r="F10" i="5"/>
  <c r="D10" i="5"/>
  <c r="CK13" i="5"/>
  <c r="Y12" i="5"/>
  <c r="O8" i="5"/>
  <c r="S8" i="5" s="1"/>
  <c r="FW8" i="5"/>
  <c r="GF8" i="5" s="1"/>
  <c r="Q8" i="5"/>
  <c r="GP8" i="5"/>
  <c r="GU8" i="5" s="1"/>
  <c r="R8" i="5"/>
  <c r="IA38" i="5"/>
  <c r="HX38" i="5"/>
  <c r="HZ39" i="5"/>
  <c r="HW39" i="5"/>
  <c r="HU39" i="5"/>
  <c r="HY39" i="5"/>
  <c r="HV39" i="5"/>
  <c r="HT39" i="5"/>
  <c r="V13" i="5"/>
  <c r="BL13" i="5" s="1"/>
  <c r="EC11" i="5"/>
  <c r="DV11" i="5"/>
  <c r="EB11" i="5" s="1"/>
  <c r="HM40" i="5"/>
  <c r="DS8" i="5"/>
  <c r="DO8" i="5"/>
  <c r="GO41" i="5"/>
  <c r="GX40" i="5"/>
  <c r="GV40" i="5"/>
  <c r="GY40" i="5"/>
  <c r="GW40" i="5"/>
  <c r="GU40" i="5"/>
  <c r="FV12" i="5"/>
  <c r="HA12" i="5"/>
  <c r="CM12" i="5"/>
  <c r="HH2" i="5"/>
  <c r="HI2" i="5" s="1"/>
  <c r="AL8" i="5"/>
  <c r="AR8" i="5" s="1"/>
  <c r="V29" i="50"/>
  <c r="N29" i="50"/>
  <c r="H29" i="50"/>
  <c r="L29" i="50"/>
  <c r="J29" i="50"/>
  <c r="G29" i="50"/>
  <c r="HB8" i="5"/>
  <c r="H28" i="50"/>
  <c r="L28" i="50"/>
  <c r="V28" i="50"/>
  <c r="M28" i="50"/>
  <c r="G28" i="50"/>
  <c r="N28" i="50"/>
  <c r="V30" i="50"/>
  <c r="G30" i="50"/>
  <c r="N30" i="50"/>
  <c r="J30" i="50"/>
  <c r="H30" i="50"/>
  <c r="L30" i="50"/>
  <c r="G31" i="50"/>
  <c r="I31" i="50" s="1"/>
  <c r="K31" i="50" s="1"/>
  <c r="O31" i="50" s="1"/>
  <c r="Q31" i="50" s="1"/>
  <c r="B33" i="50"/>
  <c r="A34" i="50"/>
  <c r="C33" i="50"/>
  <c r="T33" i="50"/>
  <c r="F32" i="50"/>
  <c r="D32" i="50"/>
  <c r="E32" i="50"/>
  <c r="A14" i="44"/>
  <c r="T13" i="44"/>
  <c r="U13" i="44"/>
  <c r="GV2" i="5"/>
  <c r="GW2" i="5" s="1"/>
  <c r="EY12" i="5"/>
  <c r="EZ12" i="5" s="1"/>
  <c r="DM12" i="5"/>
  <c r="EQ12" i="5"/>
  <c r="ER12" i="5" s="1"/>
  <c r="DW12" i="5"/>
  <c r="DV12" i="5" s="1"/>
  <c r="EB12" i="5" s="1"/>
  <c r="DP12" i="5"/>
  <c r="DX12" i="5"/>
  <c r="DR12" i="5"/>
  <c r="DF13" i="5"/>
  <c r="DI12" i="5"/>
  <c r="C11" i="5"/>
  <c r="A12" i="5"/>
  <c r="B11" i="5"/>
  <c r="CM13" i="5"/>
  <c r="CK14" i="5"/>
  <c r="EP8" i="5"/>
  <c r="M9" i="5"/>
  <c r="L9" i="5"/>
  <c r="J9" i="5"/>
  <c r="H9" i="5"/>
  <c r="GP9" i="5" s="1"/>
  <c r="G9" i="5"/>
  <c r="FW9" i="5" s="1"/>
  <c r="EL9" i="5"/>
  <c r="EO9" i="5"/>
  <c r="EM9" i="5"/>
  <c r="EN9" i="5"/>
  <c r="AZ9" i="5"/>
  <c r="BK11" i="5"/>
  <c r="BL11" i="5"/>
  <c r="BN11" i="5"/>
  <c r="BO11" i="5" s="1"/>
  <c r="AY9" i="5"/>
  <c r="BK12" i="5"/>
  <c r="BL12" i="5"/>
  <c r="BN12" i="5"/>
  <c r="BO12" i="5" s="1"/>
  <c r="BA10" i="5"/>
  <c r="BA12" i="5"/>
  <c r="BA8" i="5"/>
  <c r="BF11" i="5"/>
  <c r="BG11" i="5" s="1"/>
  <c r="AZ12" i="5"/>
  <c r="AZ8" i="5"/>
  <c r="BF12" i="5"/>
  <c r="BG12" i="5" s="1"/>
  <c r="AY12" i="5"/>
  <c r="AY8" i="5"/>
  <c r="BF13" i="5"/>
  <c r="BG13" i="5" s="1"/>
  <c r="AZ10" i="5"/>
  <c r="AY10" i="5"/>
  <c r="BA11" i="5"/>
  <c r="BK9" i="5"/>
  <c r="BL9" i="5"/>
  <c r="BN9" i="5"/>
  <c r="BO9" i="5" s="1"/>
  <c r="AZ11" i="5"/>
  <c r="BK8" i="5"/>
  <c r="BL8" i="5"/>
  <c r="BN8" i="5"/>
  <c r="BO8" i="5" s="1"/>
  <c r="AL12" i="5"/>
  <c r="AR12" i="5" s="1"/>
  <c r="AM12" i="5"/>
  <c r="AS12" i="5" s="1"/>
  <c r="BK10" i="5"/>
  <c r="AM11" i="5"/>
  <c r="AS11" i="5" s="1"/>
  <c r="AY11" i="5"/>
  <c r="AL11" i="5"/>
  <c r="AR11" i="5" s="1"/>
  <c r="BA9" i="5"/>
  <c r="BL10" i="5"/>
  <c r="AL9" i="5"/>
  <c r="AR9" i="5" s="1"/>
  <c r="AM9" i="5"/>
  <c r="AS9" i="5" s="1"/>
  <c r="BN10" i="5"/>
  <c r="BO10" i="5" s="1"/>
  <c r="AM8" i="5"/>
  <c r="AS8" i="5" s="1"/>
  <c r="AL10" i="5"/>
  <c r="AR10" i="5" s="1"/>
  <c r="AM10" i="5"/>
  <c r="AS10" i="5" s="1"/>
  <c r="FA8" i="5"/>
  <c r="EG8" i="5"/>
  <c r="EQ8" i="5"/>
  <c r="ER8" i="5" s="1"/>
  <c r="EF8" i="5"/>
  <c r="EJ9" i="5"/>
  <c r="A40" i="28"/>
  <c r="B11" i="11"/>
  <c r="A12" i="11"/>
  <c r="F11" i="11"/>
  <c r="D11" i="11"/>
  <c r="AF8" i="5"/>
  <c r="AE12" i="5"/>
  <c r="AE13" i="5"/>
  <c r="AG8" i="5"/>
  <c r="AE8" i="5"/>
  <c r="AK8" i="5" s="1"/>
  <c r="AE10" i="5"/>
  <c r="AK10" i="5" s="1"/>
  <c r="AE11" i="5"/>
  <c r="AK11" i="5" s="1"/>
  <c r="X8" i="5"/>
  <c r="AE9" i="5"/>
  <c r="AK9" i="5" s="1"/>
  <c r="DN8" i="5"/>
  <c r="DJ10" i="5"/>
  <c r="DK10" i="5"/>
  <c r="I8" i="5"/>
  <c r="M10" i="5" l="1"/>
  <c r="N10" i="5"/>
  <c r="BH8" i="5"/>
  <c r="AG9" i="5"/>
  <c r="AG10" i="5" s="1"/>
  <c r="AG11" i="5" s="1"/>
  <c r="AG12" i="5" s="1"/>
  <c r="BH12" i="5" s="1"/>
  <c r="L10" i="5"/>
  <c r="H10" i="5"/>
  <c r="GP10" i="5" s="1"/>
  <c r="GU10" i="5" s="1"/>
  <c r="J10" i="5"/>
  <c r="G10" i="5"/>
  <c r="FW10" i="5" s="1"/>
  <c r="GF10" i="5" s="1"/>
  <c r="AZ13" i="5"/>
  <c r="BN13" i="5"/>
  <c r="BO13" i="5" s="1"/>
  <c r="AL13" i="5"/>
  <c r="AR13" i="5" s="1"/>
  <c r="AM13" i="5"/>
  <c r="AS13" i="5" s="1"/>
  <c r="AK12" i="5"/>
  <c r="AQ12" i="5" s="1"/>
  <c r="AY13" i="5"/>
  <c r="HN8" i="5"/>
  <c r="HT8" i="5" s="1"/>
  <c r="T8" i="5"/>
  <c r="O9" i="5"/>
  <c r="R9" i="5"/>
  <c r="Q9" i="5"/>
  <c r="HX39" i="5"/>
  <c r="IA39" i="5"/>
  <c r="HZ40" i="5"/>
  <c r="HW40" i="5"/>
  <c r="HU40" i="5"/>
  <c r="HY40" i="5"/>
  <c r="HV40" i="5"/>
  <c r="HT40" i="5"/>
  <c r="AQ8" i="5"/>
  <c r="AQ9" i="5"/>
  <c r="GF9" i="5"/>
  <c r="BA13" i="5"/>
  <c r="BK13" i="5"/>
  <c r="BM13" i="5" s="1"/>
  <c r="V14" i="5"/>
  <c r="Y13" i="5"/>
  <c r="AK13" i="5" s="1"/>
  <c r="AQ10" i="5"/>
  <c r="AQ11" i="5"/>
  <c r="HM41" i="5"/>
  <c r="FV13" i="5"/>
  <c r="HG8" i="5"/>
  <c r="GO42" i="5"/>
  <c r="GX41" i="5"/>
  <c r="GV41" i="5"/>
  <c r="GY41" i="5"/>
  <c r="GW41" i="5"/>
  <c r="GU41" i="5"/>
  <c r="HA13" i="5"/>
  <c r="GU9" i="5"/>
  <c r="HJ2" i="5"/>
  <c r="HK2" i="5" s="1"/>
  <c r="BC8" i="5"/>
  <c r="AB8" i="5"/>
  <c r="HB9" i="5"/>
  <c r="HN9" i="5" s="1"/>
  <c r="I29" i="50"/>
  <c r="K29" i="50" s="1"/>
  <c r="O29" i="50" s="1"/>
  <c r="Q29" i="50" s="1"/>
  <c r="I28" i="50"/>
  <c r="K28" i="50" s="1"/>
  <c r="O28" i="50" s="1"/>
  <c r="P28" i="50" s="1"/>
  <c r="I30" i="50"/>
  <c r="K30" i="50" s="1"/>
  <c r="O30" i="50" s="1"/>
  <c r="ED12" i="5"/>
  <c r="EC12" i="5"/>
  <c r="B34" i="50"/>
  <c r="A35" i="50"/>
  <c r="C34" i="50"/>
  <c r="T34" i="50"/>
  <c r="N32" i="50"/>
  <c r="L32" i="50"/>
  <c r="H32" i="50"/>
  <c r="G32" i="50"/>
  <c r="J32" i="50"/>
  <c r="V32" i="50"/>
  <c r="M32" i="50"/>
  <c r="D33" i="50"/>
  <c r="E33" i="50"/>
  <c r="F33" i="50"/>
  <c r="U14" i="44"/>
  <c r="A15" i="44"/>
  <c r="T14" i="44"/>
  <c r="GX2" i="5"/>
  <c r="GY2" i="5" s="1"/>
  <c r="IA2" i="5"/>
  <c r="EY13" i="5"/>
  <c r="EZ13" i="5" s="1"/>
  <c r="DM13" i="5"/>
  <c r="DP13" i="5"/>
  <c r="DI13" i="5"/>
  <c r="DX13" i="5"/>
  <c r="DR13" i="5"/>
  <c r="EQ13" i="5"/>
  <c r="ER13" i="5" s="1"/>
  <c r="DF14" i="5"/>
  <c r="DW13" i="5"/>
  <c r="DV13" i="5" s="1"/>
  <c r="EB13" i="5" s="1"/>
  <c r="CM14" i="5"/>
  <c r="CK15" i="5"/>
  <c r="E11" i="5"/>
  <c r="F11" i="5"/>
  <c r="D11" i="5"/>
  <c r="N11" i="5" s="1"/>
  <c r="C12" i="5"/>
  <c r="B12" i="5"/>
  <c r="A13" i="5"/>
  <c r="BM12" i="5"/>
  <c r="BM8" i="5"/>
  <c r="BM10" i="5"/>
  <c r="BM9" i="5"/>
  <c r="BM11" i="5"/>
  <c r="EP9" i="5"/>
  <c r="BB8" i="5"/>
  <c r="BD8" i="5"/>
  <c r="EM10" i="5"/>
  <c r="EN10" i="5"/>
  <c r="EO10" i="5"/>
  <c r="EK10" i="5"/>
  <c r="EJ10" i="5"/>
  <c r="EL10" i="5"/>
  <c r="FC8" i="5"/>
  <c r="FB8" i="5"/>
  <c r="FF8" i="5"/>
  <c r="FE8" i="5"/>
  <c r="BJ8" i="5"/>
  <c r="B12" i="11"/>
  <c r="D12" i="11"/>
  <c r="F12" i="11"/>
  <c r="A13" i="11"/>
  <c r="A41" i="28"/>
  <c r="Z9" i="5"/>
  <c r="AA9" i="5"/>
  <c r="DL9" i="5"/>
  <c r="DK11" i="5"/>
  <c r="DJ11" i="5"/>
  <c r="K68" i="44"/>
  <c r="AE9" i="44" s="1"/>
  <c r="DT8" i="5"/>
  <c r="I9" i="5"/>
  <c r="K8" i="5"/>
  <c r="AG13" i="5" l="1"/>
  <c r="BH11" i="5"/>
  <c r="AD8" i="5"/>
  <c r="I10" i="5"/>
  <c r="K10" i="5" s="1"/>
  <c r="O10" i="5"/>
  <c r="S10" i="5" s="1"/>
  <c r="R10" i="5"/>
  <c r="HB10" i="5"/>
  <c r="HN10" i="5" s="1"/>
  <c r="HT10" i="5" s="1"/>
  <c r="Q10" i="5"/>
  <c r="AQ13" i="5"/>
  <c r="BN14" i="5"/>
  <c r="BO14" i="5" s="1"/>
  <c r="AM14" i="5"/>
  <c r="AS14" i="5" s="1"/>
  <c r="AG14" i="5"/>
  <c r="AL14" i="5"/>
  <c r="AR14" i="5" s="1"/>
  <c r="AE14" i="5"/>
  <c r="BA14" i="5"/>
  <c r="V15" i="5"/>
  <c r="BF15" i="5" s="1"/>
  <c r="BG15" i="5" s="1"/>
  <c r="AZ14" i="5"/>
  <c r="BL14" i="5"/>
  <c r="BF14" i="5"/>
  <c r="BG14" i="5" s="1"/>
  <c r="Y14" i="5"/>
  <c r="BK14" i="5"/>
  <c r="S9" i="5"/>
  <c r="T9" i="5" s="1"/>
  <c r="AY14" i="5"/>
  <c r="HX40" i="5"/>
  <c r="HT41" i="5"/>
  <c r="HZ41" i="5"/>
  <c r="HW41" i="5"/>
  <c r="HU41" i="5"/>
  <c r="HY41" i="5"/>
  <c r="HV41" i="5"/>
  <c r="IA40" i="5"/>
  <c r="HT9" i="5"/>
  <c r="HM42" i="5"/>
  <c r="DS9" i="5"/>
  <c r="DO9" i="5"/>
  <c r="GO43" i="5"/>
  <c r="GX42" i="5"/>
  <c r="GV42" i="5"/>
  <c r="GU42" i="5"/>
  <c r="GW42" i="5"/>
  <c r="GY42" i="5"/>
  <c r="HG9" i="5"/>
  <c r="HA14" i="5"/>
  <c r="FV14" i="5"/>
  <c r="DY8" i="5"/>
  <c r="DZ8" i="5" s="1"/>
  <c r="AC8" i="5"/>
  <c r="AH8" i="5"/>
  <c r="Q28" i="50"/>
  <c r="P29" i="50"/>
  <c r="Q30" i="50"/>
  <c r="P30" i="50"/>
  <c r="P31" i="50"/>
  <c r="EC13" i="5"/>
  <c r="ED13" i="5"/>
  <c r="I32" i="50"/>
  <c r="K32" i="50" s="1"/>
  <c r="O32" i="50" s="1"/>
  <c r="T35" i="50"/>
  <c r="A36" i="50"/>
  <c r="C35" i="50"/>
  <c r="B35" i="50"/>
  <c r="L33" i="50"/>
  <c r="V33" i="50"/>
  <c r="W33" i="50" s="1"/>
  <c r="Y33" i="50" s="1"/>
  <c r="J33" i="50"/>
  <c r="N33" i="50"/>
  <c r="M33" i="50"/>
  <c r="H33" i="50"/>
  <c r="G33" i="50"/>
  <c r="E34" i="50"/>
  <c r="F34" i="50"/>
  <c r="D34" i="50"/>
  <c r="W32" i="50"/>
  <c r="Y32" i="50" s="1"/>
  <c r="A16" i="44"/>
  <c r="T15" i="44"/>
  <c r="U15" i="44"/>
  <c r="EQ14" i="5"/>
  <c r="ER14" i="5" s="1"/>
  <c r="EY14" i="5"/>
  <c r="EZ14" i="5" s="1"/>
  <c r="DR14" i="5"/>
  <c r="DX14" i="5"/>
  <c r="DF15" i="5"/>
  <c r="DI14" i="5"/>
  <c r="DW14" i="5"/>
  <c r="DV14" i="5" s="1"/>
  <c r="EB14" i="5" s="1"/>
  <c r="DP14" i="5"/>
  <c r="DM14" i="5"/>
  <c r="B13" i="5"/>
  <c r="C13" i="5"/>
  <c r="A14" i="5"/>
  <c r="D12" i="5"/>
  <c r="N12" i="5" s="1"/>
  <c r="E12" i="5"/>
  <c r="F12" i="5"/>
  <c r="M11" i="5"/>
  <c r="L11" i="5"/>
  <c r="J11" i="5"/>
  <c r="H11" i="5"/>
  <c r="G11" i="5"/>
  <c r="CM15" i="5"/>
  <c r="CK16" i="5"/>
  <c r="FG8" i="5"/>
  <c r="FS8" i="5" s="1"/>
  <c r="BE8" i="5"/>
  <c r="EP10" i="5"/>
  <c r="BC9" i="5"/>
  <c r="BD9" i="5"/>
  <c r="BB9" i="5"/>
  <c r="BP8" i="5"/>
  <c r="AU8" i="5"/>
  <c r="AV8" i="5"/>
  <c r="BF8" i="5"/>
  <c r="BG8" i="5" s="1"/>
  <c r="EO11" i="5"/>
  <c r="EN11" i="5"/>
  <c r="EM11" i="5"/>
  <c r="EJ11" i="5"/>
  <c r="EL11" i="5"/>
  <c r="EK11" i="5"/>
  <c r="FD8" i="5"/>
  <c r="FA9" i="5"/>
  <c r="EG9" i="5"/>
  <c r="EQ9" i="5"/>
  <c r="ER9" i="5" s="1"/>
  <c r="EF9" i="5"/>
  <c r="DN9" i="5"/>
  <c r="E68" i="44"/>
  <c r="W9" i="44" s="1"/>
  <c r="A42" i="28"/>
  <c r="Z10" i="5"/>
  <c r="AA10" i="5"/>
  <c r="B13" i="11"/>
  <c r="D13" i="11"/>
  <c r="A14" i="11"/>
  <c r="F13" i="11"/>
  <c r="DU8" i="5"/>
  <c r="DJ12" i="5"/>
  <c r="DK12" i="5"/>
  <c r="P8" i="5"/>
  <c r="K9" i="5"/>
  <c r="BH14" i="5" l="1"/>
  <c r="AI8" i="5"/>
  <c r="T10" i="5"/>
  <c r="HG10" i="5"/>
  <c r="BM14" i="5"/>
  <c r="AK14" i="5"/>
  <c r="AQ14" i="5" s="1"/>
  <c r="V16" i="5"/>
  <c r="BL15" i="5"/>
  <c r="AM15" i="5"/>
  <c r="AS15" i="5" s="1"/>
  <c r="AL15" i="5"/>
  <c r="AR15" i="5" s="1"/>
  <c r="AY15" i="5"/>
  <c r="BA15" i="5"/>
  <c r="BK15" i="5"/>
  <c r="AG15" i="5"/>
  <c r="BN15" i="5"/>
  <c r="BO15" i="5" s="1"/>
  <c r="AZ15" i="5"/>
  <c r="AE15" i="5"/>
  <c r="Y15" i="5"/>
  <c r="O11" i="5"/>
  <c r="Q11" i="5"/>
  <c r="R11" i="5"/>
  <c r="HX41" i="5"/>
  <c r="HY42" i="5"/>
  <c r="HZ42" i="5"/>
  <c r="HW42" i="5"/>
  <c r="HU42" i="5"/>
  <c r="HV42" i="5"/>
  <c r="HT42" i="5"/>
  <c r="IA41" i="5"/>
  <c r="HM43" i="5"/>
  <c r="HA15" i="5"/>
  <c r="FV15" i="5"/>
  <c r="GO44" i="5"/>
  <c r="GX43" i="5"/>
  <c r="GV43" i="5"/>
  <c r="GU43" i="5"/>
  <c r="GW43" i="5"/>
  <c r="GY43" i="5"/>
  <c r="BT8" i="5"/>
  <c r="BU8" i="5"/>
  <c r="HB11" i="5"/>
  <c r="EC14" i="5"/>
  <c r="ED14" i="5"/>
  <c r="H34" i="50"/>
  <c r="G34" i="50"/>
  <c r="J34" i="50"/>
  <c r="N34" i="50"/>
  <c r="V34" i="50"/>
  <c r="M34" i="50"/>
  <c r="L34" i="50"/>
  <c r="D35" i="50"/>
  <c r="E35" i="50"/>
  <c r="F35" i="50"/>
  <c r="C36" i="50"/>
  <c r="A37" i="50"/>
  <c r="B36" i="50"/>
  <c r="T36" i="50"/>
  <c r="I33" i="50"/>
  <c r="K33" i="50" s="1"/>
  <c r="O33" i="50" s="1"/>
  <c r="Q33" i="50" s="1"/>
  <c r="P32" i="50"/>
  <c r="Q32" i="50"/>
  <c r="A17" i="44"/>
  <c r="T16" i="44"/>
  <c r="U16" i="44"/>
  <c r="EY15" i="5"/>
  <c r="EZ15" i="5" s="1"/>
  <c r="DX15" i="5"/>
  <c r="EQ15" i="5"/>
  <c r="ER15" i="5" s="1"/>
  <c r="DW15" i="5"/>
  <c r="DV15" i="5" s="1"/>
  <c r="EB15" i="5" s="1"/>
  <c r="DF16" i="5"/>
  <c r="DI15" i="5"/>
  <c r="DP15" i="5"/>
  <c r="DR15" i="5"/>
  <c r="DM15" i="5"/>
  <c r="FW11" i="5"/>
  <c r="GP11" i="5"/>
  <c r="I11" i="5"/>
  <c r="G12" i="5"/>
  <c r="J12" i="5"/>
  <c r="M12" i="5"/>
  <c r="H12" i="5"/>
  <c r="R12" i="5" s="1"/>
  <c r="L12" i="5"/>
  <c r="B14" i="5"/>
  <c r="A15" i="5"/>
  <c r="C14" i="5"/>
  <c r="E13" i="5"/>
  <c r="F13" i="5"/>
  <c r="D13" i="5"/>
  <c r="N13" i="5" s="1"/>
  <c r="CK17" i="5"/>
  <c r="CM16" i="5"/>
  <c r="BN16" i="5"/>
  <c r="BO16" i="5" s="1"/>
  <c r="BK16" i="5"/>
  <c r="AY16" i="5"/>
  <c r="AZ16" i="5"/>
  <c r="BA16" i="5"/>
  <c r="AL16" i="5"/>
  <c r="AR16" i="5" s="1"/>
  <c r="BF16" i="5"/>
  <c r="BG16" i="5" s="1"/>
  <c r="BL16" i="5"/>
  <c r="AM16" i="5"/>
  <c r="AS16" i="5" s="1"/>
  <c r="BE9" i="5"/>
  <c r="ES9" i="5"/>
  <c r="EP11" i="5"/>
  <c r="BQ8" i="5"/>
  <c r="BR8" i="5"/>
  <c r="EM12" i="5"/>
  <c r="EO12" i="5"/>
  <c r="EN12" i="5"/>
  <c r="EL12" i="5"/>
  <c r="EK12" i="5"/>
  <c r="EJ12" i="5"/>
  <c r="FB9" i="5"/>
  <c r="FC9" i="5"/>
  <c r="FF9" i="5"/>
  <c r="FE9" i="5"/>
  <c r="BC10" i="5"/>
  <c r="BB10" i="5"/>
  <c r="BD10" i="5"/>
  <c r="DL10" i="5"/>
  <c r="DT9" i="5"/>
  <c r="AB9" i="5"/>
  <c r="AH9" i="5" s="1"/>
  <c r="V17" i="5"/>
  <c r="Y16" i="5"/>
  <c r="AG16" i="5"/>
  <c r="AE16" i="5"/>
  <c r="A43" i="28"/>
  <c r="F14" i="11"/>
  <c r="A15" i="11"/>
  <c r="D14" i="11"/>
  <c r="B14" i="11"/>
  <c r="Z11" i="5"/>
  <c r="AA11" i="5"/>
  <c r="DJ13" i="5"/>
  <c r="DK13" i="5"/>
  <c r="L68" i="44"/>
  <c r="AF9" i="44" s="1"/>
  <c r="P9" i="5"/>
  <c r="P10" i="5"/>
  <c r="AK15" i="5" l="1"/>
  <c r="AQ15" i="5" s="1"/>
  <c r="BM15" i="5"/>
  <c r="O12" i="5"/>
  <c r="S12" i="5" s="1"/>
  <c r="S11" i="5"/>
  <c r="T11" i="5" s="1"/>
  <c r="AK16" i="5"/>
  <c r="AQ16" i="5" s="1"/>
  <c r="Q12" i="5"/>
  <c r="HX42" i="5"/>
  <c r="HT43" i="5"/>
  <c r="HZ43" i="5"/>
  <c r="HW43" i="5"/>
  <c r="HU43" i="5"/>
  <c r="HY43" i="5"/>
  <c r="HV43" i="5"/>
  <c r="IA42" i="5"/>
  <c r="HN11" i="5"/>
  <c r="HM44" i="5"/>
  <c r="GO45" i="5"/>
  <c r="GY44" i="5"/>
  <c r="GW44" i="5"/>
  <c r="GU44" i="5"/>
  <c r="GX44" i="5"/>
  <c r="GV44" i="5"/>
  <c r="HG11" i="5"/>
  <c r="GF11" i="5"/>
  <c r="FV16" i="5"/>
  <c r="DY9" i="5"/>
  <c r="DZ9" i="5" s="1"/>
  <c r="DO10" i="5"/>
  <c r="DS10" i="5"/>
  <c r="HA16" i="5"/>
  <c r="GU11" i="5"/>
  <c r="AN8" i="5"/>
  <c r="AP8" i="5" s="1"/>
  <c r="BX8" i="5" s="1"/>
  <c r="AD9" i="5"/>
  <c r="BV8" i="5"/>
  <c r="CH8" i="5" s="1"/>
  <c r="HB12" i="5"/>
  <c r="ED15" i="5"/>
  <c r="EC15" i="5"/>
  <c r="N35" i="50"/>
  <c r="G35" i="50"/>
  <c r="V35" i="50"/>
  <c r="W35" i="50" s="1"/>
  <c r="Y35" i="50" s="1"/>
  <c r="H35" i="50"/>
  <c r="M35" i="50"/>
  <c r="J35" i="50"/>
  <c r="L35" i="50"/>
  <c r="D36" i="50"/>
  <c r="E36" i="50"/>
  <c r="F36" i="50"/>
  <c r="B37" i="50"/>
  <c r="C37" i="50"/>
  <c r="A38" i="50"/>
  <c r="W34" i="50"/>
  <c r="Y34" i="50" s="1"/>
  <c r="P33" i="50"/>
  <c r="I34" i="50"/>
  <c r="K34" i="50" s="1"/>
  <c r="O34" i="50" s="1"/>
  <c r="Q34" i="50" s="1"/>
  <c r="T17" i="44"/>
  <c r="A18" i="44"/>
  <c r="U17" i="44"/>
  <c r="BM16" i="5"/>
  <c r="DW16" i="5"/>
  <c r="DV16" i="5" s="1"/>
  <c r="EB16" i="5" s="1"/>
  <c r="DX16" i="5"/>
  <c r="EQ16" i="5"/>
  <c r="ER16" i="5" s="1"/>
  <c r="EY16" i="5"/>
  <c r="EZ16" i="5" s="1"/>
  <c r="DF17" i="5"/>
  <c r="DP16" i="5"/>
  <c r="DI16" i="5"/>
  <c r="DR16" i="5"/>
  <c r="DM16" i="5"/>
  <c r="FG9" i="5"/>
  <c r="FS9" i="5" s="1"/>
  <c r="M13" i="5"/>
  <c r="L13" i="5"/>
  <c r="J13" i="5"/>
  <c r="H13" i="5"/>
  <c r="G13" i="5"/>
  <c r="GP12" i="5"/>
  <c r="I12" i="5"/>
  <c r="A16" i="5"/>
  <c r="B15" i="5"/>
  <c r="C15" i="5"/>
  <c r="FW12" i="5"/>
  <c r="F14" i="5"/>
  <c r="E14" i="5"/>
  <c r="D14" i="5"/>
  <c r="N14" i="5" s="1"/>
  <c r="K11" i="5"/>
  <c r="CK18" i="5"/>
  <c r="CM17" i="5"/>
  <c r="BN17" i="5"/>
  <c r="BO17" i="5" s="1"/>
  <c r="AM17" i="5"/>
  <c r="AS17" i="5" s="1"/>
  <c r="BK17" i="5"/>
  <c r="BA17" i="5"/>
  <c r="BF17" i="5"/>
  <c r="BG17" i="5" s="1"/>
  <c r="AL17" i="5"/>
  <c r="AR17" i="5" s="1"/>
  <c r="AZ17" i="5"/>
  <c r="AY17" i="5"/>
  <c r="BL17" i="5"/>
  <c r="FD9" i="5"/>
  <c r="BE10" i="5"/>
  <c r="EP12" i="5"/>
  <c r="BP9" i="5"/>
  <c r="AV9" i="5"/>
  <c r="BF9" i="5"/>
  <c r="BG9" i="5" s="1"/>
  <c r="AU9" i="5"/>
  <c r="FA10" i="5"/>
  <c r="EG10" i="5"/>
  <c r="EQ10" i="5"/>
  <c r="ER10" i="5" s="1"/>
  <c r="EF10" i="5"/>
  <c r="BD11" i="5"/>
  <c r="BC11" i="5"/>
  <c r="BB11" i="5"/>
  <c r="DN10" i="5"/>
  <c r="BS8" i="5"/>
  <c r="EM13" i="5"/>
  <c r="EN13" i="5"/>
  <c r="EO13" i="5"/>
  <c r="EJ13" i="5"/>
  <c r="EL13" i="5"/>
  <c r="EK13" i="5"/>
  <c r="K67" i="44"/>
  <c r="AE10" i="44" s="1"/>
  <c r="A44" i="28"/>
  <c r="H68" i="44"/>
  <c r="AB9" i="44" s="1"/>
  <c r="AA12" i="5"/>
  <c r="Z12" i="5"/>
  <c r="V18" i="5"/>
  <c r="Y17" i="5"/>
  <c r="AG17" i="5"/>
  <c r="BH17" i="5" s="1"/>
  <c r="AE17" i="5"/>
  <c r="AC9" i="5"/>
  <c r="AI9" i="5" s="1"/>
  <c r="E67" i="44"/>
  <c r="W10" i="44" s="1"/>
  <c r="D15" i="11"/>
  <c r="A16" i="11"/>
  <c r="F15" i="11"/>
  <c r="B15" i="11"/>
  <c r="DJ14" i="5"/>
  <c r="DK14" i="5"/>
  <c r="DU9" i="5"/>
  <c r="T12" i="5" l="1"/>
  <c r="CB8" i="5"/>
  <c r="O13" i="5"/>
  <c r="S13" i="5" s="1"/>
  <c r="FX8" i="5"/>
  <c r="Q13" i="5"/>
  <c r="R13" i="5"/>
  <c r="HX43" i="5"/>
  <c r="HY44" i="5"/>
  <c r="HV44" i="5"/>
  <c r="HT44" i="5"/>
  <c r="HZ44" i="5"/>
  <c r="HW44" i="5"/>
  <c r="HU44" i="5"/>
  <c r="IA43" i="5"/>
  <c r="HT11" i="5"/>
  <c r="GF12" i="5"/>
  <c r="HN12" i="5"/>
  <c r="AK17" i="5"/>
  <c r="AQ17" i="5" s="1"/>
  <c r="K66" i="44"/>
  <c r="AE11" i="44" s="1"/>
  <c r="HM45" i="5"/>
  <c r="HG12" i="5"/>
  <c r="HA17" i="5"/>
  <c r="FV17" i="5"/>
  <c r="GO46" i="5"/>
  <c r="GY45" i="5"/>
  <c r="GW45" i="5"/>
  <c r="GU45" i="5"/>
  <c r="GX45" i="5"/>
  <c r="GV45" i="5"/>
  <c r="GU12" i="5"/>
  <c r="AO8" i="5"/>
  <c r="CF8" i="5" s="1"/>
  <c r="BH9" i="5"/>
  <c r="BJ9" i="5" s="1"/>
  <c r="HB13" i="5"/>
  <c r="ED16" i="5"/>
  <c r="EC16" i="5"/>
  <c r="I35" i="50"/>
  <c r="K35" i="50" s="1"/>
  <c r="O35" i="50" s="1"/>
  <c r="Q35" i="50" s="1"/>
  <c r="V36" i="50"/>
  <c r="W36" i="50" s="1"/>
  <c r="Y36" i="50" s="1"/>
  <c r="J36" i="50"/>
  <c r="M36" i="50"/>
  <c r="L36" i="50"/>
  <c r="N36" i="50"/>
  <c r="H36" i="50"/>
  <c r="G36" i="50"/>
  <c r="B38" i="50"/>
  <c r="A39" i="50"/>
  <c r="C38" i="50"/>
  <c r="P34" i="50"/>
  <c r="D37" i="50"/>
  <c r="E37" i="50"/>
  <c r="F37" i="50"/>
  <c r="T18" i="44"/>
  <c r="A19" i="44"/>
  <c r="U18" i="44"/>
  <c r="DF18" i="5"/>
  <c r="DI17" i="5"/>
  <c r="DX17" i="5"/>
  <c r="DP17" i="5"/>
  <c r="DR17" i="5"/>
  <c r="ES17" i="5" s="1"/>
  <c r="EQ17" i="5"/>
  <c r="ER17" i="5" s="1"/>
  <c r="DM17" i="5"/>
  <c r="DW17" i="5"/>
  <c r="DV17" i="5" s="1"/>
  <c r="EB17" i="5" s="1"/>
  <c r="EY17" i="5"/>
  <c r="EZ17" i="5" s="1"/>
  <c r="BM17" i="5"/>
  <c r="BE11" i="5"/>
  <c r="J14" i="5"/>
  <c r="M14" i="5"/>
  <c r="L14" i="5"/>
  <c r="H14" i="5"/>
  <c r="R14" i="5" s="1"/>
  <c r="G14" i="5"/>
  <c r="Q14" i="5" s="1"/>
  <c r="K12" i="5"/>
  <c r="FW13" i="5"/>
  <c r="CK19" i="5"/>
  <c r="CM18" i="5"/>
  <c r="GP13" i="5"/>
  <c r="I13" i="5"/>
  <c r="P11" i="5"/>
  <c r="D15" i="5"/>
  <c r="N15" i="5" s="1"/>
  <c r="E15" i="5"/>
  <c r="F15" i="5"/>
  <c r="C16" i="5"/>
  <c r="B16" i="5"/>
  <c r="A17" i="5"/>
  <c r="BK18" i="5"/>
  <c r="BA18" i="5"/>
  <c r="AM18" i="5"/>
  <c r="AS18" i="5" s="1"/>
  <c r="AY18" i="5"/>
  <c r="BL18" i="5"/>
  <c r="AZ18" i="5"/>
  <c r="AL18" i="5"/>
  <c r="AR18" i="5" s="1"/>
  <c r="BF18" i="5"/>
  <c r="BG18" i="5" s="1"/>
  <c r="BN18" i="5"/>
  <c r="BO18" i="5" s="1"/>
  <c r="DL11" i="5"/>
  <c r="ES10" i="5"/>
  <c r="EP13" i="5"/>
  <c r="BQ9" i="5"/>
  <c r="BR9" i="5"/>
  <c r="BT9" i="5"/>
  <c r="BU9" i="5"/>
  <c r="BB12" i="5"/>
  <c r="BD12" i="5"/>
  <c r="BC12" i="5"/>
  <c r="FB10" i="5"/>
  <c r="FC10" i="5"/>
  <c r="EO14" i="5"/>
  <c r="EN14" i="5"/>
  <c r="EM14" i="5"/>
  <c r="EK14" i="5"/>
  <c r="EJ14" i="5"/>
  <c r="EL14" i="5"/>
  <c r="FF10" i="5"/>
  <c r="FE10" i="5"/>
  <c r="BZ8" i="5"/>
  <c r="DT10" i="5"/>
  <c r="AB10" i="5"/>
  <c r="AJ8" i="5"/>
  <c r="A45" i="28"/>
  <c r="F16" i="11"/>
  <c r="A17" i="11"/>
  <c r="D16" i="11"/>
  <c r="B16" i="11"/>
  <c r="Y18" i="5"/>
  <c r="V19" i="5"/>
  <c r="AE18" i="5"/>
  <c r="AG18" i="5"/>
  <c r="AA13" i="5"/>
  <c r="Z13" i="5"/>
  <c r="L67" i="44"/>
  <c r="AF10" i="44" s="1"/>
  <c r="DK15" i="5"/>
  <c r="DJ15" i="5"/>
  <c r="GB8" i="5" l="1"/>
  <c r="GC8" i="5" s="1"/>
  <c r="CD8" i="5"/>
  <c r="O14" i="5"/>
  <c r="T13" i="5"/>
  <c r="AK18" i="5"/>
  <c r="AQ18" i="5" s="1"/>
  <c r="IA44" i="5"/>
  <c r="HY45" i="5"/>
  <c r="HV45" i="5"/>
  <c r="HT45" i="5"/>
  <c r="HZ45" i="5"/>
  <c r="HW45" i="5"/>
  <c r="HU45" i="5"/>
  <c r="HX44" i="5"/>
  <c r="HT12" i="5"/>
  <c r="GF13" i="5"/>
  <c r="HN13" i="5"/>
  <c r="HM46" i="5"/>
  <c r="GO47" i="5"/>
  <c r="GY46" i="5"/>
  <c r="GW46" i="5"/>
  <c r="GU46" i="5"/>
  <c r="GX46" i="5"/>
  <c r="GV46" i="5"/>
  <c r="HA18" i="5"/>
  <c r="DU10" i="5"/>
  <c r="L66" i="44" s="1"/>
  <c r="AF11" i="44" s="1"/>
  <c r="DY10" i="5"/>
  <c r="DZ10" i="5" s="1"/>
  <c r="DO11" i="5"/>
  <c r="FF11" i="5" s="1"/>
  <c r="DS11" i="5"/>
  <c r="HG13" i="5"/>
  <c r="FV18" i="5"/>
  <c r="GU13" i="5"/>
  <c r="AH10" i="5"/>
  <c r="AD10" i="5"/>
  <c r="HB14" i="5"/>
  <c r="EF11" i="5"/>
  <c r="BM18" i="5"/>
  <c r="P35" i="50"/>
  <c r="DN11" i="5"/>
  <c r="ED17" i="5"/>
  <c r="EC17" i="5"/>
  <c r="EG11" i="5"/>
  <c r="G37" i="50"/>
  <c r="M37" i="50"/>
  <c r="L37" i="50"/>
  <c r="J37" i="50"/>
  <c r="V37" i="50"/>
  <c r="W37" i="50" s="1"/>
  <c r="Y37" i="50" s="1"/>
  <c r="H37" i="50"/>
  <c r="N37" i="50"/>
  <c r="I36" i="50"/>
  <c r="K36" i="50" s="1"/>
  <c r="O36" i="50" s="1"/>
  <c r="C39" i="50"/>
  <c r="A40" i="50"/>
  <c r="B39" i="50"/>
  <c r="E38" i="50"/>
  <c r="D38" i="50"/>
  <c r="F38" i="50"/>
  <c r="T19" i="44"/>
  <c r="A20" i="44"/>
  <c r="U19" i="44"/>
  <c r="EY18" i="5"/>
  <c r="EZ18" i="5" s="1"/>
  <c r="DP18" i="5"/>
  <c r="DW18" i="5"/>
  <c r="DV18" i="5" s="1"/>
  <c r="EB18" i="5" s="1"/>
  <c r="DI18" i="5"/>
  <c r="DF19" i="5"/>
  <c r="DR18" i="5"/>
  <c r="DM18" i="5"/>
  <c r="EQ18" i="5"/>
  <c r="ER18" i="5" s="1"/>
  <c r="DX18" i="5"/>
  <c r="K13" i="5"/>
  <c r="FW14" i="5"/>
  <c r="CM19" i="5"/>
  <c r="CK20" i="5"/>
  <c r="GP14" i="5"/>
  <c r="I14" i="5"/>
  <c r="A18" i="5"/>
  <c r="C17" i="5"/>
  <c r="B17" i="5"/>
  <c r="H15" i="5"/>
  <c r="G15" i="5"/>
  <c r="J15" i="5"/>
  <c r="M15" i="5"/>
  <c r="L15" i="5"/>
  <c r="E16" i="5"/>
  <c r="F16" i="5"/>
  <c r="D16" i="5"/>
  <c r="N16" i="5" s="1"/>
  <c r="P12" i="5"/>
  <c r="FA11" i="5"/>
  <c r="BK19" i="5"/>
  <c r="AL19" i="5"/>
  <c r="AR19" i="5" s="1"/>
  <c r="AM19" i="5"/>
  <c r="AS19" i="5" s="1"/>
  <c r="BN19" i="5"/>
  <c r="BO19" i="5" s="1"/>
  <c r="BA19" i="5"/>
  <c r="AZ19" i="5"/>
  <c r="AY19" i="5"/>
  <c r="BL19" i="5"/>
  <c r="BF19" i="5"/>
  <c r="BG19" i="5" s="1"/>
  <c r="BS9" i="5"/>
  <c r="FG10" i="5"/>
  <c r="FS10" i="5" s="1"/>
  <c r="EP14" i="5"/>
  <c r="FD10" i="5"/>
  <c r="BE12" i="5"/>
  <c r="BV9" i="5"/>
  <c r="CH9" i="5" s="1"/>
  <c r="BB13" i="5"/>
  <c r="BD13" i="5"/>
  <c r="BC13" i="5"/>
  <c r="BP10" i="5"/>
  <c r="BF10" i="5"/>
  <c r="BG10" i="5" s="1"/>
  <c r="AU10" i="5"/>
  <c r="AV10" i="5"/>
  <c r="EM15" i="5"/>
  <c r="EO15" i="5"/>
  <c r="EN15" i="5"/>
  <c r="EL15" i="5"/>
  <c r="EK15" i="5"/>
  <c r="EJ15" i="5"/>
  <c r="HC8" i="5"/>
  <c r="AT8" i="5"/>
  <c r="BY8" i="5" s="1"/>
  <c r="AC10" i="5"/>
  <c r="E66" i="44"/>
  <c r="W11" i="44" s="1"/>
  <c r="A46" i="28"/>
  <c r="V20" i="5"/>
  <c r="Y19" i="5"/>
  <c r="AG19" i="5"/>
  <c r="AE19" i="5"/>
  <c r="I68" i="44"/>
  <c r="AC9" i="44" s="1"/>
  <c r="H67" i="44"/>
  <c r="AB10" i="44" s="1"/>
  <c r="AA14" i="5"/>
  <c r="Z14" i="5"/>
  <c r="D17" i="11"/>
  <c r="F17" i="11"/>
  <c r="A18" i="11"/>
  <c r="B17" i="11"/>
  <c r="DJ16" i="5"/>
  <c r="DK16" i="5"/>
  <c r="CC8" i="5" l="1"/>
  <c r="CE8" i="5" s="1"/>
  <c r="O15" i="5"/>
  <c r="S15" i="5" s="1"/>
  <c r="S14" i="5"/>
  <c r="T14" i="5" s="1"/>
  <c r="Q15" i="5"/>
  <c r="R15" i="5"/>
  <c r="AK19" i="5"/>
  <c r="AQ19" i="5" s="1"/>
  <c r="IA45" i="5"/>
  <c r="HX45" i="5"/>
  <c r="HT46" i="5"/>
  <c r="HY46" i="5"/>
  <c r="HV46" i="5"/>
  <c r="HZ46" i="5"/>
  <c r="HW46" i="5"/>
  <c r="HU46" i="5"/>
  <c r="HT13" i="5"/>
  <c r="GF14" i="5"/>
  <c r="HN14" i="5"/>
  <c r="HM47" i="5"/>
  <c r="K65" i="44"/>
  <c r="AE12" i="44" s="1"/>
  <c r="FV19" i="5"/>
  <c r="HA19" i="5"/>
  <c r="CG8" i="5"/>
  <c r="HH8" i="5"/>
  <c r="HG14" i="5"/>
  <c r="GO48" i="5"/>
  <c r="GY47" i="5"/>
  <c r="GW47" i="5"/>
  <c r="GU47" i="5"/>
  <c r="GX47" i="5"/>
  <c r="GV47" i="5"/>
  <c r="GU14" i="5"/>
  <c r="AN9" i="5"/>
  <c r="AO9" i="5" s="1"/>
  <c r="GQ8" i="5"/>
  <c r="HR8" i="5" s="1"/>
  <c r="HB15" i="5"/>
  <c r="HG15" i="5" s="1"/>
  <c r="FC11" i="5"/>
  <c r="FE11" i="5"/>
  <c r="FG11" i="5" s="1"/>
  <c r="FS11" i="5" s="1"/>
  <c r="DL12" i="5"/>
  <c r="FB11" i="5"/>
  <c r="EC18" i="5"/>
  <c r="ED18" i="5"/>
  <c r="I37" i="50"/>
  <c r="K37" i="50" s="1"/>
  <c r="O37" i="50" s="1"/>
  <c r="P37" i="50" s="1"/>
  <c r="Q36" i="50"/>
  <c r="P36" i="50"/>
  <c r="L38" i="50"/>
  <c r="J38" i="50"/>
  <c r="N38" i="50"/>
  <c r="H38" i="50"/>
  <c r="G38" i="50"/>
  <c r="M38" i="50"/>
  <c r="V38" i="50"/>
  <c r="D39" i="50"/>
  <c r="E39" i="50"/>
  <c r="F39" i="50"/>
  <c r="A41" i="50"/>
  <c r="C40" i="50"/>
  <c r="B40" i="50"/>
  <c r="A21" i="44"/>
  <c r="U20" i="44"/>
  <c r="T20" i="44"/>
  <c r="EY19" i="5"/>
  <c r="EZ19" i="5" s="1"/>
  <c r="DF20" i="5"/>
  <c r="DW19" i="5"/>
  <c r="DV19" i="5" s="1"/>
  <c r="EB19" i="5" s="1"/>
  <c r="DI19" i="5"/>
  <c r="DX19" i="5"/>
  <c r="DP19" i="5"/>
  <c r="DR19" i="5"/>
  <c r="EQ19" i="5"/>
  <c r="ER19" i="5" s="1"/>
  <c r="DM19" i="5"/>
  <c r="BM19" i="5"/>
  <c r="B18" i="5"/>
  <c r="C18" i="5"/>
  <c r="A19" i="5"/>
  <c r="E17" i="5"/>
  <c r="F17" i="5"/>
  <c r="D17" i="5"/>
  <c r="N17" i="5" s="1"/>
  <c r="K14" i="5"/>
  <c r="CM20" i="5"/>
  <c r="CK21" i="5"/>
  <c r="P13" i="5"/>
  <c r="FW15" i="5"/>
  <c r="GP15" i="5"/>
  <c r="I15" i="5"/>
  <c r="J16" i="5"/>
  <c r="M16" i="5"/>
  <c r="L16" i="5"/>
  <c r="H16" i="5"/>
  <c r="R16" i="5" s="1"/>
  <c r="G16" i="5"/>
  <c r="Q16" i="5" s="1"/>
  <c r="AZ20" i="5"/>
  <c r="BK20" i="5"/>
  <c r="BA20" i="5"/>
  <c r="AM20" i="5"/>
  <c r="AS20" i="5" s="1"/>
  <c r="BL20" i="5"/>
  <c r="BF20" i="5"/>
  <c r="BG20" i="5" s="1"/>
  <c r="AL20" i="5"/>
  <c r="AR20" i="5" s="1"/>
  <c r="BN20" i="5"/>
  <c r="BO20" i="5" s="1"/>
  <c r="AY20" i="5"/>
  <c r="BE13" i="5"/>
  <c r="EP15" i="5"/>
  <c r="BQ10" i="5"/>
  <c r="BR10" i="5"/>
  <c r="EN16" i="5"/>
  <c r="EM16" i="5"/>
  <c r="EO16" i="5"/>
  <c r="EJ16" i="5"/>
  <c r="EL16" i="5"/>
  <c r="EK16" i="5"/>
  <c r="BH10" i="5"/>
  <c r="BT10" i="5"/>
  <c r="BU10" i="5"/>
  <c r="BC14" i="5"/>
  <c r="BB14" i="5"/>
  <c r="BD14" i="5"/>
  <c r="DT11" i="5"/>
  <c r="BZ9" i="5"/>
  <c r="AB11" i="5"/>
  <c r="AJ9" i="5"/>
  <c r="F18" i="11"/>
  <c r="A19" i="11"/>
  <c r="B18" i="11"/>
  <c r="D18" i="11"/>
  <c r="Z15" i="5"/>
  <c r="AA15" i="5"/>
  <c r="A47" i="28"/>
  <c r="Y20" i="5"/>
  <c r="V21" i="5"/>
  <c r="AG20" i="5"/>
  <c r="BH20" i="5" s="1"/>
  <c r="AE20" i="5"/>
  <c r="DK17" i="5"/>
  <c r="DJ17" i="5"/>
  <c r="CD9" i="5" l="1"/>
  <c r="O16" i="5"/>
  <c r="S16" i="5" s="1"/>
  <c r="T16" i="5" s="1"/>
  <c r="T15" i="5"/>
  <c r="HY47" i="5"/>
  <c r="HV47" i="5"/>
  <c r="HT47" i="5"/>
  <c r="HW47" i="5"/>
  <c r="HZ47" i="5"/>
  <c r="HU47" i="5"/>
  <c r="IA46" i="5"/>
  <c r="HX46" i="5"/>
  <c r="AK20" i="5"/>
  <c r="AQ20" i="5" s="1"/>
  <c r="HT14" i="5"/>
  <c r="HN15" i="5"/>
  <c r="HO8" i="5"/>
  <c r="HM48" i="5"/>
  <c r="GF15" i="5"/>
  <c r="DO12" i="5"/>
  <c r="FE12" i="5" s="1"/>
  <c r="DS12" i="5"/>
  <c r="DY11" i="5"/>
  <c r="DZ11" i="5" s="1"/>
  <c r="HA20" i="5"/>
  <c r="GO49" i="5"/>
  <c r="GY48" i="5"/>
  <c r="GW48" i="5"/>
  <c r="GU48" i="5"/>
  <c r="GX48" i="5"/>
  <c r="GV48" i="5"/>
  <c r="FV20" i="5"/>
  <c r="GV8" i="5"/>
  <c r="GU15" i="5"/>
  <c r="AH11" i="5"/>
  <c r="AD11" i="5"/>
  <c r="FD11" i="5"/>
  <c r="EG12" i="5"/>
  <c r="EF12" i="5"/>
  <c r="FA12" i="5"/>
  <c r="HB16" i="5"/>
  <c r="DN12" i="5"/>
  <c r="ES12" i="5" s="1"/>
  <c r="Q37" i="50"/>
  <c r="R37" i="50" s="1"/>
  <c r="T37" i="50" s="1"/>
  <c r="EC19" i="5"/>
  <c r="ED19" i="5"/>
  <c r="J39" i="50"/>
  <c r="H39" i="50"/>
  <c r="M39" i="50"/>
  <c r="L39" i="50"/>
  <c r="N39" i="50"/>
  <c r="G39" i="50"/>
  <c r="V39" i="50"/>
  <c r="W39" i="50" s="1"/>
  <c r="Y39" i="50" s="1"/>
  <c r="D40" i="50"/>
  <c r="E40" i="50"/>
  <c r="F40" i="50"/>
  <c r="W38" i="50"/>
  <c r="Y38" i="50" s="1"/>
  <c r="A42" i="50"/>
  <c r="C41" i="50"/>
  <c r="I38" i="50"/>
  <c r="K38" i="50" s="1"/>
  <c r="O38" i="50" s="1"/>
  <c r="T21" i="44"/>
  <c r="U21" i="44"/>
  <c r="A22" i="44"/>
  <c r="BM20" i="5"/>
  <c r="DF21" i="5"/>
  <c r="DM20" i="5"/>
  <c r="DP20" i="5"/>
  <c r="EY20" i="5"/>
  <c r="EZ20" i="5" s="1"/>
  <c r="EQ20" i="5"/>
  <c r="ER20" i="5" s="1"/>
  <c r="DX20" i="5"/>
  <c r="DW20" i="5"/>
  <c r="DV20" i="5" s="1"/>
  <c r="EB20" i="5" s="1"/>
  <c r="DR20" i="5"/>
  <c r="ES20" i="5" s="1"/>
  <c r="DI20" i="5"/>
  <c r="C19" i="5"/>
  <c r="A20" i="5"/>
  <c r="B19" i="5"/>
  <c r="CM21" i="5"/>
  <c r="CK22" i="5"/>
  <c r="P14" i="5"/>
  <c r="D18" i="5"/>
  <c r="N18" i="5" s="1"/>
  <c r="E18" i="5"/>
  <c r="F18" i="5"/>
  <c r="K15" i="5"/>
  <c r="FW16" i="5"/>
  <c r="GP16" i="5"/>
  <c r="GU16" i="5" s="1"/>
  <c r="I16" i="5"/>
  <c r="M17" i="5"/>
  <c r="L17" i="5"/>
  <c r="J17" i="5"/>
  <c r="G17" i="5"/>
  <c r="H17" i="5"/>
  <c r="BK21" i="5"/>
  <c r="BF21" i="5"/>
  <c r="BG21" i="5" s="1"/>
  <c r="AY21" i="5"/>
  <c r="BL21" i="5"/>
  <c r="AZ21" i="5"/>
  <c r="AM21" i="5"/>
  <c r="AS21" i="5" s="1"/>
  <c r="BA21" i="5"/>
  <c r="BN21" i="5"/>
  <c r="BO21" i="5" s="1"/>
  <c r="AL21" i="5"/>
  <c r="AR21" i="5" s="1"/>
  <c r="EP16" i="5"/>
  <c r="BE14" i="5"/>
  <c r="BV10" i="5"/>
  <c r="CH10" i="5" s="1"/>
  <c r="DU11" i="5"/>
  <c r="BP11" i="5"/>
  <c r="AU11" i="5"/>
  <c r="AV11" i="5"/>
  <c r="EO17" i="5"/>
  <c r="EM17" i="5"/>
  <c r="EN17" i="5"/>
  <c r="EJ17" i="5"/>
  <c r="EK17" i="5"/>
  <c r="EL17" i="5"/>
  <c r="BB15" i="5"/>
  <c r="BC15" i="5"/>
  <c r="BD15" i="5"/>
  <c r="BS10" i="5"/>
  <c r="HC9" i="5"/>
  <c r="AT9" i="5"/>
  <c r="BY9" i="5" s="1"/>
  <c r="E65" i="44"/>
  <c r="W12" i="44" s="1"/>
  <c r="AC11" i="5"/>
  <c r="A48" i="28"/>
  <c r="F19" i="11"/>
  <c r="D19" i="11"/>
  <c r="A20" i="11"/>
  <c r="B19" i="11"/>
  <c r="AA16" i="5"/>
  <c r="Z16" i="5"/>
  <c r="I67" i="44"/>
  <c r="AC10" i="44" s="1"/>
  <c r="V22" i="5"/>
  <c r="Y21" i="5"/>
  <c r="AE21" i="5"/>
  <c r="AG21" i="5"/>
  <c r="H66" i="44"/>
  <c r="AB11" i="44" s="1"/>
  <c r="AI10" i="5"/>
  <c r="DJ18" i="5"/>
  <c r="DK18" i="5"/>
  <c r="O17" i="5" l="1"/>
  <c r="S17" i="5" s="1"/>
  <c r="CC9" i="5"/>
  <c r="R17" i="5"/>
  <c r="Q17" i="5"/>
  <c r="IA47" i="5"/>
  <c r="HY48" i="5"/>
  <c r="HV48" i="5"/>
  <c r="HT48" i="5"/>
  <c r="HW48" i="5"/>
  <c r="HZ48" i="5"/>
  <c r="HU48" i="5"/>
  <c r="HX47" i="5"/>
  <c r="HU8" i="5"/>
  <c r="HY8" i="5"/>
  <c r="HT15" i="5"/>
  <c r="GF16" i="5"/>
  <c r="HN16" i="5"/>
  <c r="AK21" i="5"/>
  <c r="AQ21" i="5" s="1"/>
  <c r="HM49" i="5"/>
  <c r="HG16" i="5"/>
  <c r="FV21" i="5"/>
  <c r="HA21" i="5"/>
  <c r="HH9" i="5"/>
  <c r="GO50" i="5"/>
  <c r="GY49" i="5"/>
  <c r="GW49" i="5"/>
  <c r="GU49" i="5"/>
  <c r="GX49" i="5"/>
  <c r="GV49" i="5"/>
  <c r="FF12" i="5"/>
  <c r="FG12" i="5" s="1"/>
  <c r="FS12" i="5" s="1"/>
  <c r="AN10" i="5"/>
  <c r="AO10" i="5" s="1"/>
  <c r="GQ9" i="5"/>
  <c r="HB17" i="5"/>
  <c r="HG17" i="5" s="1"/>
  <c r="DL13" i="5"/>
  <c r="DS13" i="5" s="1"/>
  <c r="FC12" i="5"/>
  <c r="FB12" i="5"/>
  <c r="EC20" i="5"/>
  <c r="ED20" i="5"/>
  <c r="L65" i="44"/>
  <c r="AF12" i="44" s="1"/>
  <c r="Q38" i="50"/>
  <c r="P38" i="50"/>
  <c r="M40" i="50"/>
  <c r="N40" i="50"/>
  <c r="L40" i="50"/>
  <c r="J40" i="50"/>
  <c r="H40" i="50"/>
  <c r="G40" i="50"/>
  <c r="V40" i="50"/>
  <c r="A43" i="50"/>
  <c r="C42" i="50"/>
  <c r="E41" i="50"/>
  <c r="D41" i="50"/>
  <c r="F41" i="50"/>
  <c r="I39" i="50"/>
  <c r="K39" i="50" s="1"/>
  <c r="O39" i="50" s="1"/>
  <c r="U22" i="44"/>
  <c r="A23" i="44"/>
  <c r="T22" i="44"/>
  <c r="BM21" i="5"/>
  <c r="DX21" i="5"/>
  <c r="DP21" i="5"/>
  <c r="DM21" i="5"/>
  <c r="EY21" i="5"/>
  <c r="EZ21" i="5" s="1"/>
  <c r="DR21" i="5"/>
  <c r="ES21" i="5" s="1"/>
  <c r="EQ21" i="5"/>
  <c r="ER21" i="5" s="1"/>
  <c r="DI21" i="5"/>
  <c r="DF22" i="5"/>
  <c r="DW21" i="5"/>
  <c r="DV21" i="5" s="1"/>
  <c r="EB21" i="5" s="1"/>
  <c r="P15" i="5"/>
  <c r="M18" i="5"/>
  <c r="G18" i="5"/>
  <c r="Q18" i="5" s="1"/>
  <c r="J18" i="5"/>
  <c r="L18" i="5"/>
  <c r="H18" i="5"/>
  <c r="R18" i="5" s="1"/>
  <c r="K16" i="5"/>
  <c r="CK23" i="5"/>
  <c r="CM22" i="5"/>
  <c r="F19" i="5"/>
  <c r="D19" i="5"/>
  <c r="N19" i="5" s="1"/>
  <c r="E19" i="5"/>
  <c r="C20" i="5"/>
  <c r="B20" i="5"/>
  <c r="A21" i="5"/>
  <c r="GP17" i="5"/>
  <c r="GU17" i="5" s="1"/>
  <c r="I17" i="5"/>
  <c r="FW17" i="5"/>
  <c r="BK22" i="5"/>
  <c r="AL22" i="5"/>
  <c r="AR22" i="5" s="1"/>
  <c r="BL22" i="5"/>
  <c r="BF22" i="5"/>
  <c r="BG22" i="5" s="1"/>
  <c r="AY22" i="5"/>
  <c r="AM22" i="5"/>
  <c r="AS22" i="5" s="1"/>
  <c r="AZ22" i="5"/>
  <c r="BA22" i="5"/>
  <c r="EP17" i="5"/>
  <c r="BE15" i="5"/>
  <c r="AB12" i="5"/>
  <c r="BQ11" i="5"/>
  <c r="BR11" i="5"/>
  <c r="BD16" i="5"/>
  <c r="BB16" i="5"/>
  <c r="BC16" i="5"/>
  <c r="BT11" i="5"/>
  <c r="BU11" i="5"/>
  <c r="EM18" i="5"/>
  <c r="EN18" i="5"/>
  <c r="EO18" i="5"/>
  <c r="EK18" i="5"/>
  <c r="EJ18" i="5"/>
  <c r="EL18" i="5"/>
  <c r="Y22" i="5"/>
  <c r="V23" i="5"/>
  <c r="AG22" i="5"/>
  <c r="BH22" i="5" s="1"/>
  <c r="AE22" i="5"/>
  <c r="AJ10" i="5"/>
  <c r="A49" i="28"/>
  <c r="Z17" i="5"/>
  <c r="AA17" i="5"/>
  <c r="B20" i="11"/>
  <c r="A21" i="11"/>
  <c r="D20" i="11"/>
  <c r="F20" i="11"/>
  <c r="DJ19" i="5"/>
  <c r="DK19" i="5"/>
  <c r="T17" i="5" l="1"/>
  <c r="O18" i="5"/>
  <c r="S18" i="5" s="1"/>
  <c r="T18" i="5" s="1"/>
  <c r="IA48" i="5"/>
  <c r="AK22" i="5"/>
  <c r="AQ22" i="5" s="1"/>
  <c r="HZ49" i="5"/>
  <c r="HU49" i="5"/>
  <c r="HY49" i="5"/>
  <c r="HV49" i="5"/>
  <c r="HT49" i="5"/>
  <c r="HW49" i="5"/>
  <c r="HX48" i="5"/>
  <c r="HN17" i="5"/>
  <c r="HT17" i="5" s="1"/>
  <c r="HT16" i="5"/>
  <c r="HM50" i="5"/>
  <c r="HA22" i="5"/>
  <c r="FV22" i="5"/>
  <c r="GO51" i="5"/>
  <c r="GX50" i="5"/>
  <c r="GV50" i="5"/>
  <c r="GY50" i="5"/>
  <c r="GW50" i="5"/>
  <c r="GU50" i="5"/>
  <c r="GF17" i="5"/>
  <c r="GV9" i="5"/>
  <c r="DO13" i="5"/>
  <c r="FF13" i="5" s="1"/>
  <c r="AH12" i="5"/>
  <c r="AD12" i="5"/>
  <c r="FA13" i="5"/>
  <c r="EF13" i="5"/>
  <c r="EG13" i="5"/>
  <c r="DN13" i="5"/>
  <c r="FB13" i="5" s="1"/>
  <c r="HB18" i="5"/>
  <c r="FD12" i="5"/>
  <c r="K64" i="44"/>
  <c r="AE13" i="44" s="1"/>
  <c r="DT12" i="5"/>
  <c r="ED21" i="5"/>
  <c r="EC21" i="5"/>
  <c r="Q39" i="50"/>
  <c r="R39" i="50" s="1"/>
  <c r="T39" i="50" s="1"/>
  <c r="D42" i="50"/>
  <c r="F42" i="50"/>
  <c r="E42" i="50"/>
  <c r="V41" i="50"/>
  <c r="W41" i="50" s="1"/>
  <c r="Y41" i="50" s="1"/>
  <c r="M41" i="50"/>
  <c r="L41" i="50"/>
  <c r="J41" i="50"/>
  <c r="N41" i="50"/>
  <c r="H41" i="50"/>
  <c r="G41" i="50"/>
  <c r="I40" i="50"/>
  <c r="K40" i="50" s="1"/>
  <c r="O40" i="50" s="1"/>
  <c r="Q40" i="50" s="1"/>
  <c r="W40" i="50"/>
  <c r="Y40" i="50" s="1"/>
  <c r="P39" i="50"/>
  <c r="C43" i="50"/>
  <c r="A44" i="50"/>
  <c r="R38" i="50"/>
  <c r="T38" i="50" s="1"/>
  <c r="A24" i="44"/>
  <c r="T23" i="44"/>
  <c r="U23" i="44"/>
  <c r="DW22" i="5"/>
  <c r="DV22" i="5" s="1"/>
  <c r="EB22" i="5" s="1"/>
  <c r="EQ22" i="5"/>
  <c r="ER22" i="5" s="1"/>
  <c r="DX22" i="5"/>
  <c r="DI22" i="5"/>
  <c r="DP22" i="5"/>
  <c r="DR22" i="5"/>
  <c r="DF23" i="5"/>
  <c r="DM22" i="5"/>
  <c r="BM22" i="5"/>
  <c r="K17" i="5"/>
  <c r="GP18" i="5"/>
  <c r="GU18" i="5" s="1"/>
  <c r="I18" i="5"/>
  <c r="AT10" i="5"/>
  <c r="BY10" i="5" s="1"/>
  <c r="C21" i="5"/>
  <c r="A22" i="5"/>
  <c r="B21" i="5"/>
  <c r="J19" i="5"/>
  <c r="H19" i="5"/>
  <c r="R19" i="5" s="1"/>
  <c r="G19" i="5"/>
  <c r="L19" i="5"/>
  <c r="M19" i="5"/>
  <c r="FW18" i="5"/>
  <c r="D20" i="5"/>
  <c r="N20" i="5" s="1"/>
  <c r="E20" i="5"/>
  <c r="F20" i="5"/>
  <c r="P16" i="5"/>
  <c r="CK24" i="5"/>
  <c r="CM23" i="5"/>
  <c r="BK23" i="5"/>
  <c r="AZ23" i="5"/>
  <c r="BA23" i="5"/>
  <c r="AL23" i="5"/>
  <c r="AR23" i="5" s="1"/>
  <c r="BF23" i="5"/>
  <c r="BG23" i="5" s="1"/>
  <c r="BL23" i="5"/>
  <c r="AY23" i="5"/>
  <c r="AM23" i="5"/>
  <c r="AS23" i="5" s="1"/>
  <c r="BE16" i="5"/>
  <c r="EP18" i="5"/>
  <c r="BB17" i="5"/>
  <c r="BC17" i="5"/>
  <c r="BD17" i="5"/>
  <c r="EN19" i="5"/>
  <c r="EO19" i="5"/>
  <c r="EM19" i="5"/>
  <c r="EL19" i="5"/>
  <c r="EJ19" i="5"/>
  <c r="EK19" i="5"/>
  <c r="BV11" i="5"/>
  <c r="CH11" i="5" s="1"/>
  <c r="BS11" i="5"/>
  <c r="BP12" i="5"/>
  <c r="AT12" i="5"/>
  <c r="AV12" i="5"/>
  <c r="AU12" i="5"/>
  <c r="AC12" i="5"/>
  <c r="E64" i="44"/>
  <c r="W13" i="44" s="1"/>
  <c r="D21" i="11"/>
  <c r="F21" i="11"/>
  <c r="A22" i="11"/>
  <c r="F22" i="11" s="1"/>
  <c r="B21" i="11"/>
  <c r="H65" i="44"/>
  <c r="AB12" i="44" s="1"/>
  <c r="AI11" i="5"/>
  <c r="Z18" i="5"/>
  <c r="AA18" i="5"/>
  <c r="I66" i="44"/>
  <c r="AC11" i="44" s="1"/>
  <c r="Y23" i="5"/>
  <c r="V24" i="5"/>
  <c r="AG23" i="5"/>
  <c r="AE23" i="5"/>
  <c r="A50" i="28"/>
  <c r="DJ20" i="5"/>
  <c r="DK20" i="5"/>
  <c r="CC10" i="5" l="1"/>
  <c r="BY12" i="5"/>
  <c r="O19" i="5"/>
  <c r="Q19" i="5"/>
  <c r="HX49" i="5"/>
  <c r="HZ50" i="5"/>
  <c r="HW50" i="5"/>
  <c r="HU50" i="5"/>
  <c r="HY50" i="5"/>
  <c r="HV50" i="5"/>
  <c r="HT50" i="5"/>
  <c r="IA49" i="5"/>
  <c r="HN18" i="5"/>
  <c r="AK23" i="5"/>
  <c r="AQ23" i="5" s="1"/>
  <c r="HM51" i="5"/>
  <c r="FV23" i="5"/>
  <c r="DY12" i="5"/>
  <c r="DZ12" i="5" s="1"/>
  <c r="GF18" i="5"/>
  <c r="GO52" i="5"/>
  <c r="GX51" i="5"/>
  <c r="GV51" i="5"/>
  <c r="GY51" i="5"/>
  <c r="GW51" i="5"/>
  <c r="GU51" i="5"/>
  <c r="HA23" i="5"/>
  <c r="HG18" i="5"/>
  <c r="AN11" i="5"/>
  <c r="AO11" i="5" s="1"/>
  <c r="GQ10" i="5"/>
  <c r="FE13" i="5"/>
  <c r="FG13" i="5" s="1"/>
  <c r="FS13" i="5" s="1"/>
  <c r="DL14" i="5"/>
  <c r="DS14" i="5" s="1"/>
  <c r="FC13" i="5"/>
  <c r="FD13" i="5" s="1"/>
  <c r="ES13" i="5"/>
  <c r="HB19" i="5"/>
  <c r="HG19" i="5" s="1"/>
  <c r="ES14" i="5"/>
  <c r="DU12" i="5"/>
  <c r="R40" i="50"/>
  <c r="T40" i="50" s="1"/>
  <c r="ED22" i="5"/>
  <c r="EC22" i="5"/>
  <c r="E43" i="50"/>
  <c r="F43" i="50"/>
  <c r="D43" i="50"/>
  <c r="G42" i="50"/>
  <c r="V42" i="50"/>
  <c r="W42" i="50" s="1"/>
  <c r="Y42" i="50" s="1"/>
  <c r="M42" i="50"/>
  <c r="L42" i="50"/>
  <c r="J42" i="50"/>
  <c r="N42" i="50"/>
  <c r="H42" i="50"/>
  <c r="C44" i="50"/>
  <c r="A45" i="50"/>
  <c r="P40" i="50"/>
  <c r="I41" i="50"/>
  <c r="K41" i="50" s="1"/>
  <c r="O41" i="50" s="1"/>
  <c r="A25" i="44"/>
  <c r="U24" i="44"/>
  <c r="T24" i="44"/>
  <c r="DP23" i="5"/>
  <c r="DR23" i="5"/>
  <c r="ES23" i="5" s="1"/>
  <c r="DM23" i="5"/>
  <c r="DF24" i="5"/>
  <c r="EQ23" i="5"/>
  <c r="ER23" i="5" s="1"/>
  <c r="DW23" i="5"/>
  <c r="DV23" i="5" s="1"/>
  <c r="EB23" i="5" s="1"/>
  <c r="DX23" i="5"/>
  <c r="DI23" i="5"/>
  <c r="FW19" i="5"/>
  <c r="K18" i="5"/>
  <c r="GP19" i="5"/>
  <c r="GU19" i="5" s="1"/>
  <c r="I19" i="5"/>
  <c r="BM23" i="5"/>
  <c r="E21" i="5"/>
  <c r="F21" i="5"/>
  <c r="D21" i="5"/>
  <c r="N21" i="5" s="1"/>
  <c r="CK25" i="5"/>
  <c r="CM24" i="5"/>
  <c r="J20" i="5"/>
  <c r="M20" i="5"/>
  <c r="H20" i="5"/>
  <c r="L20" i="5"/>
  <c r="G20" i="5"/>
  <c r="Q20" i="5" s="1"/>
  <c r="B22" i="5"/>
  <c r="A23" i="5"/>
  <c r="C22" i="5"/>
  <c r="P17" i="5"/>
  <c r="BF24" i="5"/>
  <c r="BG24" i="5" s="1"/>
  <c r="BL24" i="5"/>
  <c r="BA24" i="5"/>
  <c r="AZ24" i="5"/>
  <c r="AY24" i="5"/>
  <c r="AL24" i="5"/>
  <c r="AR24" i="5" s="1"/>
  <c r="AM24" i="5"/>
  <c r="AS24" i="5" s="1"/>
  <c r="BK24" i="5"/>
  <c r="BE17" i="5"/>
  <c r="EP19" i="5"/>
  <c r="GQ12" i="5"/>
  <c r="BC18" i="5"/>
  <c r="BD18" i="5"/>
  <c r="BB18" i="5"/>
  <c r="BT12" i="5"/>
  <c r="BU12" i="5"/>
  <c r="BQ12" i="5"/>
  <c r="BR12" i="5"/>
  <c r="AB13" i="5"/>
  <c r="AD13" i="5" s="1"/>
  <c r="EN20" i="5"/>
  <c r="EO20" i="5"/>
  <c r="EM20" i="5"/>
  <c r="EL20" i="5"/>
  <c r="EJ20" i="5"/>
  <c r="EK20" i="5"/>
  <c r="AJ11" i="5"/>
  <c r="AA19" i="5"/>
  <c r="Z19" i="5"/>
  <c r="A51" i="28"/>
  <c r="V25" i="5"/>
  <c r="Y24" i="5"/>
  <c r="AG24" i="5"/>
  <c r="BH24" i="5" s="1"/>
  <c r="AE24" i="5"/>
  <c r="B22" i="11"/>
  <c r="A23" i="11"/>
  <c r="F23" i="11" s="1"/>
  <c r="D22" i="11"/>
  <c r="DJ21" i="5"/>
  <c r="DK21" i="5"/>
  <c r="O20" i="5" l="1"/>
  <c r="S20" i="5" s="1"/>
  <c r="S19" i="5"/>
  <c r="T19" i="5" s="1"/>
  <c r="R20" i="5"/>
  <c r="HX50" i="5"/>
  <c r="HZ51" i="5"/>
  <c r="HW51" i="5"/>
  <c r="HU51" i="5"/>
  <c r="HY51" i="5"/>
  <c r="HV51" i="5"/>
  <c r="HT51" i="5"/>
  <c r="IA50" i="5"/>
  <c r="HN19" i="5"/>
  <c r="HT18" i="5"/>
  <c r="AK24" i="5"/>
  <c r="AQ24" i="5" s="1"/>
  <c r="HM52" i="5"/>
  <c r="HA24" i="5"/>
  <c r="FV24" i="5"/>
  <c r="GF19" i="5"/>
  <c r="GO53" i="5"/>
  <c r="GX52" i="5"/>
  <c r="GV52" i="5"/>
  <c r="GY52" i="5"/>
  <c r="GW52" i="5"/>
  <c r="GU52" i="5"/>
  <c r="GV10" i="5"/>
  <c r="DN14" i="5"/>
  <c r="FC14" i="5" s="1"/>
  <c r="DO14" i="5"/>
  <c r="FE14" i="5" s="1"/>
  <c r="AH13" i="5"/>
  <c r="AC13" i="5"/>
  <c r="L64" i="44"/>
  <c r="AF13" i="44" s="1"/>
  <c r="AT11" i="5"/>
  <c r="BY11" i="5" s="1"/>
  <c r="FA14" i="5"/>
  <c r="EF14" i="5"/>
  <c r="EG14" i="5"/>
  <c r="HB20" i="5"/>
  <c r="DT13" i="5"/>
  <c r="K63" i="44"/>
  <c r="AE14" i="44" s="1"/>
  <c r="ED23" i="5"/>
  <c r="EC23" i="5"/>
  <c r="E44" i="50"/>
  <c r="D44" i="50"/>
  <c r="F44" i="50"/>
  <c r="P41" i="50"/>
  <c r="B45" i="50"/>
  <c r="A46" i="50"/>
  <c r="C45" i="50"/>
  <c r="I42" i="50"/>
  <c r="K42" i="50" s="1"/>
  <c r="O42" i="50" s="1"/>
  <c r="Q42" i="50" s="1"/>
  <c r="L43" i="50"/>
  <c r="V43" i="50"/>
  <c r="W43" i="50" s="1"/>
  <c r="Y43" i="50" s="1"/>
  <c r="G43" i="50"/>
  <c r="J43" i="50"/>
  <c r="H43" i="50"/>
  <c r="N43" i="50"/>
  <c r="M43" i="50"/>
  <c r="Q41" i="50"/>
  <c r="A26" i="44"/>
  <c r="U25" i="44"/>
  <c r="T25" i="44"/>
  <c r="DM24" i="5"/>
  <c r="DF25" i="5"/>
  <c r="DI24" i="5"/>
  <c r="EQ24" i="5"/>
  <c r="ER24" i="5" s="1"/>
  <c r="DR24" i="5"/>
  <c r="DP24" i="5"/>
  <c r="DX24" i="5"/>
  <c r="DW24" i="5"/>
  <c r="DV24" i="5" s="1"/>
  <c r="EB24" i="5" s="1"/>
  <c r="BM24" i="5"/>
  <c r="CK26" i="5"/>
  <c r="CM25" i="5"/>
  <c r="C23" i="5"/>
  <c r="B23" i="5"/>
  <c r="A24" i="5"/>
  <c r="P18" i="5"/>
  <c r="F22" i="5"/>
  <c r="E22" i="5"/>
  <c r="D22" i="5"/>
  <c r="N22" i="5" s="1"/>
  <c r="K19" i="5"/>
  <c r="FW20" i="5"/>
  <c r="M21" i="5"/>
  <c r="L21" i="5"/>
  <c r="J21" i="5"/>
  <c r="H21" i="5"/>
  <c r="G21" i="5"/>
  <c r="Q21" i="5" s="1"/>
  <c r="GP20" i="5"/>
  <c r="GU20" i="5" s="1"/>
  <c r="I20" i="5"/>
  <c r="AY25" i="5"/>
  <c r="BL25" i="5"/>
  <c r="AM25" i="5"/>
  <c r="AS25" i="5" s="1"/>
  <c r="AZ25" i="5"/>
  <c r="BF25" i="5"/>
  <c r="BG25" i="5" s="1"/>
  <c r="BK25" i="5"/>
  <c r="BA25" i="5"/>
  <c r="AL25" i="5"/>
  <c r="AR25" i="5" s="1"/>
  <c r="BE18" i="5"/>
  <c r="EP20" i="5"/>
  <c r="BV12" i="5"/>
  <c r="CH12" i="5" s="1"/>
  <c r="BJ24" i="5"/>
  <c r="BC19" i="5"/>
  <c r="BD19" i="5"/>
  <c r="BB19" i="5"/>
  <c r="BP13" i="5"/>
  <c r="AT13" i="5"/>
  <c r="AU13" i="5"/>
  <c r="AV13" i="5"/>
  <c r="E63" i="44"/>
  <c r="W14" i="44" s="1"/>
  <c r="BS12" i="5"/>
  <c r="EM21" i="5"/>
  <c r="EN21" i="5"/>
  <c r="EO21" i="5"/>
  <c r="EJ21" i="5"/>
  <c r="EL21" i="5"/>
  <c r="EK21" i="5"/>
  <c r="A52" i="28"/>
  <c r="AA20" i="5"/>
  <c r="Z20" i="5"/>
  <c r="B23" i="11"/>
  <c r="A24" i="11"/>
  <c r="F24" i="11" s="1"/>
  <c r="D23" i="11"/>
  <c r="Y25" i="5"/>
  <c r="V26" i="5"/>
  <c r="AE25" i="5"/>
  <c r="AG25" i="5"/>
  <c r="BH25" i="5" s="1"/>
  <c r="H64" i="44"/>
  <c r="AB13" i="44" s="1"/>
  <c r="AI12" i="5"/>
  <c r="I65" i="44"/>
  <c r="AC12" i="44" s="1"/>
  <c r="DK22" i="5"/>
  <c r="DJ22" i="5"/>
  <c r="T20" i="5" l="1"/>
  <c r="O21" i="5"/>
  <c r="S21" i="5" s="1"/>
  <c r="BY13" i="5"/>
  <c r="CC13" i="5" s="1"/>
  <c r="CC12" i="5"/>
  <c r="CC11" i="5"/>
  <c r="R21" i="5"/>
  <c r="HX51" i="5"/>
  <c r="IA51" i="5"/>
  <c r="HZ52" i="5"/>
  <c r="HW52" i="5"/>
  <c r="HU52" i="5"/>
  <c r="HY52" i="5"/>
  <c r="HV52" i="5"/>
  <c r="HT52" i="5"/>
  <c r="HT19" i="5"/>
  <c r="HN20" i="5"/>
  <c r="AK25" i="5"/>
  <c r="AQ25" i="5" s="1"/>
  <c r="HM53" i="5"/>
  <c r="HG20" i="5"/>
  <c r="FB14" i="5"/>
  <c r="FD14" i="5" s="1"/>
  <c r="GO54" i="5"/>
  <c r="GX53" i="5"/>
  <c r="GV53" i="5"/>
  <c r="GY53" i="5"/>
  <c r="GW53" i="5"/>
  <c r="GU53" i="5"/>
  <c r="HA25" i="5"/>
  <c r="DY13" i="5"/>
  <c r="DZ13" i="5" s="1"/>
  <c r="FV25" i="5"/>
  <c r="GF20" i="5"/>
  <c r="AN12" i="5"/>
  <c r="AO12" i="5" s="1"/>
  <c r="GQ11" i="5"/>
  <c r="FF14" i="5"/>
  <c r="FG14" i="5" s="1"/>
  <c r="FS14" i="5" s="1"/>
  <c r="DL15" i="5"/>
  <c r="DS15" i="5" s="1"/>
  <c r="HB21" i="5"/>
  <c r="HG21" i="5" s="1"/>
  <c r="DU13" i="5"/>
  <c r="ED24" i="5"/>
  <c r="EC24" i="5"/>
  <c r="P42" i="50"/>
  <c r="R41" i="50"/>
  <c r="T41" i="50" s="1"/>
  <c r="R42" i="50"/>
  <c r="T42" i="50" s="1"/>
  <c r="A47" i="50"/>
  <c r="B46" i="50"/>
  <c r="C46" i="50"/>
  <c r="F45" i="50"/>
  <c r="D45" i="50"/>
  <c r="E45" i="50"/>
  <c r="I43" i="50"/>
  <c r="K43" i="50" s="1"/>
  <c r="O43" i="50" s="1"/>
  <c r="P43" i="50" s="1"/>
  <c r="L44" i="50"/>
  <c r="M44" i="50"/>
  <c r="V44" i="50"/>
  <c r="J44" i="50"/>
  <c r="N44" i="50"/>
  <c r="H44" i="50"/>
  <c r="G44" i="50"/>
  <c r="U26" i="44"/>
  <c r="T26" i="44"/>
  <c r="A27" i="44"/>
  <c r="DX25" i="5"/>
  <c r="DM25" i="5"/>
  <c r="DR25" i="5"/>
  <c r="ES25" i="5" s="1"/>
  <c r="DI25" i="5"/>
  <c r="DF26" i="5"/>
  <c r="DP25" i="5"/>
  <c r="EQ25" i="5"/>
  <c r="ER25" i="5" s="1"/>
  <c r="DW25" i="5"/>
  <c r="DV25" i="5" s="1"/>
  <c r="EB25" i="5" s="1"/>
  <c r="BM25" i="5"/>
  <c r="J22" i="5"/>
  <c r="M22" i="5"/>
  <c r="H22" i="5"/>
  <c r="R22" i="5" s="1"/>
  <c r="L22" i="5"/>
  <c r="G22" i="5"/>
  <c r="Q22" i="5" s="1"/>
  <c r="C24" i="5"/>
  <c r="A25" i="5"/>
  <c r="B24" i="5"/>
  <c r="E23" i="5"/>
  <c r="F23" i="5"/>
  <c r="D23" i="5"/>
  <c r="N23" i="5" s="1"/>
  <c r="GP21" i="5"/>
  <c r="GU21" i="5" s="1"/>
  <c r="I21" i="5"/>
  <c r="P19" i="5"/>
  <c r="K20" i="5"/>
  <c r="CK27" i="5"/>
  <c r="CM26" i="5"/>
  <c r="FW21" i="5"/>
  <c r="AY26" i="5"/>
  <c r="AM26" i="5"/>
  <c r="AS26" i="5" s="1"/>
  <c r="BA26" i="5"/>
  <c r="AZ26" i="5"/>
  <c r="BF26" i="5"/>
  <c r="BG26" i="5" s="1"/>
  <c r="AL26" i="5"/>
  <c r="AR26" i="5" s="1"/>
  <c r="BK26" i="5"/>
  <c r="BL26" i="5"/>
  <c r="BE19" i="5"/>
  <c r="EP21" i="5"/>
  <c r="BQ13" i="5"/>
  <c r="BR13" i="5"/>
  <c r="AB14" i="5"/>
  <c r="BC20" i="5"/>
  <c r="BB20" i="5"/>
  <c r="BD20" i="5"/>
  <c r="BJ25" i="5"/>
  <c r="BT13" i="5"/>
  <c r="BU13" i="5"/>
  <c r="BH13" i="5"/>
  <c r="GQ13" i="5"/>
  <c r="EO22" i="5"/>
  <c r="EM22" i="5"/>
  <c r="EN22" i="5"/>
  <c r="EL22" i="5"/>
  <c r="EK22" i="5"/>
  <c r="EJ22" i="5"/>
  <c r="A53" i="28"/>
  <c r="AJ12" i="5"/>
  <c r="A25" i="11"/>
  <c r="F25" i="11" s="1"/>
  <c r="B24" i="11"/>
  <c r="D24" i="11"/>
  <c r="V27" i="5"/>
  <c r="Y26" i="5"/>
  <c r="AE26" i="5"/>
  <c r="AG26" i="5"/>
  <c r="Z21" i="5"/>
  <c r="AA21" i="5"/>
  <c r="DK23" i="5"/>
  <c r="DJ23" i="5"/>
  <c r="T21" i="5" l="1"/>
  <c r="AK26" i="5"/>
  <c r="AQ26" i="5" s="1"/>
  <c r="O22" i="5"/>
  <c r="HX52" i="5"/>
  <c r="IA52" i="5"/>
  <c r="HZ53" i="5"/>
  <c r="HW53" i="5"/>
  <c r="HU53" i="5"/>
  <c r="HY53" i="5"/>
  <c r="HV53" i="5"/>
  <c r="HT53" i="5"/>
  <c r="HT20" i="5"/>
  <c r="GF21" i="5"/>
  <c r="HN21" i="5"/>
  <c r="HM54" i="5"/>
  <c r="FV26" i="5"/>
  <c r="GO55" i="5"/>
  <c r="GX54" i="5"/>
  <c r="GV54" i="5"/>
  <c r="GU54" i="5"/>
  <c r="GW54" i="5"/>
  <c r="GY54" i="5"/>
  <c r="HA26" i="5"/>
  <c r="GV12" i="5"/>
  <c r="GV11" i="5"/>
  <c r="GV13" i="5"/>
  <c r="DO15" i="5"/>
  <c r="FF15" i="5" s="1"/>
  <c r="AH14" i="5"/>
  <c r="AD14" i="5"/>
  <c r="L63" i="44"/>
  <c r="AF14" i="44" s="1"/>
  <c r="FA15" i="5"/>
  <c r="EF15" i="5"/>
  <c r="EG15" i="5"/>
  <c r="DN15" i="5"/>
  <c r="ES15" i="5" s="1"/>
  <c r="HB22" i="5"/>
  <c r="K62" i="44"/>
  <c r="AE15" i="44" s="1"/>
  <c r="DT14" i="5"/>
  <c r="EC25" i="5"/>
  <c r="ED25" i="5"/>
  <c r="C47" i="50"/>
  <c r="B47" i="50"/>
  <c r="A48" i="50"/>
  <c r="F46" i="50"/>
  <c r="D46" i="50"/>
  <c r="E46" i="50"/>
  <c r="Q43" i="50"/>
  <c r="W44" i="50"/>
  <c r="Y44" i="50" s="1"/>
  <c r="I44" i="50"/>
  <c r="K44" i="50" s="1"/>
  <c r="O44" i="50" s="1"/>
  <c r="M45" i="50"/>
  <c r="L45" i="50"/>
  <c r="J45" i="50"/>
  <c r="N45" i="50"/>
  <c r="H45" i="50"/>
  <c r="G45" i="50"/>
  <c r="V45" i="50"/>
  <c r="U27" i="44"/>
  <c r="A28" i="44"/>
  <c r="T27" i="44"/>
  <c r="BM26" i="5"/>
  <c r="DI26" i="5"/>
  <c r="DR26" i="5"/>
  <c r="DF27" i="5"/>
  <c r="DM26" i="5"/>
  <c r="DX26" i="5"/>
  <c r="DP26" i="5"/>
  <c r="DW26" i="5"/>
  <c r="DV26" i="5" s="1"/>
  <c r="EB26" i="5" s="1"/>
  <c r="EQ26" i="5"/>
  <c r="ER26" i="5" s="1"/>
  <c r="CK28" i="5"/>
  <c r="CM27" i="5"/>
  <c r="D24" i="5"/>
  <c r="N24" i="5" s="1"/>
  <c r="E24" i="5"/>
  <c r="F24" i="5"/>
  <c r="A26" i="5"/>
  <c r="C25" i="5"/>
  <c r="B25" i="5"/>
  <c r="P20" i="5"/>
  <c r="FW22" i="5"/>
  <c r="G23" i="5"/>
  <c r="L23" i="5"/>
  <c r="M23" i="5"/>
  <c r="J23" i="5"/>
  <c r="H23" i="5"/>
  <c r="GP22" i="5"/>
  <c r="GU22" i="5" s="1"/>
  <c r="I22" i="5"/>
  <c r="K21" i="5"/>
  <c r="BE20" i="5"/>
  <c r="AZ27" i="5"/>
  <c r="BK27" i="5"/>
  <c r="AL27" i="5"/>
  <c r="AR27" i="5" s="1"/>
  <c r="BA27" i="5"/>
  <c r="AY27" i="5"/>
  <c r="AM27" i="5"/>
  <c r="AS27" i="5" s="1"/>
  <c r="BL27" i="5"/>
  <c r="BF27" i="5"/>
  <c r="BG27" i="5" s="1"/>
  <c r="EP22" i="5"/>
  <c r="EN23" i="5"/>
  <c r="EO23" i="5"/>
  <c r="EM23" i="5"/>
  <c r="EL23" i="5"/>
  <c r="EK23" i="5"/>
  <c r="EJ23" i="5"/>
  <c r="BV13" i="5"/>
  <c r="CH13" i="5" s="1"/>
  <c r="BP14" i="5"/>
  <c r="AT14" i="5"/>
  <c r="AU14" i="5"/>
  <c r="AV14" i="5"/>
  <c r="E62" i="44"/>
  <c r="W15" i="44" s="1"/>
  <c r="AC14" i="5"/>
  <c r="BD21" i="5"/>
  <c r="BB21" i="5"/>
  <c r="BC21" i="5"/>
  <c r="BS13" i="5"/>
  <c r="H63" i="44"/>
  <c r="AB14" i="44" s="1"/>
  <c r="AI13" i="5"/>
  <c r="Z22" i="5"/>
  <c r="AA22" i="5"/>
  <c r="A26" i="11"/>
  <c r="F26" i="11" s="1"/>
  <c r="B25" i="11"/>
  <c r="D25" i="11"/>
  <c r="A54" i="28"/>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Y27" i="5"/>
  <c r="V28" i="5"/>
  <c r="AG27" i="5"/>
  <c r="BH27" i="5" s="1"/>
  <c r="AE27" i="5"/>
  <c r="I64" i="44"/>
  <c r="AC13" i="44" s="1"/>
  <c r="DK24" i="5"/>
  <c r="DJ24" i="5"/>
  <c r="BY14" i="5" l="1"/>
  <c r="O23" i="5"/>
  <c r="S23" i="5" s="1"/>
  <c r="S22" i="5"/>
  <c r="T22" i="5" s="1"/>
  <c r="Q23" i="5"/>
  <c r="R23" i="5"/>
  <c r="HX53" i="5"/>
  <c r="IA53" i="5"/>
  <c r="HV54" i="5"/>
  <c r="HY54" i="5"/>
  <c r="HZ54" i="5"/>
  <c r="HW54" i="5"/>
  <c r="HU54" i="5"/>
  <c r="HT54" i="5"/>
  <c r="HT21" i="5"/>
  <c r="HN22" i="5"/>
  <c r="AK27" i="5"/>
  <c r="AQ27" i="5" s="1"/>
  <c r="HM55" i="5"/>
  <c r="FE15" i="5"/>
  <c r="FG15" i="5" s="1"/>
  <c r="FS15" i="5" s="1"/>
  <c r="GO56" i="5"/>
  <c r="GX55" i="5"/>
  <c r="GV55" i="5"/>
  <c r="GU55" i="5"/>
  <c r="GW55" i="5"/>
  <c r="GY55" i="5"/>
  <c r="HA27" i="5"/>
  <c r="HG22" i="5"/>
  <c r="DY14" i="5"/>
  <c r="DZ14" i="5" s="1"/>
  <c r="GF22" i="5"/>
  <c r="FV27" i="5"/>
  <c r="AN13" i="5"/>
  <c r="AO13" i="5" s="1"/>
  <c r="FB15" i="5"/>
  <c r="DL16" i="5"/>
  <c r="FC15" i="5"/>
  <c r="HB23" i="5"/>
  <c r="HG23" i="5" s="1"/>
  <c r="DU14" i="5"/>
  <c r="BM27" i="5"/>
  <c r="EC26" i="5"/>
  <c r="ED26" i="5"/>
  <c r="I45" i="50"/>
  <c r="K45" i="50" s="1"/>
  <c r="O45" i="50" s="1"/>
  <c r="Q45" i="50" s="1"/>
  <c r="M46" i="50"/>
  <c r="L46" i="50"/>
  <c r="J46" i="50"/>
  <c r="N46" i="50"/>
  <c r="V46" i="50"/>
  <c r="W46" i="50" s="1"/>
  <c r="Y46" i="50" s="1"/>
  <c r="H46" i="50"/>
  <c r="G46" i="50"/>
  <c r="C48" i="50"/>
  <c r="A49" i="50"/>
  <c r="B48" i="50"/>
  <c r="Q44" i="50"/>
  <c r="D47" i="50"/>
  <c r="E47" i="50"/>
  <c r="F47" i="50"/>
  <c r="W45" i="50"/>
  <c r="Y45" i="50" s="1"/>
  <c r="P44" i="50"/>
  <c r="R43" i="50"/>
  <c r="T43" i="50" s="1"/>
  <c r="T28" i="44"/>
  <c r="U28" i="44"/>
  <c r="A29" i="44"/>
  <c r="DF28" i="5"/>
  <c r="DX27" i="5"/>
  <c r="DP27" i="5"/>
  <c r="EQ27" i="5"/>
  <c r="ER27" i="5" s="1"/>
  <c r="DM27" i="5"/>
  <c r="DI27" i="5"/>
  <c r="DW27" i="5"/>
  <c r="DV27" i="5" s="1"/>
  <c r="EB27" i="5" s="1"/>
  <c r="DR27" i="5"/>
  <c r="ES27" i="5" s="1"/>
  <c r="P21" i="5"/>
  <c r="FW23" i="5"/>
  <c r="K22" i="5"/>
  <c r="GP23" i="5"/>
  <c r="GU23" i="5" s="1"/>
  <c r="I23" i="5"/>
  <c r="G24" i="5"/>
  <c r="Q24" i="5" s="1"/>
  <c r="L24" i="5"/>
  <c r="H24" i="5"/>
  <c r="R24" i="5" s="1"/>
  <c r="J24" i="5"/>
  <c r="M24" i="5"/>
  <c r="E25" i="5"/>
  <c r="F25" i="5"/>
  <c r="D25" i="5"/>
  <c r="N25" i="5" s="1"/>
  <c r="A27" i="5"/>
  <c r="B26" i="5"/>
  <c r="C26" i="5"/>
  <c r="CK29" i="5"/>
  <c r="CM28" i="5"/>
  <c r="AZ28" i="5"/>
  <c r="BA28" i="5"/>
  <c r="BK28" i="5"/>
  <c r="AM28" i="5"/>
  <c r="AS28" i="5" s="1"/>
  <c r="AL28" i="5"/>
  <c r="AR28" i="5" s="1"/>
  <c r="BF28" i="5"/>
  <c r="BG28" i="5" s="1"/>
  <c r="BL28" i="5"/>
  <c r="AY28" i="5"/>
  <c r="EP23" i="5"/>
  <c r="BE21" i="5"/>
  <c r="BC22" i="5"/>
  <c r="BB22" i="5"/>
  <c r="BD22" i="5"/>
  <c r="BJ27" i="5"/>
  <c r="GQ14" i="5"/>
  <c r="EM24" i="5"/>
  <c r="EO24" i="5"/>
  <c r="EN24" i="5"/>
  <c r="EL24" i="5"/>
  <c r="EK24" i="5"/>
  <c r="EJ24" i="5"/>
  <c r="BT14" i="5"/>
  <c r="BU14" i="5"/>
  <c r="BQ14" i="5"/>
  <c r="BR14" i="5"/>
  <c r="AB15" i="5"/>
  <c r="Z23" i="5"/>
  <c r="AA23" i="5"/>
  <c r="Y28" i="5"/>
  <c r="V29" i="5"/>
  <c r="AE28" i="5"/>
  <c r="AG28" i="5"/>
  <c r="AJ13" i="5"/>
  <c r="D26" i="11"/>
  <c r="B26" i="11"/>
  <c r="A27" i="11"/>
  <c r="F27" i="11" s="1"/>
  <c r="DK25" i="5"/>
  <c r="DJ25" i="5"/>
  <c r="O24" i="5" l="1"/>
  <c r="S24" i="5" s="1"/>
  <c r="T24" i="5" s="1"/>
  <c r="CC14" i="5"/>
  <c r="T23" i="5"/>
  <c r="AK28" i="5"/>
  <c r="AQ28" i="5" s="1"/>
  <c r="IA54" i="5"/>
  <c r="HX54" i="5"/>
  <c r="HV55" i="5"/>
  <c r="HZ55" i="5"/>
  <c r="HW55" i="5"/>
  <c r="HU55" i="5"/>
  <c r="HY55" i="5"/>
  <c r="HT55" i="5"/>
  <c r="HT22" i="5"/>
  <c r="HN23" i="5"/>
  <c r="HM56" i="5"/>
  <c r="DO16" i="5"/>
  <c r="DS16" i="5"/>
  <c r="GO57" i="5"/>
  <c r="GY56" i="5"/>
  <c r="GW56" i="5"/>
  <c r="GU56" i="5"/>
  <c r="GX56" i="5"/>
  <c r="GV56" i="5"/>
  <c r="HA28" i="5"/>
  <c r="GF23" i="5"/>
  <c r="FV28" i="5"/>
  <c r="GV14" i="5"/>
  <c r="AH15" i="5"/>
  <c r="AD15" i="5"/>
  <c r="L62" i="44"/>
  <c r="AF15" i="44" s="1"/>
  <c r="FD15" i="5"/>
  <c r="FA16" i="5"/>
  <c r="EF16" i="5"/>
  <c r="EG16" i="5"/>
  <c r="DN16" i="5"/>
  <c r="HB24" i="5"/>
  <c r="HG24" i="5" s="1"/>
  <c r="K61" i="44"/>
  <c r="AE16" i="44" s="1"/>
  <c r="DT15" i="5"/>
  <c r="P45" i="50"/>
  <c r="R45" i="50"/>
  <c r="T45" i="50" s="1"/>
  <c r="EC27" i="5"/>
  <c r="ED27" i="5"/>
  <c r="R44" i="50"/>
  <c r="T44" i="50" s="1"/>
  <c r="C49" i="50"/>
  <c r="A50" i="50"/>
  <c r="B49" i="50"/>
  <c r="I46" i="50"/>
  <c r="K46" i="50" s="1"/>
  <c r="O46" i="50" s="1"/>
  <c r="V47" i="50"/>
  <c r="M47" i="50"/>
  <c r="L47" i="50"/>
  <c r="J47" i="50"/>
  <c r="N47" i="50"/>
  <c r="H47" i="50"/>
  <c r="G47" i="50"/>
  <c r="F48" i="50"/>
  <c r="D48" i="50"/>
  <c r="E48" i="50"/>
  <c r="A30" i="44"/>
  <c r="U29" i="44"/>
  <c r="T29" i="44"/>
  <c r="BM28" i="5"/>
  <c r="DI28" i="5"/>
  <c r="DR28" i="5"/>
  <c r="DX28" i="5"/>
  <c r="EQ28" i="5"/>
  <c r="ER28" i="5" s="1"/>
  <c r="DF29" i="5"/>
  <c r="DW28" i="5"/>
  <c r="DV28" i="5" s="1"/>
  <c r="EB28" i="5" s="1"/>
  <c r="DP28" i="5"/>
  <c r="DM28" i="5"/>
  <c r="H25" i="5"/>
  <c r="R25" i="5" s="1"/>
  <c r="G25" i="5"/>
  <c r="Q25" i="5" s="1"/>
  <c r="M25" i="5"/>
  <c r="L25" i="5"/>
  <c r="J25" i="5"/>
  <c r="P22" i="5"/>
  <c r="CM29" i="5"/>
  <c r="CK30" i="5"/>
  <c r="E26" i="5"/>
  <c r="D26" i="5"/>
  <c r="N26" i="5" s="1"/>
  <c r="F26" i="5"/>
  <c r="B27" i="5"/>
  <c r="A28" i="5"/>
  <c r="C27" i="5"/>
  <c r="K23" i="5"/>
  <c r="GP24" i="5"/>
  <c r="GU24" i="5" s="1"/>
  <c r="I24" i="5"/>
  <c r="FW24" i="5"/>
  <c r="AM29" i="5"/>
  <c r="AS29" i="5" s="1"/>
  <c r="AZ29" i="5"/>
  <c r="AY29" i="5"/>
  <c r="BK29" i="5"/>
  <c r="BF29" i="5"/>
  <c r="BG29" i="5" s="1"/>
  <c r="BA29" i="5"/>
  <c r="AL29" i="5"/>
  <c r="AR29" i="5" s="1"/>
  <c r="BL29" i="5"/>
  <c r="BE22" i="5"/>
  <c r="EP24" i="5"/>
  <c r="BV14" i="5"/>
  <c r="CH14" i="5" s="1"/>
  <c r="BP15" i="5"/>
  <c r="AT15" i="5"/>
  <c r="AU15" i="5"/>
  <c r="AV15" i="5"/>
  <c r="E61" i="44"/>
  <c r="W16" i="44" s="1"/>
  <c r="AC15" i="5"/>
  <c r="BH15" i="5" s="1"/>
  <c r="BS14" i="5"/>
  <c r="EM25" i="5"/>
  <c r="EO25" i="5"/>
  <c r="EN25" i="5"/>
  <c r="EJ25" i="5"/>
  <c r="EK25" i="5"/>
  <c r="EL25" i="5"/>
  <c r="BD23" i="5"/>
  <c r="BB23" i="5"/>
  <c r="BC23" i="5"/>
  <c r="AI14" i="5"/>
  <c r="H62" i="44"/>
  <c r="AB15" i="44" s="1"/>
  <c r="I63" i="44"/>
  <c r="AC14" i="44" s="1"/>
  <c r="Y29" i="5"/>
  <c r="V30" i="5"/>
  <c r="AG29" i="5"/>
  <c r="BH29" i="5" s="1"/>
  <c r="AE29" i="5"/>
  <c r="B27" i="11"/>
  <c r="A28" i="11"/>
  <c r="D27" i="11"/>
  <c r="AA24" i="5"/>
  <c r="Z24" i="5"/>
  <c r="DK26" i="5"/>
  <c r="DJ26" i="5"/>
  <c r="BY15" i="5" l="1"/>
  <c r="CC15" i="5" s="1"/>
  <c r="O25" i="5"/>
  <c r="IA55" i="5"/>
  <c r="HX55" i="5"/>
  <c r="HY56" i="5"/>
  <c r="HV56" i="5"/>
  <c r="HT56" i="5"/>
  <c r="HZ56" i="5"/>
  <c r="HW56" i="5"/>
  <c r="HU56" i="5"/>
  <c r="HT23" i="5"/>
  <c r="GF24" i="5"/>
  <c r="HN24" i="5"/>
  <c r="AK29" i="5"/>
  <c r="AQ29" i="5" s="1"/>
  <c r="HM57" i="5"/>
  <c r="FV29" i="5"/>
  <c r="HA29" i="5"/>
  <c r="GO58" i="5"/>
  <c r="GY57" i="5"/>
  <c r="GW57" i="5"/>
  <c r="GU57" i="5"/>
  <c r="GX57" i="5"/>
  <c r="GV57" i="5"/>
  <c r="DY15" i="5"/>
  <c r="DZ15" i="5" s="1"/>
  <c r="AN14" i="5"/>
  <c r="AO14" i="5" s="1"/>
  <c r="FE16" i="5"/>
  <c r="FF16" i="5"/>
  <c r="DL17" i="5"/>
  <c r="FC16" i="5"/>
  <c r="FB16" i="5"/>
  <c r="ES16" i="5"/>
  <c r="HB25" i="5"/>
  <c r="HG25" i="5" s="1"/>
  <c r="DU15" i="5"/>
  <c r="ED28" i="5"/>
  <c r="EC28" i="5"/>
  <c r="H48" i="50"/>
  <c r="G48" i="50"/>
  <c r="N48" i="50"/>
  <c r="V48" i="50"/>
  <c r="W48" i="50" s="1"/>
  <c r="Y48" i="50" s="1"/>
  <c r="M48" i="50"/>
  <c r="L48" i="50"/>
  <c r="J48" i="50"/>
  <c r="W47" i="50"/>
  <c r="Y47" i="50" s="1"/>
  <c r="P46" i="50"/>
  <c r="Q46" i="50"/>
  <c r="E49" i="50"/>
  <c r="F49" i="50"/>
  <c r="D49" i="50"/>
  <c r="C50" i="50"/>
  <c r="B50" i="50"/>
  <c r="A51" i="50"/>
  <c r="I47" i="50"/>
  <c r="K47" i="50" s="1"/>
  <c r="O47" i="50" s="1"/>
  <c r="P47" i="50" s="1"/>
  <c r="T30" i="44"/>
  <c r="U30" i="44"/>
  <c r="A31" i="44"/>
  <c r="BM29" i="5"/>
  <c r="DI29" i="5"/>
  <c r="DF30" i="5"/>
  <c r="DP29" i="5"/>
  <c r="DR29" i="5"/>
  <c r="ES29" i="5" s="1"/>
  <c r="DX29" i="5"/>
  <c r="DW29" i="5"/>
  <c r="DV29" i="5" s="1"/>
  <c r="EB29" i="5" s="1"/>
  <c r="DM29" i="5"/>
  <c r="EQ29" i="5"/>
  <c r="ER29" i="5" s="1"/>
  <c r="G26" i="5"/>
  <c r="J26" i="5"/>
  <c r="M26" i="5"/>
  <c r="L26" i="5"/>
  <c r="H26" i="5"/>
  <c r="P23" i="5"/>
  <c r="C28" i="5"/>
  <c r="A29" i="5"/>
  <c r="B28" i="5"/>
  <c r="E27" i="5"/>
  <c r="F27" i="5"/>
  <c r="D27" i="5"/>
  <c r="N27" i="5" s="1"/>
  <c r="K24" i="5"/>
  <c r="FW25" i="5"/>
  <c r="CK31" i="5"/>
  <c r="CM30" i="5"/>
  <c r="GP25" i="5"/>
  <c r="GU25" i="5" s="1"/>
  <c r="I25" i="5"/>
  <c r="AY30" i="5"/>
  <c r="BK30" i="5"/>
  <c r="AM30" i="5"/>
  <c r="AS30" i="5" s="1"/>
  <c r="BA30" i="5"/>
  <c r="AL30" i="5"/>
  <c r="AR30" i="5" s="1"/>
  <c r="BF30" i="5"/>
  <c r="BG30" i="5" s="1"/>
  <c r="AZ30" i="5"/>
  <c r="BL30" i="5"/>
  <c r="BE23" i="5"/>
  <c r="EP25" i="5"/>
  <c r="GQ15" i="5"/>
  <c r="GV15" i="5" s="1"/>
  <c r="BQ15" i="5"/>
  <c r="BR15" i="5"/>
  <c r="AB16" i="5"/>
  <c r="AD16" i="5" s="1"/>
  <c r="BB24" i="5"/>
  <c r="BC24" i="5"/>
  <c r="BD24" i="5"/>
  <c r="EN26" i="5"/>
  <c r="EO26" i="5"/>
  <c r="EM26" i="5"/>
  <c r="EL26" i="5"/>
  <c r="EK26" i="5"/>
  <c r="EJ26" i="5"/>
  <c r="BT15" i="5"/>
  <c r="BU15" i="5"/>
  <c r="BJ29" i="5"/>
  <c r="A29" i="11"/>
  <c r="D28" i="11"/>
  <c r="B28" i="11"/>
  <c r="AA25" i="5"/>
  <c r="Z25" i="5"/>
  <c r="Y30" i="5"/>
  <c r="V31" i="5"/>
  <c r="AG30" i="5"/>
  <c r="BH30" i="5" s="1"/>
  <c r="AE30" i="5"/>
  <c r="AJ14" i="5"/>
  <c r="DK27" i="5"/>
  <c r="DJ27" i="5"/>
  <c r="O26" i="5" l="1"/>
  <c r="S26" i="5" s="1"/>
  <c r="S25" i="5"/>
  <c r="T25" i="5" s="1"/>
  <c r="Q26" i="5"/>
  <c r="R26" i="5"/>
  <c r="IA56" i="5"/>
  <c r="AK30" i="5"/>
  <c r="AQ30" i="5" s="1"/>
  <c r="HX56" i="5"/>
  <c r="HY57" i="5"/>
  <c r="HV57" i="5"/>
  <c r="HT57" i="5"/>
  <c r="HZ57" i="5"/>
  <c r="HW57" i="5"/>
  <c r="HU57" i="5"/>
  <c r="HT24" i="5"/>
  <c r="HN25" i="5"/>
  <c r="HM58" i="5"/>
  <c r="GF25" i="5"/>
  <c r="HA30" i="5"/>
  <c r="DO17" i="5"/>
  <c r="DS17" i="5"/>
  <c r="GO59" i="5"/>
  <c r="GY58" i="5"/>
  <c r="GW58" i="5"/>
  <c r="GU58" i="5"/>
  <c r="GX58" i="5"/>
  <c r="GV58" i="5"/>
  <c r="FV30" i="5"/>
  <c r="AC16" i="5"/>
  <c r="BH16" i="5" s="1"/>
  <c r="AH16" i="5"/>
  <c r="L61" i="44"/>
  <c r="AF16" i="44" s="1"/>
  <c r="FD16" i="5"/>
  <c r="EF17" i="5"/>
  <c r="DN17" i="5"/>
  <c r="EG17" i="5"/>
  <c r="FA17" i="5"/>
  <c r="FG16" i="5"/>
  <c r="FS16" i="5" s="1"/>
  <c r="HB26" i="5"/>
  <c r="K60" i="44"/>
  <c r="AE17" i="44" s="1"/>
  <c r="DT16" i="5"/>
  <c r="EC29" i="5"/>
  <c r="ED29" i="5"/>
  <c r="Q47" i="50"/>
  <c r="R47" i="50" s="1"/>
  <c r="T47" i="50" s="1"/>
  <c r="R46" i="50"/>
  <c r="T46" i="50" s="1"/>
  <c r="A52" i="50"/>
  <c r="B51" i="50"/>
  <c r="C51" i="50"/>
  <c r="F50" i="50"/>
  <c r="D50" i="50"/>
  <c r="E50" i="50"/>
  <c r="J49" i="50"/>
  <c r="H49" i="50"/>
  <c r="N49" i="50"/>
  <c r="G49" i="50"/>
  <c r="M49" i="50"/>
  <c r="L49" i="50"/>
  <c r="V49" i="50"/>
  <c r="W49" i="50" s="1"/>
  <c r="Y49" i="50" s="1"/>
  <c r="I48" i="50"/>
  <c r="K48" i="50" s="1"/>
  <c r="O48" i="50" s="1"/>
  <c r="Q48" i="50" s="1"/>
  <c r="T31" i="44"/>
  <c r="U31" i="44"/>
  <c r="A32" i="44"/>
  <c r="BM30" i="5"/>
  <c r="DR30" i="5"/>
  <c r="ES30" i="5" s="1"/>
  <c r="DX30" i="5"/>
  <c r="DM30" i="5"/>
  <c r="EQ30" i="5"/>
  <c r="ER30" i="5" s="1"/>
  <c r="DI30" i="5"/>
  <c r="DW30" i="5"/>
  <c r="DV30" i="5" s="1"/>
  <c r="EB30" i="5" s="1"/>
  <c r="DF31" i="5"/>
  <c r="DP30" i="5"/>
  <c r="C29" i="5"/>
  <c r="A30" i="5"/>
  <c r="B29" i="5"/>
  <c r="GP26" i="5"/>
  <c r="GU26" i="5" s="1"/>
  <c r="I26" i="5"/>
  <c r="L27" i="5"/>
  <c r="J27" i="5"/>
  <c r="H27" i="5"/>
  <c r="R27" i="5" s="1"/>
  <c r="G27" i="5"/>
  <c r="Q27" i="5" s="1"/>
  <c r="M27" i="5"/>
  <c r="P24" i="5"/>
  <c r="CK32" i="5"/>
  <c r="CM31" i="5"/>
  <c r="FW26" i="5"/>
  <c r="D28" i="5"/>
  <c r="N28" i="5" s="1"/>
  <c r="F28" i="5"/>
  <c r="E28" i="5"/>
  <c r="K25" i="5"/>
  <c r="BK31" i="5"/>
  <c r="BA31" i="5"/>
  <c r="AZ31" i="5"/>
  <c r="AY31" i="5"/>
  <c r="AM31" i="5"/>
  <c r="AS31" i="5" s="1"/>
  <c r="BL31" i="5"/>
  <c r="BF31" i="5"/>
  <c r="BG31" i="5" s="1"/>
  <c r="AL31" i="5"/>
  <c r="AR31" i="5" s="1"/>
  <c r="BE24" i="5"/>
  <c r="EP26" i="5"/>
  <c r="EN27" i="5"/>
  <c r="EO27" i="5"/>
  <c r="EM27" i="5"/>
  <c r="EK27" i="5"/>
  <c r="EJ27" i="5"/>
  <c r="EL27" i="5"/>
  <c r="BP16" i="5"/>
  <c r="AT16" i="5"/>
  <c r="AV16" i="5"/>
  <c r="AU16" i="5"/>
  <c r="E60" i="44"/>
  <c r="W17" i="44" s="1"/>
  <c r="BS15" i="5"/>
  <c r="BJ30" i="5"/>
  <c r="BD25" i="5"/>
  <c r="BC25" i="5"/>
  <c r="BB25" i="5"/>
  <c r="BV15" i="5"/>
  <c r="CH15" i="5" s="1"/>
  <c r="Y31" i="5"/>
  <c r="V32" i="5"/>
  <c r="AE31" i="5"/>
  <c r="AG31" i="5"/>
  <c r="BH31" i="5" s="1"/>
  <c r="A30" i="11"/>
  <c r="B29" i="11"/>
  <c r="D29" i="11"/>
  <c r="I62" i="44"/>
  <c r="AC15" i="44" s="1"/>
  <c r="AI15" i="5"/>
  <c r="H61" i="44"/>
  <c r="AB16" i="44" s="1"/>
  <c r="AA26" i="5"/>
  <c r="Z26" i="5"/>
  <c r="DK28" i="5"/>
  <c r="DJ28" i="5"/>
  <c r="IA57" i="5" l="1"/>
  <c r="BY16" i="5"/>
  <c r="O27" i="5"/>
  <c r="S27" i="5" s="1"/>
  <c r="T27" i="5" s="1"/>
  <c r="T26" i="5"/>
  <c r="HX57" i="5"/>
  <c r="HT58" i="5"/>
  <c r="HY58" i="5"/>
  <c r="HV58" i="5"/>
  <c r="HZ58" i="5"/>
  <c r="HW58" i="5"/>
  <c r="HU58" i="5"/>
  <c r="HT25" i="5"/>
  <c r="GF26" i="5"/>
  <c r="HN26" i="5"/>
  <c r="AK31" i="5"/>
  <c r="AQ31" i="5" s="1"/>
  <c r="HM59" i="5"/>
  <c r="HG26" i="5"/>
  <c r="DY16" i="5"/>
  <c r="DZ16" i="5" s="1"/>
  <c r="FV31" i="5"/>
  <c r="HA31" i="5"/>
  <c r="GO60" i="5"/>
  <c r="GY59" i="5"/>
  <c r="GW59" i="5"/>
  <c r="GU59" i="5"/>
  <c r="GX59" i="5"/>
  <c r="GV59" i="5"/>
  <c r="AN15" i="5"/>
  <c r="AO15" i="5" s="1"/>
  <c r="FF17" i="5"/>
  <c r="FE17" i="5"/>
  <c r="FB17" i="5"/>
  <c r="FC17" i="5"/>
  <c r="DL18" i="5"/>
  <c r="HB27" i="5"/>
  <c r="HG27" i="5" s="1"/>
  <c r="ES18" i="5"/>
  <c r="DU16" i="5"/>
  <c r="R48" i="50"/>
  <c r="T48" i="50" s="1"/>
  <c r="EC30" i="5"/>
  <c r="ED30" i="5"/>
  <c r="B52" i="50"/>
  <c r="C52" i="50"/>
  <c r="A53" i="50"/>
  <c r="I49" i="50"/>
  <c r="K49" i="50" s="1"/>
  <c r="O49" i="50" s="1"/>
  <c r="P49" i="50" s="1"/>
  <c r="D51" i="50"/>
  <c r="F51" i="50"/>
  <c r="E51" i="50"/>
  <c r="M50" i="50"/>
  <c r="V50" i="50"/>
  <c r="W50" i="50" s="1"/>
  <c r="Y50" i="50" s="1"/>
  <c r="L50" i="50"/>
  <c r="J50" i="50"/>
  <c r="H50" i="50"/>
  <c r="N50" i="50"/>
  <c r="G50" i="50"/>
  <c r="P48" i="50"/>
  <c r="U32" i="44"/>
  <c r="T32" i="44"/>
  <c r="A33" i="44"/>
  <c r="BM31" i="5"/>
  <c r="DX31" i="5"/>
  <c r="DR31" i="5"/>
  <c r="ES31" i="5" s="1"/>
  <c r="DF32" i="5"/>
  <c r="DW31" i="5"/>
  <c r="DV31" i="5" s="1"/>
  <c r="EB31" i="5" s="1"/>
  <c r="DI31" i="5"/>
  <c r="DM31" i="5"/>
  <c r="DP31" i="5"/>
  <c r="EQ31" i="5"/>
  <c r="ER31" i="5" s="1"/>
  <c r="GP27" i="5"/>
  <c r="GU27" i="5" s="1"/>
  <c r="I27" i="5"/>
  <c r="P25" i="5"/>
  <c r="CK33" i="5"/>
  <c r="CM32" i="5"/>
  <c r="FW27" i="5"/>
  <c r="K26" i="5"/>
  <c r="E29" i="5"/>
  <c r="F29" i="5"/>
  <c r="D29" i="5"/>
  <c r="N29" i="5" s="1"/>
  <c r="H28" i="5"/>
  <c r="G28" i="5"/>
  <c r="L28" i="5"/>
  <c r="J28" i="5"/>
  <c r="M28" i="5"/>
  <c r="C30" i="5"/>
  <c r="A31" i="5"/>
  <c r="B30" i="5"/>
  <c r="BA32" i="5"/>
  <c r="AL32" i="5"/>
  <c r="AR32" i="5" s="1"/>
  <c r="AM32" i="5"/>
  <c r="AS32" i="5" s="1"/>
  <c r="BL32" i="5"/>
  <c r="BK32" i="5"/>
  <c r="BF32" i="5"/>
  <c r="BG32" i="5" s="1"/>
  <c r="AY32" i="5"/>
  <c r="AZ32" i="5"/>
  <c r="BE25" i="5"/>
  <c r="EP27" i="5"/>
  <c r="BJ31" i="5"/>
  <c r="GQ16" i="5"/>
  <c r="GV16" i="5" s="1"/>
  <c r="AB17" i="5"/>
  <c r="BT16" i="5"/>
  <c r="BU16" i="5"/>
  <c r="BC26" i="5"/>
  <c r="BD26" i="5"/>
  <c r="BB26" i="5"/>
  <c r="BQ16" i="5"/>
  <c r="BR16" i="5"/>
  <c r="EN28" i="5"/>
  <c r="EM28" i="5"/>
  <c r="EO28" i="5"/>
  <c r="EJ28" i="5"/>
  <c r="EK28" i="5"/>
  <c r="EL28" i="5"/>
  <c r="V33" i="5"/>
  <c r="Y32" i="5"/>
  <c r="AE32" i="5"/>
  <c r="AG32" i="5"/>
  <c r="BH32" i="5" s="1"/>
  <c r="Z27" i="5"/>
  <c r="AA27" i="5"/>
  <c r="AJ15" i="5"/>
  <c r="D30" i="11"/>
  <c r="A31" i="11"/>
  <c r="A32" i="11" s="1"/>
  <c r="B30" i="11"/>
  <c r="DJ29" i="5"/>
  <c r="DK29" i="5"/>
  <c r="CC16" i="5" l="1"/>
  <c r="O28" i="5"/>
  <c r="Q28" i="5"/>
  <c r="R28" i="5"/>
  <c r="IA58" i="5"/>
  <c r="HX58" i="5"/>
  <c r="HZ59" i="5"/>
  <c r="HY59" i="5"/>
  <c r="HV59" i="5"/>
  <c r="HT59" i="5"/>
  <c r="HW59" i="5"/>
  <c r="HU59" i="5"/>
  <c r="HN27" i="5"/>
  <c r="HT26" i="5"/>
  <c r="AK32" i="5"/>
  <c r="AQ32" i="5" s="1"/>
  <c r="HM60" i="5"/>
  <c r="HA32" i="5"/>
  <c r="FV32" i="5"/>
  <c r="DO18" i="5"/>
  <c r="DS18" i="5"/>
  <c r="GO61" i="5"/>
  <c r="GY60" i="5"/>
  <c r="GW60" i="5"/>
  <c r="GU60" i="5"/>
  <c r="GV60" i="5"/>
  <c r="GX60" i="5"/>
  <c r="GF27" i="5"/>
  <c r="AH17" i="5"/>
  <c r="AD17" i="5"/>
  <c r="L60" i="44"/>
  <c r="AF17" i="44" s="1"/>
  <c r="A33" i="11"/>
  <c r="B32" i="11"/>
  <c r="FD17" i="5"/>
  <c r="FG17" i="5"/>
  <c r="FS17" i="5" s="1"/>
  <c r="FA18" i="5"/>
  <c r="EG18" i="5"/>
  <c r="DN18" i="5"/>
  <c r="EF18" i="5"/>
  <c r="HB28" i="5"/>
  <c r="HG28" i="5" s="1"/>
  <c r="DT17" i="5"/>
  <c r="K59" i="44"/>
  <c r="AE18" i="44" s="1"/>
  <c r="EC31" i="5"/>
  <c r="ED31" i="5"/>
  <c r="J51" i="50"/>
  <c r="H51" i="50"/>
  <c r="V51" i="50"/>
  <c r="W51" i="50" s="1"/>
  <c r="Y51" i="50" s="1"/>
  <c r="N51" i="50"/>
  <c r="G51" i="50"/>
  <c r="L51" i="50"/>
  <c r="M51" i="50"/>
  <c r="Q49" i="50"/>
  <c r="I50" i="50"/>
  <c r="K50" i="50" s="1"/>
  <c r="O50" i="50" s="1"/>
  <c r="B53" i="50"/>
  <c r="C53" i="50"/>
  <c r="A54" i="50"/>
  <c r="E52" i="50"/>
  <c r="F52" i="50"/>
  <c r="D52" i="50"/>
  <c r="U33" i="44"/>
  <c r="A34" i="44"/>
  <c r="T33" i="44"/>
  <c r="DX32" i="5"/>
  <c r="DW32" i="5"/>
  <c r="DV32" i="5" s="1"/>
  <c r="EB32" i="5" s="1"/>
  <c r="DF33" i="5"/>
  <c r="DI32" i="5"/>
  <c r="DR32" i="5"/>
  <c r="ES32" i="5" s="1"/>
  <c r="DP32" i="5"/>
  <c r="DM32" i="5"/>
  <c r="EQ32" i="5"/>
  <c r="ER32" i="5" s="1"/>
  <c r="BM32" i="5"/>
  <c r="P26" i="5"/>
  <c r="E30" i="5"/>
  <c r="F30" i="5"/>
  <c r="D30" i="5"/>
  <c r="N30" i="5" s="1"/>
  <c r="C31" i="5"/>
  <c r="B31" i="5"/>
  <c r="A32" i="5"/>
  <c r="G29" i="5"/>
  <c r="M29" i="5"/>
  <c r="L29" i="5"/>
  <c r="J29" i="5"/>
  <c r="H29" i="5"/>
  <c r="BE26" i="5"/>
  <c r="CM33" i="5"/>
  <c r="CK34" i="5"/>
  <c r="FW28" i="5"/>
  <c r="K27" i="5"/>
  <c r="GP28" i="5"/>
  <c r="GU28" i="5" s="1"/>
  <c r="I28" i="5"/>
  <c r="AZ33" i="5"/>
  <c r="AL33" i="5"/>
  <c r="AR33" i="5" s="1"/>
  <c r="BA33" i="5"/>
  <c r="AY33" i="5"/>
  <c r="BF33" i="5"/>
  <c r="BG33" i="5" s="1"/>
  <c r="BL33" i="5"/>
  <c r="AM33" i="5"/>
  <c r="AS33" i="5" s="1"/>
  <c r="BK33" i="5"/>
  <c r="BV16" i="5"/>
  <c r="CH16" i="5" s="1"/>
  <c r="BS16" i="5"/>
  <c r="EP28" i="5"/>
  <c r="EN29" i="5"/>
  <c r="EO29" i="5"/>
  <c r="EM29" i="5"/>
  <c r="EK29" i="5"/>
  <c r="EJ29" i="5"/>
  <c r="EL29" i="5"/>
  <c r="BJ32" i="5"/>
  <c r="BC27" i="5"/>
  <c r="BD27" i="5"/>
  <c r="BB27" i="5"/>
  <c r="BP17" i="5"/>
  <c r="AT17" i="5"/>
  <c r="AU17" i="5"/>
  <c r="AV17" i="5"/>
  <c r="AC17" i="5"/>
  <c r="E59" i="44"/>
  <c r="W18" i="44" s="1"/>
  <c r="V34" i="5"/>
  <c r="Y33" i="5"/>
  <c r="AE33" i="5"/>
  <c r="AG33" i="5"/>
  <c r="BH33" i="5" s="1"/>
  <c r="H60" i="44"/>
  <c r="AB17" i="44" s="1"/>
  <c r="AI16" i="5"/>
  <c r="B31" i="11"/>
  <c r="D31" i="11"/>
  <c r="I61" i="44"/>
  <c r="AC16" i="44" s="1"/>
  <c r="AA28" i="5"/>
  <c r="Z28" i="5"/>
  <c r="DJ30" i="5"/>
  <c r="DK30" i="5"/>
  <c r="O29" i="5" l="1"/>
  <c r="S29" i="5" s="1"/>
  <c r="BY17" i="5"/>
  <c r="S28" i="5"/>
  <c r="T28" i="5" s="1"/>
  <c r="Q29" i="5"/>
  <c r="R29" i="5"/>
  <c r="IA59" i="5"/>
  <c r="HX59" i="5"/>
  <c r="HW60" i="5"/>
  <c r="HZ60" i="5"/>
  <c r="HU60" i="5"/>
  <c r="HY60" i="5"/>
  <c r="HV60" i="5"/>
  <c r="HT60" i="5"/>
  <c r="HN28" i="5"/>
  <c r="HT27" i="5"/>
  <c r="AK33" i="5"/>
  <c r="AQ33" i="5" s="1"/>
  <c r="HM61" i="5"/>
  <c r="FV33" i="5"/>
  <c r="DY17" i="5"/>
  <c r="DZ17" i="5" s="1"/>
  <c r="GO62" i="5"/>
  <c r="GY61" i="5"/>
  <c r="GW61" i="5"/>
  <c r="GU61" i="5"/>
  <c r="GV61" i="5"/>
  <c r="GX61" i="5"/>
  <c r="HA33" i="5"/>
  <c r="GF28" i="5"/>
  <c r="AN16" i="5"/>
  <c r="AO16" i="5" s="1"/>
  <c r="B33" i="11"/>
  <c r="A34" i="11"/>
  <c r="B34" i="11" s="1"/>
  <c r="FC18" i="5"/>
  <c r="DL19" i="5"/>
  <c r="FB18" i="5"/>
  <c r="FE18" i="5"/>
  <c r="FF18" i="5"/>
  <c r="HB29" i="5"/>
  <c r="DU17" i="5"/>
  <c r="EC32" i="5"/>
  <c r="ED32" i="5"/>
  <c r="Q50" i="50"/>
  <c r="R50" i="50" s="1"/>
  <c r="T50" i="50" s="1"/>
  <c r="P50" i="50"/>
  <c r="R49" i="50"/>
  <c r="T49" i="50" s="1"/>
  <c r="H52" i="50"/>
  <c r="G52" i="50"/>
  <c r="L52" i="50"/>
  <c r="J52" i="50"/>
  <c r="V52" i="50"/>
  <c r="N52" i="50"/>
  <c r="M52" i="50"/>
  <c r="B54" i="50"/>
  <c r="C54" i="50"/>
  <c r="A55" i="50"/>
  <c r="I51" i="50"/>
  <c r="K51" i="50" s="1"/>
  <c r="O51" i="50" s="1"/>
  <c r="P51" i="50" s="1"/>
  <c r="D53" i="50"/>
  <c r="E53" i="50"/>
  <c r="F53" i="50"/>
  <c r="U34" i="44"/>
  <c r="T34" i="44"/>
  <c r="A35" i="44"/>
  <c r="DI33" i="5"/>
  <c r="DM33" i="5"/>
  <c r="DR33" i="5"/>
  <c r="ES33" i="5" s="1"/>
  <c r="DF34" i="5"/>
  <c r="DW33" i="5"/>
  <c r="DV33" i="5" s="1"/>
  <c r="EB33" i="5" s="1"/>
  <c r="DP33" i="5"/>
  <c r="EQ33" i="5"/>
  <c r="ER33" i="5" s="1"/>
  <c r="DX33" i="5"/>
  <c r="BM33" i="5"/>
  <c r="D31" i="5"/>
  <c r="N31" i="5" s="1"/>
  <c r="E31" i="5"/>
  <c r="F31" i="5"/>
  <c r="GP29" i="5"/>
  <c r="GU29" i="5" s="1"/>
  <c r="I29" i="5"/>
  <c r="L30" i="5"/>
  <c r="M30" i="5"/>
  <c r="G30" i="5"/>
  <c r="Q30" i="5" s="1"/>
  <c r="J30" i="5"/>
  <c r="H30" i="5"/>
  <c r="R30" i="5" s="1"/>
  <c r="P27" i="5"/>
  <c r="K28" i="5"/>
  <c r="CK35" i="5"/>
  <c r="CM34" i="5"/>
  <c r="FW29" i="5"/>
  <c r="B32" i="5"/>
  <c r="A33" i="5"/>
  <c r="C32" i="5"/>
  <c r="BF34" i="5"/>
  <c r="BG34" i="5" s="1"/>
  <c r="AY34" i="5"/>
  <c r="AL34" i="5"/>
  <c r="AR34" i="5" s="1"/>
  <c r="BK34" i="5"/>
  <c r="AZ34" i="5"/>
  <c r="BA34" i="5"/>
  <c r="BL34" i="5"/>
  <c r="AM34" i="5"/>
  <c r="AS34" i="5" s="1"/>
  <c r="BE27" i="5"/>
  <c r="EP29" i="5"/>
  <c r="GQ17" i="5"/>
  <c r="GV17" i="5" s="1"/>
  <c r="AB18" i="5"/>
  <c r="EO30" i="5"/>
  <c r="EM30" i="5"/>
  <c r="EN30" i="5"/>
  <c r="EK30" i="5"/>
  <c r="EL30" i="5"/>
  <c r="EJ30" i="5"/>
  <c r="BC28" i="5"/>
  <c r="BD28" i="5"/>
  <c r="BB28" i="5"/>
  <c r="BQ17" i="5"/>
  <c r="BR17" i="5"/>
  <c r="BT17" i="5"/>
  <c r="BU17" i="5"/>
  <c r="BJ33" i="5"/>
  <c r="Y34" i="5"/>
  <c r="V35" i="5"/>
  <c r="AG34" i="5"/>
  <c r="BH34" i="5" s="1"/>
  <c r="AE34" i="5"/>
  <c r="D32" i="11"/>
  <c r="AJ16" i="5"/>
  <c r="Z29" i="5"/>
  <c r="AA29" i="5"/>
  <c r="DJ31" i="5"/>
  <c r="DK31" i="5"/>
  <c r="CC17" i="5" l="1"/>
  <c r="O30" i="5"/>
  <c r="T29" i="5"/>
  <c r="HX60" i="5"/>
  <c r="IA60" i="5"/>
  <c r="HZ61" i="5"/>
  <c r="HW61" i="5"/>
  <c r="HY61" i="5"/>
  <c r="HV61" i="5"/>
  <c r="HT61" i="5"/>
  <c r="HU61" i="5"/>
  <c r="HN29" i="5"/>
  <c r="HT28" i="5"/>
  <c r="AK34" i="5"/>
  <c r="AQ34" i="5" s="1"/>
  <c r="HM62" i="5"/>
  <c r="HG29" i="5"/>
  <c r="GO63" i="5"/>
  <c r="GX62" i="5"/>
  <c r="GV62" i="5"/>
  <c r="GY62" i="5"/>
  <c r="GW62" i="5"/>
  <c r="GU62" i="5"/>
  <c r="HA34" i="5"/>
  <c r="DO19" i="5"/>
  <c r="DS19" i="5"/>
  <c r="FV34" i="5"/>
  <c r="GF29" i="5"/>
  <c r="AH18" i="5"/>
  <c r="AD18" i="5"/>
  <c r="L59" i="44"/>
  <c r="AF18" i="44" s="1"/>
  <c r="FD18" i="5"/>
  <c r="FG18" i="5"/>
  <c r="FS18" i="5" s="1"/>
  <c r="FA19" i="5"/>
  <c r="EF19" i="5"/>
  <c r="EG19" i="5"/>
  <c r="DN19" i="5"/>
  <c r="ES19" i="5" s="1"/>
  <c r="HB30" i="5"/>
  <c r="DT18" i="5"/>
  <c r="K58" i="44"/>
  <c r="AE19" i="44" s="1"/>
  <c r="AT18" i="5"/>
  <c r="ED33" i="5"/>
  <c r="EC33" i="5"/>
  <c r="I52" i="50"/>
  <c r="K52" i="50" s="1"/>
  <c r="O52" i="50" s="1"/>
  <c r="Q52" i="50" s="1"/>
  <c r="B55" i="50"/>
  <c r="C55" i="50"/>
  <c r="A56" i="50"/>
  <c r="F54" i="50"/>
  <c r="E54" i="50"/>
  <c r="D54" i="50"/>
  <c r="W52" i="50"/>
  <c r="Y52" i="50" s="1"/>
  <c r="M53" i="50"/>
  <c r="L53" i="50"/>
  <c r="J53" i="50"/>
  <c r="H53" i="50"/>
  <c r="N53" i="50"/>
  <c r="G53" i="50"/>
  <c r="V53" i="50"/>
  <c r="W53" i="50" s="1"/>
  <c r="Y53" i="50" s="1"/>
  <c r="Q51" i="50"/>
  <c r="T35" i="44"/>
  <c r="U35" i="44"/>
  <c r="A36" i="44"/>
  <c r="BM34" i="5"/>
  <c r="DR34" i="5"/>
  <c r="ES34" i="5" s="1"/>
  <c r="EQ34" i="5"/>
  <c r="ER34" i="5" s="1"/>
  <c r="DW34" i="5"/>
  <c r="DV34" i="5" s="1"/>
  <c r="EB34" i="5" s="1"/>
  <c r="DI34" i="5"/>
  <c r="DF35" i="5"/>
  <c r="DX34" i="5"/>
  <c r="DM34" i="5"/>
  <c r="DP34" i="5"/>
  <c r="AC18" i="5"/>
  <c r="BQ18" i="5" s="1"/>
  <c r="E58" i="44"/>
  <c r="W19" i="44" s="1"/>
  <c r="AU18" i="5"/>
  <c r="GP30" i="5"/>
  <c r="GU30" i="5" s="1"/>
  <c r="I30" i="5"/>
  <c r="P28" i="5"/>
  <c r="FW30" i="5"/>
  <c r="K29" i="5"/>
  <c r="M31" i="5"/>
  <c r="L31" i="5"/>
  <c r="J31" i="5"/>
  <c r="H31" i="5"/>
  <c r="G31" i="5"/>
  <c r="B33" i="5"/>
  <c r="A34" i="5"/>
  <c r="C33" i="5"/>
  <c r="D32" i="5"/>
  <c r="N32" i="5" s="1"/>
  <c r="F32" i="5"/>
  <c r="E32" i="5"/>
  <c r="CM35" i="5"/>
  <c r="CK36" i="5"/>
  <c r="AZ35" i="5"/>
  <c r="BK35" i="5"/>
  <c r="AY35" i="5"/>
  <c r="BF35" i="5"/>
  <c r="BG35" i="5" s="1"/>
  <c r="BL35" i="5"/>
  <c r="AM35" i="5"/>
  <c r="AS35" i="5" s="1"/>
  <c r="BA35" i="5"/>
  <c r="AL35" i="5"/>
  <c r="AR35" i="5" s="1"/>
  <c r="AV18" i="5"/>
  <c r="BP18" i="5"/>
  <c r="BE28" i="5"/>
  <c r="EP30" i="5"/>
  <c r="EO31" i="5"/>
  <c r="EM31" i="5"/>
  <c r="EN31" i="5"/>
  <c r="EL31" i="5"/>
  <c r="EK31" i="5"/>
  <c r="EJ31" i="5"/>
  <c r="BV17" i="5"/>
  <c r="CH17" i="5" s="1"/>
  <c r="BS17" i="5"/>
  <c r="BC29" i="5"/>
  <c r="BB29" i="5"/>
  <c r="BD29" i="5"/>
  <c r="BJ34" i="5"/>
  <c r="H59" i="44"/>
  <c r="AB18" i="44" s="1"/>
  <c r="AI17" i="5"/>
  <c r="AA30" i="5"/>
  <c r="Z30" i="5"/>
  <c r="D33" i="11"/>
  <c r="I60" i="44"/>
  <c r="AC17" i="44" s="1"/>
  <c r="Y35" i="5"/>
  <c r="V36" i="5"/>
  <c r="AE35" i="5"/>
  <c r="AG35" i="5"/>
  <c r="BH35" i="5" s="1"/>
  <c r="DJ32" i="5"/>
  <c r="DK32" i="5"/>
  <c r="O31" i="5" l="1"/>
  <c r="S31" i="5" s="1"/>
  <c r="BY18" i="5"/>
  <c r="S30" i="5"/>
  <c r="T30" i="5" s="1"/>
  <c r="R31" i="5"/>
  <c r="Q31" i="5"/>
  <c r="HX61" i="5"/>
  <c r="IA61" i="5"/>
  <c r="HZ62" i="5"/>
  <c r="HW62" i="5"/>
  <c r="HU62" i="5"/>
  <c r="HY62" i="5"/>
  <c r="HV62" i="5"/>
  <c r="HT62" i="5"/>
  <c r="HT29" i="5"/>
  <c r="HN30" i="5"/>
  <c r="AK35" i="5"/>
  <c r="AQ35" i="5" s="1"/>
  <c r="HM63" i="5"/>
  <c r="FV35" i="5"/>
  <c r="GO64" i="5"/>
  <c r="GX63" i="5"/>
  <c r="GV63" i="5"/>
  <c r="GY63" i="5"/>
  <c r="GW63" i="5"/>
  <c r="GU63" i="5"/>
  <c r="GF30" i="5"/>
  <c r="HG30" i="5"/>
  <c r="DY18" i="5"/>
  <c r="DZ18" i="5" s="1"/>
  <c r="HA35" i="5"/>
  <c r="AN17" i="5"/>
  <c r="AO17" i="5" s="1"/>
  <c r="HB31" i="5"/>
  <c r="FE19" i="5"/>
  <c r="FF19" i="5"/>
  <c r="FC19" i="5"/>
  <c r="DL20" i="5"/>
  <c r="FB19" i="5"/>
  <c r="BH18" i="5"/>
  <c r="DU18" i="5"/>
  <c r="BM35" i="5"/>
  <c r="AB19" i="5"/>
  <c r="AD19" i="5" s="1"/>
  <c r="BR18" i="5"/>
  <c r="BS18" i="5" s="1"/>
  <c r="R52" i="50"/>
  <c r="T52" i="50" s="1"/>
  <c r="ED34" i="5"/>
  <c r="P52" i="50"/>
  <c r="EC34" i="5"/>
  <c r="I53" i="50"/>
  <c r="K53" i="50" s="1"/>
  <c r="O53" i="50" s="1"/>
  <c r="R51" i="50"/>
  <c r="T51" i="50" s="1"/>
  <c r="A57" i="50"/>
  <c r="B56" i="50"/>
  <c r="C56" i="50"/>
  <c r="D55" i="50"/>
  <c r="E55" i="50"/>
  <c r="F55" i="50"/>
  <c r="G54" i="50"/>
  <c r="V54" i="50"/>
  <c r="H54" i="50"/>
  <c r="L54" i="50"/>
  <c r="J54" i="50"/>
  <c r="M54" i="50"/>
  <c r="N54" i="50"/>
  <c r="U36" i="44"/>
  <c r="T36" i="44"/>
  <c r="A37" i="44"/>
  <c r="DW35" i="5"/>
  <c r="DV35" i="5" s="1"/>
  <c r="EB35" i="5" s="1"/>
  <c r="DP35" i="5"/>
  <c r="DF36" i="5"/>
  <c r="EQ35" i="5"/>
  <c r="ER35" i="5" s="1"/>
  <c r="DI35" i="5"/>
  <c r="DM35" i="5"/>
  <c r="DR35" i="5"/>
  <c r="ES35" i="5" s="1"/>
  <c r="DX35" i="5"/>
  <c r="GQ18" i="5"/>
  <c r="GV18" i="5" s="1"/>
  <c r="BU18" i="5"/>
  <c r="D33" i="5"/>
  <c r="N33" i="5" s="1"/>
  <c r="E33" i="5"/>
  <c r="F33" i="5"/>
  <c r="FW31" i="5"/>
  <c r="M32" i="5"/>
  <c r="L32" i="5"/>
  <c r="G32" i="5"/>
  <c r="Q32" i="5" s="1"/>
  <c r="H32" i="5"/>
  <c r="R32" i="5" s="1"/>
  <c r="J32" i="5"/>
  <c r="GP31" i="5"/>
  <c r="GU31" i="5" s="1"/>
  <c r="I31" i="5"/>
  <c r="CK37" i="5"/>
  <c r="CM36" i="5"/>
  <c r="BT18" i="5"/>
  <c r="P29" i="5"/>
  <c r="K30" i="5"/>
  <c r="B34" i="5"/>
  <c r="C34" i="5"/>
  <c r="A35" i="5"/>
  <c r="BA36" i="5"/>
  <c r="AZ36" i="5"/>
  <c r="AY36" i="5"/>
  <c r="BF36" i="5"/>
  <c r="BG36" i="5" s="1"/>
  <c r="BL36" i="5"/>
  <c r="AM36" i="5"/>
  <c r="AS36" i="5" s="1"/>
  <c r="AL36" i="5"/>
  <c r="AR36" i="5" s="1"/>
  <c r="BK36" i="5"/>
  <c r="EP31" i="5"/>
  <c r="BE29" i="5"/>
  <c r="BB30" i="5"/>
  <c r="BD30" i="5"/>
  <c r="BC30" i="5"/>
  <c r="BJ35" i="5"/>
  <c r="EN32" i="5"/>
  <c r="EM32" i="5"/>
  <c r="EO32" i="5"/>
  <c r="EL32" i="5"/>
  <c r="EK32" i="5"/>
  <c r="EJ32" i="5"/>
  <c r="Y36" i="5"/>
  <c r="V37" i="5"/>
  <c r="AG36" i="5"/>
  <c r="BH36" i="5" s="1"/>
  <c r="AE36" i="5"/>
  <c r="D34" i="11"/>
  <c r="AJ17" i="5"/>
  <c r="AA31" i="5"/>
  <c r="Z31" i="5"/>
  <c r="DK33" i="5"/>
  <c r="DJ33" i="5"/>
  <c r="T31" i="5" l="1"/>
  <c r="CC18" i="5"/>
  <c r="O32" i="5"/>
  <c r="HX62" i="5"/>
  <c r="IA62" i="5"/>
  <c r="HZ63" i="5"/>
  <c r="HW63" i="5"/>
  <c r="HU63" i="5"/>
  <c r="HY63" i="5"/>
  <c r="HV63" i="5"/>
  <c r="HT63" i="5"/>
  <c r="HT30" i="5"/>
  <c r="HN31" i="5"/>
  <c r="AK36" i="5"/>
  <c r="AQ36" i="5" s="1"/>
  <c r="HM64" i="5"/>
  <c r="GO65" i="5"/>
  <c r="GX64" i="5"/>
  <c r="GV64" i="5"/>
  <c r="GY64" i="5"/>
  <c r="GW64" i="5"/>
  <c r="GU64" i="5"/>
  <c r="HA36" i="5"/>
  <c r="DO20" i="5"/>
  <c r="DS20" i="5"/>
  <c r="HG31" i="5"/>
  <c r="FV36" i="5"/>
  <c r="GF31" i="5"/>
  <c r="AU19" i="5"/>
  <c r="AH19" i="5"/>
  <c r="L58" i="44"/>
  <c r="AF19" i="44" s="1"/>
  <c r="FD19" i="5"/>
  <c r="EF20" i="5"/>
  <c r="EG20" i="5"/>
  <c r="FA20" i="5"/>
  <c r="DN20" i="5"/>
  <c r="FG19" i="5"/>
  <c r="FS19" i="5" s="1"/>
  <c r="BP19" i="5"/>
  <c r="E57" i="44"/>
  <c r="W20" i="44" s="1"/>
  <c r="AV19" i="5"/>
  <c r="AC19" i="5"/>
  <c r="BQ19" i="5" s="1"/>
  <c r="AT19" i="5"/>
  <c r="HB32" i="5"/>
  <c r="DT19" i="5"/>
  <c r="K57" i="44"/>
  <c r="AE20" i="44" s="1"/>
  <c r="ED35" i="5"/>
  <c r="EC35" i="5"/>
  <c r="BV18" i="5"/>
  <c r="CH18" i="5" s="1"/>
  <c r="I54" i="50"/>
  <c r="K54" i="50" s="1"/>
  <c r="O54" i="50" s="1"/>
  <c r="M55" i="50"/>
  <c r="L55" i="50"/>
  <c r="J55" i="50"/>
  <c r="N55" i="50"/>
  <c r="V55" i="50"/>
  <c r="W55" i="50" s="1"/>
  <c r="Y55" i="50" s="1"/>
  <c r="H55" i="50"/>
  <c r="G55" i="50"/>
  <c r="D56" i="50"/>
  <c r="E56" i="50"/>
  <c r="F56" i="50"/>
  <c r="W54" i="50"/>
  <c r="Y54" i="50" s="1"/>
  <c r="C57" i="50"/>
  <c r="A58" i="50"/>
  <c r="B57" i="50"/>
  <c r="Q53" i="50"/>
  <c r="P53" i="50"/>
  <c r="A38" i="44"/>
  <c r="U37" i="44"/>
  <c r="T37" i="44"/>
  <c r="DW36" i="5"/>
  <c r="DV36" i="5" s="1"/>
  <c r="EB36" i="5" s="1"/>
  <c r="EQ36" i="5"/>
  <c r="ER36" i="5" s="1"/>
  <c r="DX36" i="5"/>
  <c r="DI36" i="5"/>
  <c r="DF37" i="5"/>
  <c r="DR36" i="5"/>
  <c r="ES36" i="5" s="1"/>
  <c r="DM36" i="5"/>
  <c r="DP36" i="5"/>
  <c r="BH19" i="5"/>
  <c r="BE30" i="5"/>
  <c r="BM36" i="5"/>
  <c r="GP32" i="5"/>
  <c r="GU32" i="5" s="1"/>
  <c r="I32" i="5"/>
  <c r="FW32" i="5"/>
  <c r="C35" i="5"/>
  <c r="B35" i="5"/>
  <c r="A36" i="5"/>
  <c r="M33" i="5"/>
  <c r="L33" i="5"/>
  <c r="J33" i="5"/>
  <c r="H33" i="5"/>
  <c r="R33" i="5" s="1"/>
  <c r="G33" i="5"/>
  <c r="Q33" i="5" s="1"/>
  <c r="F34" i="5"/>
  <c r="E34" i="5"/>
  <c r="D34" i="5"/>
  <c r="N34" i="5" s="1"/>
  <c r="P30" i="5"/>
  <c r="CK38" i="5"/>
  <c r="CM37" i="5"/>
  <c r="K31" i="5"/>
  <c r="AL37" i="5"/>
  <c r="AR37" i="5" s="1"/>
  <c r="BA37" i="5"/>
  <c r="BL37" i="5"/>
  <c r="AM37" i="5"/>
  <c r="AS37" i="5" s="1"/>
  <c r="AZ37" i="5"/>
  <c r="BF37" i="5"/>
  <c r="BG37" i="5" s="1"/>
  <c r="BK37" i="5"/>
  <c r="AY37" i="5"/>
  <c r="EP32" i="5"/>
  <c r="BC31" i="5"/>
  <c r="BB31" i="5"/>
  <c r="BD31" i="5"/>
  <c r="EN33" i="5"/>
  <c r="EO33" i="5"/>
  <c r="EM33" i="5"/>
  <c r="EJ33" i="5"/>
  <c r="EL33" i="5"/>
  <c r="EK33" i="5"/>
  <c r="BJ36" i="5"/>
  <c r="H58" i="44"/>
  <c r="AB19" i="44" s="1"/>
  <c r="AI18" i="5"/>
  <c r="AA32" i="5"/>
  <c r="Z32" i="5"/>
  <c r="I59" i="44"/>
  <c r="AC18" i="44" s="1"/>
  <c r="V38" i="5"/>
  <c r="Y37" i="5"/>
  <c r="AG37" i="5"/>
  <c r="BH37" i="5" s="1"/>
  <c r="AE37" i="5"/>
  <c r="DK34" i="5"/>
  <c r="DJ34" i="5"/>
  <c r="BY19" i="5" l="1"/>
  <c r="CC19" i="5" s="1"/>
  <c r="DC38" i="5"/>
  <c r="DB38" i="5"/>
  <c r="DD38" i="5"/>
  <c r="DA38" i="5"/>
  <c r="CD38" i="5"/>
  <c r="CC38" i="5"/>
  <c r="CE38" i="5"/>
  <c r="CB38" i="5"/>
  <c r="O33" i="5"/>
  <c r="S33" i="5" s="1"/>
  <c r="T33" i="5" s="1"/>
  <c r="S32" i="5"/>
  <c r="T32" i="5" s="1"/>
  <c r="HX63" i="5"/>
  <c r="IA63" i="5"/>
  <c r="HZ64" i="5"/>
  <c r="HW64" i="5"/>
  <c r="HU64" i="5"/>
  <c r="HY64" i="5"/>
  <c r="HV64" i="5"/>
  <c r="HT64" i="5"/>
  <c r="HT31" i="5"/>
  <c r="GF32" i="5"/>
  <c r="HN32" i="5"/>
  <c r="AK37" i="5"/>
  <c r="AQ37" i="5" s="1"/>
  <c r="CI38" i="5"/>
  <c r="HM65" i="5"/>
  <c r="HA37" i="5"/>
  <c r="FV37" i="5"/>
  <c r="DY19" i="5"/>
  <c r="DZ19" i="5" s="1"/>
  <c r="GO66" i="5"/>
  <c r="GX65" i="5"/>
  <c r="GV65" i="5"/>
  <c r="GY65" i="5"/>
  <c r="GW65" i="5"/>
  <c r="GU65" i="5"/>
  <c r="HG32" i="5"/>
  <c r="AN18" i="5"/>
  <c r="AO18" i="5" s="1"/>
  <c r="BU19" i="5"/>
  <c r="AB20" i="5"/>
  <c r="AD20" i="5" s="1"/>
  <c r="BR19" i="5"/>
  <c r="BS19" i="5" s="1"/>
  <c r="BT19" i="5"/>
  <c r="GQ19" i="5"/>
  <c r="GV19" i="5" s="1"/>
  <c r="FB20" i="5"/>
  <c r="FC20" i="5"/>
  <c r="DL21" i="5"/>
  <c r="FF20" i="5"/>
  <c r="FE20" i="5"/>
  <c r="HB33" i="5"/>
  <c r="HG33" i="5" s="1"/>
  <c r="DU19" i="5"/>
  <c r="ED36" i="5"/>
  <c r="EC36" i="5"/>
  <c r="R53" i="50"/>
  <c r="T53" i="50" s="1"/>
  <c r="D57" i="50"/>
  <c r="E57" i="50"/>
  <c r="F57" i="50"/>
  <c r="J56" i="50"/>
  <c r="H56" i="50"/>
  <c r="V56" i="50"/>
  <c r="W56" i="50" s="1"/>
  <c r="Y56" i="50" s="1"/>
  <c r="G56" i="50"/>
  <c r="L56" i="50"/>
  <c r="M56" i="50"/>
  <c r="N56" i="50"/>
  <c r="A59" i="50"/>
  <c r="C58" i="50"/>
  <c r="B58" i="50"/>
  <c r="I55" i="50"/>
  <c r="K55" i="50" s="1"/>
  <c r="O55" i="50" s="1"/>
  <c r="Q55" i="50" s="1"/>
  <c r="P54" i="50"/>
  <c r="Q54" i="50"/>
  <c r="U38" i="44"/>
  <c r="A39" i="44"/>
  <c r="T38" i="44"/>
  <c r="DF38" i="5"/>
  <c r="DI37" i="5"/>
  <c r="DM37" i="5"/>
  <c r="DR37" i="5"/>
  <c r="ES37" i="5" s="1"/>
  <c r="DX37" i="5"/>
  <c r="EQ37" i="5"/>
  <c r="ER37" i="5" s="1"/>
  <c r="DP37" i="5"/>
  <c r="DW37" i="5"/>
  <c r="DV37" i="5" s="1"/>
  <c r="EB37" i="5" s="1"/>
  <c r="M34" i="5"/>
  <c r="L34" i="5"/>
  <c r="H34" i="5"/>
  <c r="G34" i="5"/>
  <c r="J34" i="5"/>
  <c r="K32" i="5"/>
  <c r="P31" i="5"/>
  <c r="CM38" i="5"/>
  <c r="CK39" i="5"/>
  <c r="A37" i="5"/>
  <c r="B36" i="5"/>
  <c r="C36" i="5"/>
  <c r="F35" i="5"/>
  <c r="D35" i="5"/>
  <c r="N35" i="5" s="1"/>
  <c r="E35" i="5"/>
  <c r="BM37" i="5"/>
  <c r="FW33" i="5"/>
  <c r="GP33" i="5"/>
  <c r="GU33" i="5" s="1"/>
  <c r="I33" i="5"/>
  <c r="BA38" i="5"/>
  <c r="AZ38" i="5"/>
  <c r="BF38" i="5"/>
  <c r="BG38" i="5" s="1"/>
  <c r="AY38" i="5"/>
  <c r="BN38" i="5"/>
  <c r="BO38" i="5" s="1"/>
  <c r="AM38" i="5"/>
  <c r="AS38" i="5" s="1"/>
  <c r="BK38" i="5"/>
  <c r="AL38" i="5"/>
  <c r="AR38" i="5" s="1"/>
  <c r="BL38" i="5"/>
  <c r="BE31" i="5"/>
  <c r="EP33" i="5"/>
  <c r="EO34" i="5"/>
  <c r="EN34" i="5"/>
  <c r="EM34" i="5"/>
  <c r="EJ34" i="5"/>
  <c r="EL34" i="5"/>
  <c r="EK34" i="5"/>
  <c r="BB32" i="5"/>
  <c r="BC32" i="5"/>
  <c r="BD32" i="5"/>
  <c r="BJ37" i="5"/>
  <c r="V39" i="5"/>
  <c r="Y38" i="5"/>
  <c r="AG38" i="5"/>
  <c r="BH38" i="5" s="1"/>
  <c r="AE38" i="5"/>
  <c r="AK38" i="5" s="1"/>
  <c r="AJ18" i="5"/>
  <c r="AA33" i="5"/>
  <c r="Z33" i="5"/>
  <c r="DK35" i="5"/>
  <c r="DJ35" i="5"/>
  <c r="AC20" i="5" l="1"/>
  <c r="BQ20" i="5" s="1"/>
  <c r="AN39" i="44"/>
  <c r="AM39" i="44"/>
  <c r="AO39" i="44"/>
  <c r="DC39" i="5"/>
  <c r="DB39" i="5"/>
  <c r="DD39" i="5"/>
  <c r="DA39" i="5"/>
  <c r="O34" i="5"/>
  <c r="S34" i="5" s="1"/>
  <c r="CD39" i="5"/>
  <c r="CC39" i="5"/>
  <c r="CE39" i="5"/>
  <c r="CB39" i="5"/>
  <c r="Q34" i="5"/>
  <c r="R34" i="5"/>
  <c r="HX64" i="5"/>
  <c r="HY65" i="5"/>
  <c r="HV65" i="5"/>
  <c r="HT65" i="5"/>
  <c r="HZ65" i="5"/>
  <c r="HW65" i="5"/>
  <c r="HU65" i="5"/>
  <c r="IA64" i="5"/>
  <c r="HT32" i="5"/>
  <c r="GF33" i="5"/>
  <c r="HN33" i="5"/>
  <c r="AQ38" i="5"/>
  <c r="CI39" i="5"/>
  <c r="E56" i="44"/>
  <c r="W21" i="44" s="1"/>
  <c r="HM66" i="5"/>
  <c r="DO21" i="5"/>
  <c r="DS21" i="5"/>
  <c r="FV38" i="5"/>
  <c r="GE38" i="5" s="1"/>
  <c r="FT38" i="5"/>
  <c r="GO67" i="5"/>
  <c r="GX66" i="5"/>
  <c r="GV66" i="5"/>
  <c r="GU66" i="5"/>
  <c r="GW66" i="5"/>
  <c r="GY66" i="5"/>
  <c r="HA38" i="5"/>
  <c r="BV19" i="5"/>
  <c r="AH20" i="5"/>
  <c r="AV20" i="5"/>
  <c r="AB21" i="5"/>
  <c r="AD21" i="5" s="1"/>
  <c r="BP20" i="5"/>
  <c r="AT20" i="5"/>
  <c r="AU20" i="5"/>
  <c r="L57" i="44"/>
  <c r="AF20" i="44" s="1"/>
  <c r="FG20" i="5"/>
  <c r="FS20" i="5" s="1"/>
  <c r="FA21" i="5"/>
  <c r="EG21" i="5"/>
  <c r="EF21" i="5"/>
  <c r="DN21" i="5"/>
  <c r="FD20" i="5"/>
  <c r="BR20" i="5"/>
  <c r="BS20" i="5" s="1"/>
  <c r="HB34" i="5"/>
  <c r="K56" i="44"/>
  <c r="AE21" i="44" s="1"/>
  <c r="DT20" i="5"/>
  <c r="P55" i="50"/>
  <c r="EC37" i="5"/>
  <c r="ED37" i="5"/>
  <c r="B59" i="50"/>
  <c r="C59" i="50"/>
  <c r="A60" i="50"/>
  <c r="V57" i="50"/>
  <c r="W57" i="50" s="1"/>
  <c r="Y57" i="50" s="1"/>
  <c r="J57" i="50"/>
  <c r="M57" i="50"/>
  <c r="L57" i="50"/>
  <c r="N57" i="50"/>
  <c r="H57" i="50"/>
  <c r="G57" i="50"/>
  <c r="R55" i="50"/>
  <c r="T55" i="50" s="1"/>
  <c r="R54" i="50"/>
  <c r="T54" i="50" s="1"/>
  <c r="D58" i="50"/>
  <c r="E58" i="50"/>
  <c r="F58" i="50"/>
  <c r="I56" i="50"/>
  <c r="K56" i="50" s="1"/>
  <c r="O56" i="50" s="1"/>
  <c r="U39" i="44"/>
  <c r="A40" i="44"/>
  <c r="T39" i="44"/>
  <c r="ES22" i="5"/>
  <c r="EU37" i="5"/>
  <c r="DW38" i="5"/>
  <c r="DV38" i="5" s="1"/>
  <c r="EB38" i="5" s="1"/>
  <c r="DI38" i="5"/>
  <c r="DM38" i="5"/>
  <c r="EQ38" i="5"/>
  <c r="ER38" i="5" s="1"/>
  <c r="DR38" i="5"/>
  <c r="ES38" i="5" s="1"/>
  <c r="DF39" i="5"/>
  <c r="DP38" i="5"/>
  <c r="DX38" i="5"/>
  <c r="EW38" i="5"/>
  <c r="EV38" i="5"/>
  <c r="EY38" i="5"/>
  <c r="EZ38" i="5" s="1"/>
  <c r="BM38" i="5"/>
  <c r="P32" i="5"/>
  <c r="K33" i="5"/>
  <c r="FW34" i="5"/>
  <c r="E36" i="5"/>
  <c r="F36" i="5"/>
  <c r="D36" i="5"/>
  <c r="N36" i="5" s="1"/>
  <c r="CK40" i="5"/>
  <c r="CM39" i="5"/>
  <c r="A38" i="5"/>
  <c r="C37" i="5"/>
  <c r="B37" i="5"/>
  <c r="GP34" i="5"/>
  <c r="GU34" i="5" s="1"/>
  <c r="I34" i="5"/>
  <c r="H35" i="5"/>
  <c r="G35" i="5"/>
  <c r="J35" i="5"/>
  <c r="M35" i="5"/>
  <c r="L35" i="5"/>
  <c r="BN39" i="5"/>
  <c r="BO39" i="5" s="1"/>
  <c r="AY39" i="5"/>
  <c r="BK39" i="5"/>
  <c r="AL39" i="5"/>
  <c r="AR39" i="5" s="1"/>
  <c r="AZ39" i="5"/>
  <c r="BL39" i="5"/>
  <c r="BF39" i="5"/>
  <c r="BG39" i="5" s="1"/>
  <c r="BA39" i="5"/>
  <c r="AM39" i="5"/>
  <c r="AS39" i="5" s="1"/>
  <c r="BE32" i="5"/>
  <c r="EP34" i="5"/>
  <c r="EO35" i="5"/>
  <c r="EM35" i="5"/>
  <c r="EN35" i="5"/>
  <c r="EK35" i="5"/>
  <c r="EJ35" i="5"/>
  <c r="EL35" i="5"/>
  <c r="BJ38" i="5"/>
  <c r="BB33" i="5"/>
  <c r="BD33" i="5"/>
  <c r="BC33" i="5"/>
  <c r="Z34" i="5"/>
  <c r="AA34" i="5"/>
  <c r="I58" i="44"/>
  <c r="AC19" i="44" s="1"/>
  <c r="V40" i="5"/>
  <c r="Y39" i="5"/>
  <c r="AE39" i="5"/>
  <c r="AK39" i="5" s="1"/>
  <c r="AG39" i="5"/>
  <c r="BH39" i="5" s="1"/>
  <c r="H57" i="44"/>
  <c r="AB20" i="44" s="1"/>
  <c r="AI19" i="5"/>
  <c r="DK36" i="5"/>
  <c r="DJ36" i="5"/>
  <c r="AN40" i="44" l="1"/>
  <c r="AM40" i="44"/>
  <c r="AO40" i="44"/>
  <c r="DC40" i="5"/>
  <c r="DB40" i="5"/>
  <c r="DD40" i="5"/>
  <c r="DA40" i="5"/>
  <c r="CD40" i="5"/>
  <c r="CC40" i="5"/>
  <c r="CB40" i="5"/>
  <c r="CE40" i="5"/>
  <c r="BY20" i="5"/>
  <c r="T34" i="5"/>
  <c r="O35" i="5"/>
  <c r="T38" i="5"/>
  <c r="S38" i="5"/>
  <c r="Q35" i="5"/>
  <c r="R35" i="5"/>
  <c r="R38" i="5"/>
  <c r="Q38" i="5"/>
  <c r="IA65" i="5"/>
  <c r="GC38" i="5"/>
  <c r="GK38" i="5"/>
  <c r="HZ66" i="5"/>
  <c r="HW66" i="5"/>
  <c r="HU66" i="5"/>
  <c r="HV66" i="5"/>
  <c r="HT66" i="5"/>
  <c r="HY66" i="5"/>
  <c r="HX65" i="5"/>
  <c r="HN34" i="5"/>
  <c r="HT34" i="5" s="1"/>
  <c r="HT33" i="5"/>
  <c r="AQ39" i="5"/>
  <c r="CI40" i="5"/>
  <c r="GL38" i="5"/>
  <c r="HM67" i="5"/>
  <c r="CH19" i="5"/>
  <c r="GX67" i="5"/>
  <c r="GV67" i="5"/>
  <c r="GY67" i="5"/>
  <c r="GU67" i="5"/>
  <c r="GW67" i="5"/>
  <c r="FT39" i="5"/>
  <c r="GF34" i="5"/>
  <c r="HA39" i="5"/>
  <c r="HK38" i="5"/>
  <c r="HJ38" i="5"/>
  <c r="HI38" i="5"/>
  <c r="HH38" i="5"/>
  <c r="HG38" i="5"/>
  <c r="FV39" i="5"/>
  <c r="GE39" i="5" s="1"/>
  <c r="GG38" i="5"/>
  <c r="GF38" i="5"/>
  <c r="GH38" i="5"/>
  <c r="GI38" i="5"/>
  <c r="DY20" i="5"/>
  <c r="DZ20" i="5" s="1"/>
  <c r="HG34" i="5"/>
  <c r="AN19" i="5"/>
  <c r="AO19" i="5" s="1"/>
  <c r="BT20" i="5"/>
  <c r="AT21" i="5"/>
  <c r="AC21" i="5"/>
  <c r="BR21" i="5" s="1"/>
  <c r="E55" i="44"/>
  <c r="W22" i="44" s="1"/>
  <c r="AH21" i="5"/>
  <c r="GQ20" i="5"/>
  <c r="GV20" i="5" s="1"/>
  <c r="BU20" i="5"/>
  <c r="AU21" i="5"/>
  <c r="BU21" i="5"/>
  <c r="BP21" i="5"/>
  <c r="AV21" i="5"/>
  <c r="FF21" i="5"/>
  <c r="FE21" i="5"/>
  <c r="FB21" i="5"/>
  <c r="FC21" i="5"/>
  <c r="DL22" i="5"/>
  <c r="HB35" i="5"/>
  <c r="HG35" i="5" s="1"/>
  <c r="DU20" i="5"/>
  <c r="EC38" i="5"/>
  <c r="ED38" i="5"/>
  <c r="I57" i="50"/>
  <c r="K57" i="50" s="1"/>
  <c r="O57" i="50" s="1"/>
  <c r="Q57" i="50" s="1"/>
  <c r="P56" i="50"/>
  <c r="Q56" i="50"/>
  <c r="C60" i="50"/>
  <c r="B60" i="50"/>
  <c r="A61" i="50"/>
  <c r="L58" i="50"/>
  <c r="G58" i="50"/>
  <c r="J58" i="50"/>
  <c r="N58" i="50"/>
  <c r="H58" i="50"/>
  <c r="V58" i="50"/>
  <c r="W58" i="50" s="1"/>
  <c r="Y58" i="50" s="1"/>
  <c r="M58" i="50"/>
  <c r="EX38" i="5"/>
  <c r="E59" i="50"/>
  <c r="F59" i="50"/>
  <c r="D59" i="50"/>
  <c r="T40" i="44"/>
  <c r="U40" i="44"/>
  <c r="A41" i="44"/>
  <c r="DI39" i="5"/>
  <c r="EQ39" i="5"/>
  <c r="ER39" i="5" s="1"/>
  <c r="EV39" i="5"/>
  <c r="EY39" i="5"/>
  <c r="EZ39" i="5" s="1"/>
  <c r="DR39" i="5"/>
  <c r="ES39" i="5" s="1"/>
  <c r="DW39" i="5"/>
  <c r="DV39" i="5" s="1"/>
  <c r="EB39" i="5" s="1"/>
  <c r="DF40" i="5"/>
  <c r="EW39" i="5"/>
  <c r="DM39" i="5"/>
  <c r="DX39" i="5"/>
  <c r="DP39" i="5"/>
  <c r="EU38" i="5"/>
  <c r="BH21" i="5"/>
  <c r="K34" i="5"/>
  <c r="P33" i="5"/>
  <c r="E37" i="5"/>
  <c r="F37" i="5"/>
  <c r="D37" i="5"/>
  <c r="N37" i="5" s="1"/>
  <c r="BM39" i="5"/>
  <c r="FW35" i="5"/>
  <c r="A39" i="5"/>
  <c r="C38" i="5"/>
  <c r="B38" i="5"/>
  <c r="GP35" i="5"/>
  <c r="GU35" i="5" s="1"/>
  <c r="I35" i="5"/>
  <c r="CK41" i="5"/>
  <c r="CM40" i="5"/>
  <c r="H36" i="5"/>
  <c r="R36" i="5" s="1"/>
  <c r="J36" i="5"/>
  <c r="M36" i="5"/>
  <c r="L36" i="5"/>
  <c r="G36" i="5"/>
  <c r="Q36" i="5" s="1"/>
  <c r="BL40" i="5"/>
  <c r="AZ40" i="5"/>
  <c r="BN40" i="5"/>
  <c r="BO40" i="5" s="1"/>
  <c r="BK40" i="5"/>
  <c r="AL40" i="5"/>
  <c r="AR40" i="5" s="1"/>
  <c r="BA40" i="5"/>
  <c r="BF40" i="5"/>
  <c r="BG40" i="5" s="1"/>
  <c r="AY40" i="5"/>
  <c r="AM40" i="5"/>
  <c r="AS40" i="5" s="1"/>
  <c r="EP35" i="5"/>
  <c r="BE33" i="5"/>
  <c r="BJ39" i="5"/>
  <c r="EN36" i="5"/>
  <c r="EO36" i="5"/>
  <c r="EM36" i="5"/>
  <c r="EL36" i="5"/>
  <c r="EJ36" i="5"/>
  <c r="EK36" i="5"/>
  <c r="BB34" i="5"/>
  <c r="BC34" i="5"/>
  <c r="BD34" i="5"/>
  <c r="Z35" i="5"/>
  <c r="AA35" i="5"/>
  <c r="AJ19" i="5"/>
  <c r="Y40" i="5"/>
  <c r="V41" i="5"/>
  <c r="AE40" i="5"/>
  <c r="AK40" i="5" s="1"/>
  <c r="AG40" i="5"/>
  <c r="BH40" i="5" s="1"/>
  <c r="DJ37" i="5"/>
  <c r="DK37" i="5"/>
  <c r="AA46" i="14"/>
  <c r="AA50" i="14"/>
  <c r="AA45" i="14"/>
  <c r="AN41" i="44" l="1"/>
  <c r="AM41" i="44"/>
  <c r="AO41" i="44"/>
  <c r="DC41" i="5"/>
  <c r="DB41" i="5"/>
  <c r="DD41" i="5"/>
  <c r="DA41" i="5"/>
  <c r="CB41" i="5"/>
  <c r="CD41" i="5"/>
  <c r="CC41" i="5"/>
  <c r="CE41" i="5"/>
  <c r="CC20" i="5"/>
  <c r="BY21" i="5"/>
  <c r="CC21" i="5" s="1"/>
  <c r="T39" i="5"/>
  <c r="S39" i="5"/>
  <c r="O36" i="5"/>
  <c r="S36" i="5" s="1"/>
  <c r="T36" i="5" s="1"/>
  <c r="S35" i="5"/>
  <c r="T35" i="5" s="1"/>
  <c r="R39" i="5"/>
  <c r="Q39" i="5"/>
  <c r="GK39" i="5"/>
  <c r="GC39" i="5"/>
  <c r="HX66" i="5"/>
  <c r="HT67" i="5"/>
  <c r="HY67" i="5"/>
  <c r="HZ67" i="5"/>
  <c r="HW67" i="5"/>
  <c r="HU67" i="5"/>
  <c r="HV67" i="5"/>
  <c r="IA66" i="5"/>
  <c r="AQ40" i="5"/>
  <c r="GF35" i="5"/>
  <c r="HN35" i="5"/>
  <c r="GJ38" i="5"/>
  <c r="CI41" i="5"/>
  <c r="GL39" i="5"/>
  <c r="GM38" i="5"/>
  <c r="BQ21" i="5"/>
  <c r="BS21" i="5" s="1"/>
  <c r="DO22" i="5"/>
  <c r="DS22" i="5"/>
  <c r="FT40" i="5"/>
  <c r="FV40" i="5"/>
  <c r="GE40" i="5" s="1"/>
  <c r="GI39" i="5"/>
  <c r="GG39" i="5"/>
  <c r="GF39" i="5"/>
  <c r="GH39" i="5"/>
  <c r="HA40" i="5"/>
  <c r="HK39" i="5"/>
  <c r="HJ39" i="5"/>
  <c r="HI39" i="5"/>
  <c r="HH39" i="5"/>
  <c r="HG39" i="5"/>
  <c r="BV20" i="5"/>
  <c r="BT21" i="5"/>
  <c r="BV21" i="5" s="1"/>
  <c r="CH21" i="5" s="1"/>
  <c r="L56" i="44"/>
  <c r="AF21" i="44" s="1"/>
  <c r="GQ21" i="5"/>
  <c r="GV21" i="5" s="1"/>
  <c r="AB22" i="5"/>
  <c r="AD22" i="5" s="1"/>
  <c r="FG21" i="5"/>
  <c r="FS21" i="5" s="1"/>
  <c r="EG22" i="5"/>
  <c r="DN22" i="5"/>
  <c r="FA22" i="5"/>
  <c r="EY22" i="5"/>
  <c r="EZ22" i="5" s="1"/>
  <c r="EF22" i="5"/>
  <c r="FD21" i="5"/>
  <c r="HB36" i="5"/>
  <c r="HG36" i="5" s="1"/>
  <c r="DT21" i="5"/>
  <c r="K55" i="44"/>
  <c r="AE22" i="44" s="1"/>
  <c r="BM40" i="5"/>
  <c r="ED39" i="5"/>
  <c r="EC39" i="5"/>
  <c r="P57" i="50"/>
  <c r="A62" i="50"/>
  <c r="C61" i="50"/>
  <c r="B61" i="50"/>
  <c r="E60" i="50"/>
  <c r="D60" i="50"/>
  <c r="F60" i="50"/>
  <c r="N59" i="50"/>
  <c r="G59" i="50"/>
  <c r="V59" i="50"/>
  <c r="H59" i="50"/>
  <c r="M59" i="50"/>
  <c r="L59" i="50"/>
  <c r="J59" i="50"/>
  <c r="R56" i="50"/>
  <c r="T56" i="50" s="1"/>
  <c r="R57" i="50"/>
  <c r="T57" i="50" s="1"/>
  <c r="I58" i="50"/>
  <c r="K58" i="50" s="1"/>
  <c r="O58" i="50" s="1"/>
  <c r="U41" i="44"/>
  <c r="A42" i="44"/>
  <c r="T41" i="44"/>
  <c r="EX39" i="5"/>
  <c r="DW40" i="5"/>
  <c r="DV40" i="5" s="1"/>
  <c r="EB40" i="5" s="1"/>
  <c r="DP40" i="5"/>
  <c r="EV40" i="5"/>
  <c r="DR40" i="5"/>
  <c r="ES40" i="5" s="1"/>
  <c r="DX40" i="5"/>
  <c r="EY40" i="5"/>
  <c r="EZ40" i="5" s="1"/>
  <c r="EW40" i="5"/>
  <c r="DF41" i="5"/>
  <c r="DM40" i="5"/>
  <c r="DI40" i="5"/>
  <c r="EQ40" i="5"/>
  <c r="ER40" i="5" s="1"/>
  <c r="EU39" i="5"/>
  <c r="E38" i="5"/>
  <c r="F38" i="5"/>
  <c r="D38" i="5"/>
  <c r="N38" i="5" s="1"/>
  <c r="P34" i="5"/>
  <c r="FW36" i="5"/>
  <c r="K35" i="5"/>
  <c r="CM41" i="5"/>
  <c r="CK42" i="5"/>
  <c r="C39" i="5"/>
  <c r="A40" i="5"/>
  <c r="B39" i="5"/>
  <c r="M37" i="5"/>
  <c r="L37" i="5"/>
  <c r="J37" i="5"/>
  <c r="H37" i="5"/>
  <c r="R37" i="5" s="1"/>
  <c r="G37" i="5"/>
  <c r="Q37" i="5" s="1"/>
  <c r="GP36" i="5"/>
  <c r="GU36" i="5" s="1"/>
  <c r="I36" i="5"/>
  <c r="AZ41" i="5"/>
  <c r="AY41" i="5"/>
  <c r="BN41" i="5"/>
  <c r="BO41" i="5" s="1"/>
  <c r="BA41" i="5"/>
  <c r="BK41" i="5"/>
  <c r="BL41" i="5"/>
  <c r="BF41" i="5"/>
  <c r="BG41" i="5" s="1"/>
  <c r="AM41" i="5"/>
  <c r="AS41" i="5" s="1"/>
  <c r="AL41" i="5"/>
  <c r="AR41" i="5" s="1"/>
  <c r="BE34" i="5"/>
  <c r="EP36" i="5"/>
  <c r="BJ40" i="5"/>
  <c r="BD35" i="5"/>
  <c r="BC35" i="5"/>
  <c r="BB35" i="5"/>
  <c r="EO37" i="5"/>
  <c r="EM37" i="5"/>
  <c r="EN37" i="5"/>
  <c r="EL37" i="5"/>
  <c r="EK37" i="5"/>
  <c r="EJ37" i="5"/>
  <c r="I57" i="44"/>
  <c r="AC20" i="44" s="1"/>
  <c r="Z36" i="5"/>
  <c r="AA36" i="5"/>
  <c r="H56" i="44"/>
  <c r="AB21" i="44" s="1"/>
  <c r="AI20" i="5"/>
  <c r="V42" i="5"/>
  <c r="Y41" i="5"/>
  <c r="AE41" i="5"/>
  <c r="AK41" i="5" s="1"/>
  <c r="AG41" i="5"/>
  <c r="BH41" i="5" s="1"/>
  <c r="DJ38" i="5"/>
  <c r="DK38" i="5"/>
  <c r="AO42" i="44" l="1"/>
  <c r="AN42" i="44"/>
  <c r="AM42" i="44"/>
  <c r="DC42" i="5"/>
  <c r="DB42" i="5"/>
  <c r="DD42" i="5"/>
  <c r="DA42" i="5"/>
  <c r="CB42" i="5"/>
  <c r="CD42" i="5"/>
  <c r="CC42" i="5"/>
  <c r="CE42" i="5"/>
  <c r="T40" i="5"/>
  <c r="S40" i="5"/>
  <c r="O37" i="5"/>
  <c r="S37" i="5" s="1"/>
  <c r="T37" i="5" s="1"/>
  <c r="Q40" i="5"/>
  <c r="R40" i="5"/>
  <c r="HX67" i="5"/>
  <c r="GK40" i="5"/>
  <c r="GC40" i="5"/>
  <c r="IA67" i="5"/>
  <c r="HT35" i="5"/>
  <c r="GF36" i="5"/>
  <c r="HN36" i="5"/>
  <c r="AQ41" i="5"/>
  <c r="CI42" i="5"/>
  <c r="GJ39" i="5"/>
  <c r="GL40" i="5"/>
  <c r="GM39" i="5"/>
  <c r="HA41" i="5"/>
  <c r="HK40" i="5"/>
  <c r="HJ40" i="5"/>
  <c r="HI40" i="5"/>
  <c r="HH40" i="5"/>
  <c r="HG40" i="5"/>
  <c r="FT41" i="5"/>
  <c r="DY21" i="5"/>
  <c r="DZ21" i="5" s="1"/>
  <c r="CH20" i="5"/>
  <c r="FV41" i="5"/>
  <c r="GE41" i="5" s="1"/>
  <c r="GI40" i="5"/>
  <c r="GG40" i="5"/>
  <c r="GF40" i="5"/>
  <c r="GH40" i="5"/>
  <c r="AN20" i="5"/>
  <c r="AO20" i="5" s="1"/>
  <c r="BN22" i="5"/>
  <c r="BO22" i="5" s="1"/>
  <c r="AH22" i="5"/>
  <c r="BP22" i="5"/>
  <c r="AU22" i="5"/>
  <c r="AV22" i="5"/>
  <c r="E54" i="44"/>
  <c r="W23" i="44" s="1"/>
  <c r="AT22" i="5"/>
  <c r="AC22" i="5"/>
  <c r="BQ22" i="5" s="1"/>
  <c r="DL23" i="5"/>
  <c r="DS23" i="5" s="1"/>
  <c r="FC22" i="5"/>
  <c r="FB22" i="5"/>
  <c r="FF22" i="5"/>
  <c r="FE22" i="5"/>
  <c r="HB37" i="5"/>
  <c r="HG37" i="5" s="1"/>
  <c r="DU21" i="5"/>
  <c r="EC40" i="5"/>
  <c r="ED40" i="5"/>
  <c r="Q58" i="50"/>
  <c r="P58" i="50"/>
  <c r="V60" i="50"/>
  <c r="W60" i="50" s="1"/>
  <c r="Y60" i="50" s="1"/>
  <c r="H60" i="50"/>
  <c r="J60" i="50"/>
  <c r="M60" i="50"/>
  <c r="G60" i="50"/>
  <c r="L60" i="50"/>
  <c r="N60" i="50"/>
  <c r="E61" i="50"/>
  <c r="F61" i="50"/>
  <c r="D61" i="50"/>
  <c r="EX40" i="5"/>
  <c r="I59" i="50"/>
  <c r="K59" i="50" s="1"/>
  <c r="O59" i="50" s="1"/>
  <c r="A63" i="50"/>
  <c r="B62" i="50"/>
  <c r="C62" i="50"/>
  <c r="W59" i="50"/>
  <c r="Y59" i="50" s="1"/>
  <c r="U42" i="44"/>
  <c r="A43" i="44"/>
  <c r="T42" i="44"/>
  <c r="EV41" i="5"/>
  <c r="DX41" i="5"/>
  <c r="DW41" i="5"/>
  <c r="DV41" i="5" s="1"/>
  <c r="EB41" i="5" s="1"/>
  <c r="EY41" i="5"/>
  <c r="EZ41" i="5" s="1"/>
  <c r="DF42" i="5"/>
  <c r="DI41" i="5"/>
  <c r="DR41" i="5"/>
  <c r="ES41" i="5" s="1"/>
  <c r="EQ41" i="5"/>
  <c r="ER41" i="5" s="1"/>
  <c r="DP41" i="5"/>
  <c r="EW41" i="5"/>
  <c r="DM41" i="5"/>
  <c r="EU40" i="5"/>
  <c r="BM41" i="5"/>
  <c r="K36" i="5"/>
  <c r="E39" i="5"/>
  <c r="D39" i="5"/>
  <c r="F39" i="5"/>
  <c r="A41" i="5"/>
  <c r="C40" i="5"/>
  <c r="B40" i="5"/>
  <c r="FW37" i="5"/>
  <c r="GP37" i="5"/>
  <c r="GU37" i="5" s="1"/>
  <c r="I37" i="5"/>
  <c r="CM42" i="5"/>
  <c r="CK43" i="5"/>
  <c r="P35" i="5"/>
  <c r="J38" i="5"/>
  <c r="G38" i="5"/>
  <c r="M38" i="5"/>
  <c r="L38" i="5"/>
  <c r="H38" i="5"/>
  <c r="BN42" i="5"/>
  <c r="BO42" i="5" s="1"/>
  <c r="AZ42" i="5"/>
  <c r="BK42" i="5"/>
  <c r="AM42" i="5"/>
  <c r="AS42" i="5" s="1"/>
  <c r="AY42" i="5"/>
  <c r="AL42" i="5"/>
  <c r="AR42" i="5" s="1"/>
  <c r="BA42" i="5"/>
  <c r="BF42" i="5"/>
  <c r="BG42" i="5" s="1"/>
  <c r="BL42" i="5"/>
  <c r="BE35" i="5"/>
  <c r="EP37" i="5"/>
  <c r="BC36" i="5"/>
  <c r="BB36" i="5"/>
  <c r="BD36" i="5"/>
  <c r="EO38" i="5"/>
  <c r="EM38" i="5"/>
  <c r="EN38" i="5"/>
  <c r="EJ38" i="5"/>
  <c r="EL38" i="5"/>
  <c r="EK38" i="5"/>
  <c r="BJ41" i="5"/>
  <c r="Z37" i="5"/>
  <c r="AA37" i="5"/>
  <c r="V43" i="5"/>
  <c r="Y42" i="5"/>
  <c r="AE42" i="5"/>
  <c r="AK42" i="5" s="1"/>
  <c r="AG42" i="5"/>
  <c r="BH42" i="5" s="1"/>
  <c r="AJ20" i="5"/>
  <c r="DK39" i="5"/>
  <c r="DJ39" i="5"/>
  <c r="AO43" i="44" l="1"/>
  <c r="AN43" i="44"/>
  <c r="AM43" i="44"/>
  <c r="DA43" i="5"/>
  <c r="DC43" i="5"/>
  <c r="DB43" i="5"/>
  <c r="DD43" i="5"/>
  <c r="CB43" i="5"/>
  <c r="CD43" i="5"/>
  <c r="CC43" i="5"/>
  <c r="CE43" i="5"/>
  <c r="BY22" i="5"/>
  <c r="T41" i="5"/>
  <c r="S41" i="5"/>
  <c r="O38" i="5"/>
  <c r="Q41" i="5"/>
  <c r="R41" i="5"/>
  <c r="GK41" i="5"/>
  <c r="GC41" i="5"/>
  <c r="HT36" i="5"/>
  <c r="AQ42" i="5"/>
  <c r="GF37" i="5"/>
  <c r="HN37" i="5"/>
  <c r="CI43" i="5"/>
  <c r="GJ40" i="5"/>
  <c r="GL41" i="5"/>
  <c r="GM40" i="5"/>
  <c r="FT42" i="5"/>
  <c r="FV42" i="5"/>
  <c r="GE42" i="5" s="1"/>
  <c r="GI41" i="5"/>
  <c r="GG41" i="5"/>
  <c r="GF41" i="5"/>
  <c r="GH41" i="5"/>
  <c r="HA42" i="5"/>
  <c r="HK41" i="5"/>
  <c r="HJ41" i="5"/>
  <c r="HI41" i="5"/>
  <c r="HH41" i="5"/>
  <c r="HG41" i="5"/>
  <c r="FA23" i="5"/>
  <c r="DO23" i="5"/>
  <c r="FE23" i="5" s="1"/>
  <c r="BU22" i="5"/>
  <c r="BT22" i="5"/>
  <c r="BR22" i="5"/>
  <c r="BS22" i="5" s="1"/>
  <c r="AB23" i="5"/>
  <c r="AD23" i="5" s="1"/>
  <c r="EG23" i="5"/>
  <c r="EY23" i="5"/>
  <c r="EZ23" i="5" s="1"/>
  <c r="EF23" i="5"/>
  <c r="L55" i="44"/>
  <c r="AF22" i="44" s="1"/>
  <c r="GQ22" i="5"/>
  <c r="GV22" i="5" s="1"/>
  <c r="DN23" i="5"/>
  <c r="FB23" i="5" s="1"/>
  <c r="FG22" i="5"/>
  <c r="FS22" i="5" s="1"/>
  <c r="FD22" i="5"/>
  <c r="HB38" i="5"/>
  <c r="DT22" i="5"/>
  <c r="K54" i="44"/>
  <c r="AE23" i="44" s="1"/>
  <c r="ES24" i="5"/>
  <c r="EC41" i="5"/>
  <c r="ED41" i="5"/>
  <c r="EX41" i="5"/>
  <c r="D62" i="50"/>
  <c r="E62" i="50"/>
  <c r="F62" i="50"/>
  <c r="C63" i="50"/>
  <c r="B63" i="50"/>
  <c r="A64" i="50"/>
  <c r="Q59" i="50"/>
  <c r="R59" i="50" s="1"/>
  <c r="T59" i="50" s="1"/>
  <c r="G61" i="50"/>
  <c r="M61" i="50"/>
  <c r="J61" i="50"/>
  <c r="N61" i="50"/>
  <c r="H61" i="50"/>
  <c r="V61" i="50"/>
  <c r="W61" i="50" s="1"/>
  <c r="Y61" i="50" s="1"/>
  <c r="L61" i="50"/>
  <c r="I60" i="50"/>
  <c r="K60" i="50" s="1"/>
  <c r="O60" i="50" s="1"/>
  <c r="P59" i="50"/>
  <c r="R58" i="50"/>
  <c r="T58" i="50" s="1"/>
  <c r="U43" i="44"/>
  <c r="A44" i="44"/>
  <c r="T43" i="44"/>
  <c r="BH23" i="5"/>
  <c r="EU41" i="5"/>
  <c r="DF43" i="5"/>
  <c r="DI42" i="5"/>
  <c r="DP42" i="5"/>
  <c r="DR42" i="5"/>
  <c r="ES42" i="5" s="1"/>
  <c r="DW42" i="5"/>
  <c r="DV42" i="5" s="1"/>
  <c r="EB42" i="5" s="1"/>
  <c r="DM42" i="5"/>
  <c r="DX42" i="5"/>
  <c r="EV42" i="5"/>
  <c r="EW42" i="5"/>
  <c r="EY42" i="5"/>
  <c r="EZ42" i="5" s="1"/>
  <c r="EQ42" i="5"/>
  <c r="ER42" i="5" s="1"/>
  <c r="BM42" i="5"/>
  <c r="D40" i="5"/>
  <c r="F40" i="5"/>
  <c r="E40" i="5"/>
  <c r="J39" i="5"/>
  <c r="H39" i="5"/>
  <c r="N39" i="5"/>
  <c r="G39" i="5"/>
  <c r="L39" i="5"/>
  <c r="M39" i="5"/>
  <c r="GP38" i="5"/>
  <c r="I38" i="5"/>
  <c r="K37" i="5"/>
  <c r="C41" i="5"/>
  <c r="B41" i="5"/>
  <c r="A42" i="5"/>
  <c r="P36" i="5"/>
  <c r="FW38" i="5"/>
  <c r="CK44" i="5"/>
  <c r="CM43" i="5"/>
  <c r="BN43" i="5"/>
  <c r="BO43" i="5" s="1"/>
  <c r="AY43" i="5"/>
  <c r="BK43" i="5"/>
  <c r="AM43" i="5"/>
  <c r="AS43" i="5" s="1"/>
  <c r="AL43" i="5"/>
  <c r="AR43" i="5" s="1"/>
  <c r="BL43" i="5"/>
  <c r="BF43" i="5"/>
  <c r="BG43" i="5" s="1"/>
  <c r="BA43" i="5"/>
  <c r="AZ43" i="5"/>
  <c r="BE36" i="5"/>
  <c r="EP38" i="5"/>
  <c r="BD37" i="5"/>
  <c r="BC37" i="5"/>
  <c r="BB37" i="5"/>
  <c r="BJ42" i="5"/>
  <c r="EO39" i="5"/>
  <c r="EN39" i="5"/>
  <c r="EM39" i="5"/>
  <c r="EL39" i="5"/>
  <c r="EJ39" i="5"/>
  <c r="EK39" i="5"/>
  <c r="Z38" i="5"/>
  <c r="AA38" i="5"/>
  <c r="I56" i="44"/>
  <c r="AC21" i="44" s="1"/>
  <c r="AI21" i="5"/>
  <c r="H55" i="44"/>
  <c r="AB22" i="44" s="1"/>
  <c r="Y43" i="5"/>
  <c r="V44" i="5"/>
  <c r="AG43" i="5"/>
  <c r="BH43" i="5" s="1"/>
  <c r="AE43" i="5"/>
  <c r="AK43" i="5" s="1"/>
  <c r="DJ40" i="5"/>
  <c r="DK40" i="5"/>
  <c r="AO44" i="44" l="1"/>
  <c r="AN44" i="44"/>
  <c r="AM44" i="44"/>
  <c r="DA44" i="5"/>
  <c r="DC44" i="5"/>
  <c r="DB44" i="5"/>
  <c r="DD44" i="5"/>
  <c r="CC22" i="5"/>
  <c r="CB44" i="5"/>
  <c r="CE44" i="5"/>
  <c r="CD44" i="5"/>
  <c r="CC44" i="5"/>
  <c r="O39" i="5"/>
  <c r="T42" i="5"/>
  <c r="S42" i="5"/>
  <c r="R42" i="5"/>
  <c r="Q42" i="5"/>
  <c r="GK42" i="5"/>
  <c r="GC42" i="5"/>
  <c r="HN38" i="5"/>
  <c r="HT37" i="5"/>
  <c r="AQ43" i="5"/>
  <c r="CI44" i="5"/>
  <c r="GJ41" i="5"/>
  <c r="GL42" i="5"/>
  <c r="GM41" i="5"/>
  <c r="HA43" i="5"/>
  <c r="HK42" i="5"/>
  <c r="HJ42" i="5"/>
  <c r="HI42" i="5"/>
  <c r="HH42" i="5"/>
  <c r="HG42" i="5"/>
  <c r="DY22" i="5"/>
  <c r="DZ22" i="5" s="1"/>
  <c r="FV43" i="5"/>
  <c r="GE43" i="5" s="1"/>
  <c r="GI42" i="5"/>
  <c r="GG42" i="5"/>
  <c r="GF42" i="5"/>
  <c r="GH42" i="5"/>
  <c r="FT43" i="5"/>
  <c r="E53" i="44"/>
  <c r="W24" i="44" s="1"/>
  <c r="AN21" i="5"/>
  <c r="AO21" i="5" s="1"/>
  <c r="BV22" i="5"/>
  <c r="BN23" i="5"/>
  <c r="BO23" i="5" s="1"/>
  <c r="AH23" i="5"/>
  <c r="BT23" i="5"/>
  <c r="AT23" i="5"/>
  <c r="AC23" i="5"/>
  <c r="AV23" i="5"/>
  <c r="AU23" i="5"/>
  <c r="BP23" i="5"/>
  <c r="FF23" i="5"/>
  <c r="FG23" i="5" s="1"/>
  <c r="FS23" i="5" s="1"/>
  <c r="FC23" i="5"/>
  <c r="FD23" i="5" s="1"/>
  <c r="DL24" i="5"/>
  <c r="DS24" i="5" s="1"/>
  <c r="BU23" i="5"/>
  <c r="HB39" i="5"/>
  <c r="DU22" i="5"/>
  <c r="ED42" i="5"/>
  <c r="EC42" i="5"/>
  <c r="I61" i="50"/>
  <c r="K61" i="50" s="1"/>
  <c r="O61" i="50" s="1"/>
  <c r="Q61" i="50" s="1"/>
  <c r="Q60" i="50"/>
  <c r="E63" i="50"/>
  <c r="F63" i="50"/>
  <c r="D63" i="50"/>
  <c r="J62" i="50"/>
  <c r="N62" i="50"/>
  <c r="H62" i="50"/>
  <c r="G62" i="50"/>
  <c r="V62" i="50"/>
  <c r="L62" i="50"/>
  <c r="M62" i="50"/>
  <c r="B64" i="50"/>
  <c r="C64" i="50"/>
  <c r="A65" i="50"/>
  <c r="P60" i="50"/>
  <c r="U44" i="44"/>
  <c r="A45" i="44"/>
  <c r="T44" i="44"/>
  <c r="EX42" i="5"/>
  <c r="EU42" i="5"/>
  <c r="EY43" i="5"/>
  <c r="EZ43" i="5" s="1"/>
  <c r="DR43" i="5"/>
  <c r="ES43" i="5" s="1"/>
  <c r="EW43" i="5"/>
  <c r="DM43" i="5"/>
  <c r="EV43" i="5"/>
  <c r="EQ43" i="5"/>
  <c r="ER43" i="5" s="1"/>
  <c r="DW43" i="5"/>
  <c r="DV43" i="5" s="1"/>
  <c r="EB43" i="5" s="1"/>
  <c r="DI43" i="5"/>
  <c r="DF44" i="5"/>
  <c r="DX43" i="5"/>
  <c r="DP43" i="5"/>
  <c r="GP39" i="5"/>
  <c r="I39" i="5"/>
  <c r="P37" i="5"/>
  <c r="CK45" i="5"/>
  <c r="CM44" i="5"/>
  <c r="BM43" i="5"/>
  <c r="K38" i="5"/>
  <c r="BE37" i="5"/>
  <c r="A43" i="5"/>
  <c r="C42" i="5"/>
  <c r="B42" i="5"/>
  <c r="E41" i="5"/>
  <c r="F41" i="5"/>
  <c r="D41" i="5"/>
  <c r="FW39" i="5"/>
  <c r="G40" i="5"/>
  <c r="J40" i="5"/>
  <c r="M40" i="5"/>
  <c r="L40" i="5"/>
  <c r="N40" i="5"/>
  <c r="H40" i="5"/>
  <c r="BK44" i="5"/>
  <c r="AL44" i="5"/>
  <c r="AR44" i="5" s="1"/>
  <c r="AM44" i="5"/>
  <c r="AS44" i="5" s="1"/>
  <c r="AY44" i="5"/>
  <c r="BL44" i="5"/>
  <c r="BN44" i="5"/>
  <c r="BO44" i="5" s="1"/>
  <c r="AZ44" i="5"/>
  <c r="BF44" i="5"/>
  <c r="BG44" i="5" s="1"/>
  <c r="BA44" i="5"/>
  <c r="EP39" i="5"/>
  <c r="BJ43" i="5"/>
  <c r="EM40" i="5"/>
  <c r="EO40" i="5"/>
  <c r="EN40" i="5"/>
  <c r="EL40" i="5"/>
  <c r="EJ40" i="5"/>
  <c r="EK40" i="5"/>
  <c r="BB38" i="5"/>
  <c r="BD38" i="5"/>
  <c r="BC38" i="5"/>
  <c r="AJ21" i="5"/>
  <c r="Z39" i="5"/>
  <c r="AA39" i="5"/>
  <c r="V45" i="5"/>
  <c r="Y44" i="5"/>
  <c r="AE44" i="5"/>
  <c r="AK44" i="5" s="1"/>
  <c r="AG44" i="5"/>
  <c r="BH44" i="5" s="1"/>
  <c r="DJ41" i="5"/>
  <c r="DK41" i="5"/>
  <c r="AM45" i="44" l="1"/>
  <c r="AO45" i="44"/>
  <c r="AN45" i="44"/>
  <c r="DA45" i="5"/>
  <c r="DB45" i="5"/>
  <c r="DC45" i="5"/>
  <c r="DD45" i="5"/>
  <c r="O40" i="5"/>
  <c r="CE45" i="5"/>
  <c r="CB45" i="5"/>
  <c r="CD45" i="5"/>
  <c r="CC45" i="5"/>
  <c r="BY23" i="5"/>
  <c r="S43" i="5"/>
  <c r="T43" i="5"/>
  <c r="Q43" i="5"/>
  <c r="R43" i="5"/>
  <c r="GK43" i="5"/>
  <c r="GC43" i="5"/>
  <c r="HN39" i="5"/>
  <c r="AQ44" i="5"/>
  <c r="CI45" i="5"/>
  <c r="GL43" i="5"/>
  <c r="GM42" i="5"/>
  <c r="GJ42" i="5"/>
  <c r="FT44" i="5"/>
  <c r="FV44" i="5"/>
  <c r="GE44" i="5" s="1"/>
  <c r="GI43" i="5"/>
  <c r="GG43" i="5"/>
  <c r="GH43" i="5"/>
  <c r="GF43" i="5"/>
  <c r="CH22" i="5"/>
  <c r="HA44" i="5"/>
  <c r="HK43" i="5"/>
  <c r="HG43" i="5"/>
  <c r="HH43" i="5"/>
  <c r="HI43" i="5"/>
  <c r="HJ43" i="5"/>
  <c r="EY24" i="5"/>
  <c r="EZ24" i="5" s="1"/>
  <c r="DO24" i="5"/>
  <c r="FF24" i="5" s="1"/>
  <c r="BQ23" i="5"/>
  <c r="BR23" i="5"/>
  <c r="AB24" i="5"/>
  <c r="AD24" i="5" s="1"/>
  <c r="GQ23" i="5"/>
  <c r="GV23" i="5" s="1"/>
  <c r="EG24" i="5"/>
  <c r="FA24" i="5"/>
  <c r="EF24" i="5"/>
  <c r="DN24" i="5"/>
  <c r="FB24" i="5" s="1"/>
  <c r="L54" i="44"/>
  <c r="AF23" i="44" s="1"/>
  <c r="BV23" i="5"/>
  <c r="CH23" i="5" s="1"/>
  <c r="HB40" i="5"/>
  <c r="R61" i="50"/>
  <c r="T61" i="50" s="1"/>
  <c r="R60" i="50"/>
  <c r="T60" i="50" s="1"/>
  <c r="DT23" i="5"/>
  <c r="K53" i="44"/>
  <c r="AE24" i="44" s="1"/>
  <c r="P61" i="50"/>
  <c r="EC43" i="5"/>
  <c r="ED43" i="5"/>
  <c r="I62" i="50"/>
  <c r="K62" i="50" s="1"/>
  <c r="O62" i="50" s="1"/>
  <c r="Q62" i="50" s="1"/>
  <c r="W62" i="50"/>
  <c r="Y62" i="50" s="1"/>
  <c r="A66" i="50"/>
  <c r="B65" i="50"/>
  <c r="C65" i="50"/>
  <c r="N63" i="50"/>
  <c r="H63" i="50"/>
  <c r="G63" i="50"/>
  <c r="V63" i="50"/>
  <c r="W63" i="50" s="1"/>
  <c r="Y63" i="50" s="1"/>
  <c r="M63" i="50"/>
  <c r="L63" i="50"/>
  <c r="J63" i="50"/>
  <c r="E64" i="50"/>
  <c r="F64" i="50"/>
  <c r="D64" i="50"/>
  <c r="T45" i="44"/>
  <c r="A46" i="44"/>
  <c r="U45" i="44"/>
  <c r="EX43" i="5"/>
  <c r="BM44" i="5"/>
  <c r="EU43" i="5"/>
  <c r="DF45" i="5"/>
  <c r="DM44" i="5"/>
  <c r="DX44" i="5"/>
  <c r="DP44" i="5"/>
  <c r="DI44" i="5"/>
  <c r="EW44" i="5"/>
  <c r="DR44" i="5"/>
  <c r="ES44" i="5" s="1"/>
  <c r="EQ44" i="5"/>
  <c r="ER44" i="5" s="1"/>
  <c r="EY44" i="5"/>
  <c r="EZ44" i="5" s="1"/>
  <c r="DW44" i="5"/>
  <c r="DV44" i="5" s="1"/>
  <c r="EB44" i="5" s="1"/>
  <c r="EV44" i="5"/>
  <c r="G41" i="5"/>
  <c r="H41" i="5"/>
  <c r="M41" i="5"/>
  <c r="L41" i="5"/>
  <c r="J41" i="5"/>
  <c r="N41" i="5"/>
  <c r="FW40" i="5"/>
  <c r="E42" i="5"/>
  <c r="F42" i="5"/>
  <c r="D42" i="5"/>
  <c r="P38" i="5"/>
  <c r="CK46" i="5"/>
  <c r="CM45" i="5"/>
  <c r="GP40" i="5"/>
  <c r="I40" i="5"/>
  <c r="B43" i="5"/>
  <c r="C43" i="5"/>
  <c r="A44" i="5"/>
  <c r="K39" i="5"/>
  <c r="AZ45" i="5"/>
  <c r="AL45" i="5"/>
  <c r="AR45" i="5" s="1"/>
  <c r="BF45" i="5"/>
  <c r="BG45" i="5" s="1"/>
  <c r="BL45" i="5"/>
  <c r="BN45" i="5"/>
  <c r="BO45" i="5" s="1"/>
  <c r="AM45" i="5"/>
  <c r="AS45" i="5" s="1"/>
  <c r="BA45" i="5"/>
  <c r="BK45" i="5"/>
  <c r="AY45" i="5"/>
  <c r="BE38" i="5"/>
  <c r="EP40" i="5"/>
  <c r="BJ44" i="5"/>
  <c r="EN41" i="5"/>
  <c r="EO41" i="5"/>
  <c r="EM41" i="5"/>
  <c r="EJ41" i="5"/>
  <c r="EL41" i="5"/>
  <c r="EK41" i="5"/>
  <c r="BB39" i="5"/>
  <c r="BD39" i="5"/>
  <c r="BC39" i="5"/>
  <c r="H54" i="44"/>
  <c r="AB23" i="44" s="1"/>
  <c r="AI22" i="5"/>
  <c r="I55" i="44"/>
  <c r="AC22" i="44" s="1"/>
  <c r="AA40" i="5"/>
  <c r="Z40" i="5"/>
  <c r="Y45" i="5"/>
  <c r="V46" i="5"/>
  <c r="AE45" i="5"/>
  <c r="AK45" i="5" s="1"/>
  <c r="AG45" i="5"/>
  <c r="BH45" i="5" s="1"/>
  <c r="DK42" i="5"/>
  <c r="DJ42" i="5"/>
  <c r="AN46" i="44" l="1"/>
  <c r="AM46" i="44"/>
  <c r="AO46" i="44"/>
  <c r="DA46" i="5"/>
  <c r="DC46" i="5"/>
  <c r="DB46" i="5"/>
  <c r="DD46" i="5"/>
  <c r="CC23" i="5"/>
  <c r="CE46" i="5"/>
  <c r="CB46" i="5"/>
  <c r="CD46" i="5"/>
  <c r="CC46" i="5"/>
  <c r="O41" i="5"/>
  <c r="T44" i="5"/>
  <c r="S44" i="5"/>
  <c r="R44" i="5"/>
  <c r="Q44" i="5"/>
  <c r="GK44" i="5"/>
  <c r="GC44" i="5"/>
  <c r="HN40" i="5"/>
  <c r="AQ45" i="5"/>
  <c r="CI46" i="5"/>
  <c r="GJ43" i="5"/>
  <c r="GL44" i="5"/>
  <c r="E52" i="44"/>
  <c r="W25" i="44" s="1"/>
  <c r="GM43" i="5"/>
  <c r="AC24" i="5"/>
  <c r="BR24" i="5" s="1"/>
  <c r="AA33" i="14"/>
  <c r="DY23" i="5"/>
  <c r="DZ23" i="5" s="1"/>
  <c r="HA45" i="5"/>
  <c r="HG44" i="5"/>
  <c r="HK44" i="5"/>
  <c r="HH44" i="5"/>
  <c r="HJ44" i="5"/>
  <c r="HI44" i="5"/>
  <c r="FT45" i="5"/>
  <c r="FV45" i="5"/>
  <c r="GE45" i="5" s="1"/>
  <c r="GH44" i="5"/>
  <c r="GI44" i="5"/>
  <c r="GF44" i="5"/>
  <c r="GG44" i="5"/>
  <c r="AU24" i="5"/>
  <c r="AN22" i="5"/>
  <c r="AO22" i="5" s="1"/>
  <c r="BN24" i="5"/>
  <c r="BO24" i="5" s="1"/>
  <c r="AH24" i="5"/>
  <c r="BP24" i="5"/>
  <c r="AV24" i="5"/>
  <c r="AT24" i="5"/>
  <c r="BU24" i="5"/>
  <c r="BT24" i="5"/>
  <c r="BS23" i="5"/>
  <c r="FC24" i="5"/>
  <c r="FD24" i="5" s="1"/>
  <c r="DL25" i="5"/>
  <c r="FE24" i="5"/>
  <c r="FG24" i="5" s="1"/>
  <c r="FS24" i="5" s="1"/>
  <c r="HB41" i="5"/>
  <c r="DU23" i="5"/>
  <c r="P62" i="50"/>
  <c r="EC44" i="5"/>
  <c r="ED44" i="5"/>
  <c r="I63" i="50"/>
  <c r="K63" i="50" s="1"/>
  <c r="O63" i="50" s="1"/>
  <c r="G64" i="50"/>
  <c r="M64" i="50"/>
  <c r="H64" i="50"/>
  <c r="L64" i="50"/>
  <c r="V64" i="50"/>
  <c r="W64" i="50" s="1"/>
  <c r="Y64" i="50" s="1"/>
  <c r="J64" i="50"/>
  <c r="N64" i="50"/>
  <c r="E65" i="50"/>
  <c r="F65" i="50"/>
  <c r="D65" i="50"/>
  <c r="C66" i="50"/>
  <c r="B66" i="50"/>
  <c r="A67" i="50"/>
  <c r="R62" i="50"/>
  <c r="T62" i="50" s="1"/>
  <c r="A47" i="44"/>
  <c r="T46" i="44"/>
  <c r="U46" i="44"/>
  <c r="EX44" i="5"/>
  <c r="EW45" i="5"/>
  <c r="EV45" i="5"/>
  <c r="DM45" i="5"/>
  <c r="DW45" i="5"/>
  <c r="DV45" i="5" s="1"/>
  <c r="EB45" i="5" s="1"/>
  <c r="DI45" i="5"/>
  <c r="DF46" i="5"/>
  <c r="DR45" i="5"/>
  <c r="ES45" i="5" s="1"/>
  <c r="DP45" i="5"/>
  <c r="EQ45" i="5"/>
  <c r="ER45" i="5" s="1"/>
  <c r="EY45" i="5"/>
  <c r="EZ45" i="5" s="1"/>
  <c r="DX45" i="5"/>
  <c r="EU44" i="5"/>
  <c r="L42" i="5"/>
  <c r="H42" i="5"/>
  <c r="J42" i="5"/>
  <c r="G42" i="5"/>
  <c r="M42" i="5"/>
  <c r="N42" i="5"/>
  <c r="P39" i="5"/>
  <c r="E43" i="5"/>
  <c r="F43" i="5"/>
  <c r="D43" i="5"/>
  <c r="A45" i="5"/>
  <c r="C44" i="5"/>
  <c r="B44" i="5"/>
  <c r="K40" i="5"/>
  <c r="GP41" i="5"/>
  <c r="I41" i="5"/>
  <c r="FW41" i="5"/>
  <c r="BM45" i="5"/>
  <c r="CM46" i="5"/>
  <c r="CK47" i="5"/>
  <c r="BF46" i="5"/>
  <c r="BG46" i="5" s="1"/>
  <c r="AY46" i="5"/>
  <c r="AZ46" i="5"/>
  <c r="BN46" i="5"/>
  <c r="BO46" i="5" s="1"/>
  <c r="BA46" i="5"/>
  <c r="AL46" i="5"/>
  <c r="AR46" i="5" s="1"/>
  <c r="BK46" i="5"/>
  <c r="BL46" i="5"/>
  <c r="AM46" i="5"/>
  <c r="AS46" i="5" s="1"/>
  <c r="EP41" i="5"/>
  <c r="BE39" i="5"/>
  <c r="BB40" i="5"/>
  <c r="BD40" i="5"/>
  <c r="BC40" i="5"/>
  <c r="EO42" i="5"/>
  <c r="EM42" i="5"/>
  <c r="EN42" i="5"/>
  <c r="EJ42" i="5"/>
  <c r="EL42" i="5"/>
  <c r="EK42" i="5"/>
  <c r="BJ45" i="5"/>
  <c r="V47" i="5"/>
  <c r="Y46" i="5"/>
  <c r="AG46" i="5"/>
  <c r="BH46" i="5" s="1"/>
  <c r="AE46" i="5"/>
  <c r="AK46" i="5" s="1"/>
  <c r="AJ22" i="5"/>
  <c r="Z41" i="5"/>
  <c r="AA41" i="5"/>
  <c r="DK43" i="5"/>
  <c r="DJ43" i="5"/>
  <c r="AN47" i="44" l="1"/>
  <c r="AM47" i="44"/>
  <c r="AO47" i="44"/>
  <c r="DA47" i="5"/>
  <c r="DC47" i="5"/>
  <c r="DB47" i="5"/>
  <c r="DD47" i="5"/>
  <c r="CD47" i="5"/>
  <c r="CC47" i="5"/>
  <c r="CE47" i="5"/>
  <c r="CB47" i="5"/>
  <c r="BY24" i="5"/>
  <c r="CC24" i="5" s="1"/>
  <c r="O42" i="5"/>
  <c r="T45" i="5"/>
  <c r="S45" i="5"/>
  <c r="R45" i="5"/>
  <c r="Q45" i="5"/>
  <c r="GC45" i="5"/>
  <c r="GK45" i="5"/>
  <c r="AQ46" i="5"/>
  <c r="HN41" i="5"/>
  <c r="GJ44" i="5"/>
  <c r="CI47" i="5"/>
  <c r="AB25" i="5"/>
  <c r="AC25" i="5" s="1"/>
  <c r="BQ25" i="5" s="1"/>
  <c r="GL45" i="5"/>
  <c r="GM44" i="5"/>
  <c r="BQ24" i="5"/>
  <c r="BS24" i="5" s="1"/>
  <c r="DO25" i="5"/>
  <c r="FE25" i="5" s="1"/>
  <c r="DS25" i="5"/>
  <c r="FV46" i="5"/>
  <c r="GE46" i="5" s="1"/>
  <c r="GF45" i="5"/>
  <c r="GH45" i="5"/>
  <c r="GI45" i="5"/>
  <c r="GG45" i="5"/>
  <c r="FT46" i="5"/>
  <c r="HA46" i="5"/>
  <c r="HK45" i="5"/>
  <c r="HJ45" i="5"/>
  <c r="HI45" i="5"/>
  <c r="HH45" i="5"/>
  <c r="HG45" i="5"/>
  <c r="FA25" i="5"/>
  <c r="DN25" i="5"/>
  <c r="EG25" i="5"/>
  <c r="EY25" i="5"/>
  <c r="EZ25" i="5" s="1"/>
  <c r="EF25" i="5"/>
  <c r="BV24" i="5"/>
  <c r="GQ24" i="5"/>
  <c r="GV24" i="5" s="1"/>
  <c r="L53" i="44"/>
  <c r="AF24" i="44" s="1"/>
  <c r="HB42" i="5"/>
  <c r="DT24" i="5"/>
  <c r="K52" i="44"/>
  <c r="AE25" i="44" s="1"/>
  <c r="ES26" i="5"/>
  <c r="I64" i="50"/>
  <c r="K64" i="50" s="1"/>
  <c r="O64" i="50" s="1"/>
  <c r="P64" i="50" s="1"/>
  <c r="ED45" i="5"/>
  <c r="EC45" i="5"/>
  <c r="C67" i="50"/>
  <c r="B67" i="50"/>
  <c r="A68" i="50"/>
  <c r="D66" i="50"/>
  <c r="F66" i="50"/>
  <c r="E66" i="50"/>
  <c r="H65" i="50"/>
  <c r="N65" i="50"/>
  <c r="G65" i="50"/>
  <c r="J65" i="50"/>
  <c r="M65" i="50"/>
  <c r="L65" i="50"/>
  <c r="V65" i="50"/>
  <c r="P63" i="50"/>
  <c r="Q63" i="50"/>
  <c r="U47" i="44"/>
  <c r="A48" i="44"/>
  <c r="T47" i="44"/>
  <c r="EX45" i="5"/>
  <c r="BM46" i="5"/>
  <c r="EU45" i="5"/>
  <c r="DW46" i="5"/>
  <c r="DV46" i="5" s="1"/>
  <c r="EB46" i="5" s="1"/>
  <c r="DP46" i="5"/>
  <c r="DX46" i="5"/>
  <c r="DF47" i="5"/>
  <c r="DR46" i="5"/>
  <c r="ES46" i="5" s="1"/>
  <c r="DI46" i="5"/>
  <c r="DM46" i="5"/>
  <c r="EW46" i="5"/>
  <c r="EV46" i="5"/>
  <c r="EY46" i="5"/>
  <c r="EZ46" i="5" s="1"/>
  <c r="EQ46" i="5"/>
  <c r="ER46" i="5" s="1"/>
  <c r="E44" i="5"/>
  <c r="D44" i="5"/>
  <c r="F44" i="5"/>
  <c r="L43" i="5"/>
  <c r="M43" i="5"/>
  <c r="J43" i="5"/>
  <c r="N43" i="5"/>
  <c r="G43" i="5"/>
  <c r="H43" i="5"/>
  <c r="P40" i="5"/>
  <c r="FW42" i="5"/>
  <c r="C45" i="5"/>
  <c r="B45" i="5"/>
  <c r="A46" i="5"/>
  <c r="GP42" i="5"/>
  <c r="I42" i="5"/>
  <c r="CM47" i="5"/>
  <c r="CK48" i="5"/>
  <c r="K41" i="5"/>
  <c r="BN47" i="5"/>
  <c r="BO47" i="5" s="1"/>
  <c r="BF47" i="5"/>
  <c r="BG47" i="5" s="1"/>
  <c r="AM47" i="5"/>
  <c r="AS47" i="5" s="1"/>
  <c r="BK47" i="5"/>
  <c r="AL47" i="5"/>
  <c r="AR47" i="5" s="1"/>
  <c r="AZ47" i="5"/>
  <c r="BL47" i="5"/>
  <c r="BA47" i="5"/>
  <c r="AY47" i="5"/>
  <c r="EP42" i="5"/>
  <c r="BE40" i="5"/>
  <c r="BJ46" i="5"/>
  <c r="EO43" i="5"/>
  <c r="EM43" i="5"/>
  <c r="EN43" i="5"/>
  <c r="EK43" i="5"/>
  <c r="EJ43" i="5"/>
  <c r="EL43" i="5"/>
  <c r="BB41" i="5"/>
  <c r="BC41" i="5"/>
  <c r="BD41" i="5"/>
  <c r="H53" i="44"/>
  <c r="AB24" i="44" s="1"/>
  <c r="AI23" i="5"/>
  <c r="I54" i="44"/>
  <c r="AC23" i="44" s="1"/>
  <c r="AA42" i="5"/>
  <c r="Z42" i="5"/>
  <c r="Y47" i="5"/>
  <c r="V48" i="5"/>
  <c r="AG47" i="5"/>
  <c r="BH47" i="5" s="1"/>
  <c r="AE47" i="5"/>
  <c r="AK47" i="5" s="1"/>
  <c r="DK44" i="5"/>
  <c r="DJ44" i="5"/>
  <c r="AN48" i="44" l="1"/>
  <c r="AM48" i="44"/>
  <c r="AO48" i="44"/>
  <c r="DA48" i="5"/>
  <c r="DD48" i="5"/>
  <c r="DC48" i="5"/>
  <c r="DB48" i="5"/>
  <c r="CD48" i="5"/>
  <c r="CC48" i="5"/>
  <c r="CE48" i="5"/>
  <c r="CB48" i="5"/>
  <c r="AD25" i="5"/>
  <c r="AB26" i="5" s="1"/>
  <c r="T46" i="5"/>
  <c r="S46" i="5"/>
  <c r="BN25" i="5"/>
  <c r="BO25" i="5" s="1"/>
  <c r="O43" i="5"/>
  <c r="AU25" i="5"/>
  <c r="E51" i="44"/>
  <c r="W26" i="44" s="1"/>
  <c r="R46" i="5"/>
  <c r="Q46" i="5"/>
  <c r="BP25" i="5"/>
  <c r="AT25" i="5"/>
  <c r="AV25" i="5"/>
  <c r="AH25" i="5"/>
  <c r="GC46" i="5"/>
  <c r="GK46" i="5"/>
  <c r="DL26" i="5"/>
  <c r="EG26" i="5" s="1"/>
  <c r="AQ47" i="5"/>
  <c r="HN42" i="5"/>
  <c r="FF25" i="5"/>
  <c r="FG25" i="5" s="1"/>
  <c r="FS25" i="5" s="1"/>
  <c r="CI48" i="5"/>
  <c r="GJ45" i="5"/>
  <c r="GL46" i="5"/>
  <c r="GM45" i="5"/>
  <c r="FT47" i="5"/>
  <c r="FB25" i="5"/>
  <c r="HA47" i="5"/>
  <c r="HK46" i="5"/>
  <c r="HJ46" i="5"/>
  <c r="HI46" i="5"/>
  <c r="HH46" i="5"/>
  <c r="HG46" i="5"/>
  <c r="BZ24" i="5"/>
  <c r="HC24" i="5" s="1"/>
  <c r="CH24" i="5"/>
  <c r="FV47" i="5"/>
  <c r="GE47" i="5" s="1"/>
  <c r="GG46" i="5"/>
  <c r="GF46" i="5"/>
  <c r="GH46" i="5"/>
  <c r="GI46" i="5"/>
  <c r="DY24" i="5"/>
  <c r="DZ24" i="5" s="1"/>
  <c r="FC25" i="5"/>
  <c r="AN23" i="5"/>
  <c r="AO23" i="5" s="1"/>
  <c r="BR25" i="5"/>
  <c r="BS25" i="5" s="1"/>
  <c r="HB43" i="5"/>
  <c r="DU24" i="5"/>
  <c r="ED46" i="5"/>
  <c r="EC46" i="5"/>
  <c r="R63" i="50"/>
  <c r="T63" i="50" s="1"/>
  <c r="M66" i="50"/>
  <c r="H66" i="50"/>
  <c r="L66" i="50"/>
  <c r="J66" i="50"/>
  <c r="N66" i="50"/>
  <c r="G66" i="50"/>
  <c r="V66" i="50"/>
  <c r="W66" i="50" s="1"/>
  <c r="Y66" i="50" s="1"/>
  <c r="W65" i="50"/>
  <c r="Y65" i="50" s="1"/>
  <c r="Q64" i="50"/>
  <c r="R64" i="50" s="1"/>
  <c r="T64" i="50" s="1"/>
  <c r="B68" i="50"/>
  <c r="A69" i="50"/>
  <c r="C68" i="50"/>
  <c r="D67" i="50"/>
  <c r="F67" i="50"/>
  <c r="E67" i="50"/>
  <c r="I65" i="50"/>
  <c r="K65" i="50" s="1"/>
  <c r="O65" i="50" s="1"/>
  <c r="EX46" i="5"/>
  <c r="U48" i="44"/>
  <c r="T48" i="44"/>
  <c r="A49" i="44"/>
  <c r="EU46" i="5"/>
  <c r="DF48" i="5"/>
  <c r="DM47" i="5"/>
  <c r="DI47" i="5"/>
  <c r="DR47" i="5"/>
  <c r="ES47" i="5" s="1"/>
  <c r="DX47" i="5"/>
  <c r="EQ47" i="5"/>
  <c r="ER47" i="5" s="1"/>
  <c r="EY47" i="5"/>
  <c r="EZ47" i="5" s="1"/>
  <c r="DP47" i="5"/>
  <c r="EV47" i="5"/>
  <c r="DW47" i="5"/>
  <c r="DV47" i="5" s="1"/>
  <c r="EB47" i="5" s="1"/>
  <c r="EW47" i="5"/>
  <c r="BM47" i="5"/>
  <c r="P41" i="5"/>
  <c r="K42" i="5"/>
  <c r="L44" i="5"/>
  <c r="G44" i="5"/>
  <c r="H44" i="5"/>
  <c r="M44" i="5"/>
  <c r="N44" i="5"/>
  <c r="J44" i="5"/>
  <c r="A47" i="5"/>
  <c r="C46" i="5"/>
  <c r="B46" i="5"/>
  <c r="D45" i="5"/>
  <c r="E45" i="5"/>
  <c r="F45" i="5"/>
  <c r="GP43" i="5"/>
  <c r="I43" i="5"/>
  <c r="CM48" i="5"/>
  <c r="CK49" i="5"/>
  <c r="FW43" i="5"/>
  <c r="BK48" i="5"/>
  <c r="BF48" i="5"/>
  <c r="BG48" i="5" s="1"/>
  <c r="BN48" i="5"/>
  <c r="BO48" i="5" s="1"/>
  <c r="AM48" i="5"/>
  <c r="AS48" i="5" s="1"/>
  <c r="BL48" i="5"/>
  <c r="AY48" i="5"/>
  <c r="AL48" i="5"/>
  <c r="AR48" i="5" s="1"/>
  <c r="BA48" i="5"/>
  <c r="AZ48" i="5"/>
  <c r="EP43" i="5"/>
  <c r="BE41" i="5"/>
  <c r="BJ47" i="5"/>
  <c r="EN44" i="5"/>
  <c r="EM44" i="5"/>
  <c r="EO44" i="5"/>
  <c r="EK44" i="5"/>
  <c r="EL44" i="5"/>
  <c r="EJ44" i="5"/>
  <c r="BC42" i="5"/>
  <c r="BB42" i="5"/>
  <c r="BD42" i="5"/>
  <c r="AJ23" i="5"/>
  <c r="V49" i="5"/>
  <c r="Y48" i="5"/>
  <c r="AG48" i="5"/>
  <c r="BH48" i="5" s="1"/>
  <c r="AE48" i="5"/>
  <c r="AK48" i="5" s="1"/>
  <c r="AA43" i="5"/>
  <c r="Z43" i="5"/>
  <c r="DJ45" i="5"/>
  <c r="DK45" i="5"/>
  <c r="AN49" i="44" l="1"/>
  <c r="AM49" i="44"/>
  <c r="AO49" i="44"/>
  <c r="BU25" i="5"/>
  <c r="DD49" i="5"/>
  <c r="DB49" i="5"/>
  <c r="DC49" i="5"/>
  <c r="DA49" i="5"/>
  <c r="BT25" i="5"/>
  <c r="EY26" i="5"/>
  <c r="EZ26" i="5" s="1"/>
  <c r="O44" i="5"/>
  <c r="DN26" i="5"/>
  <c r="FB26" i="5" s="1"/>
  <c r="DO26" i="5"/>
  <c r="FE26" i="5" s="1"/>
  <c r="CD49" i="5"/>
  <c r="CC49" i="5"/>
  <c r="CE49" i="5"/>
  <c r="CB49" i="5"/>
  <c r="BY25" i="5"/>
  <c r="CC25" i="5" s="1"/>
  <c r="T47" i="5"/>
  <c r="S47" i="5"/>
  <c r="R47" i="5"/>
  <c r="Q47" i="5"/>
  <c r="GQ25" i="5"/>
  <c r="GV25" i="5" s="1"/>
  <c r="FA26" i="5"/>
  <c r="EF26" i="5"/>
  <c r="DS26" i="5"/>
  <c r="GC47" i="5"/>
  <c r="GK47" i="5"/>
  <c r="HN43" i="5"/>
  <c r="GJ46" i="5"/>
  <c r="AQ48" i="5"/>
  <c r="CI49" i="5"/>
  <c r="FD25" i="5"/>
  <c r="GL47" i="5"/>
  <c r="GM46" i="5"/>
  <c r="FT48" i="5"/>
  <c r="HA48" i="5"/>
  <c r="HK47" i="5"/>
  <c r="HJ47" i="5"/>
  <c r="HI47" i="5"/>
  <c r="HH47" i="5"/>
  <c r="HG47" i="5"/>
  <c r="FV48" i="5"/>
  <c r="GE48" i="5" s="1"/>
  <c r="GG47" i="5"/>
  <c r="GF47" i="5"/>
  <c r="GH47" i="5"/>
  <c r="GI47" i="5"/>
  <c r="AH26" i="5"/>
  <c r="AD26" i="5"/>
  <c r="AC26" i="5"/>
  <c r="BQ26" i="5" s="1"/>
  <c r="E50" i="44"/>
  <c r="W27" i="44" s="1"/>
  <c r="BN26" i="5"/>
  <c r="BO26" i="5" s="1"/>
  <c r="BP26" i="5"/>
  <c r="AV26" i="5"/>
  <c r="AT26" i="5"/>
  <c r="AU26" i="5"/>
  <c r="L52" i="44"/>
  <c r="AF25" i="44" s="1"/>
  <c r="BH26" i="5"/>
  <c r="BJ26" i="5" s="1"/>
  <c r="HB44" i="5"/>
  <c r="K51" i="44"/>
  <c r="AE26" i="44" s="1"/>
  <c r="DT25" i="5"/>
  <c r="ED47" i="5"/>
  <c r="EC47" i="5"/>
  <c r="B69" i="50"/>
  <c r="A70" i="50"/>
  <c r="C69" i="50"/>
  <c r="I66" i="50"/>
  <c r="K66" i="50" s="1"/>
  <c r="O66" i="50" s="1"/>
  <c r="P66" i="50" s="1"/>
  <c r="F68" i="50"/>
  <c r="E68" i="50"/>
  <c r="D68" i="50"/>
  <c r="Q65" i="50"/>
  <c r="P65" i="50"/>
  <c r="V67" i="50"/>
  <c r="M67" i="50"/>
  <c r="L67" i="50"/>
  <c r="H67" i="50"/>
  <c r="J67" i="50"/>
  <c r="N67" i="50"/>
  <c r="G67" i="50"/>
  <c r="T49" i="44"/>
  <c r="A50" i="44"/>
  <c r="U49" i="44"/>
  <c r="EX47" i="5"/>
  <c r="EU47" i="5"/>
  <c r="EV48" i="5"/>
  <c r="DW48" i="5"/>
  <c r="DV48" i="5" s="1"/>
  <c r="EB48" i="5" s="1"/>
  <c r="DP48" i="5"/>
  <c r="EQ48" i="5"/>
  <c r="ER48" i="5" s="1"/>
  <c r="EW48" i="5"/>
  <c r="EY48" i="5"/>
  <c r="EZ48" i="5" s="1"/>
  <c r="DX48" i="5"/>
  <c r="DM48" i="5"/>
  <c r="DR48" i="5"/>
  <c r="ES48" i="5" s="1"/>
  <c r="DF49" i="5"/>
  <c r="DI48" i="5"/>
  <c r="BM48" i="5"/>
  <c r="F46" i="5"/>
  <c r="E46" i="5"/>
  <c r="D46" i="5"/>
  <c r="P42" i="5"/>
  <c r="K43" i="5"/>
  <c r="A48" i="5"/>
  <c r="B47" i="5"/>
  <c r="C47" i="5"/>
  <c r="GP44" i="5"/>
  <c r="I44" i="5"/>
  <c r="FW44" i="5"/>
  <c r="CM49" i="5"/>
  <c r="CK50" i="5"/>
  <c r="N45" i="5"/>
  <c r="G45" i="5"/>
  <c r="H45" i="5"/>
  <c r="J45" i="5"/>
  <c r="M45" i="5"/>
  <c r="L45" i="5"/>
  <c r="BF49" i="5"/>
  <c r="BG49" i="5" s="1"/>
  <c r="BL49" i="5"/>
  <c r="AM49" i="5"/>
  <c r="AS49" i="5" s="1"/>
  <c r="BA49" i="5"/>
  <c r="AL49" i="5"/>
  <c r="AR49" i="5" s="1"/>
  <c r="AY49" i="5"/>
  <c r="BK49" i="5"/>
  <c r="AZ49" i="5"/>
  <c r="BN49" i="5"/>
  <c r="BO49" i="5" s="1"/>
  <c r="EP44" i="5"/>
  <c r="BE42" i="5"/>
  <c r="BJ48" i="5"/>
  <c r="BC43" i="5"/>
  <c r="BD43" i="5"/>
  <c r="BB43" i="5"/>
  <c r="EO45" i="5"/>
  <c r="EM45" i="5"/>
  <c r="EN45" i="5"/>
  <c r="EK45" i="5"/>
  <c r="EL45" i="5"/>
  <c r="EJ45" i="5"/>
  <c r="V50" i="5"/>
  <c r="Y49" i="5"/>
  <c r="AG49" i="5"/>
  <c r="BH49" i="5" s="1"/>
  <c r="AE49" i="5"/>
  <c r="AK49" i="5" s="1"/>
  <c r="H52" i="44"/>
  <c r="AB25" i="44" s="1"/>
  <c r="AI24" i="5"/>
  <c r="Z44" i="5"/>
  <c r="AA44" i="5"/>
  <c r="I53" i="44"/>
  <c r="AC24" i="44" s="1"/>
  <c r="DK46" i="5"/>
  <c r="DJ46" i="5"/>
  <c r="BV25" i="5" l="1"/>
  <c r="AO50" i="44"/>
  <c r="AN50" i="44"/>
  <c r="AM50" i="44"/>
  <c r="FC26" i="5"/>
  <c r="FD26" i="5" s="1"/>
  <c r="DL27" i="5"/>
  <c r="DS27" i="5" s="1"/>
  <c r="FF26" i="5"/>
  <c r="DC50" i="5"/>
  <c r="DB50" i="5"/>
  <c r="DD50" i="5"/>
  <c r="DA50" i="5"/>
  <c r="CD50" i="5"/>
  <c r="CC50" i="5"/>
  <c r="CE50" i="5"/>
  <c r="CB50" i="5"/>
  <c r="BY26" i="5"/>
  <c r="CC26" i="5" s="1"/>
  <c r="T48" i="5"/>
  <c r="S48" i="5"/>
  <c r="O45" i="5"/>
  <c r="R48" i="5"/>
  <c r="Q48" i="5"/>
  <c r="GC48" i="5"/>
  <c r="GK48" i="5"/>
  <c r="AQ49" i="5"/>
  <c r="HN44" i="5"/>
  <c r="GJ47" i="5"/>
  <c r="CI50" i="5"/>
  <c r="BR26" i="5"/>
  <c r="BS26" i="5" s="1"/>
  <c r="GL48" i="5"/>
  <c r="GM47" i="5"/>
  <c r="FT49" i="5"/>
  <c r="FV49" i="5"/>
  <c r="GE49" i="5" s="1"/>
  <c r="GG48" i="5"/>
  <c r="GF48" i="5"/>
  <c r="GH48" i="5"/>
  <c r="GI48" i="5"/>
  <c r="DY25" i="5"/>
  <c r="DZ25" i="5" s="1"/>
  <c r="DO27" i="5"/>
  <c r="BZ25" i="5"/>
  <c r="HC25" i="5" s="1"/>
  <c r="CH25" i="5"/>
  <c r="HA49" i="5"/>
  <c r="HK48" i="5"/>
  <c r="HJ48" i="5"/>
  <c r="HI48" i="5"/>
  <c r="HH48" i="5"/>
  <c r="HG48" i="5"/>
  <c r="BT26" i="5"/>
  <c r="BU26" i="5"/>
  <c r="AN24" i="5"/>
  <c r="AO24" i="5" s="1"/>
  <c r="AB27" i="5"/>
  <c r="BN27" i="5" s="1"/>
  <c r="BO27" i="5" s="1"/>
  <c r="GQ26" i="5"/>
  <c r="GV26" i="5" s="1"/>
  <c r="FG26" i="5"/>
  <c r="FS26" i="5" s="1"/>
  <c r="HB45" i="5"/>
  <c r="DU25" i="5"/>
  <c r="ED48" i="5"/>
  <c r="EC48" i="5"/>
  <c r="R65" i="50"/>
  <c r="T65" i="50" s="1"/>
  <c r="W67" i="50"/>
  <c r="Y67" i="50" s="1"/>
  <c r="Q66" i="50"/>
  <c r="C70" i="50"/>
  <c r="B70" i="50"/>
  <c r="A71" i="50"/>
  <c r="EX48" i="5"/>
  <c r="E69" i="50"/>
  <c r="F69" i="50"/>
  <c r="D69" i="50"/>
  <c r="I67" i="50"/>
  <c r="K67" i="50" s="1"/>
  <c r="O67" i="50" s="1"/>
  <c r="M68" i="50"/>
  <c r="V68" i="50"/>
  <c r="G68" i="50"/>
  <c r="L68" i="50"/>
  <c r="H68" i="50"/>
  <c r="N68" i="50"/>
  <c r="J68" i="50"/>
  <c r="T50" i="44"/>
  <c r="U50" i="44"/>
  <c r="A51" i="44"/>
  <c r="EU48" i="5"/>
  <c r="EQ49" i="5"/>
  <c r="ER49" i="5" s="1"/>
  <c r="DW49" i="5"/>
  <c r="DV49" i="5" s="1"/>
  <c r="EB49" i="5" s="1"/>
  <c r="EY49" i="5"/>
  <c r="EZ49" i="5" s="1"/>
  <c r="DI49" i="5"/>
  <c r="DR49" i="5"/>
  <c r="ES49" i="5" s="1"/>
  <c r="DX49" i="5"/>
  <c r="EV49" i="5"/>
  <c r="DF50" i="5"/>
  <c r="DP49" i="5"/>
  <c r="DM49" i="5"/>
  <c r="EW49" i="5"/>
  <c r="BM49" i="5"/>
  <c r="CK51" i="5"/>
  <c r="CM50" i="5"/>
  <c r="P43" i="5"/>
  <c r="K44" i="5"/>
  <c r="J46" i="5"/>
  <c r="M46" i="5"/>
  <c r="H46" i="5"/>
  <c r="L46" i="5"/>
  <c r="G46" i="5"/>
  <c r="N46" i="5"/>
  <c r="GP45" i="5"/>
  <c r="I45" i="5"/>
  <c r="FW45" i="5"/>
  <c r="D47" i="5"/>
  <c r="E47" i="5"/>
  <c r="F47" i="5"/>
  <c r="A49" i="5"/>
  <c r="C48" i="5"/>
  <c r="B48" i="5"/>
  <c r="AL50" i="5"/>
  <c r="AR50" i="5" s="1"/>
  <c r="AZ50" i="5"/>
  <c r="BN50" i="5"/>
  <c r="BO50" i="5" s="1"/>
  <c r="AM50" i="5"/>
  <c r="AS50" i="5" s="1"/>
  <c r="BK50" i="5"/>
  <c r="BA50" i="5"/>
  <c r="BF50" i="5"/>
  <c r="BG50" i="5" s="1"/>
  <c r="AY50" i="5"/>
  <c r="BL50" i="5"/>
  <c r="BE43" i="5"/>
  <c r="EP45" i="5"/>
  <c r="BC44" i="5"/>
  <c r="BD44" i="5"/>
  <c r="BB44" i="5"/>
  <c r="EN46" i="5"/>
  <c r="EM46" i="5"/>
  <c r="EO46" i="5"/>
  <c r="EL46" i="5"/>
  <c r="EJ46" i="5"/>
  <c r="EK46" i="5"/>
  <c r="BJ49" i="5"/>
  <c r="V51" i="5"/>
  <c r="Y50" i="5"/>
  <c r="AE50" i="5"/>
  <c r="AK50" i="5" s="1"/>
  <c r="AG50" i="5"/>
  <c r="BH50" i="5" s="1"/>
  <c r="AJ24" i="5"/>
  <c r="AA45" i="5"/>
  <c r="Z45" i="5"/>
  <c r="DJ47" i="5"/>
  <c r="DK47" i="5"/>
  <c r="EY27" i="5" l="1"/>
  <c r="EZ27" i="5" s="1"/>
  <c r="DN27" i="5"/>
  <c r="FB27" i="5" s="1"/>
  <c r="EG27" i="5"/>
  <c r="FA27" i="5"/>
  <c r="EF27" i="5"/>
  <c r="AO51" i="44"/>
  <c r="AN51" i="44"/>
  <c r="AM51" i="44"/>
  <c r="DC51" i="5"/>
  <c r="DB51" i="5"/>
  <c r="DD51" i="5"/>
  <c r="DA51" i="5"/>
  <c r="CB51" i="5"/>
  <c r="CD51" i="5"/>
  <c r="CC51" i="5"/>
  <c r="CE51" i="5"/>
  <c r="T49" i="5"/>
  <c r="S49" i="5"/>
  <c r="O46" i="5"/>
  <c r="R49" i="5"/>
  <c r="Q49" i="5"/>
  <c r="HN45" i="5"/>
  <c r="GC49" i="5"/>
  <c r="GK49" i="5"/>
  <c r="GJ48" i="5"/>
  <c r="AQ50" i="5"/>
  <c r="CI51" i="5"/>
  <c r="GL49" i="5"/>
  <c r="GM48" i="5"/>
  <c r="FT50" i="5"/>
  <c r="HA50" i="5"/>
  <c r="HK49" i="5"/>
  <c r="HJ49" i="5"/>
  <c r="HI49" i="5"/>
  <c r="HH49" i="5"/>
  <c r="HG49" i="5"/>
  <c r="FV50" i="5"/>
  <c r="GE50" i="5" s="1"/>
  <c r="GG49" i="5"/>
  <c r="GF49" i="5"/>
  <c r="GH49" i="5"/>
  <c r="GI49" i="5"/>
  <c r="BV26" i="5"/>
  <c r="CH26" i="5" s="1"/>
  <c r="AT27" i="5"/>
  <c r="AH27" i="5"/>
  <c r="AU27" i="5"/>
  <c r="AC27" i="5"/>
  <c r="BQ27" i="5" s="1"/>
  <c r="AV27" i="5"/>
  <c r="E49" i="44"/>
  <c r="W28" i="44" s="1"/>
  <c r="AD27" i="5"/>
  <c r="BP27" i="5"/>
  <c r="L51" i="44"/>
  <c r="AF26" i="44" s="1"/>
  <c r="FC27" i="5"/>
  <c r="DL28" i="5"/>
  <c r="FF27" i="5"/>
  <c r="FE27" i="5"/>
  <c r="HB46" i="5"/>
  <c r="DT26" i="5"/>
  <c r="K50" i="44"/>
  <c r="AE27" i="44" s="1"/>
  <c r="ES28" i="5"/>
  <c r="ED49" i="5"/>
  <c r="EC49" i="5"/>
  <c r="I68" i="50"/>
  <c r="K68" i="50" s="1"/>
  <c r="O68" i="50" s="1"/>
  <c r="P68" i="50" s="1"/>
  <c r="B71" i="50"/>
  <c r="A72" i="50"/>
  <c r="C71" i="50"/>
  <c r="D70" i="50"/>
  <c r="F70" i="50"/>
  <c r="E70" i="50"/>
  <c r="Q67" i="50"/>
  <c r="R67" i="50" s="1"/>
  <c r="T67" i="50" s="1"/>
  <c r="P67" i="50"/>
  <c r="R66" i="50"/>
  <c r="T66" i="50" s="1"/>
  <c r="J69" i="50"/>
  <c r="L69" i="50"/>
  <c r="N69" i="50"/>
  <c r="H69" i="50"/>
  <c r="G69" i="50"/>
  <c r="V69" i="50"/>
  <c r="W69" i="50" s="1"/>
  <c r="Y69" i="50" s="1"/>
  <c r="M69" i="50"/>
  <c r="W68" i="50"/>
  <c r="Y68" i="50" s="1"/>
  <c r="U51" i="44"/>
  <c r="A52" i="44"/>
  <c r="T51" i="44"/>
  <c r="EU49" i="5"/>
  <c r="EV50" i="5"/>
  <c r="EQ50" i="5"/>
  <c r="ER50" i="5" s="1"/>
  <c r="DF51" i="5"/>
  <c r="EY50" i="5"/>
  <c r="EZ50" i="5" s="1"/>
  <c r="DI50" i="5"/>
  <c r="DX50" i="5"/>
  <c r="DR50" i="5"/>
  <c r="ES50" i="5" s="1"/>
  <c r="DM50" i="5"/>
  <c r="DW50" i="5"/>
  <c r="DV50" i="5" s="1"/>
  <c r="EB50" i="5" s="1"/>
  <c r="EW50" i="5"/>
  <c r="DP50" i="5"/>
  <c r="EX49" i="5"/>
  <c r="BM50" i="5"/>
  <c r="C49" i="5"/>
  <c r="A50" i="5"/>
  <c r="B49" i="5"/>
  <c r="GP46" i="5"/>
  <c r="I46" i="5"/>
  <c r="K45" i="5"/>
  <c r="H47" i="5"/>
  <c r="G47" i="5"/>
  <c r="M47" i="5"/>
  <c r="N47" i="5"/>
  <c r="L47" i="5"/>
  <c r="J47" i="5"/>
  <c r="P44" i="5"/>
  <c r="D48" i="5"/>
  <c r="E48" i="5"/>
  <c r="F48" i="5"/>
  <c r="FW46" i="5"/>
  <c r="CM51" i="5"/>
  <c r="CK52" i="5"/>
  <c r="AY51" i="5"/>
  <c r="BF51" i="5"/>
  <c r="BG51" i="5" s="1"/>
  <c r="AM51" i="5"/>
  <c r="AS51" i="5" s="1"/>
  <c r="BL51" i="5"/>
  <c r="AZ51" i="5"/>
  <c r="BN51" i="5"/>
  <c r="BO51" i="5" s="1"/>
  <c r="BA51" i="5"/>
  <c r="BK51" i="5"/>
  <c r="AL51" i="5"/>
  <c r="AR51" i="5" s="1"/>
  <c r="BE44" i="5"/>
  <c r="EP46" i="5"/>
  <c r="EM47" i="5"/>
  <c r="EN47" i="5"/>
  <c r="EO47" i="5"/>
  <c r="EL47" i="5"/>
  <c r="EJ47" i="5"/>
  <c r="EK47" i="5"/>
  <c r="BC45" i="5"/>
  <c r="BD45" i="5"/>
  <c r="BB45" i="5"/>
  <c r="BJ50" i="5"/>
  <c r="AA46" i="5"/>
  <c r="Z46" i="5"/>
  <c r="V52" i="5"/>
  <c r="Y51" i="5"/>
  <c r="AE51" i="5"/>
  <c r="AK51" i="5" s="1"/>
  <c r="AG51" i="5"/>
  <c r="BH51" i="5" s="1"/>
  <c r="I52" i="44"/>
  <c r="AC25" i="44" s="1"/>
  <c r="H51" i="44"/>
  <c r="AB26" i="44" s="1"/>
  <c r="AI25" i="5"/>
  <c r="DJ48" i="5"/>
  <c r="DK48" i="5"/>
  <c r="AO52" i="44" l="1"/>
  <c r="AM52" i="44"/>
  <c r="AN52" i="44"/>
  <c r="DC52" i="5"/>
  <c r="DB52" i="5"/>
  <c r="DD52" i="5"/>
  <c r="DA52" i="5"/>
  <c r="CD52" i="5"/>
  <c r="CC52" i="5"/>
  <c r="CE52" i="5"/>
  <c r="CB52" i="5"/>
  <c r="BY27" i="5"/>
  <c r="CC27" i="5" s="1"/>
  <c r="O47" i="5"/>
  <c r="S50" i="5"/>
  <c r="T50" i="5"/>
  <c r="R50" i="5"/>
  <c r="Q50" i="5"/>
  <c r="GC50" i="5"/>
  <c r="GK50" i="5"/>
  <c r="AQ51" i="5"/>
  <c r="HN46" i="5"/>
  <c r="GJ49" i="5"/>
  <c r="CI52" i="5"/>
  <c r="GL50" i="5"/>
  <c r="GM49" i="5"/>
  <c r="BZ26" i="5"/>
  <c r="HC26" i="5" s="1"/>
  <c r="DY26" i="5"/>
  <c r="DZ26" i="5" s="1"/>
  <c r="FV51" i="5"/>
  <c r="GE51" i="5" s="1"/>
  <c r="GG50" i="5"/>
  <c r="GF50" i="5"/>
  <c r="GH50" i="5"/>
  <c r="GI50" i="5"/>
  <c r="DO28" i="5"/>
  <c r="DS28" i="5"/>
  <c r="FT51" i="5"/>
  <c r="HA51" i="5"/>
  <c r="HK50" i="5"/>
  <c r="HJ50" i="5"/>
  <c r="HI50" i="5"/>
  <c r="HH50" i="5"/>
  <c r="HG50" i="5"/>
  <c r="GQ27" i="5"/>
  <c r="GV27" i="5" s="1"/>
  <c r="AB28" i="5"/>
  <c r="BP28" i="5" s="1"/>
  <c r="BT27" i="5"/>
  <c r="BR27" i="5"/>
  <c r="BS27" i="5" s="1"/>
  <c r="BU27" i="5"/>
  <c r="AN25" i="5"/>
  <c r="AO25" i="5" s="1"/>
  <c r="FG27" i="5"/>
  <c r="FS27" i="5" s="1"/>
  <c r="DN28" i="5"/>
  <c r="EY28" i="5"/>
  <c r="EZ28" i="5" s="1"/>
  <c r="FA28" i="5"/>
  <c r="EF28" i="5"/>
  <c r="EG28" i="5"/>
  <c r="FD27" i="5"/>
  <c r="HB47" i="5"/>
  <c r="DU26" i="5"/>
  <c r="BH28" i="5"/>
  <c r="ED50" i="5"/>
  <c r="EC50" i="5"/>
  <c r="I69" i="50"/>
  <c r="K69" i="50" s="1"/>
  <c r="O69" i="50" s="1"/>
  <c r="P69" i="50" s="1"/>
  <c r="V70" i="50"/>
  <c r="M70" i="50"/>
  <c r="L70" i="50"/>
  <c r="N70" i="50"/>
  <c r="G70" i="50"/>
  <c r="J70" i="50"/>
  <c r="H70" i="50"/>
  <c r="C72" i="50"/>
  <c r="B72" i="50"/>
  <c r="A73" i="50"/>
  <c r="E71" i="50"/>
  <c r="D71" i="50"/>
  <c r="F71" i="50"/>
  <c r="Q68" i="50"/>
  <c r="A53" i="44"/>
  <c r="T52" i="44"/>
  <c r="U52" i="44"/>
  <c r="EX50" i="5"/>
  <c r="EU50" i="5"/>
  <c r="EV51" i="5"/>
  <c r="DI51" i="5"/>
  <c r="DP51" i="5"/>
  <c r="EQ51" i="5"/>
  <c r="ER51" i="5" s="1"/>
  <c r="DR51" i="5"/>
  <c r="ES51" i="5" s="1"/>
  <c r="DW51" i="5"/>
  <c r="DV51" i="5" s="1"/>
  <c r="EB51" i="5" s="1"/>
  <c r="EW51" i="5"/>
  <c r="DM51" i="5"/>
  <c r="EY51" i="5"/>
  <c r="EZ51" i="5" s="1"/>
  <c r="DX51" i="5"/>
  <c r="DF52" i="5"/>
  <c r="BM51" i="5"/>
  <c r="BE45" i="5"/>
  <c r="K46" i="5"/>
  <c r="FW47" i="5"/>
  <c r="GP47" i="5"/>
  <c r="I47" i="5"/>
  <c r="D49" i="5"/>
  <c r="F49" i="5"/>
  <c r="E49" i="5"/>
  <c r="J48" i="5"/>
  <c r="M48" i="5"/>
  <c r="N48" i="5"/>
  <c r="G48" i="5"/>
  <c r="H48" i="5"/>
  <c r="L48" i="5"/>
  <c r="A51" i="5"/>
  <c r="C50" i="5"/>
  <c r="B50" i="5"/>
  <c r="CK53" i="5"/>
  <c r="CM52" i="5"/>
  <c r="P45" i="5"/>
  <c r="BN52" i="5"/>
  <c r="BO52" i="5" s="1"/>
  <c r="BL52" i="5"/>
  <c r="BK52" i="5"/>
  <c r="AY52" i="5"/>
  <c r="AZ52" i="5"/>
  <c r="BA52" i="5"/>
  <c r="AL52" i="5"/>
  <c r="AR52" i="5" s="1"/>
  <c r="BF52" i="5"/>
  <c r="BG52" i="5" s="1"/>
  <c r="AM52" i="5"/>
  <c r="AS52" i="5" s="1"/>
  <c r="EP47" i="5"/>
  <c r="BB46" i="5"/>
  <c r="BD46" i="5"/>
  <c r="BC46" i="5"/>
  <c r="BJ51" i="5"/>
  <c r="EM48" i="5"/>
  <c r="EO48" i="5"/>
  <c r="EN48" i="5"/>
  <c r="EK48" i="5"/>
  <c r="EJ48" i="5"/>
  <c r="EL48" i="5"/>
  <c r="Z47" i="5"/>
  <c r="AA47" i="5"/>
  <c r="AJ25" i="5"/>
  <c r="Y52" i="5"/>
  <c r="V53" i="5"/>
  <c r="AE52" i="5"/>
  <c r="AK52" i="5" s="1"/>
  <c r="AG52" i="5"/>
  <c r="BH52" i="5" s="1"/>
  <c r="DK49" i="5"/>
  <c r="DJ49" i="5"/>
  <c r="AM53" i="44" l="1"/>
  <c r="AO53" i="44"/>
  <c r="AN53" i="44"/>
  <c r="DC53" i="5"/>
  <c r="DB53" i="5"/>
  <c r="DD53" i="5"/>
  <c r="DA53" i="5"/>
  <c r="O48" i="5"/>
  <c r="CB53" i="5"/>
  <c r="CD53" i="5"/>
  <c r="CC53" i="5"/>
  <c r="CE53" i="5"/>
  <c r="T51" i="5"/>
  <c r="S51" i="5"/>
  <c r="R51" i="5"/>
  <c r="Q51" i="5"/>
  <c r="GK51" i="5"/>
  <c r="GC51" i="5"/>
  <c r="AQ52" i="5"/>
  <c r="HN47" i="5"/>
  <c r="CI53" i="5"/>
  <c r="GJ50" i="5"/>
  <c r="GL51" i="5"/>
  <c r="GM50" i="5"/>
  <c r="BV27" i="5"/>
  <c r="CH27" i="5" s="1"/>
  <c r="FV52" i="5"/>
  <c r="GE52" i="5" s="1"/>
  <c r="GI51" i="5"/>
  <c r="GG51" i="5"/>
  <c r="GF51" i="5"/>
  <c r="GH51" i="5"/>
  <c r="FT52" i="5"/>
  <c r="AD28" i="5"/>
  <c r="BU28" i="5" s="1"/>
  <c r="HA52" i="5"/>
  <c r="HK51" i="5"/>
  <c r="HJ51" i="5"/>
  <c r="HI51" i="5"/>
  <c r="HH51" i="5"/>
  <c r="HG51" i="5"/>
  <c r="BN28" i="5"/>
  <c r="BO28" i="5" s="1"/>
  <c r="AH28" i="5"/>
  <c r="AU28" i="5"/>
  <c r="AV28" i="5"/>
  <c r="E48" i="44"/>
  <c r="W29" i="44" s="1"/>
  <c r="AT28" i="5"/>
  <c r="AC28" i="5"/>
  <c r="L50" i="44"/>
  <c r="AF27" i="44" s="1"/>
  <c r="FC28" i="5"/>
  <c r="FB28" i="5"/>
  <c r="DL29" i="5"/>
  <c r="FF28" i="5"/>
  <c r="FE28" i="5"/>
  <c r="BJ28" i="5"/>
  <c r="HB48" i="5"/>
  <c r="K49" i="44"/>
  <c r="AE28" i="44" s="1"/>
  <c r="DT27" i="5"/>
  <c r="ED51" i="5"/>
  <c r="EX51" i="5"/>
  <c r="EC51" i="5"/>
  <c r="D72" i="50"/>
  <c r="F72" i="50"/>
  <c r="E72" i="50"/>
  <c r="R68" i="50"/>
  <c r="T68" i="50" s="1"/>
  <c r="I70" i="50"/>
  <c r="K70" i="50" s="1"/>
  <c r="O70" i="50" s="1"/>
  <c r="Q70" i="50" s="1"/>
  <c r="B73" i="50"/>
  <c r="A74" i="50"/>
  <c r="C73" i="50"/>
  <c r="M71" i="50"/>
  <c r="L71" i="50"/>
  <c r="J71" i="50"/>
  <c r="N71" i="50"/>
  <c r="H71" i="50"/>
  <c r="G71" i="50"/>
  <c r="V71" i="50"/>
  <c r="Q69" i="50"/>
  <c r="W70" i="50"/>
  <c r="Y70" i="50" s="1"/>
  <c r="T53" i="44"/>
  <c r="A54" i="44"/>
  <c r="U53" i="44"/>
  <c r="EU51" i="5"/>
  <c r="EV52" i="5"/>
  <c r="DW52" i="5"/>
  <c r="DV52" i="5" s="1"/>
  <c r="EB52" i="5" s="1"/>
  <c r="EW52" i="5"/>
  <c r="DX52" i="5"/>
  <c r="EQ52" i="5"/>
  <c r="ER52" i="5" s="1"/>
  <c r="DF53" i="5"/>
  <c r="EY52" i="5"/>
  <c r="EZ52" i="5" s="1"/>
  <c r="DI52" i="5"/>
  <c r="DM52" i="5"/>
  <c r="DR52" i="5"/>
  <c r="ES52" i="5" s="1"/>
  <c r="DP52" i="5"/>
  <c r="K47" i="5"/>
  <c r="BM52" i="5"/>
  <c r="CM53" i="5"/>
  <c r="CK54" i="5"/>
  <c r="F50" i="5"/>
  <c r="D50" i="5"/>
  <c r="E50" i="5"/>
  <c r="P46" i="5"/>
  <c r="B51" i="5"/>
  <c r="A52" i="5"/>
  <c r="C51" i="5"/>
  <c r="M49" i="5"/>
  <c r="L49" i="5"/>
  <c r="J49" i="5"/>
  <c r="N49" i="5"/>
  <c r="H49" i="5"/>
  <c r="G49" i="5"/>
  <c r="GP48" i="5"/>
  <c r="I48" i="5"/>
  <c r="FW48" i="5"/>
  <c r="BA53" i="5"/>
  <c r="AM53" i="5"/>
  <c r="AS53" i="5" s="1"/>
  <c r="BN53" i="5"/>
  <c r="BO53" i="5" s="1"/>
  <c r="BK53" i="5"/>
  <c r="AZ53" i="5"/>
  <c r="BF53" i="5"/>
  <c r="BG53" i="5" s="1"/>
  <c r="AL53" i="5"/>
  <c r="AR53" i="5" s="1"/>
  <c r="AY53" i="5"/>
  <c r="BL53" i="5"/>
  <c r="BE46" i="5"/>
  <c r="EP48" i="5"/>
  <c r="BD47" i="5"/>
  <c r="BB47" i="5"/>
  <c r="BC47" i="5"/>
  <c r="EO49" i="5"/>
  <c r="EM49" i="5"/>
  <c r="EN49" i="5"/>
  <c r="EL49" i="5"/>
  <c r="EJ49" i="5"/>
  <c r="EK49" i="5"/>
  <c r="BJ52" i="5"/>
  <c r="Z48" i="5"/>
  <c r="AA48" i="5"/>
  <c r="V54" i="5"/>
  <c r="Y53" i="5"/>
  <c r="AG53" i="5"/>
  <c r="BH53" i="5" s="1"/>
  <c r="AE53" i="5"/>
  <c r="AK53" i="5" s="1"/>
  <c r="I51" i="44"/>
  <c r="AC26" i="44" s="1"/>
  <c r="H50" i="44"/>
  <c r="AB27" i="44" s="1"/>
  <c r="AI26" i="5"/>
  <c r="DK50" i="5"/>
  <c r="DJ50" i="5"/>
  <c r="AM54" i="44" l="1"/>
  <c r="AO54" i="44"/>
  <c r="AN54" i="44"/>
  <c r="DC54" i="5"/>
  <c r="DB54" i="5"/>
  <c r="DA54" i="5"/>
  <c r="DD54" i="5"/>
  <c r="CB54" i="5"/>
  <c r="CD54" i="5"/>
  <c r="CC54" i="5"/>
  <c r="CE54" i="5"/>
  <c r="BY28" i="5"/>
  <c r="CC28" i="5" s="1"/>
  <c r="O49" i="5"/>
  <c r="T52" i="5"/>
  <c r="S52" i="5"/>
  <c r="R52" i="5"/>
  <c r="Q52" i="5"/>
  <c r="GK52" i="5"/>
  <c r="GC52" i="5"/>
  <c r="HN48" i="5"/>
  <c r="AQ53" i="5"/>
  <c r="CI54" i="5"/>
  <c r="GJ51" i="5"/>
  <c r="GL52" i="5"/>
  <c r="GM51" i="5"/>
  <c r="BZ27" i="5"/>
  <c r="HC27" i="5" s="1"/>
  <c r="BT28" i="5"/>
  <c r="BV28" i="5" s="1"/>
  <c r="CH28" i="5" s="1"/>
  <c r="GQ28" i="5"/>
  <c r="GV28" i="5" s="1"/>
  <c r="DY27" i="5"/>
  <c r="DZ27" i="5" s="1"/>
  <c r="HA53" i="5"/>
  <c r="HK52" i="5"/>
  <c r="HJ52" i="5"/>
  <c r="HI52" i="5"/>
  <c r="HH52" i="5"/>
  <c r="HG52" i="5"/>
  <c r="FT53" i="5"/>
  <c r="DO29" i="5"/>
  <c r="DS29" i="5"/>
  <c r="FV53" i="5"/>
  <c r="GE53" i="5" s="1"/>
  <c r="GI52" i="5"/>
  <c r="GG52" i="5"/>
  <c r="GF52" i="5"/>
  <c r="GH52" i="5"/>
  <c r="BQ28" i="5"/>
  <c r="BR28" i="5"/>
  <c r="AB29" i="5"/>
  <c r="AN26" i="5"/>
  <c r="AO26" i="5" s="1"/>
  <c r="FG28" i="5"/>
  <c r="FS28" i="5" s="1"/>
  <c r="FD28" i="5"/>
  <c r="FA29" i="5"/>
  <c r="DN29" i="5"/>
  <c r="EF29" i="5"/>
  <c r="EG29" i="5"/>
  <c r="EY29" i="5"/>
  <c r="EZ29" i="5" s="1"/>
  <c r="HB49" i="5"/>
  <c r="DU27" i="5"/>
  <c r="EX52" i="5"/>
  <c r="EC52" i="5"/>
  <c r="ED52" i="5"/>
  <c r="E73" i="50"/>
  <c r="F73" i="50"/>
  <c r="D73" i="50"/>
  <c r="A75" i="50"/>
  <c r="B74" i="50"/>
  <c r="C74" i="50"/>
  <c r="I71" i="50"/>
  <c r="K71" i="50" s="1"/>
  <c r="O71" i="50" s="1"/>
  <c r="R69" i="50"/>
  <c r="T69" i="50" s="1"/>
  <c r="R70" i="50"/>
  <c r="T70" i="50" s="1"/>
  <c r="W71" i="50"/>
  <c r="Y71" i="50" s="1"/>
  <c r="G72" i="50"/>
  <c r="M72" i="50"/>
  <c r="H72" i="50"/>
  <c r="L72" i="50"/>
  <c r="V72" i="50"/>
  <c r="W72" i="50" s="1"/>
  <c r="Y72" i="50" s="1"/>
  <c r="J72" i="50"/>
  <c r="N72" i="50"/>
  <c r="P70" i="50"/>
  <c r="U54" i="44"/>
  <c r="A55" i="44"/>
  <c r="T54" i="44"/>
  <c r="BM53" i="5"/>
  <c r="EU52" i="5"/>
  <c r="EW53" i="5"/>
  <c r="DX53" i="5"/>
  <c r="EY53" i="5"/>
  <c r="EZ53" i="5" s="1"/>
  <c r="DW53" i="5"/>
  <c r="DV53" i="5" s="1"/>
  <c r="EB53" i="5" s="1"/>
  <c r="DM53" i="5"/>
  <c r="EQ53" i="5"/>
  <c r="ER53" i="5" s="1"/>
  <c r="DI53" i="5"/>
  <c r="EV53" i="5"/>
  <c r="DF54" i="5"/>
  <c r="DR53" i="5"/>
  <c r="ES53" i="5" s="1"/>
  <c r="DP53" i="5"/>
  <c r="CK55" i="5"/>
  <c r="CM54" i="5"/>
  <c r="BE47" i="5"/>
  <c r="GP49" i="5"/>
  <c r="I49" i="5"/>
  <c r="K48" i="5"/>
  <c r="A53" i="5"/>
  <c r="B52" i="5"/>
  <c r="C52" i="5"/>
  <c r="E51" i="5"/>
  <c r="F51" i="5"/>
  <c r="D51" i="5"/>
  <c r="J50" i="5"/>
  <c r="M50" i="5"/>
  <c r="N50" i="5"/>
  <c r="L50" i="5"/>
  <c r="G50" i="5"/>
  <c r="H50" i="5"/>
  <c r="P47" i="5"/>
  <c r="FW49" i="5"/>
  <c r="BF54" i="5"/>
  <c r="BG54" i="5" s="1"/>
  <c r="AL54" i="5"/>
  <c r="AR54" i="5" s="1"/>
  <c r="BN54" i="5"/>
  <c r="BO54" i="5" s="1"/>
  <c r="BK54" i="5"/>
  <c r="BA54" i="5"/>
  <c r="AM54" i="5"/>
  <c r="AS54" i="5" s="1"/>
  <c r="AY54" i="5"/>
  <c r="AZ54" i="5"/>
  <c r="BL54" i="5"/>
  <c r="EP49" i="5"/>
  <c r="BJ53" i="5"/>
  <c r="BB48" i="5"/>
  <c r="BC48" i="5"/>
  <c r="BD48" i="5"/>
  <c r="EM50" i="5"/>
  <c r="EN50" i="5"/>
  <c r="EO50" i="5"/>
  <c r="EK50" i="5"/>
  <c r="EJ50" i="5"/>
  <c r="EL50" i="5"/>
  <c r="AA49" i="5"/>
  <c r="Z49" i="5"/>
  <c r="V55" i="5"/>
  <c r="Y54" i="5"/>
  <c r="AE54" i="5"/>
  <c r="AK54" i="5" s="1"/>
  <c r="AG54" i="5"/>
  <c r="BH54" i="5" s="1"/>
  <c r="AJ26" i="5"/>
  <c r="DK51" i="5"/>
  <c r="DJ51" i="5"/>
  <c r="AN55" i="44" l="1"/>
  <c r="AM55" i="44"/>
  <c r="AO55" i="44"/>
  <c r="DA55" i="5"/>
  <c r="DC55" i="5"/>
  <c r="DB55" i="5"/>
  <c r="DD55" i="5"/>
  <c r="CB55" i="5"/>
  <c r="CD55" i="5"/>
  <c r="CC55" i="5"/>
  <c r="CE55" i="5"/>
  <c r="O50" i="5"/>
  <c r="T53" i="5"/>
  <c r="S53" i="5"/>
  <c r="R53" i="5"/>
  <c r="Q53" i="5"/>
  <c r="HN49" i="5"/>
  <c r="GK53" i="5"/>
  <c r="GC53" i="5"/>
  <c r="AQ54" i="5"/>
  <c r="GJ52" i="5"/>
  <c r="CI55" i="5"/>
  <c r="GL53" i="5"/>
  <c r="GM52" i="5"/>
  <c r="FT54" i="5"/>
  <c r="HA54" i="5"/>
  <c r="HK53" i="5"/>
  <c r="HJ53" i="5"/>
  <c r="HI53" i="5"/>
  <c r="HH53" i="5"/>
  <c r="HG53" i="5"/>
  <c r="FV54" i="5"/>
  <c r="GE54" i="5" s="1"/>
  <c r="GI53" i="5"/>
  <c r="GG53" i="5"/>
  <c r="GF53" i="5"/>
  <c r="GH53" i="5"/>
  <c r="AC29" i="5"/>
  <c r="AV29" i="5"/>
  <c r="AD29" i="5"/>
  <c r="E47" i="44"/>
  <c r="W30" i="44" s="1"/>
  <c r="AH29" i="5"/>
  <c r="BP29" i="5"/>
  <c r="BN29" i="5"/>
  <c r="BO29" i="5" s="1"/>
  <c r="AU29" i="5"/>
  <c r="AT29" i="5"/>
  <c r="BS28" i="5"/>
  <c r="BZ28" i="5" s="1"/>
  <c r="HC28" i="5" s="1"/>
  <c r="L49" i="44"/>
  <c r="AF28" i="44" s="1"/>
  <c r="FF29" i="5"/>
  <c r="FE29" i="5"/>
  <c r="DL30" i="5"/>
  <c r="FC29" i="5"/>
  <c r="FB29" i="5"/>
  <c r="HB50" i="5"/>
  <c r="DT28" i="5"/>
  <c r="K48" i="44"/>
  <c r="AE29" i="44" s="1"/>
  <c r="EC53" i="5"/>
  <c r="ED53" i="5"/>
  <c r="D74" i="50"/>
  <c r="E74" i="50"/>
  <c r="F74" i="50"/>
  <c r="C75" i="50"/>
  <c r="A76" i="50"/>
  <c r="B75" i="50"/>
  <c r="M73" i="50"/>
  <c r="N73" i="50"/>
  <c r="L73" i="50"/>
  <c r="J73" i="50"/>
  <c r="H73" i="50"/>
  <c r="G73" i="50"/>
  <c r="V73" i="50"/>
  <c r="I72" i="50"/>
  <c r="K72" i="50" s="1"/>
  <c r="O72" i="50" s="1"/>
  <c r="Q72" i="50" s="1"/>
  <c r="P71" i="50"/>
  <c r="Q71" i="50"/>
  <c r="U55" i="44"/>
  <c r="T55" i="44"/>
  <c r="A56" i="44"/>
  <c r="EX53" i="5"/>
  <c r="EU53" i="5"/>
  <c r="DM54" i="5"/>
  <c r="DP54" i="5"/>
  <c r="DR54" i="5"/>
  <c r="ES54" i="5" s="1"/>
  <c r="EW54" i="5"/>
  <c r="DX54" i="5"/>
  <c r="EV54" i="5"/>
  <c r="DF55" i="5"/>
  <c r="DW54" i="5"/>
  <c r="DV54" i="5" s="1"/>
  <c r="EB54" i="5" s="1"/>
  <c r="DI54" i="5"/>
  <c r="EY54" i="5"/>
  <c r="EZ54" i="5" s="1"/>
  <c r="EQ54" i="5"/>
  <c r="ER54" i="5" s="1"/>
  <c r="BM54" i="5"/>
  <c r="GP50" i="5"/>
  <c r="I50" i="5"/>
  <c r="M51" i="5"/>
  <c r="L51" i="5"/>
  <c r="J51" i="5"/>
  <c r="N51" i="5"/>
  <c r="H51" i="5"/>
  <c r="G51" i="5"/>
  <c r="P48" i="5"/>
  <c r="FW50" i="5"/>
  <c r="D52" i="5"/>
  <c r="E52" i="5"/>
  <c r="F52" i="5"/>
  <c r="C53" i="5"/>
  <c r="A54" i="5"/>
  <c r="B53" i="5"/>
  <c r="CM55" i="5"/>
  <c r="CK56" i="5"/>
  <c r="K49" i="5"/>
  <c r="BE48" i="5"/>
  <c r="AL55" i="5"/>
  <c r="AR55" i="5" s="1"/>
  <c r="BN55" i="5"/>
  <c r="BO55" i="5" s="1"/>
  <c r="BK55" i="5"/>
  <c r="BF55" i="5"/>
  <c r="BG55" i="5" s="1"/>
  <c r="AM55" i="5"/>
  <c r="AS55" i="5" s="1"/>
  <c r="BA55" i="5"/>
  <c r="AZ55" i="5"/>
  <c r="AY55" i="5"/>
  <c r="BL55" i="5"/>
  <c r="EP50" i="5"/>
  <c r="BJ54" i="5"/>
  <c r="BB49" i="5"/>
  <c r="BD49" i="5"/>
  <c r="BC49" i="5"/>
  <c r="EO51" i="5"/>
  <c r="EN51" i="5"/>
  <c r="EM51" i="5"/>
  <c r="EK51" i="5"/>
  <c r="EJ51" i="5"/>
  <c r="EL51" i="5"/>
  <c r="I50" i="44"/>
  <c r="AC27" i="44" s="1"/>
  <c r="H49" i="44"/>
  <c r="AB28" i="44" s="1"/>
  <c r="AI27" i="5"/>
  <c r="Y55" i="5"/>
  <c r="V56" i="5"/>
  <c r="AG55" i="5"/>
  <c r="BH55" i="5" s="1"/>
  <c r="AE55" i="5"/>
  <c r="AK55" i="5" s="1"/>
  <c r="Z50" i="5"/>
  <c r="AA50" i="5"/>
  <c r="DJ52" i="5"/>
  <c r="DK52" i="5"/>
  <c r="AN56" i="44" l="1"/>
  <c r="AM56" i="44"/>
  <c r="AO56" i="44"/>
  <c r="DA56" i="5"/>
  <c r="DD56" i="5"/>
  <c r="DC56" i="5"/>
  <c r="DB56" i="5"/>
  <c r="O51" i="5"/>
  <c r="CB56" i="5"/>
  <c r="CD56" i="5"/>
  <c r="CC56" i="5"/>
  <c r="CE56" i="5"/>
  <c r="BY29" i="5"/>
  <c r="CC29" i="5" s="1"/>
  <c r="T54" i="5"/>
  <c r="S54" i="5"/>
  <c r="Q54" i="5"/>
  <c r="R54" i="5"/>
  <c r="GK54" i="5"/>
  <c r="GC54" i="5"/>
  <c r="HN50" i="5"/>
  <c r="AQ55" i="5"/>
  <c r="CI56" i="5"/>
  <c r="GJ53" i="5"/>
  <c r="GL54" i="5"/>
  <c r="GM53" i="5"/>
  <c r="FV55" i="5"/>
  <c r="GE55" i="5" s="1"/>
  <c r="GI54" i="5"/>
  <c r="GG54" i="5"/>
  <c r="GF54" i="5"/>
  <c r="GH54" i="5"/>
  <c r="DY28" i="5"/>
  <c r="DZ28" i="5" s="1"/>
  <c r="FT55" i="5"/>
  <c r="DO30" i="5"/>
  <c r="DS30" i="5"/>
  <c r="HA55" i="5"/>
  <c r="HK54" i="5"/>
  <c r="HJ54" i="5"/>
  <c r="HI54" i="5"/>
  <c r="HH54" i="5"/>
  <c r="HG54" i="5"/>
  <c r="BU29" i="5"/>
  <c r="BT29" i="5"/>
  <c r="GQ29" i="5"/>
  <c r="GV29" i="5" s="1"/>
  <c r="BQ29" i="5"/>
  <c r="BR29" i="5"/>
  <c r="AB30" i="5"/>
  <c r="AN27" i="5"/>
  <c r="AO27" i="5" s="1"/>
  <c r="FD29" i="5"/>
  <c r="FG29" i="5"/>
  <c r="FS29" i="5" s="1"/>
  <c r="FA30" i="5"/>
  <c r="EY30" i="5"/>
  <c r="EZ30" i="5" s="1"/>
  <c r="EG30" i="5"/>
  <c r="EF30" i="5"/>
  <c r="DN30" i="5"/>
  <c r="HB51" i="5"/>
  <c r="DU28" i="5"/>
  <c r="P72" i="50"/>
  <c r="EC54" i="5"/>
  <c r="ED54" i="5"/>
  <c r="E75" i="50"/>
  <c r="F75" i="50"/>
  <c r="D75" i="50"/>
  <c r="B76" i="50"/>
  <c r="A77" i="50"/>
  <c r="C76" i="50"/>
  <c r="R71" i="50"/>
  <c r="T71" i="50" s="1"/>
  <c r="R72" i="50"/>
  <c r="T72" i="50" s="1"/>
  <c r="W73" i="50"/>
  <c r="Y73" i="50" s="1"/>
  <c r="I73" i="50"/>
  <c r="K73" i="50" s="1"/>
  <c r="O73" i="50" s="1"/>
  <c r="P73" i="50" s="1"/>
  <c r="L74" i="50"/>
  <c r="M74" i="50"/>
  <c r="G74" i="50"/>
  <c r="H74" i="50"/>
  <c r="J74" i="50"/>
  <c r="V74" i="50"/>
  <c r="W74" i="50" s="1"/>
  <c r="Y74" i="50" s="1"/>
  <c r="N74" i="50"/>
  <c r="T56" i="44"/>
  <c r="A57" i="44"/>
  <c r="U56" i="44"/>
  <c r="EX54" i="5"/>
  <c r="BM55" i="5"/>
  <c r="EU54" i="5"/>
  <c r="EY55" i="5"/>
  <c r="EZ55" i="5" s="1"/>
  <c r="DR55" i="5"/>
  <c r="ES55" i="5" s="1"/>
  <c r="EW55" i="5"/>
  <c r="DF56" i="5"/>
  <c r="DX55" i="5"/>
  <c r="DW55" i="5"/>
  <c r="DV55" i="5" s="1"/>
  <c r="EB55" i="5" s="1"/>
  <c r="DI55" i="5"/>
  <c r="EQ55" i="5"/>
  <c r="ER55" i="5" s="1"/>
  <c r="DM55" i="5"/>
  <c r="EV55" i="5"/>
  <c r="DP55" i="5"/>
  <c r="GP51" i="5"/>
  <c r="I51" i="5"/>
  <c r="FW51" i="5"/>
  <c r="CK57" i="5"/>
  <c r="CM56" i="5"/>
  <c r="F53" i="5"/>
  <c r="D53" i="5"/>
  <c r="E53" i="5"/>
  <c r="A55" i="5"/>
  <c r="B54" i="5"/>
  <c r="C54" i="5"/>
  <c r="K50" i="5"/>
  <c r="P49" i="5"/>
  <c r="M52" i="5"/>
  <c r="J52" i="5"/>
  <c r="N52" i="5"/>
  <c r="L52" i="5"/>
  <c r="H52" i="5"/>
  <c r="G52" i="5"/>
  <c r="AL56" i="5"/>
  <c r="AR56" i="5" s="1"/>
  <c r="BK56" i="5"/>
  <c r="AY56" i="5"/>
  <c r="BN56" i="5"/>
  <c r="BO56" i="5" s="1"/>
  <c r="AZ56" i="5"/>
  <c r="BA56" i="5"/>
  <c r="AM56" i="5"/>
  <c r="AS56" i="5" s="1"/>
  <c r="BL56" i="5"/>
  <c r="BF56" i="5"/>
  <c r="BG56" i="5" s="1"/>
  <c r="BE49" i="5"/>
  <c r="EP51" i="5"/>
  <c r="BJ55" i="5"/>
  <c r="EO52" i="5"/>
  <c r="EM52" i="5"/>
  <c r="EN52" i="5"/>
  <c r="EL52" i="5"/>
  <c r="EK52" i="5"/>
  <c r="EJ52" i="5"/>
  <c r="BB50" i="5"/>
  <c r="BC50" i="5"/>
  <c r="BD50" i="5"/>
  <c r="V57" i="5"/>
  <c r="Y56" i="5"/>
  <c r="AE56" i="5"/>
  <c r="AK56" i="5" s="1"/>
  <c r="AG56" i="5"/>
  <c r="BH56" i="5" s="1"/>
  <c r="AJ27" i="5"/>
  <c r="AA51" i="5"/>
  <c r="Z51" i="5"/>
  <c r="DJ53" i="5"/>
  <c r="DK53" i="5"/>
  <c r="AN57" i="44" l="1"/>
  <c r="AM57" i="44"/>
  <c r="AO57" i="44"/>
  <c r="DA57" i="5"/>
  <c r="DB57" i="5"/>
  <c r="DC57" i="5"/>
  <c r="DD57" i="5"/>
  <c r="CD57" i="5"/>
  <c r="CC57" i="5"/>
  <c r="CB57" i="5"/>
  <c r="CE57" i="5"/>
  <c r="O52" i="5"/>
  <c r="T55" i="5"/>
  <c r="S55" i="5"/>
  <c r="Q55" i="5"/>
  <c r="R55" i="5"/>
  <c r="GK55" i="5"/>
  <c r="GC55" i="5"/>
  <c r="HN51" i="5"/>
  <c r="AQ56" i="5"/>
  <c r="CI57" i="5"/>
  <c r="GJ54" i="5"/>
  <c r="GL55" i="5"/>
  <c r="GM54" i="5"/>
  <c r="BS29" i="5"/>
  <c r="BV29" i="5"/>
  <c r="CH29" i="5" s="1"/>
  <c r="FT56" i="5"/>
  <c r="HA56" i="5"/>
  <c r="HJ55" i="5"/>
  <c r="HK55" i="5"/>
  <c r="HG55" i="5"/>
  <c r="HH55" i="5"/>
  <c r="HI55" i="5"/>
  <c r="FV56" i="5"/>
  <c r="GE56" i="5" s="1"/>
  <c r="GI55" i="5"/>
  <c r="GG55" i="5"/>
  <c r="GF55" i="5"/>
  <c r="GH55" i="5"/>
  <c r="AD30" i="5"/>
  <c r="BN30" i="5"/>
  <c r="BO30" i="5" s="1"/>
  <c r="E46" i="44"/>
  <c r="W31" i="44" s="1"/>
  <c r="AH30" i="5"/>
  <c r="BP30" i="5"/>
  <c r="AV30" i="5"/>
  <c r="AC30" i="5"/>
  <c r="AT30" i="5"/>
  <c r="AU30" i="5"/>
  <c r="L48" i="44"/>
  <c r="AF29" i="44" s="1"/>
  <c r="DL31" i="5"/>
  <c r="FB30" i="5"/>
  <c r="FC30" i="5"/>
  <c r="FF30" i="5"/>
  <c r="FE30" i="5"/>
  <c r="HB52" i="5"/>
  <c r="K47" i="44"/>
  <c r="AE30" i="44" s="1"/>
  <c r="DT29" i="5"/>
  <c r="ED55" i="5"/>
  <c r="EC55" i="5"/>
  <c r="B77" i="50"/>
  <c r="A78" i="50"/>
  <c r="C77" i="50"/>
  <c r="EX55" i="5"/>
  <c r="Q73" i="50"/>
  <c r="E76" i="50"/>
  <c r="F76" i="50"/>
  <c r="D76" i="50"/>
  <c r="V75" i="50"/>
  <c r="W75" i="50" s="1"/>
  <c r="Y75" i="50" s="1"/>
  <c r="M75" i="50"/>
  <c r="L75" i="50"/>
  <c r="N75" i="50"/>
  <c r="J75" i="50"/>
  <c r="H75" i="50"/>
  <c r="G75" i="50"/>
  <c r="I74" i="50"/>
  <c r="K74" i="50" s="1"/>
  <c r="O74" i="50" s="1"/>
  <c r="P74" i="50" s="1"/>
  <c r="U57" i="44"/>
  <c r="T57" i="44"/>
  <c r="A58" i="44"/>
  <c r="DP56" i="5"/>
  <c r="DM56" i="5"/>
  <c r="DR56" i="5"/>
  <c r="ES56" i="5" s="1"/>
  <c r="DI56" i="5"/>
  <c r="DX56" i="5"/>
  <c r="EV56" i="5"/>
  <c r="EY56" i="5"/>
  <c r="EZ56" i="5" s="1"/>
  <c r="DF57" i="5"/>
  <c r="EW56" i="5"/>
  <c r="EQ56" i="5"/>
  <c r="ER56" i="5" s="1"/>
  <c r="DW56" i="5"/>
  <c r="DV56" i="5" s="1"/>
  <c r="EB56" i="5" s="1"/>
  <c r="EU55" i="5"/>
  <c r="BM56" i="5"/>
  <c r="FW52" i="5"/>
  <c r="GP52" i="5"/>
  <c r="I52" i="5"/>
  <c r="C55" i="5"/>
  <c r="A56" i="5"/>
  <c r="B55" i="5"/>
  <c r="CK58" i="5"/>
  <c r="CM57" i="5"/>
  <c r="P50" i="5"/>
  <c r="K51" i="5"/>
  <c r="L53" i="5"/>
  <c r="J53" i="5"/>
  <c r="N53" i="5"/>
  <c r="H53" i="5"/>
  <c r="G53" i="5"/>
  <c r="M53" i="5"/>
  <c r="D54" i="5"/>
  <c r="E54" i="5"/>
  <c r="F54" i="5"/>
  <c r="BK57" i="5"/>
  <c r="BN57" i="5"/>
  <c r="BO57" i="5" s="1"/>
  <c r="AL57" i="5"/>
  <c r="AR57" i="5" s="1"/>
  <c r="BF57" i="5"/>
  <c r="BG57" i="5" s="1"/>
  <c r="AY57" i="5"/>
  <c r="BL57" i="5"/>
  <c r="AZ57" i="5"/>
  <c r="AM57" i="5"/>
  <c r="AS57" i="5" s="1"/>
  <c r="BA57" i="5"/>
  <c r="EP52" i="5"/>
  <c r="BE50" i="5"/>
  <c r="EM53" i="5"/>
  <c r="EO53" i="5"/>
  <c r="EN53" i="5"/>
  <c r="EL53" i="5"/>
  <c r="EK53" i="5"/>
  <c r="EJ53" i="5"/>
  <c r="BJ56" i="5"/>
  <c r="BD51" i="5"/>
  <c r="BC51" i="5"/>
  <c r="BB51" i="5"/>
  <c r="AI28" i="5"/>
  <c r="H48" i="44"/>
  <c r="AB29" i="44" s="1"/>
  <c r="I49" i="44"/>
  <c r="AC28" i="44" s="1"/>
  <c r="V58" i="5"/>
  <c r="Y57" i="5"/>
  <c r="AG57" i="5"/>
  <c r="BH57" i="5" s="1"/>
  <c r="AE57" i="5"/>
  <c r="AK57" i="5" s="1"/>
  <c r="AA52" i="5"/>
  <c r="Z52" i="5"/>
  <c r="DJ54" i="5"/>
  <c r="DK54" i="5"/>
  <c r="AN58" i="44" l="1"/>
  <c r="AO58" i="44"/>
  <c r="AM58" i="44"/>
  <c r="DA58" i="5"/>
  <c r="DC58" i="5"/>
  <c r="DB58" i="5"/>
  <c r="DD58" i="5"/>
  <c r="CE58" i="5"/>
  <c r="CB58" i="5"/>
  <c r="CC58" i="5"/>
  <c r="CD58" i="5"/>
  <c r="BY30" i="5"/>
  <c r="CC30" i="5" s="1"/>
  <c r="T56" i="5"/>
  <c r="S56" i="5"/>
  <c r="O53" i="5"/>
  <c r="R56" i="5"/>
  <c r="Q56" i="5"/>
  <c r="GK56" i="5"/>
  <c r="GC56" i="5"/>
  <c r="HN52" i="5"/>
  <c r="AQ57" i="5"/>
  <c r="CI58" i="5"/>
  <c r="GJ55" i="5"/>
  <c r="GL56" i="5"/>
  <c r="GM55" i="5"/>
  <c r="BZ29" i="5"/>
  <c r="HC29" i="5" s="1"/>
  <c r="DY29" i="5"/>
  <c r="DZ29" i="5" s="1"/>
  <c r="FV57" i="5"/>
  <c r="GE57" i="5" s="1"/>
  <c r="GH56" i="5"/>
  <c r="GI56" i="5"/>
  <c r="GG56" i="5"/>
  <c r="GF56" i="5"/>
  <c r="FT57" i="5"/>
  <c r="HA57" i="5"/>
  <c r="HG56" i="5"/>
  <c r="HJ56" i="5"/>
  <c r="HK56" i="5"/>
  <c r="HI56" i="5"/>
  <c r="HH56" i="5"/>
  <c r="DO31" i="5"/>
  <c r="DS31" i="5"/>
  <c r="GQ30" i="5"/>
  <c r="GV30" i="5" s="1"/>
  <c r="BR30" i="5"/>
  <c r="BQ30" i="5"/>
  <c r="AB31" i="5"/>
  <c r="BT30" i="5"/>
  <c r="BU30" i="5"/>
  <c r="AN28" i="5"/>
  <c r="AO28" i="5" s="1"/>
  <c r="FG30" i="5"/>
  <c r="FS30" i="5" s="1"/>
  <c r="FD30" i="5"/>
  <c r="DN31" i="5"/>
  <c r="EY31" i="5"/>
  <c r="EZ31" i="5" s="1"/>
  <c r="FA31" i="5"/>
  <c r="EF31" i="5"/>
  <c r="EG31" i="5"/>
  <c r="HB53" i="5"/>
  <c r="DU29" i="5"/>
  <c r="EC56" i="5"/>
  <c r="ED56" i="5"/>
  <c r="EX56" i="5"/>
  <c r="N76" i="50"/>
  <c r="M76" i="50"/>
  <c r="L76" i="50"/>
  <c r="J76" i="50"/>
  <c r="H76" i="50"/>
  <c r="G76" i="50"/>
  <c r="V76" i="50"/>
  <c r="W76" i="50" s="1"/>
  <c r="Y76" i="50" s="1"/>
  <c r="I75" i="50"/>
  <c r="K75" i="50" s="1"/>
  <c r="O75" i="50" s="1"/>
  <c r="R73" i="50"/>
  <c r="T73" i="50" s="1"/>
  <c r="C78" i="50"/>
  <c r="B78" i="50"/>
  <c r="A79" i="50"/>
  <c r="Q74" i="50"/>
  <c r="R74" i="50" s="1"/>
  <c r="T74" i="50" s="1"/>
  <c r="E77" i="50"/>
  <c r="F77" i="50"/>
  <c r="D77" i="50"/>
  <c r="U58" i="44"/>
  <c r="A59" i="44"/>
  <c r="T58" i="44"/>
  <c r="EQ57" i="5"/>
  <c r="ER57" i="5" s="1"/>
  <c r="DM57" i="5"/>
  <c r="DW57" i="5"/>
  <c r="DV57" i="5" s="1"/>
  <c r="EB57" i="5" s="1"/>
  <c r="EW57" i="5"/>
  <c r="DI57" i="5"/>
  <c r="EY57" i="5"/>
  <c r="EZ57" i="5" s="1"/>
  <c r="EV57" i="5"/>
  <c r="DF58" i="5"/>
  <c r="DP57" i="5"/>
  <c r="DX57" i="5"/>
  <c r="DR57" i="5"/>
  <c r="ES57" i="5" s="1"/>
  <c r="EU56" i="5"/>
  <c r="BM57" i="5"/>
  <c r="E55" i="5"/>
  <c r="F55" i="5"/>
  <c r="D55" i="5"/>
  <c r="FW53" i="5"/>
  <c r="B56" i="5"/>
  <c r="C56" i="5"/>
  <c r="A57" i="5"/>
  <c r="GP53" i="5"/>
  <c r="I53" i="5"/>
  <c r="K52" i="5"/>
  <c r="J54" i="5"/>
  <c r="M54" i="5"/>
  <c r="L54" i="5"/>
  <c r="N54" i="5"/>
  <c r="G54" i="5"/>
  <c r="H54" i="5"/>
  <c r="P51" i="5"/>
  <c r="CK59" i="5"/>
  <c r="CM58" i="5"/>
  <c r="BK58" i="5"/>
  <c r="BA58" i="5"/>
  <c r="BF58" i="5"/>
  <c r="BG58" i="5" s="1"/>
  <c r="AZ58" i="5"/>
  <c r="AL58" i="5"/>
  <c r="AR58" i="5" s="1"/>
  <c r="BN58" i="5"/>
  <c r="BO58" i="5" s="1"/>
  <c r="AY58" i="5"/>
  <c r="BL58" i="5"/>
  <c r="AM58" i="5"/>
  <c r="AS58" i="5" s="1"/>
  <c r="EP53" i="5"/>
  <c r="BE51" i="5"/>
  <c r="EO54" i="5"/>
  <c r="EN54" i="5"/>
  <c r="EM54" i="5"/>
  <c r="EL54" i="5"/>
  <c r="EK54" i="5"/>
  <c r="EJ54" i="5"/>
  <c r="BC52" i="5"/>
  <c r="BD52" i="5"/>
  <c r="BB52" i="5"/>
  <c r="BJ57" i="5"/>
  <c r="Z53" i="5"/>
  <c r="AA53" i="5"/>
  <c r="Y58" i="5"/>
  <c r="V59" i="5"/>
  <c r="AE58" i="5"/>
  <c r="AK58" i="5" s="1"/>
  <c r="AG58" i="5"/>
  <c r="BH58" i="5" s="1"/>
  <c r="AJ28" i="5"/>
  <c r="DJ55" i="5"/>
  <c r="DK55" i="5"/>
  <c r="AO59" i="44" l="1"/>
  <c r="AN59" i="44"/>
  <c r="AM59" i="44"/>
  <c r="DA59" i="5"/>
  <c r="DC59" i="5"/>
  <c r="DB59" i="5"/>
  <c r="DD59" i="5"/>
  <c r="O54" i="5"/>
  <c r="CD59" i="5"/>
  <c r="CC59" i="5"/>
  <c r="CE59" i="5"/>
  <c r="CB59" i="5"/>
  <c r="T57" i="5"/>
  <c r="S57" i="5"/>
  <c r="R57" i="5"/>
  <c r="Q57" i="5"/>
  <c r="GC57" i="5"/>
  <c r="GK57" i="5"/>
  <c r="AQ58" i="5"/>
  <c r="HN53" i="5"/>
  <c r="GJ56" i="5"/>
  <c r="CI59" i="5"/>
  <c r="GL57" i="5"/>
  <c r="GM56" i="5"/>
  <c r="HA58" i="5"/>
  <c r="HK57" i="5"/>
  <c r="HJ57" i="5"/>
  <c r="HI57" i="5"/>
  <c r="HH57" i="5"/>
  <c r="HG57" i="5"/>
  <c r="FT58" i="5"/>
  <c r="FV58" i="5"/>
  <c r="GE58" i="5" s="1"/>
  <c r="GF57" i="5"/>
  <c r="GH57" i="5"/>
  <c r="GI57" i="5"/>
  <c r="GG57" i="5"/>
  <c r="BS30" i="5"/>
  <c r="BV30" i="5"/>
  <c r="CH30" i="5" s="1"/>
  <c r="AC31" i="5"/>
  <c r="E45" i="44"/>
  <c r="W32" i="44" s="1"/>
  <c r="AV31" i="5"/>
  <c r="BP31" i="5"/>
  <c r="AU31" i="5"/>
  <c r="AD31" i="5"/>
  <c r="AH31" i="5"/>
  <c r="BN31" i="5"/>
  <c r="BO31" i="5" s="1"/>
  <c r="AT31" i="5"/>
  <c r="L47" i="44"/>
  <c r="AF30" i="44" s="1"/>
  <c r="FF31" i="5"/>
  <c r="FE31" i="5"/>
  <c r="FC31" i="5"/>
  <c r="FB31" i="5"/>
  <c r="DL32" i="5"/>
  <c r="HB54" i="5"/>
  <c r="K46" i="44"/>
  <c r="AE31" i="44" s="1"/>
  <c r="DT30" i="5"/>
  <c r="EX57" i="5"/>
  <c r="ED57" i="5"/>
  <c r="EC57" i="5"/>
  <c r="C79" i="50"/>
  <c r="B79" i="50"/>
  <c r="A80" i="50"/>
  <c r="D78" i="50"/>
  <c r="F78" i="50"/>
  <c r="E78" i="50"/>
  <c r="Q75" i="50"/>
  <c r="R75" i="50" s="1"/>
  <c r="T75" i="50" s="1"/>
  <c r="I76" i="50"/>
  <c r="K76" i="50" s="1"/>
  <c r="O76" i="50" s="1"/>
  <c r="P76" i="50" s="1"/>
  <c r="L77" i="50"/>
  <c r="J77" i="50"/>
  <c r="H77" i="50"/>
  <c r="N77" i="50"/>
  <c r="V77" i="50"/>
  <c r="W77" i="50" s="1"/>
  <c r="Y77" i="50" s="1"/>
  <c r="G77" i="50"/>
  <c r="M77" i="50"/>
  <c r="P75" i="50"/>
  <c r="A60" i="44"/>
  <c r="U59" i="44"/>
  <c r="T59" i="44"/>
  <c r="EU57" i="5"/>
  <c r="BM58" i="5"/>
  <c r="BE52" i="5"/>
  <c r="DR58" i="5"/>
  <c r="ES58" i="5" s="1"/>
  <c r="EW58" i="5"/>
  <c r="EV58" i="5"/>
  <c r="EY58" i="5"/>
  <c r="EZ58" i="5" s="1"/>
  <c r="DW58" i="5"/>
  <c r="DV58" i="5" s="1"/>
  <c r="EB58" i="5" s="1"/>
  <c r="DX58" i="5"/>
  <c r="DM58" i="5"/>
  <c r="EQ58" i="5"/>
  <c r="ER58" i="5" s="1"/>
  <c r="DF59" i="5"/>
  <c r="DP58" i="5"/>
  <c r="DI58" i="5"/>
  <c r="E56" i="5"/>
  <c r="F56" i="5"/>
  <c r="D56" i="5"/>
  <c r="CK60" i="5"/>
  <c r="CM59" i="5"/>
  <c r="J55" i="5"/>
  <c r="N55" i="5"/>
  <c r="G55" i="5"/>
  <c r="H55" i="5"/>
  <c r="M55" i="5"/>
  <c r="L55" i="5"/>
  <c r="K53" i="5"/>
  <c r="GP54" i="5"/>
  <c r="I54" i="5"/>
  <c r="FW54" i="5"/>
  <c r="P52" i="5"/>
  <c r="A58" i="5"/>
  <c r="B57" i="5"/>
  <c r="C57" i="5"/>
  <c r="BN59" i="5"/>
  <c r="BO59" i="5" s="1"/>
  <c r="BF59" i="5"/>
  <c r="BG59" i="5" s="1"/>
  <c r="BK59" i="5"/>
  <c r="AZ59" i="5"/>
  <c r="BA59" i="5"/>
  <c r="AM59" i="5"/>
  <c r="AS59" i="5" s="1"/>
  <c r="AY59" i="5"/>
  <c r="AL59" i="5"/>
  <c r="AR59" i="5" s="1"/>
  <c r="BL59" i="5"/>
  <c r="EP54" i="5"/>
  <c r="EO55" i="5"/>
  <c r="EM55" i="5"/>
  <c r="EN55" i="5"/>
  <c r="EK55" i="5"/>
  <c r="EL55" i="5"/>
  <c r="EJ55" i="5"/>
  <c r="BC53" i="5"/>
  <c r="BD53" i="5"/>
  <c r="BB53" i="5"/>
  <c r="BJ58" i="5"/>
  <c r="Y59" i="5"/>
  <c r="V60" i="5"/>
  <c r="AE59" i="5"/>
  <c r="AK59" i="5" s="1"/>
  <c r="AG59" i="5"/>
  <c r="BH59" i="5" s="1"/>
  <c r="H47" i="44"/>
  <c r="AB30" i="44" s="1"/>
  <c r="AI29" i="5"/>
  <c r="I48" i="44"/>
  <c r="AC29" i="44" s="1"/>
  <c r="AA54" i="5"/>
  <c r="Z54" i="5"/>
  <c r="DJ56" i="5"/>
  <c r="DK56" i="5"/>
  <c r="AO60" i="44" l="1"/>
  <c r="AN60" i="44"/>
  <c r="AM60" i="44"/>
  <c r="DA60" i="5"/>
  <c r="DD60" i="5"/>
  <c r="DC60" i="5"/>
  <c r="DB60" i="5"/>
  <c r="CD60" i="5"/>
  <c r="CC60" i="5"/>
  <c r="CE60" i="5"/>
  <c r="CB60" i="5"/>
  <c r="BY31" i="5"/>
  <c r="CC31" i="5" s="1"/>
  <c r="O55" i="5"/>
  <c r="T58" i="5"/>
  <c r="S58" i="5"/>
  <c r="R58" i="5"/>
  <c r="Q58" i="5"/>
  <c r="GC58" i="5"/>
  <c r="GK58" i="5"/>
  <c r="HN54" i="5"/>
  <c r="AQ59" i="5"/>
  <c r="CI60" i="5"/>
  <c r="GJ57" i="5"/>
  <c r="GL58" i="5"/>
  <c r="GM57" i="5"/>
  <c r="DY30" i="5"/>
  <c r="DZ30" i="5" s="1"/>
  <c r="FV59" i="5"/>
  <c r="GE59" i="5" s="1"/>
  <c r="GG58" i="5"/>
  <c r="GF58" i="5"/>
  <c r="GH58" i="5"/>
  <c r="GI58" i="5"/>
  <c r="DO32" i="5"/>
  <c r="DS32" i="5"/>
  <c r="FT59" i="5"/>
  <c r="HA59" i="5"/>
  <c r="HK58" i="5"/>
  <c r="HJ58" i="5"/>
  <c r="HI58" i="5"/>
  <c r="HH58" i="5"/>
  <c r="HG58" i="5"/>
  <c r="GQ31" i="5"/>
  <c r="GV31" i="5" s="1"/>
  <c r="BZ30" i="5"/>
  <c r="HC30" i="5" s="1"/>
  <c r="BU31" i="5"/>
  <c r="BT31" i="5"/>
  <c r="BR31" i="5"/>
  <c r="BQ31" i="5"/>
  <c r="AB32" i="5"/>
  <c r="AN29" i="5"/>
  <c r="AO29" i="5" s="1"/>
  <c r="FG31" i="5"/>
  <c r="FS31" i="5" s="1"/>
  <c r="FD31" i="5"/>
  <c r="EG32" i="5"/>
  <c r="FA32" i="5"/>
  <c r="EY32" i="5"/>
  <c r="EZ32" i="5" s="1"/>
  <c r="DN32" i="5"/>
  <c r="EF32" i="5"/>
  <c r="HB55" i="5"/>
  <c r="DU30" i="5"/>
  <c r="ED58" i="5"/>
  <c r="EC58" i="5"/>
  <c r="L78" i="50"/>
  <c r="V78" i="50"/>
  <c r="J78" i="50"/>
  <c r="N78" i="50"/>
  <c r="H78" i="50"/>
  <c r="G78" i="50"/>
  <c r="M78" i="50"/>
  <c r="I77" i="50"/>
  <c r="K77" i="50" s="1"/>
  <c r="O77" i="50" s="1"/>
  <c r="Q77" i="50" s="1"/>
  <c r="A81" i="50"/>
  <c r="C80" i="50"/>
  <c r="B80" i="50"/>
  <c r="Q76" i="50"/>
  <c r="E79" i="50"/>
  <c r="D79" i="50"/>
  <c r="F79" i="50"/>
  <c r="A61" i="44"/>
  <c r="T60" i="44"/>
  <c r="U60" i="44"/>
  <c r="EX58" i="5"/>
  <c r="EU58" i="5"/>
  <c r="EW59" i="5"/>
  <c r="DR59" i="5"/>
  <c r="ES59" i="5" s="1"/>
  <c r="EY59" i="5"/>
  <c r="EZ59" i="5" s="1"/>
  <c r="DI59" i="5"/>
  <c r="EQ59" i="5"/>
  <c r="ER59" i="5" s="1"/>
  <c r="DW59" i="5"/>
  <c r="DV59" i="5" s="1"/>
  <c r="EB59" i="5" s="1"/>
  <c r="DF60" i="5"/>
  <c r="DP59" i="5"/>
  <c r="EV59" i="5"/>
  <c r="DM59" i="5"/>
  <c r="DX59" i="5"/>
  <c r="BM59" i="5"/>
  <c r="P53" i="5"/>
  <c r="FW55" i="5"/>
  <c r="J56" i="5"/>
  <c r="M56" i="5"/>
  <c r="L56" i="5"/>
  <c r="N56" i="5"/>
  <c r="G56" i="5"/>
  <c r="H56" i="5"/>
  <c r="K54" i="5"/>
  <c r="CM60" i="5"/>
  <c r="CK61" i="5"/>
  <c r="GP55" i="5"/>
  <c r="I55" i="5"/>
  <c r="E57" i="5"/>
  <c r="F57" i="5"/>
  <c r="D57" i="5"/>
  <c r="B58" i="5"/>
  <c r="A59" i="5"/>
  <c r="C58" i="5"/>
  <c r="AM60" i="5"/>
  <c r="AS60" i="5" s="1"/>
  <c r="BK60" i="5"/>
  <c r="BF60" i="5"/>
  <c r="BG60" i="5" s="1"/>
  <c r="BL60" i="5"/>
  <c r="BN60" i="5"/>
  <c r="BO60" i="5" s="1"/>
  <c r="BA60" i="5"/>
  <c r="AZ60" i="5"/>
  <c r="AY60" i="5"/>
  <c r="AL60" i="5"/>
  <c r="AR60" i="5" s="1"/>
  <c r="EP55" i="5"/>
  <c r="BE53" i="5"/>
  <c r="BC54" i="5"/>
  <c r="BD54" i="5"/>
  <c r="BB54" i="5"/>
  <c r="EN56" i="5"/>
  <c r="EM56" i="5"/>
  <c r="EO56" i="5"/>
  <c r="EL56" i="5"/>
  <c r="EJ56" i="5"/>
  <c r="EK56" i="5"/>
  <c r="BJ59" i="5"/>
  <c r="V61" i="5"/>
  <c r="Y60" i="5"/>
  <c r="AE60" i="5"/>
  <c r="AK60" i="5" s="1"/>
  <c r="AG60" i="5"/>
  <c r="BH60" i="5" s="1"/>
  <c r="Z55" i="5"/>
  <c r="AA55" i="5"/>
  <c r="AJ29" i="5"/>
  <c r="DK57" i="5"/>
  <c r="DJ57" i="5"/>
  <c r="AM61" i="44" l="1"/>
  <c r="AO61" i="44"/>
  <c r="AN61" i="44"/>
  <c r="DD61" i="5"/>
  <c r="DB61" i="5"/>
  <c r="DA61" i="5"/>
  <c r="DC61" i="5"/>
  <c r="CD61" i="5"/>
  <c r="CC61" i="5"/>
  <c r="CE61" i="5"/>
  <c r="CB61" i="5"/>
  <c r="O56" i="5"/>
  <c r="T59" i="5"/>
  <c r="S59" i="5"/>
  <c r="R59" i="5"/>
  <c r="Q59" i="5"/>
  <c r="GK59" i="5"/>
  <c r="GC59" i="5"/>
  <c r="AQ60" i="5"/>
  <c r="HN55" i="5"/>
  <c r="CI61" i="5"/>
  <c r="GJ58" i="5"/>
  <c r="GL59" i="5"/>
  <c r="GM58" i="5"/>
  <c r="FT60" i="5"/>
  <c r="FV60" i="5"/>
  <c r="GE60" i="5" s="1"/>
  <c r="GG59" i="5"/>
  <c r="GF59" i="5"/>
  <c r="GH59" i="5"/>
  <c r="GI59" i="5"/>
  <c r="HA60" i="5"/>
  <c r="HK59" i="5"/>
  <c r="HJ59" i="5"/>
  <c r="HI59" i="5"/>
  <c r="HH59" i="5"/>
  <c r="HG59" i="5"/>
  <c r="BV31" i="5"/>
  <c r="CH31" i="5" s="1"/>
  <c r="BS31" i="5"/>
  <c r="E44" i="44"/>
  <c r="W33" i="44" s="1"/>
  <c r="BN32" i="5"/>
  <c r="BO32" i="5" s="1"/>
  <c r="AC32" i="5"/>
  <c r="AU32" i="5"/>
  <c r="AV32" i="5"/>
  <c r="AD32" i="5"/>
  <c r="AT32" i="5"/>
  <c r="BP32" i="5"/>
  <c r="AH32" i="5"/>
  <c r="L46" i="44"/>
  <c r="AF31" i="44" s="1"/>
  <c r="FB32" i="5"/>
  <c r="FC32" i="5"/>
  <c r="FE32" i="5"/>
  <c r="FF32" i="5"/>
  <c r="DL33" i="5"/>
  <c r="HB56" i="5"/>
  <c r="DT31" i="5"/>
  <c r="K45" i="44"/>
  <c r="AE32" i="44" s="1"/>
  <c r="EC59" i="5"/>
  <c r="ED59" i="5"/>
  <c r="P77" i="50"/>
  <c r="B81" i="50"/>
  <c r="A82" i="50"/>
  <c r="C81" i="50"/>
  <c r="J79" i="50"/>
  <c r="L79" i="50"/>
  <c r="N79" i="50"/>
  <c r="G79" i="50"/>
  <c r="H79" i="50"/>
  <c r="M79" i="50"/>
  <c r="V79" i="50"/>
  <c r="I78" i="50"/>
  <c r="K78" i="50" s="1"/>
  <c r="O78" i="50" s="1"/>
  <c r="R77" i="50"/>
  <c r="T77" i="50" s="1"/>
  <c r="W78" i="50"/>
  <c r="Y78" i="50" s="1"/>
  <c r="F80" i="50"/>
  <c r="E80" i="50"/>
  <c r="D80" i="50"/>
  <c r="R76" i="50"/>
  <c r="T76" i="50" s="1"/>
  <c r="T61" i="44"/>
  <c r="U61" i="44"/>
  <c r="A62" i="44"/>
  <c r="EX59" i="5"/>
  <c r="BE54" i="5"/>
  <c r="EQ60" i="5"/>
  <c r="ER60" i="5" s="1"/>
  <c r="DR60" i="5"/>
  <c r="ES60" i="5" s="1"/>
  <c r="EV60" i="5"/>
  <c r="DM60" i="5"/>
  <c r="DW60" i="5"/>
  <c r="DV60" i="5" s="1"/>
  <c r="EB60" i="5" s="1"/>
  <c r="DP60" i="5"/>
  <c r="DX60" i="5"/>
  <c r="DF61" i="5"/>
  <c r="EY60" i="5"/>
  <c r="EZ60" i="5" s="1"/>
  <c r="EW60" i="5"/>
  <c r="DI60" i="5"/>
  <c r="EU59" i="5"/>
  <c r="BM60" i="5"/>
  <c r="GP56" i="5"/>
  <c r="I56" i="5"/>
  <c r="C59" i="5"/>
  <c r="B59" i="5"/>
  <c r="A60" i="5"/>
  <c r="FW56" i="5"/>
  <c r="D58" i="5"/>
  <c r="F58" i="5"/>
  <c r="E58" i="5"/>
  <c r="M57" i="5"/>
  <c r="L57" i="5"/>
  <c r="J57" i="5"/>
  <c r="N57" i="5"/>
  <c r="G57" i="5"/>
  <c r="H57" i="5"/>
  <c r="CK62" i="5"/>
  <c r="CM61" i="5"/>
  <c r="K55" i="5"/>
  <c r="P54" i="5"/>
  <c r="BF61" i="5"/>
  <c r="BG61" i="5" s="1"/>
  <c r="AL61" i="5"/>
  <c r="AR61" i="5" s="1"/>
  <c r="BK61" i="5"/>
  <c r="BA61" i="5"/>
  <c r="AY61" i="5"/>
  <c r="BL61" i="5"/>
  <c r="AM61" i="5"/>
  <c r="AS61" i="5" s="1"/>
  <c r="AZ61" i="5"/>
  <c r="BN61" i="5"/>
  <c r="BO61" i="5" s="1"/>
  <c r="EP56" i="5"/>
  <c r="EO57" i="5"/>
  <c r="EM57" i="5"/>
  <c r="EN57" i="5"/>
  <c r="EJ57" i="5"/>
  <c r="EL57" i="5"/>
  <c r="EK57" i="5"/>
  <c r="BJ60" i="5"/>
  <c r="BB55" i="5"/>
  <c r="BD55" i="5"/>
  <c r="BC55" i="5"/>
  <c r="AA56" i="5"/>
  <c r="Z56" i="5"/>
  <c r="AI30" i="5"/>
  <c r="H46" i="44"/>
  <c r="AB31" i="44" s="1"/>
  <c r="I47" i="44"/>
  <c r="AC30" i="44" s="1"/>
  <c r="Y61" i="5"/>
  <c r="V62" i="5"/>
  <c r="AG61" i="5"/>
  <c r="BH61" i="5" s="1"/>
  <c r="AE61" i="5"/>
  <c r="AK61" i="5" s="1"/>
  <c r="DJ58" i="5"/>
  <c r="DK58" i="5"/>
  <c r="AM62" i="44" l="1"/>
  <c r="AO62" i="44"/>
  <c r="AN62" i="44"/>
  <c r="DC62" i="5"/>
  <c r="DB62" i="5"/>
  <c r="DD62" i="5"/>
  <c r="DA62" i="5"/>
  <c r="CD62" i="5"/>
  <c r="CC62" i="5"/>
  <c r="CE62" i="5"/>
  <c r="CB62" i="5"/>
  <c r="BY32" i="5"/>
  <c r="CC32" i="5" s="1"/>
  <c r="O57" i="5"/>
  <c r="S60" i="5"/>
  <c r="T60" i="5"/>
  <c r="R60" i="5"/>
  <c r="Q60" i="5"/>
  <c r="GC60" i="5"/>
  <c r="GK60" i="5"/>
  <c r="HN56" i="5"/>
  <c r="AQ61" i="5"/>
  <c r="GJ59" i="5"/>
  <c r="CI62" i="5"/>
  <c r="GL60" i="5"/>
  <c r="GM59" i="5"/>
  <c r="BZ31" i="5"/>
  <c r="HC31" i="5" s="1"/>
  <c r="FT61" i="5"/>
  <c r="DY31" i="5"/>
  <c r="DZ31" i="5" s="1"/>
  <c r="HA61" i="5"/>
  <c r="HK60" i="5"/>
  <c r="HJ60" i="5"/>
  <c r="HI60" i="5"/>
  <c r="HH60" i="5"/>
  <c r="HG60" i="5"/>
  <c r="DO33" i="5"/>
  <c r="DS33" i="5"/>
  <c r="FV61" i="5"/>
  <c r="GE61" i="5" s="1"/>
  <c r="GG60" i="5"/>
  <c r="GF60" i="5"/>
  <c r="GH60" i="5"/>
  <c r="GI60" i="5"/>
  <c r="GQ32" i="5"/>
  <c r="GV32" i="5" s="1"/>
  <c r="BT32" i="5"/>
  <c r="BU32" i="5"/>
  <c r="BR32" i="5"/>
  <c r="BQ32" i="5"/>
  <c r="AB33" i="5"/>
  <c r="AN30" i="5"/>
  <c r="AO30" i="5" s="1"/>
  <c r="EF33" i="5"/>
  <c r="FA33" i="5"/>
  <c r="EY33" i="5"/>
  <c r="EZ33" i="5" s="1"/>
  <c r="DN33" i="5"/>
  <c r="EG33" i="5"/>
  <c r="FG32" i="5"/>
  <c r="FS32" i="5" s="1"/>
  <c r="FD32" i="5"/>
  <c r="HB57" i="5"/>
  <c r="EU60" i="5"/>
  <c r="DU31" i="5"/>
  <c r="ED60" i="5"/>
  <c r="EC60" i="5"/>
  <c r="EX60" i="5"/>
  <c r="I79" i="50"/>
  <c r="K79" i="50" s="1"/>
  <c r="O79" i="50" s="1"/>
  <c r="Q79" i="50" s="1"/>
  <c r="J80" i="50"/>
  <c r="N80" i="50"/>
  <c r="V80" i="50"/>
  <c r="W80" i="50" s="1"/>
  <c r="Y80" i="50" s="1"/>
  <c r="H80" i="50"/>
  <c r="M80" i="50"/>
  <c r="G80" i="50"/>
  <c r="L80" i="50"/>
  <c r="W79" i="50"/>
  <c r="Y79" i="50" s="1"/>
  <c r="A83" i="50"/>
  <c r="C82" i="50"/>
  <c r="B82" i="50"/>
  <c r="E81" i="50"/>
  <c r="D81" i="50"/>
  <c r="F81" i="50"/>
  <c r="P78" i="50"/>
  <c r="Q78" i="50"/>
  <c r="T62" i="44"/>
  <c r="U62" i="44"/>
  <c r="A63" i="44"/>
  <c r="DF62" i="5"/>
  <c r="DR61" i="5"/>
  <c r="ES61" i="5" s="1"/>
  <c r="EQ61" i="5"/>
  <c r="ER61" i="5" s="1"/>
  <c r="DP61" i="5"/>
  <c r="EW61" i="5"/>
  <c r="EV61" i="5"/>
  <c r="DX61" i="5"/>
  <c r="DW61" i="5"/>
  <c r="DV61" i="5" s="1"/>
  <c r="EB61" i="5" s="1"/>
  <c r="DI61" i="5"/>
  <c r="EY61" i="5"/>
  <c r="EZ61" i="5" s="1"/>
  <c r="DM61" i="5"/>
  <c r="BM61" i="5"/>
  <c r="GP57" i="5"/>
  <c r="I57" i="5"/>
  <c r="P55" i="5"/>
  <c r="FW57" i="5"/>
  <c r="J58" i="5"/>
  <c r="M58" i="5"/>
  <c r="G58" i="5"/>
  <c r="L58" i="5"/>
  <c r="N58" i="5"/>
  <c r="H58" i="5"/>
  <c r="A61" i="5"/>
  <c r="C60" i="5"/>
  <c r="B60" i="5"/>
  <c r="E59" i="5"/>
  <c r="F59" i="5"/>
  <c r="D59" i="5"/>
  <c r="CK63" i="5"/>
  <c r="CM62" i="5"/>
  <c r="K56" i="5"/>
  <c r="BL62" i="5"/>
  <c r="BF62" i="5"/>
  <c r="BG62" i="5" s="1"/>
  <c r="AL62" i="5"/>
  <c r="AR62" i="5" s="1"/>
  <c r="BN62" i="5"/>
  <c r="BO62" i="5" s="1"/>
  <c r="AY62" i="5"/>
  <c r="AM62" i="5"/>
  <c r="AS62" i="5" s="1"/>
  <c r="BA62" i="5"/>
  <c r="AZ62" i="5"/>
  <c r="BK62" i="5"/>
  <c r="BE55" i="5"/>
  <c r="EP57" i="5"/>
  <c r="EO58" i="5"/>
  <c r="EM58" i="5"/>
  <c r="EN58" i="5"/>
  <c r="EJ58" i="5"/>
  <c r="EK58" i="5"/>
  <c r="EL58" i="5"/>
  <c r="BD56" i="5"/>
  <c r="BB56" i="5"/>
  <c r="BC56" i="5"/>
  <c r="BJ61" i="5"/>
  <c r="AA57" i="5"/>
  <c r="Z57" i="5"/>
  <c r="V63" i="5"/>
  <c r="Y62" i="5"/>
  <c r="AE62" i="5"/>
  <c r="AK62" i="5" s="1"/>
  <c r="AG62" i="5"/>
  <c r="BH62" i="5" s="1"/>
  <c r="AJ30" i="5"/>
  <c r="DK59" i="5"/>
  <c r="DJ59" i="5"/>
  <c r="AN63" i="44" l="1"/>
  <c r="AM63" i="44"/>
  <c r="AO63" i="44"/>
  <c r="DC63" i="5"/>
  <c r="DB63" i="5"/>
  <c r="DD63" i="5"/>
  <c r="DA63" i="5"/>
  <c r="CD63" i="5"/>
  <c r="CC63" i="5"/>
  <c r="CE63" i="5"/>
  <c r="CB63" i="5"/>
  <c r="T61" i="5"/>
  <c r="S61" i="5"/>
  <c r="O58" i="5"/>
  <c r="R61" i="5"/>
  <c r="Q61" i="5"/>
  <c r="GC61" i="5"/>
  <c r="GK61" i="5"/>
  <c r="HN57" i="5"/>
  <c r="AQ62" i="5"/>
  <c r="CI63" i="5"/>
  <c r="GJ60" i="5"/>
  <c r="GL61" i="5"/>
  <c r="GM60" i="5"/>
  <c r="HA62" i="5"/>
  <c r="HK61" i="5"/>
  <c r="HJ61" i="5"/>
  <c r="HI61" i="5"/>
  <c r="HH61" i="5"/>
  <c r="HG61" i="5"/>
  <c r="FT62" i="5"/>
  <c r="FV62" i="5"/>
  <c r="GE62" i="5" s="1"/>
  <c r="GG61" i="5"/>
  <c r="GF61" i="5"/>
  <c r="GH61" i="5"/>
  <c r="GI61" i="5"/>
  <c r="BS32" i="5"/>
  <c r="BV32" i="5"/>
  <c r="CH32" i="5" s="1"/>
  <c r="AD33" i="5"/>
  <c r="AC33" i="5"/>
  <c r="AT33" i="5"/>
  <c r="AV33" i="5"/>
  <c r="AU33" i="5"/>
  <c r="BP33" i="5"/>
  <c r="E43" i="44"/>
  <c r="W34" i="44" s="1"/>
  <c r="BN33" i="5"/>
  <c r="BO33" i="5" s="1"/>
  <c r="AH33" i="5"/>
  <c r="L45" i="44"/>
  <c r="AF32" i="44" s="1"/>
  <c r="FC33" i="5"/>
  <c r="FB33" i="5"/>
  <c r="DL34" i="5"/>
  <c r="FE33" i="5"/>
  <c r="FF33" i="5"/>
  <c r="HB58" i="5"/>
  <c r="K44" i="44"/>
  <c r="AE33" i="44" s="1"/>
  <c r="DT32" i="5"/>
  <c r="P79" i="50"/>
  <c r="ED61" i="5"/>
  <c r="EX61" i="5"/>
  <c r="EC61" i="5"/>
  <c r="L81" i="50"/>
  <c r="J81" i="50"/>
  <c r="N81" i="50"/>
  <c r="H81" i="50"/>
  <c r="V81" i="50"/>
  <c r="G81" i="50"/>
  <c r="M81" i="50"/>
  <c r="D82" i="50"/>
  <c r="F82" i="50"/>
  <c r="E82" i="50"/>
  <c r="I80" i="50"/>
  <c r="K80" i="50" s="1"/>
  <c r="O80" i="50" s="1"/>
  <c r="B83" i="50"/>
  <c r="C83" i="50"/>
  <c r="A84" i="50"/>
  <c r="R78" i="50"/>
  <c r="T78" i="50" s="1"/>
  <c r="R79" i="50"/>
  <c r="T79" i="50" s="1"/>
  <c r="A64" i="44"/>
  <c r="T63" i="44"/>
  <c r="U63" i="44"/>
  <c r="BM62" i="5"/>
  <c r="BE56" i="5"/>
  <c r="EU61" i="5"/>
  <c r="DI62" i="5"/>
  <c r="DR62" i="5"/>
  <c r="ES62" i="5" s="1"/>
  <c r="DM62" i="5"/>
  <c r="DP62" i="5"/>
  <c r="DF63" i="5"/>
  <c r="EW62" i="5"/>
  <c r="EQ62" i="5"/>
  <c r="ER62" i="5" s="1"/>
  <c r="EY62" i="5"/>
  <c r="EZ62" i="5" s="1"/>
  <c r="DX62" i="5"/>
  <c r="DW62" i="5"/>
  <c r="DV62" i="5" s="1"/>
  <c r="EB62" i="5" s="1"/>
  <c r="EV62" i="5"/>
  <c r="FW58" i="5"/>
  <c r="F60" i="5"/>
  <c r="E60" i="5"/>
  <c r="D60" i="5"/>
  <c r="CM63" i="5"/>
  <c r="CK64" i="5"/>
  <c r="P56" i="5"/>
  <c r="L59" i="5"/>
  <c r="M59" i="5"/>
  <c r="J59" i="5"/>
  <c r="N59" i="5"/>
  <c r="G59" i="5"/>
  <c r="H59" i="5"/>
  <c r="C61" i="5"/>
  <c r="B61" i="5"/>
  <c r="A62" i="5"/>
  <c r="GP58" i="5"/>
  <c r="I58" i="5"/>
  <c r="K57" i="5"/>
  <c r="EP58" i="5"/>
  <c r="AZ63" i="5"/>
  <c r="BA63" i="5"/>
  <c r="BL63" i="5"/>
  <c r="BF63" i="5"/>
  <c r="BG63" i="5" s="1"/>
  <c r="BN63" i="5"/>
  <c r="BO63" i="5" s="1"/>
  <c r="AL63" i="5"/>
  <c r="AR63" i="5" s="1"/>
  <c r="BK63" i="5"/>
  <c r="AM63" i="5"/>
  <c r="AS63" i="5" s="1"/>
  <c r="AY63" i="5"/>
  <c r="BJ62" i="5"/>
  <c r="EN59" i="5"/>
  <c r="EM59" i="5"/>
  <c r="EO59" i="5"/>
  <c r="EL59" i="5"/>
  <c r="EJ59" i="5"/>
  <c r="EK59" i="5"/>
  <c r="BB57" i="5"/>
  <c r="BD57" i="5"/>
  <c r="BC57" i="5"/>
  <c r="AA58" i="5"/>
  <c r="Z58" i="5"/>
  <c r="H45" i="44"/>
  <c r="AB32" i="44" s="1"/>
  <c r="AI31" i="5"/>
  <c r="V64" i="5"/>
  <c r="Y63" i="5"/>
  <c r="AG63" i="5"/>
  <c r="BH63" i="5" s="1"/>
  <c r="AE63" i="5"/>
  <c r="AK63" i="5" s="1"/>
  <c r="I46" i="44"/>
  <c r="AC31" i="44" s="1"/>
  <c r="DK60" i="5"/>
  <c r="DJ60" i="5"/>
  <c r="AN64" i="44" l="1"/>
  <c r="AM64" i="44"/>
  <c r="AO64" i="44"/>
  <c r="DC64" i="5"/>
  <c r="DB64" i="5"/>
  <c r="DD64" i="5"/>
  <c r="DA64" i="5"/>
  <c r="CB64" i="5"/>
  <c r="CD64" i="5"/>
  <c r="CC64" i="5"/>
  <c r="CE64" i="5"/>
  <c r="BY33" i="5"/>
  <c r="CC33" i="5" s="1"/>
  <c r="O59" i="5"/>
  <c r="T62" i="5"/>
  <c r="S62" i="5"/>
  <c r="R62" i="5"/>
  <c r="Q62" i="5"/>
  <c r="GC62" i="5"/>
  <c r="GK62" i="5"/>
  <c r="AQ63" i="5"/>
  <c r="HN58" i="5"/>
  <c r="GJ61" i="5"/>
  <c r="CI64" i="5"/>
  <c r="GL62" i="5"/>
  <c r="GM61" i="5"/>
  <c r="DY32" i="5"/>
  <c r="DZ32" i="5" s="1"/>
  <c r="FV63" i="5"/>
  <c r="GE63" i="5" s="1"/>
  <c r="GG62" i="5"/>
  <c r="GF62" i="5"/>
  <c r="GH62" i="5"/>
  <c r="GI62" i="5"/>
  <c r="FT63" i="5"/>
  <c r="DO34" i="5"/>
  <c r="DS34" i="5"/>
  <c r="BZ32" i="5"/>
  <c r="HC32" i="5" s="1"/>
  <c r="HA63" i="5"/>
  <c r="HK62" i="5"/>
  <c r="HJ62" i="5"/>
  <c r="HI62" i="5"/>
  <c r="HH62" i="5"/>
  <c r="HG62" i="5"/>
  <c r="AB34" i="5"/>
  <c r="BP34" i="5" s="1"/>
  <c r="GQ33" i="5"/>
  <c r="GV33" i="5" s="1"/>
  <c r="BQ33" i="5"/>
  <c r="BR33" i="5"/>
  <c r="BU33" i="5"/>
  <c r="BT33" i="5"/>
  <c r="AN31" i="5"/>
  <c r="AO31" i="5" s="1"/>
  <c r="FG33" i="5"/>
  <c r="FS33" i="5" s="1"/>
  <c r="EY34" i="5"/>
  <c r="EZ34" i="5" s="1"/>
  <c r="EG34" i="5"/>
  <c r="FA34" i="5"/>
  <c r="EF34" i="5"/>
  <c r="DN34" i="5"/>
  <c r="FD33" i="5"/>
  <c r="HB59" i="5"/>
  <c r="DU32" i="5"/>
  <c r="EC62" i="5"/>
  <c r="ED62" i="5"/>
  <c r="M82" i="50"/>
  <c r="L82" i="50"/>
  <c r="J82" i="50"/>
  <c r="N82" i="50"/>
  <c r="H82" i="50"/>
  <c r="G82" i="50"/>
  <c r="V82" i="50"/>
  <c r="A85" i="50"/>
  <c r="C84" i="50"/>
  <c r="B84" i="50"/>
  <c r="W81" i="50"/>
  <c r="Y81" i="50" s="1"/>
  <c r="I81" i="50"/>
  <c r="K81" i="50" s="1"/>
  <c r="O81" i="50" s="1"/>
  <c r="P81" i="50" s="1"/>
  <c r="E83" i="50"/>
  <c r="F83" i="50"/>
  <c r="D83" i="50"/>
  <c r="Q80" i="50"/>
  <c r="P80" i="50"/>
  <c r="A65" i="44"/>
  <c r="U64" i="44"/>
  <c r="T64" i="44"/>
  <c r="EX62" i="5"/>
  <c r="BM63" i="5"/>
  <c r="DF64" i="5"/>
  <c r="DI63" i="5"/>
  <c r="DM63" i="5"/>
  <c r="DP63" i="5"/>
  <c r="DR63" i="5"/>
  <c r="ES63" i="5" s="1"/>
  <c r="EY63" i="5"/>
  <c r="EZ63" i="5" s="1"/>
  <c r="EQ63" i="5"/>
  <c r="ER63" i="5" s="1"/>
  <c r="DW63" i="5"/>
  <c r="DV63" i="5" s="1"/>
  <c r="EB63" i="5" s="1"/>
  <c r="EV63" i="5"/>
  <c r="EW63" i="5"/>
  <c r="DX63" i="5"/>
  <c r="EU62" i="5"/>
  <c r="A63" i="5"/>
  <c r="B62" i="5"/>
  <c r="C62" i="5"/>
  <c r="CM64" i="5"/>
  <c r="CK65" i="5"/>
  <c r="P57" i="5"/>
  <c r="D61" i="5"/>
  <c r="E61" i="5"/>
  <c r="F61" i="5"/>
  <c r="GP59" i="5"/>
  <c r="I59" i="5"/>
  <c r="J60" i="5"/>
  <c r="M60" i="5"/>
  <c r="N60" i="5"/>
  <c r="L60" i="5"/>
  <c r="H60" i="5"/>
  <c r="G60" i="5"/>
  <c r="K58" i="5"/>
  <c r="FW59" i="5"/>
  <c r="AM64" i="5"/>
  <c r="AS64" i="5" s="1"/>
  <c r="BL64" i="5"/>
  <c r="AY64" i="5"/>
  <c r="AZ64" i="5"/>
  <c r="BF64" i="5"/>
  <c r="BG64" i="5" s="1"/>
  <c r="BN64" i="5"/>
  <c r="BO64" i="5" s="1"/>
  <c r="BA64" i="5"/>
  <c r="BK64" i="5"/>
  <c r="AL64" i="5"/>
  <c r="AR64" i="5" s="1"/>
  <c r="EP59" i="5"/>
  <c r="BE57" i="5"/>
  <c r="BJ63" i="5"/>
  <c r="BB58" i="5"/>
  <c r="BD58" i="5"/>
  <c r="BC58" i="5"/>
  <c r="EN60" i="5"/>
  <c r="EO60" i="5"/>
  <c r="EM60" i="5"/>
  <c r="EJ60" i="5"/>
  <c r="EL60" i="5"/>
  <c r="EK60" i="5"/>
  <c r="Z59" i="5"/>
  <c r="AA59" i="5"/>
  <c r="Y64" i="5"/>
  <c r="V65" i="5"/>
  <c r="AE64" i="5"/>
  <c r="AK64" i="5" s="1"/>
  <c r="AG64" i="5"/>
  <c r="BH64" i="5" s="1"/>
  <c r="AJ31" i="5"/>
  <c r="DK61" i="5"/>
  <c r="DJ61" i="5"/>
  <c r="AN65" i="44" l="1"/>
  <c r="AM65" i="44"/>
  <c r="AO65" i="44"/>
  <c r="DC65" i="5"/>
  <c r="DB65" i="5"/>
  <c r="DD65" i="5"/>
  <c r="DA65" i="5"/>
  <c r="CB65" i="5"/>
  <c r="CD65" i="5"/>
  <c r="CC65" i="5"/>
  <c r="CE65" i="5"/>
  <c r="T63" i="5"/>
  <c r="S63" i="5"/>
  <c r="O60" i="5"/>
  <c r="R63" i="5"/>
  <c r="Q63" i="5"/>
  <c r="GK63" i="5"/>
  <c r="GC63" i="5"/>
  <c r="HN59" i="5"/>
  <c r="AQ64" i="5"/>
  <c r="E42" i="44"/>
  <c r="W35" i="44" s="1"/>
  <c r="GJ62" i="5"/>
  <c r="AU34" i="5"/>
  <c r="CI65" i="5"/>
  <c r="AC34" i="5"/>
  <c r="BR34" i="5" s="1"/>
  <c r="GL63" i="5"/>
  <c r="GM62" i="5"/>
  <c r="BN34" i="5"/>
  <c r="BO34" i="5" s="1"/>
  <c r="FT64" i="5"/>
  <c r="AV34" i="5"/>
  <c r="AD34" i="5"/>
  <c r="BT34" i="5" s="1"/>
  <c r="AT34" i="5"/>
  <c r="FV64" i="5"/>
  <c r="GE64" i="5" s="1"/>
  <c r="GI63" i="5"/>
  <c r="GG63" i="5"/>
  <c r="GF63" i="5"/>
  <c r="GH63" i="5"/>
  <c r="AH34" i="5"/>
  <c r="HA64" i="5"/>
  <c r="HK63" i="5"/>
  <c r="HJ63" i="5"/>
  <c r="HI63" i="5"/>
  <c r="HH63" i="5"/>
  <c r="HG63" i="5"/>
  <c r="BV33" i="5"/>
  <c r="CH33" i="5" s="1"/>
  <c r="BS33" i="5"/>
  <c r="L44" i="44"/>
  <c r="AF33" i="44" s="1"/>
  <c r="DL35" i="5"/>
  <c r="DS35" i="5" s="1"/>
  <c r="FC34" i="5"/>
  <c r="FB34" i="5"/>
  <c r="FF34" i="5"/>
  <c r="FE34" i="5"/>
  <c r="HB60" i="5"/>
  <c r="K43" i="44"/>
  <c r="AE34" i="44" s="1"/>
  <c r="DT33" i="5"/>
  <c r="EX63" i="5"/>
  <c r="EC63" i="5"/>
  <c r="ED63" i="5"/>
  <c r="E84" i="50"/>
  <c r="F84" i="50"/>
  <c r="D84" i="50"/>
  <c r="R80" i="50"/>
  <c r="T80" i="50" s="1"/>
  <c r="A86" i="50"/>
  <c r="B85" i="50"/>
  <c r="C85" i="50"/>
  <c r="H83" i="50"/>
  <c r="M83" i="50"/>
  <c r="L83" i="50"/>
  <c r="J83" i="50"/>
  <c r="V83" i="50"/>
  <c r="W83" i="50" s="1"/>
  <c r="Y83" i="50" s="1"/>
  <c r="G83" i="50"/>
  <c r="N83" i="50"/>
  <c r="I82" i="50"/>
  <c r="K82" i="50" s="1"/>
  <c r="O82" i="50" s="1"/>
  <c r="P82" i="50" s="1"/>
  <c r="Q81" i="50"/>
  <c r="W82" i="50"/>
  <c r="Y82" i="50" s="1"/>
  <c r="A66" i="44"/>
  <c r="U65" i="44"/>
  <c r="T65" i="44"/>
  <c r="EU63" i="5"/>
  <c r="DP64" i="5"/>
  <c r="DI64" i="5"/>
  <c r="DM64" i="5"/>
  <c r="DR64" i="5"/>
  <c r="ES64" i="5" s="1"/>
  <c r="DF65" i="5"/>
  <c r="EQ64" i="5"/>
  <c r="ER64" i="5" s="1"/>
  <c r="EY64" i="5"/>
  <c r="EZ64" i="5" s="1"/>
  <c r="DW64" i="5"/>
  <c r="DV64" i="5" s="1"/>
  <c r="EB64" i="5" s="1"/>
  <c r="EV64" i="5"/>
  <c r="DX64" i="5"/>
  <c r="EW64" i="5"/>
  <c r="BM64" i="5"/>
  <c r="FW60" i="5"/>
  <c r="GP60" i="5"/>
  <c r="I60" i="5"/>
  <c r="M61" i="5"/>
  <c r="L61" i="5"/>
  <c r="J61" i="5"/>
  <c r="N61" i="5"/>
  <c r="H61" i="5"/>
  <c r="G61" i="5"/>
  <c r="CM65" i="5"/>
  <c r="CK66" i="5"/>
  <c r="K59" i="5"/>
  <c r="F62" i="5"/>
  <c r="D62" i="5"/>
  <c r="E62" i="5"/>
  <c r="P58" i="5"/>
  <c r="B63" i="5"/>
  <c r="C63" i="5"/>
  <c r="A64" i="5"/>
  <c r="AM65" i="5"/>
  <c r="AS65" i="5" s="1"/>
  <c r="BL65" i="5"/>
  <c r="BN65" i="5"/>
  <c r="BO65" i="5" s="1"/>
  <c r="AZ65" i="5"/>
  <c r="AY65" i="5"/>
  <c r="BK65" i="5"/>
  <c r="BF65" i="5"/>
  <c r="BG65" i="5" s="1"/>
  <c r="AL65" i="5"/>
  <c r="AR65" i="5" s="1"/>
  <c r="BA65" i="5"/>
  <c r="BE58" i="5"/>
  <c r="EP60" i="5"/>
  <c r="EN61" i="5"/>
  <c r="EO61" i="5"/>
  <c r="EM61" i="5"/>
  <c r="EJ61" i="5"/>
  <c r="EL61" i="5"/>
  <c r="EK61" i="5"/>
  <c r="BD59" i="5"/>
  <c r="BC59" i="5"/>
  <c r="BB59" i="5"/>
  <c r="BJ64" i="5"/>
  <c r="I45" i="44"/>
  <c r="AC32" i="44" s="1"/>
  <c r="AI32" i="5"/>
  <c r="H44" i="44"/>
  <c r="AB33" i="44" s="1"/>
  <c r="Y65" i="5"/>
  <c r="V66" i="5"/>
  <c r="AE65" i="5"/>
  <c r="AK65" i="5" s="1"/>
  <c r="AG65" i="5"/>
  <c r="BH65" i="5" s="1"/>
  <c r="Z60" i="5"/>
  <c r="AA60" i="5"/>
  <c r="DK62" i="5"/>
  <c r="DJ62" i="5"/>
  <c r="AO66" i="44" l="1"/>
  <c r="AN66" i="44"/>
  <c r="AM66" i="44"/>
  <c r="DC66" i="5"/>
  <c r="DB66" i="5"/>
  <c r="DD66" i="5"/>
  <c r="DA66" i="5"/>
  <c r="CB66" i="5"/>
  <c r="CD66" i="5"/>
  <c r="CC66" i="5"/>
  <c r="CE66" i="5"/>
  <c r="BY34" i="5"/>
  <c r="CC34" i="5" s="1"/>
  <c r="T64" i="5"/>
  <c r="S64" i="5"/>
  <c r="O61" i="5"/>
  <c r="Q64" i="5"/>
  <c r="R64" i="5"/>
  <c r="GK64" i="5"/>
  <c r="GC64" i="5"/>
  <c r="HN60" i="5"/>
  <c r="AQ65" i="5"/>
  <c r="BQ34" i="5"/>
  <c r="BS34" i="5" s="1"/>
  <c r="CI66" i="5"/>
  <c r="GM63" i="5"/>
  <c r="BU34" i="5"/>
  <c r="BV34" i="5" s="1"/>
  <c r="CH34" i="5" s="1"/>
  <c r="GJ63" i="5"/>
  <c r="GL64" i="5"/>
  <c r="AB35" i="5"/>
  <c r="AT35" i="5" s="1"/>
  <c r="GQ34" i="5"/>
  <c r="GV34" i="5" s="1"/>
  <c r="FT65" i="5"/>
  <c r="FV65" i="5"/>
  <c r="GE65" i="5" s="1"/>
  <c r="GI64" i="5"/>
  <c r="GG64" i="5"/>
  <c r="GF64" i="5"/>
  <c r="GH64" i="5"/>
  <c r="DY33" i="5"/>
  <c r="DZ33" i="5" s="1"/>
  <c r="HA65" i="5"/>
  <c r="HK64" i="5"/>
  <c r="HJ64" i="5"/>
  <c r="HI64" i="5"/>
  <c r="HH64" i="5"/>
  <c r="HG64" i="5"/>
  <c r="EF35" i="5"/>
  <c r="DO35" i="5"/>
  <c r="FE35" i="5" s="1"/>
  <c r="BZ33" i="5"/>
  <c r="HC33" i="5" s="1"/>
  <c r="AN32" i="5"/>
  <c r="AO32" i="5" s="1"/>
  <c r="DN35" i="5"/>
  <c r="FB35" i="5" s="1"/>
  <c r="FG34" i="5"/>
  <c r="FS34" i="5" s="1"/>
  <c r="FA35" i="5"/>
  <c r="FD34" i="5"/>
  <c r="EG35" i="5"/>
  <c r="EY35" i="5"/>
  <c r="EZ35" i="5" s="1"/>
  <c r="HB61" i="5"/>
  <c r="DU33" i="5"/>
  <c r="EC64" i="5"/>
  <c r="ED64" i="5"/>
  <c r="I83" i="50"/>
  <c r="K83" i="50" s="1"/>
  <c r="O83" i="50" s="1"/>
  <c r="R81" i="50"/>
  <c r="T81" i="50" s="1"/>
  <c r="Q82" i="50"/>
  <c r="M84" i="50"/>
  <c r="L84" i="50"/>
  <c r="N84" i="50"/>
  <c r="J84" i="50"/>
  <c r="H84" i="50"/>
  <c r="G84" i="50"/>
  <c r="V84" i="50"/>
  <c r="W84" i="50" s="1"/>
  <c r="Y84" i="50" s="1"/>
  <c r="E85" i="50"/>
  <c r="F85" i="50"/>
  <c r="D85" i="50"/>
  <c r="A87" i="50"/>
  <c r="C86" i="50"/>
  <c r="B86" i="50"/>
  <c r="A67" i="44"/>
  <c r="T66" i="44"/>
  <c r="U66" i="44"/>
  <c r="EX64" i="5"/>
  <c r="EW65" i="5"/>
  <c r="DX65" i="5"/>
  <c r="DI65" i="5"/>
  <c r="DR65" i="5"/>
  <c r="ES65" i="5" s="1"/>
  <c r="EY65" i="5"/>
  <c r="EZ65" i="5" s="1"/>
  <c r="DM65" i="5"/>
  <c r="DF66" i="5"/>
  <c r="EQ65" i="5"/>
  <c r="ER65" i="5" s="1"/>
  <c r="DP65" i="5"/>
  <c r="DW65" i="5"/>
  <c r="DV65" i="5" s="1"/>
  <c r="EB65" i="5" s="1"/>
  <c r="EV65" i="5"/>
  <c r="EU64" i="5"/>
  <c r="K60" i="5"/>
  <c r="CK67" i="5"/>
  <c r="CM66" i="5"/>
  <c r="D63" i="5"/>
  <c r="E63" i="5"/>
  <c r="F63" i="5"/>
  <c r="FW61" i="5"/>
  <c r="P59" i="5"/>
  <c r="GP61" i="5"/>
  <c r="I61" i="5"/>
  <c r="BM65" i="5"/>
  <c r="A65" i="5"/>
  <c r="C64" i="5"/>
  <c r="B64" i="5"/>
  <c r="J62" i="5"/>
  <c r="M62" i="5"/>
  <c r="G62" i="5"/>
  <c r="L62" i="5"/>
  <c r="N62" i="5"/>
  <c r="H62" i="5"/>
  <c r="BE59" i="5"/>
  <c r="BA66" i="5"/>
  <c r="AZ66" i="5"/>
  <c r="AY66" i="5"/>
  <c r="BN66" i="5"/>
  <c r="BO66" i="5" s="1"/>
  <c r="BF66" i="5"/>
  <c r="BG66" i="5" s="1"/>
  <c r="AL66" i="5"/>
  <c r="AR66" i="5" s="1"/>
  <c r="BK66" i="5"/>
  <c r="AM66" i="5"/>
  <c r="AS66" i="5" s="1"/>
  <c r="BL66" i="5"/>
  <c r="EP61" i="5"/>
  <c r="BC60" i="5"/>
  <c r="BB60" i="5"/>
  <c r="BD60" i="5"/>
  <c r="EM62" i="5"/>
  <c r="EO62" i="5"/>
  <c r="EN62" i="5"/>
  <c r="EJ62" i="5"/>
  <c r="EK62" i="5"/>
  <c r="EL62" i="5"/>
  <c r="BJ65" i="5"/>
  <c r="V67" i="5"/>
  <c r="Y66" i="5"/>
  <c r="AE66" i="5"/>
  <c r="AK66" i="5" s="1"/>
  <c r="AG66" i="5"/>
  <c r="BH66" i="5" s="1"/>
  <c r="AA61" i="5"/>
  <c r="Z61" i="5"/>
  <c r="AJ32" i="5"/>
  <c r="DJ63" i="5"/>
  <c r="DK63" i="5"/>
  <c r="AO67" i="44" l="1"/>
  <c r="AN67" i="44"/>
  <c r="AM67" i="44"/>
  <c r="DA67" i="5"/>
  <c r="DC67" i="5"/>
  <c r="DB67" i="5"/>
  <c r="DD67" i="5"/>
  <c r="CB67" i="5"/>
  <c r="CD67" i="5"/>
  <c r="CC67" i="5"/>
  <c r="CE67" i="5"/>
  <c r="O62" i="5"/>
  <c r="T65" i="5"/>
  <c r="S65" i="5"/>
  <c r="R65" i="5"/>
  <c r="Q65" i="5"/>
  <c r="GK65" i="5"/>
  <c r="GC65" i="5"/>
  <c r="AQ66" i="5"/>
  <c r="HN61" i="5"/>
  <c r="AV35" i="5"/>
  <c r="AD35" i="5"/>
  <c r="BU35" i="5" s="1"/>
  <c r="BN35" i="5"/>
  <c r="BO35" i="5" s="1"/>
  <c r="AH35" i="5"/>
  <c r="CI67" i="5"/>
  <c r="BP35" i="5"/>
  <c r="GJ64" i="5"/>
  <c r="GL65" i="5"/>
  <c r="GM64" i="5"/>
  <c r="E41" i="44"/>
  <c r="W36" i="44" s="1"/>
  <c r="AU35" i="5"/>
  <c r="AC35" i="5"/>
  <c r="HA66" i="5"/>
  <c r="HK65" i="5"/>
  <c r="HJ65" i="5"/>
  <c r="HI65" i="5"/>
  <c r="HH65" i="5"/>
  <c r="HG65" i="5"/>
  <c r="FT66" i="5"/>
  <c r="BZ34" i="5"/>
  <c r="HC34" i="5" s="1"/>
  <c r="FV66" i="5"/>
  <c r="GE66" i="5" s="1"/>
  <c r="GI65" i="5"/>
  <c r="GG65" i="5"/>
  <c r="GF65" i="5"/>
  <c r="GH65" i="5"/>
  <c r="L43" i="44"/>
  <c r="AF34" i="44" s="1"/>
  <c r="FF35" i="5"/>
  <c r="FG35" i="5" s="1"/>
  <c r="FS35" i="5" s="1"/>
  <c r="FC35" i="5"/>
  <c r="FD35" i="5" s="1"/>
  <c r="DL36" i="5"/>
  <c r="HB62" i="5"/>
  <c r="AT38" i="5"/>
  <c r="AU38" i="5"/>
  <c r="AV38" i="5"/>
  <c r="BP38" i="5"/>
  <c r="K42" i="44"/>
  <c r="AE35" i="44" s="1"/>
  <c r="DT34" i="5"/>
  <c r="EG38" i="5"/>
  <c r="EE38" i="5"/>
  <c r="EF38" i="5"/>
  <c r="FA38" i="5"/>
  <c r="EX65" i="5"/>
  <c r="EC65" i="5"/>
  <c r="ED65" i="5"/>
  <c r="I84" i="50"/>
  <c r="K84" i="50" s="1"/>
  <c r="O84" i="50" s="1"/>
  <c r="P84" i="50" s="1"/>
  <c r="Q83" i="50"/>
  <c r="R83" i="50" s="1"/>
  <c r="T83" i="50" s="1"/>
  <c r="P83" i="50"/>
  <c r="C87" i="50"/>
  <c r="B87" i="50"/>
  <c r="E86" i="50"/>
  <c r="F86" i="50"/>
  <c r="D86" i="50"/>
  <c r="J85" i="50"/>
  <c r="H85" i="50"/>
  <c r="N85" i="50"/>
  <c r="G85" i="50"/>
  <c r="V85" i="50"/>
  <c r="W85" i="50" s="1"/>
  <c r="Y85" i="50" s="1"/>
  <c r="L85" i="50"/>
  <c r="M85" i="50"/>
  <c r="R82" i="50"/>
  <c r="T82" i="50" s="1"/>
  <c r="A68" i="44"/>
  <c r="U67" i="44"/>
  <c r="T67" i="44"/>
  <c r="BM66" i="5"/>
  <c r="EV66" i="5"/>
  <c r="EY66" i="5"/>
  <c r="EZ66" i="5" s="1"/>
  <c r="DM66" i="5"/>
  <c r="EW66" i="5"/>
  <c r="DI66" i="5"/>
  <c r="EQ66" i="5"/>
  <c r="ER66" i="5" s="1"/>
  <c r="DF67" i="5"/>
  <c r="DX66" i="5"/>
  <c r="DP66" i="5"/>
  <c r="DW66" i="5"/>
  <c r="DV66" i="5" s="1"/>
  <c r="EB66" i="5" s="1"/>
  <c r="DR66" i="5"/>
  <c r="ES66" i="5" s="1"/>
  <c r="EU65" i="5"/>
  <c r="FW62" i="5"/>
  <c r="L63" i="5"/>
  <c r="M63" i="5"/>
  <c r="J63" i="5"/>
  <c r="N63" i="5"/>
  <c r="H63" i="5"/>
  <c r="G63" i="5"/>
  <c r="F64" i="5"/>
  <c r="E64" i="5"/>
  <c r="D64" i="5"/>
  <c r="K61" i="5"/>
  <c r="A66" i="5"/>
  <c r="C65" i="5"/>
  <c r="B65" i="5"/>
  <c r="CM67" i="5"/>
  <c r="GP62" i="5"/>
  <c r="I62" i="5"/>
  <c r="P60" i="5"/>
  <c r="BL67" i="5"/>
  <c r="BN67" i="5"/>
  <c r="BO67" i="5" s="1"/>
  <c r="BF67" i="5"/>
  <c r="BG67" i="5" s="1"/>
  <c r="AL67" i="5"/>
  <c r="AR67" i="5" s="1"/>
  <c r="BK67" i="5"/>
  <c r="BA67" i="5"/>
  <c r="AZ67" i="5"/>
  <c r="AY67" i="5"/>
  <c r="AM67" i="5"/>
  <c r="AS67" i="5" s="1"/>
  <c r="BE60" i="5"/>
  <c r="EP62" i="5"/>
  <c r="EO63" i="5"/>
  <c r="EM63" i="5"/>
  <c r="EN63" i="5"/>
  <c r="EL63" i="5"/>
  <c r="EJ63" i="5"/>
  <c r="EK63" i="5"/>
  <c r="BD61" i="5"/>
  <c r="BC61" i="5"/>
  <c r="BB61" i="5"/>
  <c r="BJ66" i="5"/>
  <c r="AI40" i="44"/>
  <c r="AI61" i="44"/>
  <c r="AI48" i="44"/>
  <c r="AI65" i="44"/>
  <c r="AI51" i="44"/>
  <c r="AI66" i="44"/>
  <c r="AI63" i="44"/>
  <c r="AI62" i="44"/>
  <c r="AI45" i="44"/>
  <c r="AI56" i="44"/>
  <c r="AI53" i="44"/>
  <c r="AI41" i="44"/>
  <c r="AI42" i="44"/>
  <c r="AI43" i="44"/>
  <c r="AI58" i="44"/>
  <c r="AI47" i="44"/>
  <c r="AA62" i="5"/>
  <c r="Z62" i="5"/>
  <c r="AI46" i="44"/>
  <c r="AI54" i="44"/>
  <c r="Y67" i="5"/>
  <c r="AE67" i="5"/>
  <c r="AK67" i="5" s="1"/>
  <c r="AG67" i="5"/>
  <c r="AI44" i="44"/>
  <c r="AI52" i="44"/>
  <c r="AI64" i="44"/>
  <c r="I44" i="44"/>
  <c r="AC33" i="44" s="1"/>
  <c r="AI50" i="44"/>
  <c r="AI39" i="44"/>
  <c r="AI59" i="44"/>
  <c r="AI60" i="44"/>
  <c r="AI57" i="44"/>
  <c r="H43" i="44"/>
  <c r="AB34" i="44" s="1"/>
  <c r="AI33" i="5"/>
  <c r="AI55" i="44"/>
  <c r="AI49" i="44"/>
  <c r="DJ64" i="5"/>
  <c r="DK64" i="5"/>
  <c r="BH67" i="5" l="1"/>
  <c r="BI66" i="5" s="1"/>
  <c r="M40" i="14"/>
  <c r="AO68" i="44"/>
  <c r="AM68" i="44"/>
  <c r="AN68" i="44"/>
  <c r="FJ38" i="5"/>
  <c r="BY35" i="5"/>
  <c r="CC35" i="5" s="1"/>
  <c r="BY38" i="5"/>
  <c r="O63" i="5"/>
  <c r="T66" i="5"/>
  <c r="S66" i="5"/>
  <c r="R66" i="5"/>
  <c r="Q66" i="5"/>
  <c r="BT35" i="5"/>
  <c r="BV35" i="5" s="1"/>
  <c r="CH35" i="5" s="1"/>
  <c r="GK66" i="5"/>
  <c r="GC66" i="5"/>
  <c r="HN62" i="5"/>
  <c r="GQ35" i="5"/>
  <c r="GV35" i="5" s="1"/>
  <c r="AQ67" i="5"/>
  <c r="GJ65" i="5"/>
  <c r="GL66" i="5"/>
  <c r="GM65" i="5"/>
  <c r="BQ35" i="5"/>
  <c r="BR35" i="5"/>
  <c r="AB36" i="5"/>
  <c r="FV67" i="5"/>
  <c r="GE67" i="5" s="1"/>
  <c r="GI66" i="5"/>
  <c r="GG66" i="5"/>
  <c r="GF66" i="5"/>
  <c r="GH66" i="5"/>
  <c r="DO36" i="5"/>
  <c r="DS36" i="5"/>
  <c r="FT67" i="5"/>
  <c r="DY34" i="5"/>
  <c r="DZ34" i="5" s="1"/>
  <c r="HA67" i="5"/>
  <c r="HK66" i="5"/>
  <c r="HJ66" i="5"/>
  <c r="HI66" i="5"/>
  <c r="HH66" i="5"/>
  <c r="HG66" i="5"/>
  <c r="AN33" i="5"/>
  <c r="AO33" i="5" s="1"/>
  <c r="BT38" i="5"/>
  <c r="DN36" i="5"/>
  <c r="EY36" i="5"/>
  <c r="EZ36" i="5" s="1"/>
  <c r="EG36" i="5"/>
  <c r="FA36" i="5"/>
  <c r="EF36" i="5"/>
  <c r="GQ38" i="5"/>
  <c r="HB63" i="5"/>
  <c r="BI67" i="5"/>
  <c r="BI8" i="5"/>
  <c r="BW8" i="5" s="1"/>
  <c r="BI14" i="5"/>
  <c r="BI11" i="5"/>
  <c r="BI17" i="5"/>
  <c r="BI12" i="5"/>
  <c r="BI9" i="5"/>
  <c r="BW9" i="5" s="1"/>
  <c r="M67" i="44" s="1"/>
  <c r="BI25" i="5"/>
  <c r="BW25" i="5" s="1"/>
  <c r="M51" i="44" s="1"/>
  <c r="BI20" i="5"/>
  <c r="BI22" i="5"/>
  <c r="BI24" i="5"/>
  <c r="BW24" i="5" s="1"/>
  <c r="M52" i="44" s="1"/>
  <c r="BI10" i="5"/>
  <c r="BI27" i="5"/>
  <c r="BW27" i="5" s="1"/>
  <c r="M49" i="44" s="1"/>
  <c r="BI31" i="5"/>
  <c r="BW31" i="5" s="1"/>
  <c r="M45" i="44" s="1"/>
  <c r="BI13" i="5"/>
  <c r="BI30" i="5"/>
  <c r="BW30" i="5" s="1"/>
  <c r="M46" i="44" s="1"/>
  <c r="BI29" i="5"/>
  <c r="BW29" i="5" s="1"/>
  <c r="M47" i="44" s="1"/>
  <c r="BI33" i="5"/>
  <c r="BW33" i="5" s="1"/>
  <c r="M43" i="44" s="1"/>
  <c r="BI15" i="5"/>
  <c r="BI35" i="5"/>
  <c r="BI32" i="5"/>
  <c r="BW32" i="5" s="1"/>
  <c r="M44" i="44" s="1"/>
  <c r="BI34" i="5"/>
  <c r="BW34" i="5" s="1"/>
  <c r="M42" i="44" s="1"/>
  <c r="BI16" i="5"/>
  <c r="BI36" i="5"/>
  <c r="BI42" i="5"/>
  <c r="BI38" i="5"/>
  <c r="BI39" i="5"/>
  <c r="BI18" i="5"/>
  <c r="BI37" i="5"/>
  <c r="BI40" i="5"/>
  <c r="BI47" i="5"/>
  <c r="BI19" i="5"/>
  <c r="BI41" i="5"/>
  <c r="BI46" i="5"/>
  <c r="BI43" i="5"/>
  <c r="BI45" i="5"/>
  <c r="BI44" i="5"/>
  <c r="BI21" i="5"/>
  <c r="BI48" i="5"/>
  <c r="BI50" i="5"/>
  <c r="BI23" i="5"/>
  <c r="BI51" i="5"/>
  <c r="BI26" i="5"/>
  <c r="BW26" i="5" s="1"/>
  <c r="M50" i="44" s="1"/>
  <c r="BI49" i="5"/>
  <c r="BI52" i="5"/>
  <c r="BI53" i="5"/>
  <c r="BI28" i="5"/>
  <c r="BW28" i="5" s="1"/>
  <c r="M48" i="44" s="1"/>
  <c r="BI54" i="5"/>
  <c r="BI56" i="5"/>
  <c r="BI55" i="5"/>
  <c r="BI57" i="5"/>
  <c r="BI58" i="5"/>
  <c r="BI59" i="5"/>
  <c r="BI60" i="5"/>
  <c r="BI61" i="5"/>
  <c r="BI62" i="5"/>
  <c r="BI63" i="5"/>
  <c r="BI64" i="5"/>
  <c r="BI65" i="5"/>
  <c r="BR38" i="5"/>
  <c r="BU38" i="5"/>
  <c r="BP39" i="5"/>
  <c r="AT39" i="5"/>
  <c r="AU39" i="5"/>
  <c r="GS38" i="5"/>
  <c r="FE38" i="5"/>
  <c r="FF38" i="5"/>
  <c r="FC38" i="5"/>
  <c r="FB38" i="5"/>
  <c r="DU34" i="5"/>
  <c r="AV39" i="5"/>
  <c r="Q84" i="50"/>
  <c r="R84" i="50" s="1"/>
  <c r="T84" i="50" s="1"/>
  <c r="EC66" i="5"/>
  <c r="ED66" i="5"/>
  <c r="J86" i="50"/>
  <c r="N86" i="50"/>
  <c r="G86" i="50"/>
  <c r="M86" i="50"/>
  <c r="L86" i="50"/>
  <c r="V86" i="50"/>
  <c r="W86" i="50" s="1"/>
  <c r="Y86" i="50" s="1"/>
  <c r="H86" i="50"/>
  <c r="D87" i="50"/>
  <c r="E87" i="50"/>
  <c r="F87" i="50"/>
  <c r="I85" i="50"/>
  <c r="K85" i="50" s="1"/>
  <c r="O85" i="50" s="1"/>
  <c r="U68" i="44"/>
  <c r="T68" i="44"/>
  <c r="EX66" i="5"/>
  <c r="EU66" i="5"/>
  <c r="DP67" i="5"/>
  <c r="EQ67" i="5"/>
  <c r="ER67" i="5" s="1"/>
  <c r="EW67" i="5"/>
  <c r="DX67" i="5"/>
  <c r="EY67" i="5"/>
  <c r="EZ67" i="5" s="1"/>
  <c r="DM67" i="5"/>
  <c r="EV67" i="5"/>
  <c r="DI67" i="5"/>
  <c r="DW67" i="5"/>
  <c r="DV67" i="5" s="1"/>
  <c r="EB67" i="5" s="1"/>
  <c r="DR67" i="5"/>
  <c r="BM67" i="5"/>
  <c r="P61" i="5"/>
  <c r="K62" i="5"/>
  <c r="J64" i="5"/>
  <c r="G64" i="5"/>
  <c r="M64" i="5"/>
  <c r="L64" i="5"/>
  <c r="N64" i="5"/>
  <c r="H64" i="5"/>
  <c r="F65" i="5"/>
  <c r="E65" i="5"/>
  <c r="D65" i="5"/>
  <c r="FW63" i="5"/>
  <c r="C66" i="5"/>
  <c r="A67" i="5"/>
  <c r="B66" i="5"/>
  <c r="GP63" i="5"/>
  <c r="I63" i="5"/>
  <c r="EP63" i="5"/>
  <c r="BE61" i="5"/>
  <c r="BC62" i="5"/>
  <c r="BB62" i="5"/>
  <c r="BD62" i="5"/>
  <c r="BJ67" i="5"/>
  <c r="EO64" i="5"/>
  <c r="EN64" i="5"/>
  <c r="EM64" i="5"/>
  <c r="EJ64" i="5"/>
  <c r="EL64" i="5"/>
  <c r="EK64" i="5"/>
  <c r="AA63" i="5"/>
  <c r="Z63" i="5"/>
  <c r="AJ33" i="5"/>
  <c r="DJ65" i="5"/>
  <c r="DK65" i="5"/>
  <c r="ES67" i="5" l="1"/>
  <c r="ET63" i="5" s="1"/>
  <c r="M68" i="14"/>
  <c r="BW21" i="5"/>
  <c r="M55" i="44" s="1"/>
  <c r="BJ21" i="5"/>
  <c r="BZ21" i="5" s="1"/>
  <c r="HC21" i="5" s="1"/>
  <c r="BW22" i="5"/>
  <c r="M54" i="44" s="1"/>
  <c r="BJ22" i="5"/>
  <c r="BZ22" i="5" s="1"/>
  <c r="HC22" i="5" s="1"/>
  <c r="BW12" i="5"/>
  <c r="M64" i="44" s="1"/>
  <c r="BJ12" i="5"/>
  <c r="BZ12" i="5" s="1"/>
  <c r="HC12" i="5" s="1"/>
  <c r="BW23" i="5"/>
  <c r="M53" i="44" s="1"/>
  <c r="BJ23" i="5"/>
  <c r="BZ23" i="5" s="1"/>
  <c r="HC23" i="5" s="1"/>
  <c r="BW20" i="5"/>
  <c r="M56" i="44" s="1"/>
  <c r="BJ20" i="5"/>
  <c r="BZ20" i="5" s="1"/>
  <c r="HC20" i="5" s="1"/>
  <c r="BW17" i="5"/>
  <c r="M59" i="44" s="1"/>
  <c r="BJ17" i="5"/>
  <c r="BZ17" i="5" s="1"/>
  <c r="HC17" i="5" s="1"/>
  <c r="BW14" i="5"/>
  <c r="M62" i="44" s="1"/>
  <c r="BJ14" i="5"/>
  <c r="BZ14" i="5" s="1"/>
  <c r="HC14" i="5" s="1"/>
  <c r="BW19" i="5"/>
  <c r="M57" i="44" s="1"/>
  <c r="BJ19" i="5"/>
  <c r="BZ19" i="5" s="1"/>
  <c r="HC19" i="5" s="1"/>
  <c r="BW11" i="5"/>
  <c r="M65" i="44" s="1"/>
  <c r="BJ11" i="5"/>
  <c r="BZ11" i="5" s="1"/>
  <c r="HC11" i="5" s="1"/>
  <c r="BY39" i="5"/>
  <c r="O64" i="5"/>
  <c r="S67" i="5"/>
  <c r="T67" i="5"/>
  <c r="Q67" i="5"/>
  <c r="R67" i="5"/>
  <c r="BW35" i="5"/>
  <c r="M41" i="44" s="1"/>
  <c r="GK67" i="5"/>
  <c r="GC67" i="5"/>
  <c r="HN63" i="5"/>
  <c r="GJ66" i="5"/>
  <c r="GL67" i="5"/>
  <c r="GM66" i="5"/>
  <c r="BV38" i="5"/>
  <c r="CH38" i="5" s="1"/>
  <c r="AT36" i="5"/>
  <c r="AV36" i="5"/>
  <c r="E40" i="44"/>
  <c r="W37" i="44" s="1"/>
  <c r="BP36" i="5"/>
  <c r="AC36" i="5"/>
  <c r="AH36" i="5"/>
  <c r="AD36" i="5"/>
  <c r="AU36" i="5"/>
  <c r="BN36" i="5"/>
  <c r="BO36" i="5" s="1"/>
  <c r="BS35" i="5"/>
  <c r="BZ35" i="5" s="1"/>
  <c r="HC35" i="5" s="1"/>
  <c r="HI67" i="5"/>
  <c r="HJ67" i="5"/>
  <c r="HK67" i="5"/>
  <c r="HG67" i="5"/>
  <c r="HH67" i="5"/>
  <c r="GI67" i="5"/>
  <c r="GG67" i="5"/>
  <c r="GF67" i="5"/>
  <c r="GH67" i="5"/>
  <c r="M68" i="44"/>
  <c r="AH9" i="44" s="1"/>
  <c r="L42" i="44"/>
  <c r="AF35" i="44" s="1"/>
  <c r="DL37" i="5"/>
  <c r="DS37" i="5" s="1"/>
  <c r="FE36" i="5"/>
  <c r="FF36" i="5"/>
  <c r="FB36" i="5"/>
  <c r="FC36" i="5"/>
  <c r="GQ39" i="5"/>
  <c r="BJ15" i="5"/>
  <c r="BZ15" i="5" s="1"/>
  <c r="BW15" i="5"/>
  <c r="M61" i="44" s="1"/>
  <c r="ET64" i="5"/>
  <c r="BJ18" i="5"/>
  <c r="BZ18" i="5" s="1"/>
  <c r="BW18" i="5"/>
  <c r="M58" i="44" s="1"/>
  <c r="HB64" i="5"/>
  <c r="BJ13" i="5"/>
  <c r="BZ13" i="5" s="1"/>
  <c r="BW13" i="5"/>
  <c r="M63" i="44" s="1"/>
  <c r="BW10" i="5"/>
  <c r="BJ10" i="5"/>
  <c r="BJ16" i="5"/>
  <c r="BZ16" i="5" s="1"/>
  <c r="BW16" i="5"/>
  <c r="M60" i="44" s="1"/>
  <c r="ET67" i="5"/>
  <c r="ET8" i="5"/>
  <c r="ET11" i="5"/>
  <c r="EU11" i="5" s="1"/>
  <c r="ET17" i="5"/>
  <c r="EU17" i="5" s="1"/>
  <c r="ET9" i="5"/>
  <c r="EU9" i="5" s="1"/>
  <c r="ET10" i="5"/>
  <c r="ET20" i="5"/>
  <c r="EU20" i="5" s="1"/>
  <c r="ET21" i="5"/>
  <c r="EU21" i="5" s="1"/>
  <c r="ET23" i="5"/>
  <c r="EU23" i="5" s="1"/>
  <c r="ET12" i="5"/>
  <c r="EU12" i="5" s="1"/>
  <c r="ET14" i="5"/>
  <c r="EU14" i="5" s="1"/>
  <c r="ET13" i="5"/>
  <c r="ET25" i="5"/>
  <c r="EU25" i="5" s="1"/>
  <c r="ET15" i="5"/>
  <c r="ET29" i="5"/>
  <c r="EU29" i="5" s="1"/>
  <c r="ET30" i="5"/>
  <c r="EU30" i="5" s="1"/>
  <c r="ET27" i="5"/>
  <c r="EU27" i="5" s="1"/>
  <c r="ET32" i="5"/>
  <c r="EU32" i="5" s="1"/>
  <c r="ET31" i="5"/>
  <c r="EU31" i="5" s="1"/>
  <c r="ET16" i="5"/>
  <c r="ET34" i="5"/>
  <c r="EU34" i="5" s="1"/>
  <c r="ET35" i="5"/>
  <c r="EU35" i="5" s="1"/>
  <c r="ET33" i="5"/>
  <c r="EU33" i="5" s="1"/>
  <c r="ET36" i="5"/>
  <c r="EU36" i="5" s="1"/>
  <c r="ET37" i="5"/>
  <c r="ET18" i="5"/>
  <c r="EU18" i="5" s="1"/>
  <c r="ET40" i="5"/>
  <c r="ET41" i="5"/>
  <c r="ET38" i="5"/>
  <c r="FH38" i="5" s="1"/>
  <c r="ET19" i="5"/>
  <c r="ET39" i="5"/>
  <c r="ET43" i="5"/>
  <c r="ET42" i="5"/>
  <c r="ET44" i="5"/>
  <c r="ET22" i="5"/>
  <c r="EU22" i="5" s="1"/>
  <c r="ET49" i="5"/>
  <c r="ET50" i="5"/>
  <c r="ET48" i="5"/>
  <c r="ET45" i="5"/>
  <c r="ET46" i="5"/>
  <c r="ET47" i="5"/>
  <c r="ET24" i="5"/>
  <c r="EU24" i="5" s="1"/>
  <c r="ET26" i="5"/>
  <c r="EU26" i="5" s="1"/>
  <c r="ET28" i="5"/>
  <c r="EU28" i="5" s="1"/>
  <c r="ET51" i="5"/>
  <c r="ET52" i="5"/>
  <c r="ET53" i="5"/>
  <c r="ET54" i="5"/>
  <c r="ET55" i="5"/>
  <c r="ET56" i="5"/>
  <c r="ET57" i="5"/>
  <c r="ET58" i="5"/>
  <c r="ET59" i="5"/>
  <c r="ET62" i="5"/>
  <c r="ET60" i="5"/>
  <c r="ET61" i="5"/>
  <c r="ET65" i="5"/>
  <c r="ET66" i="5"/>
  <c r="BQ39" i="5"/>
  <c r="BR39" i="5"/>
  <c r="FG38" i="5"/>
  <c r="FS38" i="5" s="1"/>
  <c r="FD38" i="5"/>
  <c r="K41" i="44"/>
  <c r="AE36" i="44" s="1"/>
  <c r="DT35" i="5"/>
  <c r="EG39" i="5"/>
  <c r="EF39" i="5"/>
  <c r="EE39" i="5"/>
  <c r="FA39" i="5"/>
  <c r="BT39" i="5"/>
  <c r="BU39" i="5"/>
  <c r="EC67" i="5"/>
  <c r="ED67" i="5"/>
  <c r="I86" i="50"/>
  <c r="K86" i="50" s="1"/>
  <c r="O86" i="50" s="1"/>
  <c r="Q86" i="50" s="1"/>
  <c r="J87" i="50"/>
  <c r="H87" i="50"/>
  <c r="G87" i="50"/>
  <c r="V87" i="50"/>
  <c r="W87" i="50" s="1"/>
  <c r="Y87" i="50" s="1"/>
  <c r="B16" i="50" s="1"/>
  <c r="M87" i="50"/>
  <c r="L87" i="50"/>
  <c r="N87" i="50"/>
  <c r="P85" i="50"/>
  <c r="Q85" i="50"/>
  <c r="EX67" i="5"/>
  <c r="BE62" i="5"/>
  <c r="EU67" i="5"/>
  <c r="F66" i="5"/>
  <c r="E66" i="5"/>
  <c r="D66" i="5"/>
  <c r="C67" i="5"/>
  <c r="B67" i="5"/>
  <c r="FW64" i="5"/>
  <c r="P62" i="5"/>
  <c r="M65" i="5"/>
  <c r="L65" i="5"/>
  <c r="J65" i="5"/>
  <c r="N65" i="5"/>
  <c r="G65" i="5"/>
  <c r="H65" i="5"/>
  <c r="K63" i="5"/>
  <c r="GP64" i="5"/>
  <c r="I64" i="5"/>
  <c r="EP64" i="5"/>
  <c r="BD63" i="5"/>
  <c r="BB63" i="5"/>
  <c r="BC63" i="5"/>
  <c r="EO65" i="5"/>
  <c r="EN65" i="5"/>
  <c r="EM65" i="5"/>
  <c r="EL65" i="5"/>
  <c r="EK65" i="5"/>
  <c r="EJ65" i="5"/>
  <c r="Z64" i="5"/>
  <c r="AA64" i="5"/>
  <c r="H42" i="44"/>
  <c r="AB35" i="44" s="1"/>
  <c r="AI34" i="5"/>
  <c r="I43" i="44"/>
  <c r="AC34" i="44" s="1"/>
  <c r="DK66" i="5"/>
  <c r="DJ66" i="5"/>
  <c r="BZ10" i="5" l="1"/>
  <c r="CD18" i="5" s="1"/>
  <c r="BJ72" i="5"/>
  <c r="FJ39" i="5"/>
  <c r="CD21" i="5"/>
  <c r="CD11" i="5"/>
  <c r="CD20" i="5"/>
  <c r="CD10" i="5"/>
  <c r="CD19" i="5"/>
  <c r="CD12" i="5"/>
  <c r="CD16" i="5"/>
  <c r="CD17" i="5"/>
  <c r="CD13" i="5"/>
  <c r="CD14" i="5"/>
  <c r="CD15" i="5"/>
  <c r="CD22" i="5"/>
  <c r="CD23" i="5"/>
  <c r="CD24" i="5"/>
  <c r="CD25" i="5"/>
  <c r="CD26" i="5"/>
  <c r="CD27" i="5"/>
  <c r="CD28" i="5"/>
  <c r="CD29" i="5"/>
  <c r="CD30" i="5"/>
  <c r="CD31" i="5"/>
  <c r="CD32" i="5"/>
  <c r="CD33" i="5"/>
  <c r="CD34" i="5"/>
  <c r="CD35" i="5"/>
  <c r="BY36" i="5"/>
  <c r="CC36" i="5" s="1"/>
  <c r="O65" i="5"/>
  <c r="AA29" i="14"/>
  <c r="AA27" i="14"/>
  <c r="AA28" i="14"/>
  <c r="AA30" i="14"/>
  <c r="HN64" i="5"/>
  <c r="O38" i="44"/>
  <c r="GJ67" i="5"/>
  <c r="GM67" i="5"/>
  <c r="BT36" i="5"/>
  <c r="BU36" i="5"/>
  <c r="BR36" i="5"/>
  <c r="BQ36" i="5"/>
  <c r="AB37" i="5"/>
  <c r="GQ36" i="5"/>
  <c r="GV36" i="5" s="1"/>
  <c r="DY35" i="5"/>
  <c r="DZ35" i="5" s="1"/>
  <c r="DN37" i="5"/>
  <c r="FB37" i="5" s="1"/>
  <c r="EY37" i="5"/>
  <c r="EZ37" i="5" s="1"/>
  <c r="DO37" i="5"/>
  <c r="FE37" i="5" s="1"/>
  <c r="FA37" i="5"/>
  <c r="AN34" i="5"/>
  <c r="AO34" i="5" s="1"/>
  <c r="EF37" i="5"/>
  <c r="M66" i="44"/>
  <c r="AH11" i="44" s="1"/>
  <c r="AH10" i="44"/>
  <c r="Z29" i="50"/>
  <c r="Z30" i="50"/>
  <c r="Z31" i="50"/>
  <c r="Z28" i="50"/>
  <c r="Z32" i="50"/>
  <c r="Z33" i="50"/>
  <c r="Z34" i="50"/>
  <c r="Z35" i="50"/>
  <c r="Z36" i="50"/>
  <c r="Z37" i="50"/>
  <c r="Z38" i="50"/>
  <c r="Z39" i="50"/>
  <c r="Z40" i="50"/>
  <c r="Z41" i="50"/>
  <c r="Z42" i="50"/>
  <c r="Z43" i="50"/>
  <c r="Z44" i="50"/>
  <c r="Z45" i="50"/>
  <c r="Z46" i="50"/>
  <c r="Z47" i="50"/>
  <c r="Z48" i="50"/>
  <c r="Z49" i="50"/>
  <c r="Z50" i="50"/>
  <c r="Z51" i="50"/>
  <c r="Z52" i="50"/>
  <c r="Z53" i="50"/>
  <c r="Z54" i="50"/>
  <c r="Z55" i="50"/>
  <c r="Z56" i="50"/>
  <c r="Z57" i="50"/>
  <c r="Z58" i="50"/>
  <c r="Z59" i="50"/>
  <c r="Z60" i="50"/>
  <c r="Z61" i="50"/>
  <c r="Z62" i="50"/>
  <c r="Z63" i="50"/>
  <c r="Z64" i="50"/>
  <c r="Z65" i="50"/>
  <c r="Z66" i="50"/>
  <c r="Z67" i="50"/>
  <c r="Z68" i="50"/>
  <c r="Z69" i="50"/>
  <c r="Z70" i="50"/>
  <c r="Z71" i="50"/>
  <c r="Z72" i="50"/>
  <c r="Z73" i="50"/>
  <c r="Z74" i="50"/>
  <c r="Z75" i="50"/>
  <c r="Z76" i="50"/>
  <c r="Z77" i="50"/>
  <c r="Z78" i="50"/>
  <c r="Z79" i="50"/>
  <c r="Z80" i="50"/>
  <c r="Z81" i="50"/>
  <c r="Z82" i="50"/>
  <c r="Z83" i="50"/>
  <c r="Z84" i="50"/>
  <c r="Z85" i="50"/>
  <c r="Z86" i="50"/>
  <c r="Z87" i="50"/>
  <c r="EG37" i="5"/>
  <c r="HC18" i="5"/>
  <c r="HC15" i="5"/>
  <c r="HC16" i="5"/>
  <c r="HC13" i="5"/>
  <c r="HC10" i="5"/>
  <c r="FG36" i="5"/>
  <c r="FS36" i="5" s="1"/>
  <c r="FD36" i="5"/>
  <c r="EU13" i="5"/>
  <c r="HB65" i="5"/>
  <c r="EU16" i="5"/>
  <c r="EU19" i="5"/>
  <c r="EU10" i="5"/>
  <c r="AH39" i="44"/>
  <c r="EU15" i="5"/>
  <c r="FK38" i="5"/>
  <c r="HE38" i="5" s="1"/>
  <c r="HS38" i="5" s="1"/>
  <c r="BS39" i="5"/>
  <c r="GS39" i="5"/>
  <c r="FF39" i="5"/>
  <c r="FE39" i="5"/>
  <c r="DU35" i="5"/>
  <c r="FC39" i="5"/>
  <c r="FB39" i="5"/>
  <c r="BP40" i="5"/>
  <c r="AT40" i="5"/>
  <c r="AV40" i="5"/>
  <c r="AU40" i="5"/>
  <c r="BW39" i="5"/>
  <c r="M37" i="44" s="1"/>
  <c r="AH40" i="44" s="1"/>
  <c r="BV39" i="5"/>
  <c r="CH39" i="5" s="1"/>
  <c r="P86" i="50"/>
  <c r="I87" i="50"/>
  <c r="K87" i="50" s="1"/>
  <c r="O87" i="50" s="1"/>
  <c r="P87" i="50" s="1"/>
  <c r="R85" i="50"/>
  <c r="T85" i="50" s="1"/>
  <c r="R86" i="50"/>
  <c r="T86" i="50" s="1"/>
  <c r="BE63" i="5"/>
  <c r="P63" i="5"/>
  <c r="K64" i="5"/>
  <c r="GP65" i="5"/>
  <c r="I65" i="5"/>
  <c r="L66" i="5"/>
  <c r="J66" i="5"/>
  <c r="M66" i="5"/>
  <c r="N66" i="5"/>
  <c r="H66" i="5"/>
  <c r="G66" i="5"/>
  <c r="FW65" i="5"/>
  <c r="E67" i="5"/>
  <c r="F67" i="5"/>
  <c r="D67" i="5"/>
  <c r="EP65" i="5"/>
  <c r="EO66" i="5"/>
  <c r="EM66" i="5"/>
  <c r="EN66" i="5"/>
  <c r="EJ66" i="5"/>
  <c r="EK66" i="5"/>
  <c r="EL66" i="5"/>
  <c r="BB64" i="5"/>
  <c r="BD64" i="5"/>
  <c r="BC64" i="5"/>
  <c r="Z65" i="5"/>
  <c r="AA65" i="5"/>
  <c r="AJ34" i="5"/>
  <c r="DK67" i="5"/>
  <c r="DJ67" i="5"/>
  <c r="BY40" i="5" l="1"/>
  <c r="O66" i="5"/>
  <c r="HN65" i="5"/>
  <c r="FC37" i="5"/>
  <c r="FD37" i="5" s="1"/>
  <c r="AC37" i="5"/>
  <c r="E39" i="44"/>
  <c r="W38" i="44" s="1"/>
  <c r="BN37" i="5"/>
  <c r="BO37" i="5" s="1"/>
  <c r="AV37" i="5"/>
  <c r="AU37" i="5"/>
  <c r="BP37" i="5"/>
  <c r="AD37" i="5"/>
  <c r="AT37" i="5"/>
  <c r="AH37" i="5"/>
  <c r="BW36" i="5"/>
  <c r="BS36" i="5"/>
  <c r="BV36" i="5"/>
  <c r="DL38" i="5"/>
  <c r="DO38" i="5" s="1"/>
  <c r="FF37" i="5"/>
  <c r="FG37" i="5" s="1"/>
  <c r="FS37" i="5" s="1"/>
  <c r="HH19" i="5"/>
  <c r="HH16" i="5"/>
  <c r="HH18" i="5"/>
  <c r="HH15" i="5"/>
  <c r="HH10" i="5"/>
  <c r="HH11" i="5"/>
  <c r="HH12" i="5"/>
  <c r="HH13" i="5"/>
  <c r="HH20" i="5"/>
  <c r="HH14" i="5"/>
  <c r="HH17" i="5"/>
  <c r="HH21" i="5"/>
  <c r="HH22" i="5"/>
  <c r="HH23" i="5"/>
  <c r="HH24" i="5"/>
  <c r="HH25" i="5"/>
  <c r="HH26" i="5"/>
  <c r="HH27" i="5"/>
  <c r="HH28" i="5"/>
  <c r="HH29" i="5"/>
  <c r="HH30" i="5"/>
  <c r="HH31" i="5"/>
  <c r="HH32" i="5"/>
  <c r="HH33" i="5"/>
  <c r="HH34" i="5"/>
  <c r="HH35" i="5"/>
  <c r="AH26" i="44"/>
  <c r="AH34" i="44"/>
  <c r="AH21" i="44"/>
  <c r="AH31" i="44"/>
  <c r="AH30" i="44"/>
  <c r="AH29" i="44"/>
  <c r="AH32" i="44"/>
  <c r="AH15" i="44"/>
  <c r="AH20" i="44"/>
  <c r="AH18" i="44"/>
  <c r="AH16" i="44"/>
  <c r="AH13" i="44"/>
  <c r="AH23" i="44"/>
  <c r="AH14" i="44"/>
  <c r="AH12" i="44"/>
  <c r="AH28" i="44"/>
  <c r="AH25" i="44"/>
  <c r="AH22" i="44"/>
  <c r="AH27" i="44"/>
  <c r="AH35" i="44"/>
  <c r="AH36" i="44"/>
  <c r="AH19" i="44"/>
  <c r="AH33" i="44"/>
  <c r="AH24" i="44"/>
  <c r="AH17" i="44"/>
  <c r="L41" i="44"/>
  <c r="AF36" i="44" s="1"/>
  <c r="BZ39" i="5"/>
  <c r="HC39" i="5" s="1"/>
  <c r="HR39" i="5" s="1"/>
  <c r="HB66" i="5"/>
  <c r="AJ39" i="44"/>
  <c r="AK39" i="44" s="1"/>
  <c r="FG39" i="5"/>
  <c r="FS39" i="5" s="1"/>
  <c r="K40" i="44"/>
  <c r="AE37" i="44" s="1"/>
  <c r="DT36" i="5"/>
  <c r="FD39" i="5"/>
  <c r="FH39" i="5"/>
  <c r="FA40" i="5"/>
  <c r="EE40" i="5"/>
  <c r="EG40" i="5"/>
  <c r="EF40" i="5"/>
  <c r="BQ40" i="5"/>
  <c r="BR40" i="5"/>
  <c r="BT40" i="5"/>
  <c r="BU40" i="5"/>
  <c r="GQ40" i="5"/>
  <c r="Q87" i="50"/>
  <c r="R87" i="50" s="1"/>
  <c r="T87" i="50" s="1"/>
  <c r="B9" i="50" s="1"/>
  <c r="K65" i="5"/>
  <c r="M67" i="5"/>
  <c r="L67" i="5"/>
  <c r="J67" i="5"/>
  <c r="N67" i="5"/>
  <c r="H67" i="5"/>
  <c r="G67" i="5"/>
  <c r="C20" i="14"/>
  <c r="FW66" i="5"/>
  <c r="P64" i="5"/>
  <c r="GP66" i="5"/>
  <c r="I66" i="5"/>
  <c r="BE64" i="5"/>
  <c r="EP66" i="5"/>
  <c r="EM67" i="5"/>
  <c r="EO67" i="5"/>
  <c r="EN67" i="5"/>
  <c r="EL67" i="5"/>
  <c r="EK67" i="5"/>
  <c r="EJ67" i="5"/>
  <c r="BB65" i="5"/>
  <c r="BC65" i="5"/>
  <c r="BD65" i="5"/>
  <c r="I42" i="44"/>
  <c r="AC35" i="44" s="1"/>
  <c r="H41" i="44"/>
  <c r="AB36" i="44" s="1"/>
  <c r="AI35" i="5"/>
  <c r="Z66" i="5"/>
  <c r="AA66" i="5"/>
  <c r="C39" i="44" l="1"/>
  <c r="G38" i="44" s="1"/>
  <c r="DN38" i="5"/>
  <c r="AB38" i="5"/>
  <c r="BY37" i="5"/>
  <c r="CC37" i="5" s="1"/>
  <c r="AC29" i="14" s="1"/>
  <c r="FJ40" i="5"/>
  <c r="O67" i="5"/>
  <c r="HN66" i="5"/>
  <c r="O37" i="44"/>
  <c r="AJ40" i="44" s="1"/>
  <c r="AK40" i="44" s="1"/>
  <c r="DS38" i="5"/>
  <c r="E38" i="44"/>
  <c r="W39" i="44" s="1"/>
  <c r="AH38" i="5"/>
  <c r="AD38" i="5"/>
  <c r="AC38" i="5"/>
  <c r="GQ37" i="5"/>
  <c r="GV37" i="5" s="1"/>
  <c r="BT37" i="5"/>
  <c r="BU37" i="5"/>
  <c r="M40" i="44"/>
  <c r="AH37" i="44" s="1"/>
  <c r="CH36" i="5"/>
  <c r="BZ36" i="5"/>
  <c r="BR37" i="5"/>
  <c r="BQ37" i="5"/>
  <c r="DY36" i="5"/>
  <c r="DZ36" i="5" s="1"/>
  <c r="AN35" i="5"/>
  <c r="AO35" i="5" s="1"/>
  <c r="EV11" i="5"/>
  <c r="EV9" i="5"/>
  <c r="EV10" i="5"/>
  <c r="EW8" i="5"/>
  <c r="U28" i="50"/>
  <c r="AA28" i="50" s="1"/>
  <c r="CL8" i="5" s="1"/>
  <c r="CN8" i="5" s="1"/>
  <c r="U30" i="50"/>
  <c r="AA30" i="50" s="1"/>
  <c r="CL10" i="5" s="1"/>
  <c r="CN10" i="5" s="1"/>
  <c r="U29" i="50"/>
  <c r="AA29" i="50" s="1"/>
  <c r="CL9" i="5" s="1"/>
  <c r="CN9" i="5" s="1"/>
  <c r="U31" i="50"/>
  <c r="AA31" i="50" s="1"/>
  <c r="CL11" i="5" s="1"/>
  <c r="CN11" i="5" s="1"/>
  <c r="CX11" i="5" s="1"/>
  <c r="N65" i="44" s="1"/>
  <c r="EV12" i="5"/>
  <c r="U32" i="50"/>
  <c r="AA32" i="50" s="1"/>
  <c r="CL12" i="5" s="1"/>
  <c r="CN12" i="5" s="1"/>
  <c r="U33" i="50"/>
  <c r="AA33" i="50" s="1"/>
  <c r="CL13" i="5" s="1"/>
  <c r="CN13" i="5" s="1"/>
  <c r="EV13" i="5"/>
  <c r="EV14" i="5"/>
  <c r="U34" i="50"/>
  <c r="AA34" i="50" s="1"/>
  <c r="CL14" i="5" s="1"/>
  <c r="CN14" i="5" s="1"/>
  <c r="U35" i="50"/>
  <c r="AA35" i="50" s="1"/>
  <c r="CL15" i="5" s="1"/>
  <c r="CN15" i="5" s="1"/>
  <c r="CX15" i="5" s="1"/>
  <c r="N61" i="44" s="1"/>
  <c r="EV15" i="5"/>
  <c r="EV16" i="5"/>
  <c r="U36" i="50"/>
  <c r="AA36" i="50" s="1"/>
  <c r="CL16" i="5" s="1"/>
  <c r="CN16" i="5" s="1"/>
  <c r="CX16" i="5" s="1"/>
  <c r="N60" i="44" s="1"/>
  <c r="EV17" i="5"/>
  <c r="U37" i="50"/>
  <c r="AA37" i="50" s="1"/>
  <c r="CL17" i="5" s="1"/>
  <c r="CN17" i="5" s="1"/>
  <c r="CX17" i="5" s="1"/>
  <c r="N59" i="44" s="1"/>
  <c r="U38" i="50"/>
  <c r="AA38" i="50" s="1"/>
  <c r="CL18" i="5" s="1"/>
  <c r="CN18" i="5" s="1"/>
  <c r="EV18" i="5"/>
  <c r="U39" i="50"/>
  <c r="AA39" i="50" s="1"/>
  <c r="CL19" i="5" s="1"/>
  <c r="CN19" i="5" s="1"/>
  <c r="EV19" i="5"/>
  <c r="EV20" i="5"/>
  <c r="U40" i="50"/>
  <c r="AA40" i="50" s="1"/>
  <c r="CL20" i="5" s="1"/>
  <c r="CN20" i="5" s="1"/>
  <c r="CX20" i="5" s="1"/>
  <c r="U41" i="50"/>
  <c r="AA41" i="50" s="1"/>
  <c r="CL21" i="5" s="1"/>
  <c r="CN21" i="5" s="1"/>
  <c r="CX21" i="5" s="1"/>
  <c r="EV21" i="5"/>
  <c r="U42" i="50"/>
  <c r="AA42" i="50" s="1"/>
  <c r="CL22" i="5" s="1"/>
  <c r="CN22" i="5" s="1"/>
  <c r="EW22" i="5" s="1"/>
  <c r="EV22" i="5"/>
  <c r="EV23" i="5"/>
  <c r="U43" i="50"/>
  <c r="AA43" i="50" s="1"/>
  <c r="CL23" i="5" s="1"/>
  <c r="CN23" i="5" s="1"/>
  <c r="EW23" i="5" s="1"/>
  <c r="EV24" i="5"/>
  <c r="U44" i="50"/>
  <c r="AA44" i="50" s="1"/>
  <c r="CL24" i="5" s="1"/>
  <c r="CN24" i="5" s="1"/>
  <c r="EW24" i="5" s="1"/>
  <c r="EV25" i="5"/>
  <c r="U45" i="50"/>
  <c r="AA45" i="50" s="1"/>
  <c r="CL25" i="5" s="1"/>
  <c r="CN25" i="5" s="1"/>
  <c r="EW25" i="5" s="1"/>
  <c r="U46" i="50"/>
  <c r="AA46" i="50" s="1"/>
  <c r="CL26" i="5" s="1"/>
  <c r="CN26" i="5" s="1"/>
  <c r="EW26" i="5" s="1"/>
  <c r="EV26" i="5"/>
  <c r="EV27" i="5"/>
  <c r="U47" i="50"/>
  <c r="AA47" i="50" s="1"/>
  <c r="CL27" i="5" s="1"/>
  <c r="CN27" i="5" s="1"/>
  <c r="EW27" i="5" s="1"/>
  <c r="U48" i="50"/>
  <c r="AA48" i="50" s="1"/>
  <c r="CL28" i="5" s="1"/>
  <c r="CN28" i="5" s="1"/>
  <c r="EW28" i="5" s="1"/>
  <c r="EV28" i="5"/>
  <c r="U49" i="50"/>
  <c r="AA49" i="50" s="1"/>
  <c r="CL29" i="5" s="1"/>
  <c r="CN29" i="5" s="1"/>
  <c r="EW29" i="5" s="1"/>
  <c r="EV29" i="5"/>
  <c r="U50" i="50"/>
  <c r="AA50" i="50" s="1"/>
  <c r="CL30" i="5" s="1"/>
  <c r="CN30" i="5" s="1"/>
  <c r="EW30" i="5" s="1"/>
  <c r="EV30" i="5"/>
  <c r="EV31" i="5"/>
  <c r="U51" i="50"/>
  <c r="AA51" i="50" s="1"/>
  <c r="CL31" i="5" s="1"/>
  <c r="CN31" i="5" s="1"/>
  <c r="EW31" i="5" s="1"/>
  <c r="EV32" i="5"/>
  <c r="U52" i="50"/>
  <c r="AA52" i="50" s="1"/>
  <c r="CL32" i="5" s="1"/>
  <c r="CN32" i="5" s="1"/>
  <c r="EW32" i="5" s="1"/>
  <c r="EV33" i="5"/>
  <c r="U53" i="50"/>
  <c r="AA53" i="50" s="1"/>
  <c r="CL33" i="5" s="1"/>
  <c r="CN33" i="5" s="1"/>
  <c r="EW33" i="5" s="1"/>
  <c r="U54" i="50"/>
  <c r="AA54" i="50" s="1"/>
  <c r="CL34" i="5" s="1"/>
  <c r="CN34" i="5" s="1"/>
  <c r="EW34" i="5" s="1"/>
  <c r="EV34" i="5"/>
  <c r="U55" i="50"/>
  <c r="AA55" i="50" s="1"/>
  <c r="CL35" i="5" s="1"/>
  <c r="CN35" i="5" s="1"/>
  <c r="EW35" i="5" s="1"/>
  <c r="EV35" i="5"/>
  <c r="U56" i="50"/>
  <c r="AA56" i="50" s="1"/>
  <c r="CL36" i="5" s="1"/>
  <c r="CN36" i="5" s="1"/>
  <c r="EW36" i="5" s="1"/>
  <c r="EV36" i="5"/>
  <c r="U57" i="50"/>
  <c r="AA57" i="50" s="1"/>
  <c r="CL37" i="5" s="1"/>
  <c r="CN37" i="5" s="1"/>
  <c r="EW37" i="5" s="1"/>
  <c r="EV37" i="5"/>
  <c r="U58" i="50"/>
  <c r="AA58" i="50" s="1"/>
  <c r="CL38" i="5" s="1"/>
  <c r="CN38" i="5" s="1"/>
  <c r="U59" i="50"/>
  <c r="AA59" i="50" s="1"/>
  <c r="CL39" i="5" s="1"/>
  <c r="CN39" i="5" s="1"/>
  <c r="U60" i="50"/>
  <c r="AA60" i="50" s="1"/>
  <c r="CL40" i="5" s="1"/>
  <c r="CN40" i="5" s="1"/>
  <c r="U61" i="50"/>
  <c r="AA61" i="50" s="1"/>
  <c r="CL41" i="5" s="1"/>
  <c r="CN41" i="5" s="1"/>
  <c r="U62" i="50"/>
  <c r="AA62" i="50" s="1"/>
  <c r="CL42" i="5" s="1"/>
  <c r="CN42" i="5" s="1"/>
  <c r="U63" i="50"/>
  <c r="AA63" i="50" s="1"/>
  <c r="CL43" i="5" s="1"/>
  <c r="CN43" i="5" s="1"/>
  <c r="U64" i="50"/>
  <c r="AA64" i="50" s="1"/>
  <c r="CL44" i="5" s="1"/>
  <c r="CN44" i="5" s="1"/>
  <c r="U65" i="50"/>
  <c r="AA65" i="50" s="1"/>
  <c r="CL45" i="5" s="1"/>
  <c r="CN45" i="5" s="1"/>
  <c r="U66" i="50"/>
  <c r="AA66" i="50" s="1"/>
  <c r="CL46" i="5" s="1"/>
  <c r="CN46" i="5" s="1"/>
  <c r="U67" i="50"/>
  <c r="AA67" i="50" s="1"/>
  <c r="CL47" i="5" s="1"/>
  <c r="CN47" i="5" s="1"/>
  <c r="U68" i="50"/>
  <c r="AA68" i="50" s="1"/>
  <c r="CL48" i="5" s="1"/>
  <c r="CN48" i="5" s="1"/>
  <c r="U69" i="50"/>
  <c r="AA69" i="50" s="1"/>
  <c r="CL49" i="5" s="1"/>
  <c r="CN49" i="5" s="1"/>
  <c r="U70" i="50"/>
  <c r="AA70" i="50" s="1"/>
  <c r="CL50" i="5" s="1"/>
  <c r="CN50" i="5" s="1"/>
  <c r="U71" i="50"/>
  <c r="AA71" i="50" s="1"/>
  <c r="CL51" i="5" s="1"/>
  <c r="CN51" i="5" s="1"/>
  <c r="U72" i="50"/>
  <c r="AA72" i="50" s="1"/>
  <c r="CL52" i="5" s="1"/>
  <c r="CN52" i="5" s="1"/>
  <c r="U73" i="50"/>
  <c r="AA73" i="50" s="1"/>
  <c r="CL53" i="5" s="1"/>
  <c r="CN53" i="5" s="1"/>
  <c r="U74" i="50"/>
  <c r="AA74" i="50" s="1"/>
  <c r="CL54" i="5" s="1"/>
  <c r="CN54" i="5" s="1"/>
  <c r="U75" i="50"/>
  <c r="AA75" i="50" s="1"/>
  <c r="CL55" i="5" s="1"/>
  <c r="CN55" i="5" s="1"/>
  <c r="U76" i="50"/>
  <c r="AA76" i="50" s="1"/>
  <c r="CL56" i="5" s="1"/>
  <c r="CN56" i="5" s="1"/>
  <c r="U77" i="50"/>
  <c r="AA77" i="50" s="1"/>
  <c r="CL57" i="5" s="1"/>
  <c r="CN57" i="5" s="1"/>
  <c r="U78" i="50"/>
  <c r="AA78" i="50" s="1"/>
  <c r="CL58" i="5" s="1"/>
  <c r="CN58" i="5" s="1"/>
  <c r="U79" i="50"/>
  <c r="AA79" i="50" s="1"/>
  <c r="CL59" i="5" s="1"/>
  <c r="CN59" i="5" s="1"/>
  <c r="U80" i="50"/>
  <c r="AA80" i="50" s="1"/>
  <c r="CL60" i="5" s="1"/>
  <c r="CN60" i="5" s="1"/>
  <c r="U81" i="50"/>
  <c r="AA81" i="50" s="1"/>
  <c r="CL61" i="5" s="1"/>
  <c r="CN61" i="5" s="1"/>
  <c r="U82" i="50"/>
  <c r="AA82" i="50" s="1"/>
  <c r="CL62" i="5" s="1"/>
  <c r="CN62" i="5" s="1"/>
  <c r="U83" i="50"/>
  <c r="AA83" i="50" s="1"/>
  <c r="CL63" i="5" s="1"/>
  <c r="CN63" i="5" s="1"/>
  <c r="U84" i="50"/>
  <c r="AA84" i="50" s="1"/>
  <c r="CL64" i="5" s="1"/>
  <c r="CN64" i="5" s="1"/>
  <c r="U85" i="50"/>
  <c r="AA85" i="50" s="1"/>
  <c r="CL65" i="5" s="1"/>
  <c r="CN65" i="5" s="1"/>
  <c r="U86" i="50"/>
  <c r="AA86" i="50" s="1"/>
  <c r="CL66" i="5" s="1"/>
  <c r="CN66" i="5" s="1"/>
  <c r="U87" i="50"/>
  <c r="AA87" i="50" s="1"/>
  <c r="CL67" i="5" s="1"/>
  <c r="CN67" i="5" s="1"/>
  <c r="DL39" i="5"/>
  <c r="HB67" i="5"/>
  <c r="FK39" i="5"/>
  <c r="HE39" i="5" s="1"/>
  <c r="HS39" i="5" s="1"/>
  <c r="BV40" i="5"/>
  <c r="CH40" i="5" s="1"/>
  <c r="EG41" i="5"/>
  <c r="EF41" i="5"/>
  <c r="FA41" i="5"/>
  <c r="EE41" i="5"/>
  <c r="FE40" i="5"/>
  <c r="FF40" i="5"/>
  <c r="FC40" i="5"/>
  <c r="FB40" i="5"/>
  <c r="DU36" i="5"/>
  <c r="GS40" i="5"/>
  <c r="BP41" i="5"/>
  <c r="AT41" i="5"/>
  <c r="AU41" i="5"/>
  <c r="AV41" i="5"/>
  <c r="BW40" i="5"/>
  <c r="M36" i="44" s="1"/>
  <c r="AH41" i="44" s="1"/>
  <c r="BS40" i="5"/>
  <c r="C3" i="55"/>
  <c r="K66" i="5"/>
  <c r="AA36" i="14"/>
  <c r="AA41" i="14" s="1"/>
  <c r="GP67" i="5"/>
  <c r="AA35" i="14" s="1"/>
  <c r="AA40" i="14" s="1"/>
  <c r="I67" i="5"/>
  <c r="FW67" i="5"/>
  <c r="P65" i="5"/>
  <c r="EP67" i="5"/>
  <c r="BE65" i="5"/>
  <c r="BB66" i="5"/>
  <c r="BD66" i="5"/>
  <c r="BC66" i="5"/>
  <c r="Z67" i="5"/>
  <c r="AA67" i="5"/>
  <c r="AJ35" i="5"/>
  <c r="CO8" i="5" l="1"/>
  <c r="EW15" i="5"/>
  <c r="EW21" i="5"/>
  <c r="EX21" i="5" s="1"/>
  <c r="FK21" i="5" s="1"/>
  <c r="HE21" i="5" s="1"/>
  <c r="CO14" i="5"/>
  <c r="J62" i="44" s="1"/>
  <c r="FJ41" i="5"/>
  <c r="HC36" i="5"/>
  <c r="HH36" i="5" s="1"/>
  <c r="CD36" i="5"/>
  <c r="BY41" i="5"/>
  <c r="HN67" i="5"/>
  <c r="CR8" i="5"/>
  <c r="GR8" i="5" s="1"/>
  <c r="CX8" i="5"/>
  <c r="N68" i="44" s="1"/>
  <c r="AI9" i="44" s="1"/>
  <c r="EW14" i="5"/>
  <c r="FH14" i="5" s="1"/>
  <c r="O62" i="44" s="1"/>
  <c r="CX14" i="5"/>
  <c r="N62" i="44" s="1"/>
  <c r="BV37" i="5"/>
  <c r="CH37" i="5" s="1"/>
  <c r="EW19" i="5"/>
  <c r="FH19" i="5" s="1"/>
  <c r="O57" i="44" s="1"/>
  <c r="CX19" i="5"/>
  <c r="N57" i="44" s="1"/>
  <c r="EW10" i="5"/>
  <c r="FH10" i="5" s="1"/>
  <c r="O66" i="44" s="1"/>
  <c r="CX10" i="5"/>
  <c r="N66" i="44" s="1"/>
  <c r="EW13" i="5"/>
  <c r="FH13" i="5" s="1"/>
  <c r="O63" i="44" s="1"/>
  <c r="CX13" i="5"/>
  <c r="N63" i="44" s="1"/>
  <c r="BQ38" i="5"/>
  <c r="AB39" i="5"/>
  <c r="EW18" i="5"/>
  <c r="FH18" i="5" s="1"/>
  <c r="O58" i="44" s="1"/>
  <c r="CX18" i="5"/>
  <c r="EW12" i="5"/>
  <c r="FH12" i="5" s="1"/>
  <c r="O64" i="44" s="1"/>
  <c r="CX12" i="5"/>
  <c r="N64" i="44" s="1"/>
  <c r="EW9" i="5"/>
  <c r="EX9" i="5" s="1"/>
  <c r="FK9" i="5" s="1"/>
  <c r="HE9" i="5" s="1"/>
  <c r="CX9" i="5"/>
  <c r="N67" i="44" s="1"/>
  <c r="BS37" i="5"/>
  <c r="BW37" i="5"/>
  <c r="CP53" i="5"/>
  <c r="CO10" i="5"/>
  <c r="CP10" i="5"/>
  <c r="DO39" i="5"/>
  <c r="DS39" i="5"/>
  <c r="CO65" i="5"/>
  <c r="J11" i="44" s="1"/>
  <c r="CP25" i="5"/>
  <c r="CO25" i="5"/>
  <c r="J51" i="44" s="1"/>
  <c r="CP65" i="5"/>
  <c r="CO41" i="5"/>
  <c r="J35" i="44" s="1"/>
  <c r="CO57" i="5"/>
  <c r="J19" i="44" s="1"/>
  <c r="CP28" i="5"/>
  <c r="CO34" i="5"/>
  <c r="J42" i="44" s="1"/>
  <c r="CP13" i="5"/>
  <c r="CO37" i="5"/>
  <c r="J39" i="44" s="1"/>
  <c r="CO13" i="5"/>
  <c r="CP49" i="5"/>
  <c r="CP30" i="5"/>
  <c r="CP22" i="5"/>
  <c r="CP15" i="5"/>
  <c r="CP45" i="5"/>
  <c r="CO9" i="5"/>
  <c r="J67" i="44" s="1"/>
  <c r="CO15" i="5"/>
  <c r="J61" i="44" s="1"/>
  <c r="CP38" i="5"/>
  <c r="L40" i="44"/>
  <c r="AF37" i="44" s="1"/>
  <c r="CP55" i="5"/>
  <c r="CP42" i="5"/>
  <c r="CO35" i="5"/>
  <c r="J41" i="44" s="1"/>
  <c r="CP8" i="5"/>
  <c r="CP40" i="5"/>
  <c r="CO31" i="5"/>
  <c r="J45" i="44" s="1"/>
  <c r="CO59" i="5"/>
  <c r="J17" i="44" s="1"/>
  <c r="CO11" i="5"/>
  <c r="J65" i="44" s="1"/>
  <c r="CP27" i="5"/>
  <c r="CO67" i="5"/>
  <c r="J9" i="44" s="1"/>
  <c r="CP21" i="5"/>
  <c r="CP63" i="5"/>
  <c r="CP11" i="5"/>
  <c r="CO27" i="5"/>
  <c r="J49" i="44" s="1"/>
  <c r="CP47" i="5"/>
  <c r="CO47" i="5"/>
  <c r="J29" i="44" s="1"/>
  <c r="FH24" i="5"/>
  <c r="O52" i="44" s="1"/>
  <c r="EX26" i="5"/>
  <c r="FK26" i="5" s="1"/>
  <c r="HE26" i="5" s="1"/>
  <c r="CP12" i="5"/>
  <c r="CP29" i="5"/>
  <c r="CP24" i="5"/>
  <c r="CP9" i="5"/>
  <c r="CP16" i="5"/>
  <c r="CP17" i="5"/>
  <c r="CO24" i="5"/>
  <c r="CO33" i="5"/>
  <c r="J43" i="44" s="1"/>
  <c r="CO40" i="5"/>
  <c r="J36" i="44" s="1"/>
  <c r="CP34" i="5"/>
  <c r="CP37" i="5"/>
  <c r="CO30" i="5"/>
  <c r="CO12" i="5"/>
  <c r="CO19" i="5"/>
  <c r="J57" i="44" s="1"/>
  <c r="CO29" i="5"/>
  <c r="J47" i="44" s="1"/>
  <c r="CP19" i="5"/>
  <c r="CO17" i="5"/>
  <c r="J59" i="44" s="1"/>
  <c r="CP26" i="5"/>
  <c r="CO38" i="5"/>
  <c r="J38" i="44" s="1"/>
  <c r="CO26" i="5"/>
  <c r="J50" i="44" s="1"/>
  <c r="CP44" i="5"/>
  <c r="CO54" i="5"/>
  <c r="J22" i="44" s="1"/>
  <c r="CP23" i="5"/>
  <c r="CO16" i="5"/>
  <c r="J60" i="44" s="1"/>
  <c r="CO23" i="5"/>
  <c r="J53" i="44" s="1"/>
  <c r="EX27" i="5"/>
  <c r="FK27" i="5" s="1"/>
  <c r="HE27" i="5" s="1"/>
  <c r="CO22" i="5"/>
  <c r="J54" i="44" s="1"/>
  <c r="CO21" i="5"/>
  <c r="EX34" i="5"/>
  <c r="FK34" i="5" s="1"/>
  <c r="HE34" i="5" s="1"/>
  <c r="CP41" i="5"/>
  <c r="CO60" i="5"/>
  <c r="J16" i="44" s="1"/>
  <c r="CO43" i="5"/>
  <c r="J33" i="44" s="1"/>
  <c r="CP31" i="5"/>
  <c r="CP43" i="5"/>
  <c r="CP14" i="5"/>
  <c r="CP18" i="5"/>
  <c r="EX28" i="5"/>
  <c r="FK28" i="5" s="1"/>
  <c r="HE28" i="5" s="1"/>
  <c r="EX30" i="5"/>
  <c r="FK30" i="5" s="1"/>
  <c r="HE30" i="5" s="1"/>
  <c r="CO64" i="5"/>
  <c r="J12" i="44" s="1"/>
  <c r="CP36" i="5"/>
  <c r="CO36" i="5"/>
  <c r="CO50" i="5"/>
  <c r="J26" i="44" s="1"/>
  <c r="CP54" i="5"/>
  <c r="CP56" i="5"/>
  <c r="CP20" i="5"/>
  <c r="CO20" i="5"/>
  <c r="FH33" i="5"/>
  <c r="O43" i="44" s="1"/>
  <c r="CP64" i="5"/>
  <c r="CO66" i="5"/>
  <c r="J10" i="44" s="1"/>
  <c r="CO28" i="5"/>
  <c r="J48" i="44" s="1"/>
  <c r="CP35" i="5"/>
  <c r="CO46" i="5"/>
  <c r="J30" i="44" s="1"/>
  <c r="CP60" i="5"/>
  <c r="CP58" i="5"/>
  <c r="CP46" i="5"/>
  <c r="CO18" i="5"/>
  <c r="J58" i="44" s="1"/>
  <c r="EX37" i="5"/>
  <c r="FK37" i="5" s="1"/>
  <c r="FH36" i="5"/>
  <c r="O40" i="44" s="1"/>
  <c r="EX33" i="5"/>
  <c r="FK33" i="5" s="1"/>
  <c r="HE33" i="5" s="1"/>
  <c r="FH32" i="5"/>
  <c r="O44" i="44" s="1"/>
  <c r="CO58" i="5"/>
  <c r="J18" i="44" s="1"/>
  <c r="CO63" i="5"/>
  <c r="J13" i="44" s="1"/>
  <c r="CP61" i="5"/>
  <c r="FH35" i="5"/>
  <c r="O41" i="44" s="1"/>
  <c r="FH31" i="5"/>
  <c r="O45" i="44" s="1"/>
  <c r="FH26" i="5"/>
  <c r="O50" i="44" s="1"/>
  <c r="EX25" i="5"/>
  <c r="FK25" i="5" s="1"/>
  <c r="HE25" i="5" s="1"/>
  <c r="EX15" i="5"/>
  <c r="FK15" i="5" s="1"/>
  <c r="HE15" i="5" s="1"/>
  <c r="CP66" i="5"/>
  <c r="CO44" i="5"/>
  <c r="J32" i="44" s="1"/>
  <c r="CP51" i="5"/>
  <c r="EX35" i="5"/>
  <c r="FK35" i="5" s="1"/>
  <c r="HE35" i="5" s="1"/>
  <c r="FH34" i="5"/>
  <c r="O42" i="44" s="1"/>
  <c r="EX31" i="5"/>
  <c r="FK31" i="5" s="1"/>
  <c r="HE31" i="5" s="1"/>
  <c r="EX29" i="5"/>
  <c r="FK29" i="5" s="1"/>
  <c r="HE29" i="5" s="1"/>
  <c r="FH28" i="5"/>
  <c r="O48" i="44" s="1"/>
  <c r="FH27" i="5"/>
  <c r="O49" i="44" s="1"/>
  <c r="EX23" i="5"/>
  <c r="FK23" i="5" s="1"/>
  <c r="HE23" i="5" s="1"/>
  <c r="EX22" i="5"/>
  <c r="FK22" i="5" s="1"/>
  <c r="HE22" i="5" s="1"/>
  <c r="CW65" i="5"/>
  <c r="B66" i="44"/>
  <c r="F11" i="44" s="1"/>
  <c r="CR65" i="5"/>
  <c r="GR65" i="5" s="1"/>
  <c r="CX65" i="5"/>
  <c r="N11" i="44" s="1"/>
  <c r="CT65" i="5"/>
  <c r="CV65" i="5"/>
  <c r="CW61" i="5"/>
  <c r="CX61" i="5"/>
  <c r="N15" i="44" s="1"/>
  <c r="CT61" i="5"/>
  <c r="CV61" i="5"/>
  <c r="CR61" i="5"/>
  <c r="GR61" i="5" s="1"/>
  <c r="B62" i="44"/>
  <c r="F15" i="44" s="1"/>
  <c r="B60" i="44"/>
  <c r="F17" i="44" s="1"/>
  <c r="CW59" i="5"/>
  <c r="CT59" i="5"/>
  <c r="CX59" i="5"/>
  <c r="N17" i="44" s="1"/>
  <c r="CR59" i="5"/>
  <c r="GR59" i="5" s="1"/>
  <c r="CV59" i="5"/>
  <c r="CW55" i="5"/>
  <c r="CT55" i="5"/>
  <c r="CX55" i="5"/>
  <c r="N21" i="44" s="1"/>
  <c r="CV55" i="5"/>
  <c r="CR55" i="5"/>
  <c r="GR55" i="5" s="1"/>
  <c r="B56" i="44"/>
  <c r="F21" i="44" s="1"/>
  <c r="CW53" i="5"/>
  <c r="CX53" i="5"/>
  <c r="N23" i="44" s="1"/>
  <c r="CV53" i="5"/>
  <c r="CT53" i="5"/>
  <c r="CR53" i="5"/>
  <c r="GR53" i="5" s="1"/>
  <c r="B54" i="44"/>
  <c r="F23" i="44" s="1"/>
  <c r="CW51" i="5"/>
  <c r="CX51" i="5"/>
  <c r="N25" i="44" s="1"/>
  <c r="CV51" i="5"/>
  <c r="CT51" i="5"/>
  <c r="B52" i="44"/>
  <c r="F25" i="44" s="1"/>
  <c r="CR51" i="5"/>
  <c r="GR51" i="5" s="1"/>
  <c r="CT49" i="5"/>
  <c r="CV49" i="5"/>
  <c r="CX49" i="5"/>
  <c r="N27" i="44" s="1"/>
  <c r="CR49" i="5"/>
  <c r="GR49" i="5" s="1"/>
  <c r="CW49" i="5"/>
  <c r="B50" i="44"/>
  <c r="F27" i="44" s="1"/>
  <c r="CR45" i="5"/>
  <c r="GR45" i="5" s="1"/>
  <c r="CX45" i="5"/>
  <c r="N31" i="44" s="1"/>
  <c r="CV45" i="5"/>
  <c r="CT45" i="5"/>
  <c r="CW45" i="5"/>
  <c r="B46" i="44"/>
  <c r="F31" i="44" s="1"/>
  <c r="CT39" i="5"/>
  <c r="CW39" i="5"/>
  <c r="CR39" i="5"/>
  <c r="GR39" i="5" s="1"/>
  <c r="GT39" i="5" s="1"/>
  <c r="CX39" i="5"/>
  <c r="N37" i="44" s="1"/>
  <c r="CV39" i="5"/>
  <c r="B40" i="44"/>
  <c r="F37" i="44" s="1"/>
  <c r="CO53" i="5"/>
  <c r="J23" i="44" s="1"/>
  <c r="CO55" i="5"/>
  <c r="J21" i="44" s="1"/>
  <c r="CP50" i="5"/>
  <c r="CO48" i="5"/>
  <c r="J28" i="44" s="1"/>
  <c r="CO62" i="5"/>
  <c r="J14" i="44" s="1"/>
  <c r="CP33" i="5"/>
  <c r="CO45" i="5"/>
  <c r="J31" i="44" s="1"/>
  <c r="CO56" i="5"/>
  <c r="J20" i="44" s="1"/>
  <c r="CO61" i="5"/>
  <c r="J15" i="44" s="1"/>
  <c r="CO49" i="5"/>
  <c r="J27" i="44" s="1"/>
  <c r="CP59" i="5"/>
  <c r="CW66" i="5"/>
  <c r="CR66" i="5"/>
  <c r="GR66" i="5" s="1"/>
  <c r="CV66" i="5"/>
  <c r="CX66" i="5"/>
  <c r="N10" i="44" s="1"/>
  <c r="AI67" i="44" s="1"/>
  <c r="B67" i="44"/>
  <c r="F10" i="44" s="1"/>
  <c r="CT66" i="5"/>
  <c r="CW64" i="5"/>
  <c r="B65" i="44"/>
  <c r="F12" i="44" s="1"/>
  <c r="CV64" i="5"/>
  <c r="CR64" i="5"/>
  <c r="GR64" i="5" s="1"/>
  <c r="CX64" i="5"/>
  <c r="N12" i="44" s="1"/>
  <c r="CT64" i="5"/>
  <c r="CT58" i="5"/>
  <c r="CV58" i="5"/>
  <c r="CR58" i="5"/>
  <c r="GR58" i="5" s="1"/>
  <c r="CX58" i="5"/>
  <c r="N18" i="44" s="1"/>
  <c r="CW58" i="5"/>
  <c r="B59" i="44"/>
  <c r="F18" i="44" s="1"/>
  <c r="CV54" i="5"/>
  <c r="CT54" i="5"/>
  <c r="CX54" i="5"/>
  <c r="N22" i="44" s="1"/>
  <c r="CR54" i="5"/>
  <c r="GR54" i="5" s="1"/>
  <c r="CW54" i="5"/>
  <c r="B55" i="44"/>
  <c r="F22" i="44" s="1"/>
  <c r="CW46" i="5"/>
  <c r="CR46" i="5"/>
  <c r="GR46" i="5" s="1"/>
  <c r="CX46" i="5"/>
  <c r="N30" i="44" s="1"/>
  <c r="CV46" i="5"/>
  <c r="CT46" i="5"/>
  <c r="B47" i="44"/>
  <c r="F30" i="44" s="1"/>
  <c r="CW44" i="5"/>
  <c r="CT44" i="5"/>
  <c r="CR44" i="5"/>
  <c r="GR44" i="5" s="1"/>
  <c r="CV44" i="5"/>
  <c r="CX44" i="5"/>
  <c r="N32" i="44" s="1"/>
  <c r="B45" i="44"/>
  <c r="F32" i="44" s="1"/>
  <c r="FH37" i="5"/>
  <c r="O39" i="44" s="1"/>
  <c r="FH29" i="5"/>
  <c r="O47" i="44" s="1"/>
  <c r="CV28" i="5"/>
  <c r="CR28" i="5"/>
  <c r="GR28" i="5" s="1"/>
  <c r="CT28" i="5"/>
  <c r="CW28" i="5"/>
  <c r="CX28" i="5"/>
  <c r="N48" i="44" s="1"/>
  <c r="B29" i="44"/>
  <c r="CW26" i="5"/>
  <c r="CV26" i="5"/>
  <c r="CT26" i="5"/>
  <c r="CR26" i="5"/>
  <c r="GR26" i="5" s="1"/>
  <c r="CX26" i="5"/>
  <c r="N50" i="44" s="1"/>
  <c r="B27" i="44"/>
  <c r="CW18" i="5"/>
  <c r="CT18" i="5"/>
  <c r="CR18" i="5"/>
  <c r="GR18" i="5" s="1"/>
  <c r="CV18" i="5"/>
  <c r="B19" i="44"/>
  <c r="CV15" i="5"/>
  <c r="CW15" i="5"/>
  <c r="CT15" i="5"/>
  <c r="CR15" i="5"/>
  <c r="GR15" i="5" s="1"/>
  <c r="B16" i="44"/>
  <c r="EV8" i="5"/>
  <c r="CV8" i="5"/>
  <c r="CW8" i="5"/>
  <c r="CT8" i="5"/>
  <c r="B9" i="44"/>
  <c r="C57" i="14"/>
  <c r="C7" i="55" s="1"/>
  <c r="CW32" i="5"/>
  <c r="CT32" i="5"/>
  <c r="CR32" i="5"/>
  <c r="GR32" i="5" s="1"/>
  <c r="CV32" i="5"/>
  <c r="CX32" i="5"/>
  <c r="N44" i="44" s="1"/>
  <c r="B33" i="44"/>
  <c r="FH30" i="5"/>
  <c r="O46" i="44" s="1"/>
  <c r="CW24" i="5"/>
  <c r="CV24" i="5"/>
  <c r="CR24" i="5"/>
  <c r="GR24" i="5" s="1"/>
  <c r="CX24" i="5"/>
  <c r="N52" i="44" s="1"/>
  <c r="CT24" i="5"/>
  <c r="B25" i="44"/>
  <c r="FH23" i="5"/>
  <c r="O53" i="44" s="1"/>
  <c r="CT20" i="5"/>
  <c r="CR20" i="5"/>
  <c r="GR20" i="5" s="1"/>
  <c r="CV20" i="5"/>
  <c r="N56" i="44"/>
  <c r="CW20" i="5"/>
  <c r="B21" i="44"/>
  <c r="CW16" i="5"/>
  <c r="CR16" i="5"/>
  <c r="GR16" i="5" s="1"/>
  <c r="CT16" i="5"/>
  <c r="CV16" i="5"/>
  <c r="B17" i="44"/>
  <c r="CR12" i="5"/>
  <c r="GR12" i="5" s="1"/>
  <c r="CT12" i="5"/>
  <c r="CV12" i="5"/>
  <c r="CW12" i="5"/>
  <c r="B13" i="44"/>
  <c r="CW11" i="5"/>
  <c r="CV11" i="5"/>
  <c r="CT11" i="5"/>
  <c r="CR11" i="5"/>
  <c r="GR11" i="5" s="1"/>
  <c r="B12" i="44"/>
  <c r="CT62" i="5"/>
  <c r="CR62" i="5"/>
  <c r="GR62" i="5" s="1"/>
  <c r="CX62" i="5"/>
  <c r="N14" i="44" s="1"/>
  <c r="CW62" i="5"/>
  <c r="CV62" i="5"/>
  <c r="B63" i="44"/>
  <c r="F14" i="44" s="1"/>
  <c r="CW60" i="5"/>
  <c r="B61" i="44"/>
  <c r="F16" i="44" s="1"/>
  <c r="CX60" i="5"/>
  <c r="N16" i="44" s="1"/>
  <c r="CR60" i="5"/>
  <c r="GR60" i="5" s="1"/>
  <c r="CT60" i="5"/>
  <c r="CV60" i="5"/>
  <c r="CW56" i="5"/>
  <c r="CR56" i="5"/>
  <c r="GR56" i="5" s="1"/>
  <c r="CV56" i="5"/>
  <c r="CT56" i="5"/>
  <c r="CX56" i="5"/>
  <c r="N20" i="44" s="1"/>
  <c r="B57" i="44"/>
  <c r="F20" i="44" s="1"/>
  <c r="B53" i="44"/>
  <c r="F24" i="44" s="1"/>
  <c r="CV52" i="5"/>
  <c r="CX52" i="5"/>
  <c r="N24" i="44" s="1"/>
  <c r="CT52" i="5"/>
  <c r="CW52" i="5"/>
  <c r="CR52" i="5"/>
  <c r="GR52" i="5" s="1"/>
  <c r="CW50" i="5"/>
  <c r="CV50" i="5"/>
  <c r="CT50" i="5"/>
  <c r="CX50" i="5"/>
  <c r="N26" i="44" s="1"/>
  <c r="CR50" i="5"/>
  <c r="GR50" i="5" s="1"/>
  <c r="B51" i="44"/>
  <c r="F26" i="44" s="1"/>
  <c r="CV48" i="5"/>
  <c r="CR48" i="5"/>
  <c r="GR48" i="5" s="1"/>
  <c r="CX48" i="5"/>
  <c r="N28" i="44" s="1"/>
  <c r="CT48" i="5"/>
  <c r="CW48" i="5"/>
  <c r="B49" i="44"/>
  <c r="F28" i="44" s="1"/>
  <c r="CW42" i="5"/>
  <c r="CV42" i="5"/>
  <c r="CT42" i="5"/>
  <c r="CR42" i="5"/>
  <c r="GR42" i="5" s="1"/>
  <c r="CX42" i="5"/>
  <c r="N34" i="44" s="1"/>
  <c r="B43" i="44"/>
  <c r="F34" i="44" s="1"/>
  <c r="CX40" i="5"/>
  <c r="N36" i="44" s="1"/>
  <c r="CT40" i="5"/>
  <c r="CV40" i="5"/>
  <c r="CR40" i="5"/>
  <c r="GR40" i="5" s="1"/>
  <c r="GT40" i="5" s="1"/>
  <c r="CW40" i="5"/>
  <c r="B41" i="44"/>
  <c r="F36" i="44" s="1"/>
  <c r="CW33" i="5"/>
  <c r="CR33" i="5"/>
  <c r="GR33" i="5" s="1"/>
  <c r="CT33" i="5"/>
  <c r="CV33" i="5"/>
  <c r="CX33" i="5"/>
  <c r="N43" i="44" s="1"/>
  <c r="B34" i="44"/>
  <c r="CP48" i="5"/>
  <c r="CP62" i="5"/>
  <c r="CP57" i="5"/>
  <c r="CO39" i="5"/>
  <c r="J37" i="44" s="1"/>
  <c r="CP52" i="5"/>
  <c r="CO52" i="5"/>
  <c r="J24" i="44" s="1"/>
  <c r="CO42" i="5"/>
  <c r="J34" i="44" s="1"/>
  <c r="CP67" i="5"/>
  <c r="CP39" i="5"/>
  <c r="CO51" i="5"/>
  <c r="J25" i="44" s="1"/>
  <c r="CR47" i="5"/>
  <c r="GR47" i="5" s="1"/>
  <c r="CT47" i="5"/>
  <c r="CX47" i="5"/>
  <c r="N29" i="44" s="1"/>
  <c r="CV47" i="5"/>
  <c r="CW47" i="5"/>
  <c r="B48" i="44"/>
  <c r="F29" i="44" s="1"/>
  <c r="CX43" i="5"/>
  <c r="N33" i="44" s="1"/>
  <c r="CR43" i="5"/>
  <c r="GR43" i="5" s="1"/>
  <c r="CT43" i="5"/>
  <c r="CW43" i="5"/>
  <c r="CV43" i="5"/>
  <c r="B44" i="44"/>
  <c r="F33" i="44" s="1"/>
  <c r="CX41" i="5"/>
  <c r="N35" i="44" s="1"/>
  <c r="CV41" i="5"/>
  <c r="CT41" i="5"/>
  <c r="CW41" i="5"/>
  <c r="CR41" i="5"/>
  <c r="GR41" i="5" s="1"/>
  <c r="B42" i="44"/>
  <c r="F35" i="44" s="1"/>
  <c r="CT38" i="5"/>
  <c r="CV38" i="5"/>
  <c r="CR38" i="5"/>
  <c r="GR38" i="5" s="1"/>
  <c r="GT38" i="5" s="1"/>
  <c r="CW38" i="5"/>
  <c r="CX38" i="5"/>
  <c r="N38" i="44" s="1"/>
  <c r="B39" i="44"/>
  <c r="F38" i="44" s="1"/>
  <c r="B38" i="44"/>
  <c r="CW37" i="5"/>
  <c r="CT37" i="5"/>
  <c r="CR37" i="5"/>
  <c r="GR37" i="5" s="1"/>
  <c r="CX37" i="5"/>
  <c r="N39" i="44" s="1"/>
  <c r="CV37" i="5"/>
  <c r="CW36" i="5"/>
  <c r="B37" i="44"/>
  <c r="CX36" i="5"/>
  <c r="N40" i="44" s="1"/>
  <c r="CT36" i="5"/>
  <c r="CV36" i="5"/>
  <c r="CR36" i="5"/>
  <c r="GR36" i="5" s="1"/>
  <c r="CW34" i="5"/>
  <c r="CV34" i="5"/>
  <c r="CR34" i="5"/>
  <c r="GR34" i="5" s="1"/>
  <c r="CT34" i="5"/>
  <c r="CX34" i="5"/>
  <c r="N42" i="44" s="1"/>
  <c r="B35" i="44"/>
  <c r="EX32" i="5"/>
  <c r="FK32" i="5" s="1"/>
  <c r="HE32" i="5" s="1"/>
  <c r="CT31" i="5"/>
  <c r="CR31" i="5"/>
  <c r="GR31" i="5" s="1"/>
  <c r="CV31" i="5"/>
  <c r="CX31" i="5"/>
  <c r="N45" i="44" s="1"/>
  <c r="CW31" i="5"/>
  <c r="B32" i="44"/>
  <c r="CT30" i="5"/>
  <c r="CR30" i="5"/>
  <c r="GR30" i="5" s="1"/>
  <c r="CW30" i="5"/>
  <c r="CV30" i="5"/>
  <c r="CX30" i="5"/>
  <c r="N46" i="44" s="1"/>
  <c r="B31" i="44"/>
  <c r="CW29" i="5"/>
  <c r="CR29" i="5"/>
  <c r="GR29" i="5" s="1"/>
  <c r="CX29" i="5"/>
  <c r="N47" i="44" s="1"/>
  <c r="CT29" i="5"/>
  <c r="CV29" i="5"/>
  <c r="B30" i="44"/>
  <c r="CR27" i="5"/>
  <c r="GR27" i="5" s="1"/>
  <c r="CW27" i="5"/>
  <c r="CX27" i="5"/>
  <c r="N49" i="44" s="1"/>
  <c r="CV27" i="5"/>
  <c r="CT27" i="5"/>
  <c r="B28" i="44"/>
  <c r="FH25" i="5"/>
  <c r="O51" i="44" s="1"/>
  <c r="FH22" i="5"/>
  <c r="O54" i="44" s="1"/>
  <c r="CT22" i="5"/>
  <c r="CV22" i="5"/>
  <c r="CR22" i="5"/>
  <c r="GR22" i="5" s="1"/>
  <c r="CX22" i="5"/>
  <c r="N54" i="44" s="1"/>
  <c r="CW22" i="5"/>
  <c r="B23" i="44"/>
  <c r="EW20" i="5"/>
  <c r="EX20" i="5" s="1"/>
  <c r="FK20" i="5" s="1"/>
  <c r="HE20" i="5" s="1"/>
  <c r="EW16" i="5"/>
  <c r="EX16" i="5" s="1"/>
  <c r="FK16" i="5" s="1"/>
  <c r="HE16" i="5" s="1"/>
  <c r="FH15" i="5"/>
  <c r="O61" i="44" s="1"/>
  <c r="CW14" i="5"/>
  <c r="CR14" i="5"/>
  <c r="GR14" i="5" s="1"/>
  <c r="CT14" i="5"/>
  <c r="CV14" i="5"/>
  <c r="B15" i="44"/>
  <c r="CW13" i="5"/>
  <c r="CV13" i="5"/>
  <c r="CR13" i="5"/>
  <c r="GR13" i="5" s="1"/>
  <c r="CT13" i="5"/>
  <c r="B14" i="44"/>
  <c r="CW9" i="5"/>
  <c r="CT9" i="5"/>
  <c r="CV9" i="5"/>
  <c r="CR9" i="5"/>
  <c r="GR9" i="5" s="1"/>
  <c r="B10" i="44"/>
  <c r="CW10" i="5"/>
  <c r="CT10" i="5"/>
  <c r="CV10" i="5"/>
  <c r="CR10" i="5"/>
  <c r="GR10" i="5" s="1"/>
  <c r="B11" i="44"/>
  <c r="EW11" i="5"/>
  <c r="EX11" i="5" s="1"/>
  <c r="FK11" i="5" s="1"/>
  <c r="HE11" i="5" s="1"/>
  <c r="CP32" i="5"/>
  <c r="CO32" i="5"/>
  <c r="J44" i="44" s="1"/>
  <c r="CT67" i="5"/>
  <c r="CV67" i="5"/>
  <c r="CR67" i="5"/>
  <c r="GR67" i="5" s="1"/>
  <c r="CX67" i="5"/>
  <c r="N9" i="44" s="1"/>
  <c r="AI68" i="44" s="1"/>
  <c r="CW67" i="5"/>
  <c r="B68" i="44"/>
  <c r="F9" i="44" s="1"/>
  <c r="B64" i="44"/>
  <c r="F13" i="44" s="1"/>
  <c r="CT63" i="5"/>
  <c r="CR63" i="5"/>
  <c r="GR63" i="5" s="1"/>
  <c r="CV63" i="5"/>
  <c r="CW63" i="5"/>
  <c r="CX63" i="5"/>
  <c r="N13" i="44" s="1"/>
  <c r="CW57" i="5"/>
  <c r="CR57" i="5"/>
  <c r="GR57" i="5" s="1"/>
  <c r="CX57" i="5"/>
  <c r="N19" i="44" s="1"/>
  <c r="CV57" i="5"/>
  <c r="CT57" i="5"/>
  <c r="B58" i="44"/>
  <c r="F19" i="44" s="1"/>
  <c r="EX36" i="5"/>
  <c r="FK36" i="5" s="1"/>
  <c r="HE36" i="5" s="1"/>
  <c r="CX35" i="5"/>
  <c r="N41" i="44" s="1"/>
  <c r="CV35" i="5"/>
  <c r="CT35" i="5"/>
  <c r="CR35" i="5"/>
  <c r="GR35" i="5" s="1"/>
  <c r="CW35" i="5"/>
  <c r="B36" i="44"/>
  <c r="CT25" i="5"/>
  <c r="CV25" i="5"/>
  <c r="CR25" i="5"/>
  <c r="GR25" i="5" s="1"/>
  <c r="CW25" i="5"/>
  <c r="CX25" i="5"/>
  <c r="N51" i="44" s="1"/>
  <c r="B26" i="44"/>
  <c r="EX24" i="5"/>
  <c r="FK24" i="5" s="1"/>
  <c r="HE24" i="5" s="1"/>
  <c r="CT23" i="5"/>
  <c r="CW23" i="5"/>
  <c r="CX23" i="5"/>
  <c r="N53" i="44" s="1"/>
  <c r="CR23" i="5"/>
  <c r="GR23" i="5" s="1"/>
  <c r="CV23" i="5"/>
  <c r="B24" i="44"/>
  <c r="CW21" i="5"/>
  <c r="CR21" i="5"/>
  <c r="GR21" i="5" s="1"/>
  <c r="N55" i="44"/>
  <c r="CV21" i="5"/>
  <c r="CT21" i="5"/>
  <c r="B22" i="44"/>
  <c r="CW19" i="5"/>
  <c r="CT19" i="5"/>
  <c r="CV19" i="5"/>
  <c r="CR19" i="5"/>
  <c r="GR19" i="5" s="1"/>
  <c r="B20" i="44"/>
  <c r="CW17" i="5"/>
  <c r="CV17" i="5"/>
  <c r="CR17" i="5"/>
  <c r="GR17" i="5" s="1"/>
  <c r="CT17" i="5"/>
  <c r="B18" i="44"/>
  <c r="EW17" i="5"/>
  <c r="EX17" i="5" s="1"/>
  <c r="FK17" i="5" s="1"/>
  <c r="HE17" i="5" s="1"/>
  <c r="C40" i="44"/>
  <c r="G37" i="44" s="1"/>
  <c r="BZ40" i="5"/>
  <c r="HC40" i="5" s="1"/>
  <c r="HR40" i="5" s="1"/>
  <c r="DN39" i="5"/>
  <c r="AQ40" i="44"/>
  <c r="FD40" i="5"/>
  <c r="FH40" i="5"/>
  <c r="FB41" i="5"/>
  <c r="FC41" i="5"/>
  <c r="FE41" i="5"/>
  <c r="FF41" i="5"/>
  <c r="K39" i="44"/>
  <c r="AE38" i="44" s="1"/>
  <c r="DT37" i="5"/>
  <c r="FG40" i="5"/>
  <c r="FS40" i="5" s="1"/>
  <c r="GS41" i="5"/>
  <c r="BQ41" i="5"/>
  <c r="BR41" i="5"/>
  <c r="GQ41" i="5"/>
  <c r="BT41" i="5"/>
  <c r="BU41" i="5"/>
  <c r="BE66" i="5"/>
  <c r="CQ64" i="5"/>
  <c r="CQ57" i="5"/>
  <c r="CQ50" i="5"/>
  <c r="CQ55" i="5"/>
  <c r="CQ48" i="5"/>
  <c r="CQ62" i="5"/>
  <c r="CQ66" i="5"/>
  <c r="CQ56" i="5"/>
  <c r="CQ41" i="5"/>
  <c r="CQ40" i="5"/>
  <c r="CQ54" i="5"/>
  <c r="CQ44" i="5"/>
  <c r="CQ65" i="5"/>
  <c r="CQ39" i="5"/>
  <c r="CQ42" i="5"/>
  <c r="CQ67" i="5"/>
  <c r="CQ60" i="5"/>
  <c r="CQ59" i="5"/>
  <c r="CQ63" i="5"/>
  <c r="CQ53" i="5"/>
  <c r="CQ45" i="5"/>
  <c r="CQ47" i="5"/>
  <c r="CQ61" i="5"/>
  <c r="CQ49" i="5"/>
  <c r="CQ43" i="5"/>
  <c r="CQ52" i="5"/>
  <c r="CQ58" i="5"/>
  <c r="CQ51" i="5"/>
  <c r="CQ46" i="5"/>
  <c r="CQ38" i="5"/>
  <c r="K67" i="5"/>
  <c r="P66" i="5"/>
  <c r="BC67" i="5"/>
  <c r="BD67" i="5"/>
  <c r="BB67" i="5"/>
  <c r="I41" i="44"/>
  <c r="AC36" i="44" s="1"/>
  <c r="H40" i="44"/>
  <c r="AB37" i="44" s="1"/>
  <c r="AI36" i="5"/>
  <c r="AE45" i="14"/>
  <c r="AE46" i="14"/>
  <c r="AC50" i="14"/>
  <c r="FH21" i="5" l="1"/>
  <c r="O55" i="44" s="1"/>
  <c r="CQ8" i="5"/>
  <c r="CQ14" i="5"/>
  <c r="FY14" i="5" s="1"/>
  <c r="HE37" i="5"/>
  <c r="EX12" i="5"/>
  <c r="FK12" i="5" s="1"/>
  <c r="HE12" i="5" s="1"/>
  <c r="EX14" i="5"/>
  <c r="FK14" i="5" s="1"/>
  <c r="HE14" i="5" s="1"/>
  <c r="EX18" i="5"/>
  <c r="FK18" i="5" s="1"/>
  <c r="HE18" i="5" s="1"/>
  <c r="DL40" i="5"/>
  <c r="DS40" i="5" s="1"/>
  <c r="CY20" i="5"/>
  <c r="CY16" i="5"/>
  <c r="CY56" i="5"/>
  <c r="CZ56" i="5" s="1"/>
  <c r="CY12" i="5"/>
  <c r="CY15" i="5"/>
  <c r="CY59" i="5"/>
  <c r="CZ59" i="5" s="1"/>
  <c r="DB8" i="5"/>
  <c r="DB9" i="5"/>
  <c r="DB11" i="5"/>
  <c r="DB10" i="5"/>
  <c r="DB12" i="5"/>
  <c r="DB14" i="5"/>
  <c r="DB13" i="5"/>
  <c r="DB15" i="5"/>
  <c r="DB16" i="5"/>
  <c r="DB17" i="5"/>
  <c r="DB18" i="5"/>
  <c r="DB19" i="5"/>
  <c r="DB20" i="5"/>
  <c r="DB21" i="5"/>
  <c r="DB22" i="5"/>
  <c r="DB23" i="5"/>
  <c r="DB24" i="5"/>
  <c r="DB25" i="5"/>
  <c r="DB26" i="5"/>
  <c r="DB27" i="5"/>
  <c r="DB28" i="5"/>
  <c r="DB29" i="5"/>
  <c r="DB30" i="5"/>
  <c r="DB31" i="5"/>
  <c r="DB32" i="5"/>
  <c r="DB33" i="5"/>
  <c r="DB34" i="5"/>
  <c r="DB35" i="5"/>
  <c r="DB36" i="5"/>
  <c r="DB37" i="5"/>
  <c r="AE29" i="14" s="1"/>
  <c r="J68" i="44"/>
  <c r="AD9" i="44" s="1"/>
  <c r="CY42" i="5"/>
  <c r="CZ42" i="5" s="1"/>
  <c r="CY32" i="5"/>
  <c r="CY13" i="5"/>
  <c r="CY66" i="5"/>
  <c r="CZ66" i="5" s="1"/>
  <c r="CY8" i="5"/>
  <c r="CY46" i="5"/>
  <c r="CZ46" i="5" s="1"/>
  <c r="CY27" i="5"/>
  <c r="CY25" i="5"/>
  <c r="CY22" i="5"/>
  <c r="CY36" i="5"/>
  <c r="CY44" i="5"/>
  <c r="CZ44" i="5" s="1"/>
  <c r="CY54" i="5"/>
  <c r="CZ54" i="5" s="1"/>
  <c r="CY39" i="5"/>
  <c r="CZ39" i="5" s="1"/>
  <c r="CY49" i="5"/>
  <c r="CZ49" i="5" s="1"/>
  <c r="CY29" i="5"/>
  <c r="CY67" i="5"/>
  <c r="CZ67" i="5" s="1"/>
  <c r="CY9" i="5"/>
  <c r="CY43" i="5"/>
  <c r="CZ43" i="5" s="1"/>
  <c r="CY62" i="5"/>
  <c r="CZ62" i="5" s="1"/>
  <c r="CY24" i="5"/>
  <c r="CY31" i="5"/>
  <c r="CY38" i="5"/>
  <c r="CZ38" i="5" s="1"/>
  <c r="CY60" i="5"/>
  <c r="CZ60" i="5" s="1"/>
  <c r="CY28" i="5"/>
  <c r="CY45" i="5"/>
  <c r="CZ45" i="5" s="1"/>
  <c r="CY51" i="5"/>
  <c r="CZ51" i="5" s="1"/>
  <c r="CY50" i="5"/>
  <c r="CZ50" i="5" s="1"/>
  <c r="CY48" i="5"/>
  <c r="CZ48" i="5" s="1"/>
  <c r="CY52" i="5"/>
  <c r="CZ52" i="5" s="1"/>
  <c r="CY11" i="5"/>
  <c r="CY18" i="5"/>
  <c r="CY61" i="5"/>
  <c r="CZ61" i="5" s="1"/>
  <c r="CY33" i="5"/>
  <c r="CY19" i="5"/>
  <c r="CY23" i="5"/>
  <c r="CY55" i="5"/>
  <c r="CZ55" i="5" s="1"/>
  <c r="CY35" i="5"/>
  <c r="CY63" i="5"/>
  <c r="CZ63" i="5" s="1"/>
  <c r="CY34" i="5"/>
  <c r="CY40" i="5"/>
  <c r="CZ40" i="5" s="1"/>
  <c r="CY21" i="5"/>
  <c r="CY37" i="5"/>
  <c r="CY41" i="5"/>
  <c r="CZ41" i="5" s="1"/>
  <c r="CY58" i="5"/>
  <c r="CZ58" i="5" s="1"/>
  <c r="CY10" i="5"/>
  <c r="CY30" i="5"/>
  <c r="CY47" i="5"/>
  <c r="CZ47" i="5" s="1"/>
  <c r="CY64" i="5"/>
  <c r="CZ64" i="5" s="1"/>
  <c r="CY65" i="5"/>
  <c r="CZ65" i="5" s="1"/>
  <c r="CY14" i="5"/>
  <c r="CY17" i="5"/>
  <c r="CY57" i="5"/>
  <c r="CZ57" i="5" s="1"/>
  <c r="CY26" i="5"/>
  <c r="CY53" i="5"/>
  <c r="CZ53" i="5" s="1"/>
  <c r="BZ37" i="5"/>
  <c r="AI10" i="44"/>
  <c r="O36" i="44"/>
  <c r="AJ41" i="44" s="1"/>
  <c r="AK41" i="44" s="1"/>
  <c r="AI14" i="44"/>
  <c r="EX10" i="5"/>
  <c r="FK10" i="5" s="1"/>
  <c r="HE10" i="5" s="1"/>
  <c r="AI12" i="44"/>
  <c r="EX13" i="5"/>
  <c r="FK13" i="5" s="1"/>
  <c r="HE13" i="5" s="1"/>
  <c r="AI18" i="44"/>
  <c r="AI13" i="44"/>
  <c r="EX19" i="5"/>
  <c r="FK19" i="5" s="1"/>
  <c r="HE19" i="5" s="1"/>
  <c r="AI15" i="44"/>
  <c r="FH9" i="5"/>
  <c r="O67" i="44" s="1"/>
  <c r="AI16" i="44"/>
  <c r="AD39" i="5"/>
  <c r="AH39" i="5"/>
  <c r="E37" i="44"/>
  <c r="W40" i="44" s="1"/>
  <c r="AC39" i="5"/>
  <c r="BS38" i="5"/>
  <c r="BZ38" i="5" s="1"/>
  <c r="HC38" i="5" s="1"/>
  <c r="HR38" i="5" s="1"/>
  <c r="BW38" i="5"/>
  <c r="M38" i="44" s="1"/>
  <c r="M39" i="44"/>
  <c r="AH38" i="44" s="1"/>
  <c r="AI11" i="44"/>
  <c r="AI17" i="44"/>
  <c r="CQ10" i="5"/>
  <c r="J66" i="44"/>
  <c r="CQ25" i="5"/>
  <c r="DY37" i="5"/>
  <c r="DZ37" i="5" s="1"/>
  <c r="CQ37" i="5"/>
  <c r="GW15" i="5"/>
  <c r="GW27" i="5"/>
  <c r="GW16" i="5"/>
  <c r="GW28" i="5"/>
  <c r="GW17" i="5"/>
  <c r="GW29" i="5"/>
  <c r="GW18" i="5"/>
  <c r="GW30" i="5"/>
  <c r="GW19" i="5"/>
  <c r="GW31" i="5"/>
  <c r="GW20" i="5"/>
  <c r="GW32" i="5"/>
  <c r="GW8" i="5"/>
  <c r="GW9" i="5"/>
  <c r="GW21" i="5"/>
  <c r="GW33" i="5"/>
  <c r="GW10" i="5"/>
  <c r="GW22" i="5"/>
  <c r="GW34" i="5"/>
  <c r="GW11" i="5"/>
  <c r="GW23" i="5"/>
  <c r="GW35" i="5"/>
  <c r="GW12" i="5"/>
  <c r="GW24" i="5"/>
  <c r="GW36" i="5"/>
  <c r="GW13" i="5"/>
  <c r="GW25" i="5"/>
  <c r="GW37" i="5"/>
  <c r="GW14" i="5"/>
  <c r="GW26" i="5"/>
  <c r="CQ13" i="5"/>
  <c r="CQ34" i="5"/>
  <c r="J63" i="44"/>
  <c r="AN36" i="5"/>
  <c r="AO36" i="5" s="1"/>
  <c r="CQ21" i="5"/>
  <c r="CQ30" i="5"/>
  <c r="CQ15" i="5"/>
  <c r="CQ9" i="5"/>
  <c r="CQ12" i="5"/>
  <c r="CQ31" i="5"/>
  <c r="CQ22" i="5"/>
  <c r="J46" i="44"/>
  <c r="CQ24" i="5"/>
  <c r="J55" i="44"/>
  <c r="CQ16" i="5"/>
  <c r="J64" i="44"/>
  <c r="CQ18" i="5"/>
  <c r="CQ35" i="5"/>
  <c r="CQ23" i="5"/>
  <c r="CQ17" i="5"/>
  <c r="CQ28" i="5"/>
  <c r="CQ26" i="5"/>
  <c r="CQ19" i="5"/>
  <c r="CQ36" i="5"/>
  <c r="CQ11" i="5"/>
  <c r="CQ27" i="5"/>
  <c r="J40" i="44"/>
  <c r="J52" i="44"/>
  <c r="CQ29" i="5"/>
  <c r="CQ20" i="5"/>
  <c r="J56" i="44"/>
  <c r="HD36" i="5"/>
  <c r="HF36" i="5" s="1"/>
  <c r="HD47" i="5"/>
  <c r="HD48" i="5"/>
  <c r="HD53" i="5"/>
  <c r="HD55" i="5"/>
  <c r="FH16" i="5"/>
  <c r="O60" i="44" s="1"/>
  <c r="CQ33" i="5"/>
  <c r="FH11" i="5"/>
  <c r="O65" i="44" s="1"/>
  <c r="HD9" i="5"/>
  <c r="HF9" i="5" s="1"/>
  <c r="FH20" i="5"/>
  <c r="O56" i="44" s="1"/>
  <c r="CQ32" i="5"/>
  <c r="HD40" i="5"/>
  <c r="HD56" i="5"/>
  <c r="HD11" i="5"/>
  <c r="HF11" i="5" s="1"/>
  <c r="HD14" i="5"/>
  <c r="HD29" i="5"/>
  <c r="HF29" i="5" s="1"/>
  <c r="HD16" i="5"/>
  <c r="HF16" i="5" s="1"/>
  <c r="HD28" i="5"/>
  <c r="HF28" i="5" s="1"/>
  <c r="HD17" i="5"/>
  <c r="HF17" i="5" s="1"/>
  <c r="F57" i="44"/>
  <c r="C20" i="44"/>
  <c r="HD19" i="5"/>
  <c r="HD21" i="5"/>
  <c r="HF21" i="5" s="1"/>
  <c r="HD35" i="5"/>
  <c r="HF35" i="5" s="1"/>
  <c r="F67" i="44"/>
  <c r="C10" i="44"/>
  <c r="HD22" i="5"/>
  <c r="HD27" i="5"/>
  <c r="HD30" i="5"/>
  <c r="HF30" i="5" s="1"/>
  <c r="F42" i="44"/>
  <c r="C35" i="44"/>
  <c r="HD37" i="5"/>
  <c r="HD38" i="5"/>
  <c r="HD41" i="5"/>
  <c r="HD33" i="5"/>
  <c r="HD62" i="5"/>
  <c r="C13" i="44"/>
  <c r="F64" i="44"/>
  <c r="HD20" i="5"/>
  <c r="HF20" i="5" s="1"/>
  <c r="HD24" i="5"/>
  <c r="HF24" i="5" s="1"/>
  <c r="F50" i="44"/>
  <c r="C27" i="44"/>
  <c r="HD66" i="5"/>
  <c r="HD59" i="5"/>
  <c r="F53" i="44"/>
  <c r="C24" i="44"/>
  <c r="C26" i="44"/>
  <c r="F51" i="44"/>
  <c r="F41" i="44"/>
  <c r="C36" i="44"/>
  <c r="C14" i="44"/>
  <c r="F63" i="44"/>
  <c r="C30" i="44"/>
  <c r="F47" i="44"/>
  <c r="F45" i="44"/>
  <c r="C32" i="44"/>
  <c r="C34" i="44"/>
  <c r="F43" i="44"/>
  <c r="F61" i="44"/>
  <c r="C16" i="44"/>
  <c r="N58" i="44"/>
  <c r="AI19" i="44" s="1"/>
  <c r="HD46" i="5"/>
  <c r="HD58" i="5"/>
  <c r="HD45" i="5"/>
  <c r="HD51" i="5"/>
  <c r="HD23" i="5"/>
  <c r="HF23" i="5" s="1"/>
  <c r="HD25" i="5"/>
  <c r="HD57" i="5"/>
  <c r="HD67" i="5"/>
  <c r="HD10" i="5"/>
  <c r="HD13" i="5"/>
  <c r="FH17" i="5"/>
  <c r="O59" i="44" s="1"/>
  <c r="HD31" i="5"/>
  <c r="HF31" i="5" s="1"/>
  <c r="HD34" i="5"/>
  <c r="HF34" i="5" s="1"/>
  <c r="F39" i="44"/>
  <c r="C38" i="44"/>
  <c r="HD43" i="5"/>
  <c r="HD42" i="5"/>
  <c r="HD50" i="5"/>
  <c r="HD60" i="5"/>
  <c r="F60" i="44"/>
  <c r="C17" i="44"/>
  <c r="C9" i="44"/>
  <c r="F68" i="44"/>
  <c r="X9" i="44" s="1"/>
  <c r="F58" i="44"/>
  <c r="C19" i="44"/>
  <c r="HD18" i="5"/>
  <c r="F48" i="44"/>
  <c r="C29" i="44"/>
  <c r="HD44" i="5"/>
  <c r="HD54" i="5"/>
  <c r="HD64" i="5"/>
  <c r="HD39" i="5"/>
  <c r="HF39" i="5" s="1"/>
  <c r="HD49" i="5"/>
  <c r="HD61" i="5"/>
  <c r="HD65" i="5"/>
  <c r="F59" i="44"/>
  <c r="C18" i="44"/>
  <c r="F55" i="44"/>
  <c r="C22" i="44"/>
  <c r="HD63" i="5"/>
  <c r="C11" i="44"/>
  <c r="F66" i="44"/>
  <c r="F62" i="44"/>
  <c r="C15" i="44"/>
  <c r="F54" i="44"/>
  <c r="C23" i="44"/>
  <c r="F49" i="44"/>
  <c r="C28" i="44"/>
  <c r="C31" i="44"/>
  <c r="F46" i="44"/>
  <c r="F40" i="44"/>
  <c r="C37" i="44"/>
  <c r="HD52" i="5"/>
  <c r="C12" i="44"/>
  <c r="F65" i="44"/>
  <c r="HD12" i="5"/>
  <c r="C21" i="44"/>
  <c r="F56" i="44"/>
  <c r="F52" i="44"/>
  <c r="C25" i="44"/>
  <c r="C33" i="44"/>
  <c r="F44" i="44"/>
  <c r="HD32" i="5"/>
  <c r="HF32" i="5" s="1"/>
  <c r="HD8" i="5"/>
  <c r="FH8" i="5"/>
  <c r="EX8" i="5"/>
  <c r="FK8" i="5" s="1"/>
  <c r="HD15" i="5"/>
  <c r="HF15" i="5" s="1"/>
  <c r="HD26" i="5"/>
  <c r="HF26" i="5" s="1"/>
  <c r="FK40" i="5"/>
  <c r="HE40" i="5" s="1"/>
  <c r="HS40" i="5" s="1"/>
  <c r="BV41" i="5"/>
  <c r="CH41" i="5" s="1"/>
  <c r="FG41" i="5"/>
  <c r="FS41" i="5" s="1"/>
  <c r="GT41" i="5"/>
  <c r="EG42" i="5"/>
  <c r="FA42" i="5"/>
  <c r="EE42" i="5"/>
  <c r="EF42" i="5"/>
  <c r="DU37" i="5"/>
  <c r="FD41" i="5"/>
  <c r="FH41" i="5"/>
  <c r="O35" i="44" s="1"/>
  <c r="AJ42" i="44" s="1"/>
  <c r="AK42" i="44" s="1"/>
  <c r="AT42" i="5"/>
  <c r="AV42" i="5"/>
  <c r="AU42" i="5"/>
  <c r="BP42" i="5"/>
  <c r="BS41" i="5"/>
  <c r="BW41" i="5"/>
  <c r="M35" i="44" s="1"/>
  <c r="AH42" i="44" s="1"/>
  <c r="FY38" i="5"/>
  <c r="CS38" i="5"/>
  <c r="CU38" i="5" s="1"/>
  <c r="FY43" i="5"/>
  <c r="CS43" i="5"/>
  <c r="CU43" i="5" s="1"/>
  <c r="FY60" i="5"/>
  <c r="CS60" i="5"/>
  <c r="CU60" i="5" s="1"/>
  <c r="FY50" i="5"/>
  <c r="CS50" i="5"/>
  <c r="CU50" i="5" s="1"/>
  <c r="FY46" i="5"/>
  <c r="CS46" i="5"/>
  <c r="CU46" i="5" s="1"/>
  <c r="FY49" i="5"/>
  <c r="CS49" i="5"/>
  <c r="CU49" i="5" s="1"/>
  <c r="FY53" i="5"/>
  <c r="CS53" i="5"/>
  <c r="CU53" i="5" s="1"/>
  <c r="FY54" i="5"/>
  <c r="CS54" i="5"/>
  <c r="CU54" i="5" s="1"/>
  <c r="FY67" i="5"/>
  <c r="CS67" i="5"/>
  <c r="CU67" i="5" s="1"/>
  <c r="FY66" i="5"/>
  <c r="CS66" i="5"/>
  <c r="CU66" i="5" s="1"/>
  <c r="FY56" i="5"/>
  <c r="CS56" i="5"/>
  <c r="CU56" i="5" s="1"/>
  <c r="FY63" i="5"/>
  <c r="CS63" i="5"/>
  <c r="CU63" i="5" s="1"/>
  <c r="FY57" i="5"/>
  <c r="CS57" i="5"/>
  <c r="CU57" i="5" s="1"/>
  <c r="FY51" i="5"/>
  <c r="CS51" i="5"/>
  <c r="CU51" i="5" s="1"/>
  <c r="FY61" i="5"/>
  <c r="CS61" i="5"/>
  <c r="CU61" i="5" s="1"/>
  <c r="FY39" i="5"/>
  <c r="CS39" i="5"/>
  <c r="CU39" i="5" s="1"/>
  <c r="FY40" i="5"/>
  <c r="CS40" i="5"/>
  <c r="CU40" i="5" s="1"/>
  <c r="FY58" i="5"/>
  <c r="CS58" i="5"/>
  <c r="CU58" i="5" s="1"/>
  <c r="FY47" i="5"/>
  <c r="CS47" i="5"/>
  <c r="CU47" i="5" s="1"/>
  <c r="FY62" i="5"/>
  <c r="CS62" i="5"/>
  <c r="CU62" i="5" s="1"/>
  <c r="FY64" i="5"/>
  <c r="CS64" i="5"/>
  <c r="CU64" i="5" s="1"/>
  <c r="FY44" i="5"/>
  <c r="CS44" i="5"/>
  <c r="CU44" i="5" s="1"/>
  <c r="FY52" i="5"/>
  <c r="CS52" i="5"/>
  <c r="CU52" i="5" s="1"/>
  <c r="FY45" i="5"/>
  <c r="CS45" i="5"/>
  <c r="CU45" i="5" s="1"/>
  <c r="FY42" i="5"/>
  <c r="CS42" i="5"/>
  <c r="CU42" i="5" s="1"/>
  <c r="FY65" i="5"/>
  <c r="CS65" i="5"/>
  <c r="CU65" i="5" s="1"/>
  <c r="FY48" i="5"/>
  <c r="CS48" i="5"/>
  <c r="CU48" i="5" s="1"/>
  <c r="FY41" i="5"/>
  <c r="CS41" i="5"/>
  <c r="CU41" i="5" s="1"/>
  <c r="FY55" i="5"/>
  <c r="CS55" i="5"/>
  <c r="CU55" i="5" s="1"/>
  <c r="FY59" i="5"/>
  <c r="CS59" i="5"/>
  <c r="CU59" i="5" s="1"/>
  <c r="P67" i="5"/>
  <c r="BE67" i="5"/>
  <c r="AJ36" i="5"/>
  <c r="AG47" i="14"/>
  <c r="CZ21" i="5" l="1"/>
  <c r="DN40" i="5"/>
  <c r="CS14" i="5"/>
  <c r="CU14" i="5" s="1"/>
  <c r="CZ8" i="5"/>
  <c r="DO40" i="5"/>
  <c r="C41" i="44"/>
  <c r="G36" i="44" s="1"/>
  <c r="CZ14" i="5"/>
  <c r="HF14" i="5"/>
  <c r="HF18" i="5"/>
  <c r="HF12" i="5"/>
  <c r="DA8" i="5"/>
  <c r="HP56" i="5"/>
  <c r="HF10" i="5"/>
  <c r="HE8" i="5"/>
  <c r="HJ14" i="5" s="1"/>
  <c r="FO15" i="5"/>
  <c r="FO27" i="5"/>
  <c r="FO22" i="5"/>
  <c r="FO11" i="5"/>
  <c r="FO16" i="5"/>
  <c r="FO28" i="5"/>
  <c r="FO34" i="5"/>
  <c r="FO23" i="5"/>
  <c r="FO17" i="5"/>
  <c r="FO29" i="5"/>
  <c r="FO12" i="5"/>
  <c r="FO18" i="5"/>
  <c r="FO30" i="5"/>
  <c r="FO19" i="5"/>
  <c r="FO31" i="5"/>
  <c r="FO20" i="5"/>
  <c r="FO32" i="5"/>
  <c r="FO8" i="5"/>
  <c r="FO36" i="5"/>
  <c r="FO9" i="5"/>
  <c r="FO21" i="5"/>
  <c r="FO33" i="5"/>
  <c r="FO35" i="5"/>
  <c r="FO13" i="5"/>
  <c r="FO25" i="5"/>
  <c r="FO37" i="5"/>
  <c r="AG30" i="14" s="1"/>
  <c r="FO14" i="5"/>
  <c r="FO26" i="5"/>
  <c r="FO10" i="5"/>
  <c r="FO24" i="5"/>
  <c r="FJ42" i="5"/>
  <c r="HP47" i="5"/>
  <c r="DC8" i="5"/>
  <c r="DC9" i="5"/>
  <c r="DC11" i="5"/>
  <c r="DC10" i="5"/>
  <c r="DC12" i="5"/>
  <c r="DC14" i="5"/>
  <c r="DC13" i="5"/>
  <c r="DC15" i="5"/>
  <c r="DC16" i="5"/>
  <c r="DC17" i="5"/>
  <c r="DC18" i="5"/>
  <c r="DC19" i="5"/>
  <c r="DC20" i="5"/>
  <c r="DC21" i="5"/>
  <c r="DC22" i="5"/>
  <c r="DC23" i="5"/>
  <c r="DC24" i="5"/>
  <c r="DC25" i="5"/>
  <c r="DC26" i="5"/>
  <c r="DC27" i="5"/>
  <c r="DC28" i="5"/>
  <c r="DC29" i="5"/>
  <c r="DC30" i="5"/>
  <c r="DC31" i="5"/>
  <c r="DC32" i="5"/>
  <c r="DC33" i="5"/>
  <c r="DC34" i="5"/>
  <c r="DC35" i="5"/>
  <c r="DC36" i="5"/>
  <c r="DC37" i="5"/>
  <c r="AE30" i="14" s="1"/>
  <c r="HP67" i="5"/>
  <c r="HP54" i="5"/>
  <c r="HP58" i="5"/>
  <c r="AD12" i="44"/>
  <c r="AD10" i="44"/>
  <c r="DA9" i="5"/>
  <c r="DA21" i="5"/>
  <c r="DA33" i="5"/>
  <c r="DA10" i="5"/>
  <c r="DA22" i="5"/>
  <c r="DA34" i="5"/>
  <c r="DA11" i="5"/>
  <c r="DA23" i="5"/>
  <c r="DA35" i="5"/>
  <c r="DD35" i="5" s="1"/>
  <c r="DA12" i="5"/>
  <c r="DD12" i="5" s="1"/>
  <c r="DA24" i="5"/>
  <c r="DA36" i="5"/>
  <c r="DA13" i="5"/>
  <c r="DA25" i="5"/>
  <c r="DA37" i="5"/>
  <c r="DA14" i="5"/>
  <c r="DA26" i="5"/>
  <c r="DA15" i="5"/>
  <c r="DA27" i="5"/>
  <c r="DA16" i="5"/>
  <c r="DA28" i="5"/>
  <c r="DA17" i="5"/>
  <c r="DA29" i="5"/>
  <c r="DA18" i="5"/>
  <c r="DA30" i="5"/>
  <c r="DA32" i="5"/>
  <c r="DA19" i="5"/>
  <c r="DA31" i="5"/>
  <c r="DA20" i="5"/>
  <c r="HP38" i="5"/>
  <c r="HP59" i="5"/>
  <c r="HF13" i="5"/>
  <c r="FY19" i="5"/>
  <c r="HP19" i="5" s="1"/>
  <c r="CZ19" i="5"/>
  <c r="FY10" i="5"/>
  <c r="HP10" i="5" s="1"/>
  <c r="CZ10" i="5"/>
  <c r="FY26" i="5"/>
  <c r="HP26" i="5" s="1"/>
  <c r="CZ26" i="5"/>
  <c r="FY22" i="5"/>
  <c r="HP22" i="5" s="1"/>
  <c r="CZ22" i="5"/>
  <c r="FY13" i="5"/>
  <c r="HP13" i="5" s="1"/>
  <c r="CZ13" i="5"/>
  <c r="FY28" i="5"/>
  <c r="HP28" i="5" s="1"/>
  <c r="CZ28" i="5"/>
  <c r="FY31" i="5"/>
  <c r="HP31" i="5" s="1"/>
  <c r="CZ31" i="5"/>
  <c r="FY36" i="5"/>
  <c r="HP36" i="5" s="1"/>
  <c r="CZ36" i="5"/>
  <c r="FY17" i="5"/>
  <c r="HP17" i="5" s="1"/>
  <c r="CZ17" i="5"/>
  <c r="CS12" i="5"/>
  <c r="CU12" i="5" s="1"/>
  <c r="CZ12" i="5"/>
  <c r="FY9" i="5"/>
  <c r="HP9" i="5" s="1"/>
  <c r="CZ9" i="5"/>
  <c r="FY20" i="5"/>
  <c r="HP20" i="5" s="1"/>
  <c r="CZ20" i="5"/>
  <c r="CS23" i="5"/>
  <c r="CU23" i="5" s="1"/>
  <c r="CZ23" i="5"/>
  <c r="FY15" i="5"/>
  <c r="HP15" i="5" s="1"/>
  <c r="CZ15" i="5"/>
  <c r="CS29" i="5"/>
  <c r="CU29" i="5" s="1"/>
  <c r="CZ29" i="5"/>
  <c r="CS35" i="5"/>
  <c r="CU35" i="5" s="1"/>
  <c r="CZ35" i="5"/>
  <c r="FY30" i="5"/>
  <c r="HP30" i="5" s="1"/>
  <c r="CZ30" i="5"/>
  <c r="FY18" i="5"/>
  <c r="HP18" i="5" s="1"/>
  <c r="CZ18" i="5"/>
  <c r="FY21" i="5"/>
  <c r="HP21" i="5" s="1"/>
  <c r="FY32" i="5"/>
  <c r="HP32" i="5" s="1"/>
  <c r="CZ32" i="5"/>
  <c r="FY37" i="5"/>
  <c r="HP37" i="5" s="1"/>
  <c r="CZ37" i="5"/>
  <c r="FY33" i="5"/>
  <c r="HP33" i="5" s="1"/>
  <c r="CZ33" i="5"/>
  <c r="FY27" i="5"/>
  <c r="HP27" i="5" s="1"/>
  <c r="CZ27" i="5"/>
  <c r="CS16" i="5"/>
  <c r="CU16" i="5" s="1"/>
  <c r="CZ16" i="5"/>
  <c r="CS24" i="5"/>
  <c r="CU24" i="5" s="1"/>
  <c r="CZ24" i="5"/>
  <c r="FY11" i="5"/>
  <c r="HP11" i="5" s="1"/>
  <c r="CZ11" i="5"/>
  <c r="CS34" i="5"/>
  <c r="CU34" i="5" s="1"/>
  <c r="CZ34" i="5"/>
  <c r="FY25" i="5"/>
  <c r="HP25" i="5" s="1"/>
  <c r="CZ25" i="5"/>
  <c r="HC37" i="5"/>
  <c r="HH37" i="5" s="1"/>
  <c r="CD37" i="5"/>
  <c r="AC30" i="14" s="1"/>
  <c r="BY42" i="5"/>
  <c r="HP40" i="5"/>
  <c r="HP57" i="5"/>
  <c r="HP48" i="5"/>
  <c r="HP64" i="5"/>
  <c r="HP39" i="5"/>
  <c r="HP53" i="5"/>
  <c r="HP49" i="5"/>
  <c r="HP42" i="5"/>
  <c r="HP44" i="5"/>
  <c r="HP66" i="5"/>
  <c r="HP41" i="5"/>
  <c r="HP45" i="5"/>
  <c r="HP52" i="5"/>
  <c r="HP60" i="5"/>
  <c r="HP46" i="5"/>
  <c r="HP14" i="5"/>
  <c r="HP50" i="5"/>
  <c r="HP65" i="5"/>
  <c r="HP62" i="5"/>
  <c r="HP55" i="5"/>
  <c r="HP63" i="5"/>
  <c r="HP61" i="5"/>
  <c r="HP51" i="5"/>
  <c r="HP43" i="5"/>
  <c r="AD11" i="44"/>
  <c r="AB40" i="5"/>
  <c r="E36" i="44" s="1"/>
  <c r="W41" i="44" s="1"/>
  <c r="CS10" i="5"/>
  <c r="CU10" i="5" s="1"/>
  <c r="CS25" i="5"/>
  <c r="CU25" i="5" s="1"/>
  <c r="AD13" i="44"/>
  <c r="CS37" i="5"/>
  <c r="CU37" i="5" s="1"/>
  <c r="CS13" i="5"/>
  <c r="CU13" i="5" s="1"/>
  <c r="HI8" i="5"/>
  <c r="HI9" i="5"/>
  <c r="HI10" i="5"/>
  <c r="HI11" i="5"/>
  <c r="HI12" i="5"/>
  <c r="HI13" i="5"/>
  <c r="HI14" i="5"/>
  <c r="HI15" i="5"/>
  <c r="HI16" i="5"/>
  <c r="HI17" i="5"/>
  <c r="HI18" i="5"/>
  <c r="HI19" i="5"/>
  <c r="HI20" i="5"/>
  <c r="HI21" i="5"/>
  <c r="HI22" i="5"/>
  <c r="HI23" i="5"/>
  <c r="HI24" i="5"/>
  <c r="HI25" i="5"/>
  <c r="HI26" i="5"/>
  <c r="HI27" i="5"/>
  <c r="HI28" i="5"/>
  <c r="HI29" i="5"/>
  <c r="HI30" i="5"/>
  <c r="HI31" i="5"/>
  <c r="HI32" i="5"/>
  <c r="HI33" i="5"/>
  <c r="HI34" i="5"/>
  <c r="HI35" i="5"/>
  <c r="HI36" i="5"/>
  <c r="HI37" i="5"/>
  <c r="FY34" i="5"/>
  <c r="HP34" i="5" s="1"/>
  <c r="CS30" i="5"/>
  <c r="CU30" i="5" s="1"/>
  <c r="FY8" i="5"/>
  <c r="HP8" i="5" s="1"/>
  <c r="CS21" i="5"/>
  <c r="CU21" i="5" s="1"/>
  <c r="CS15" i="5"/>
  <c r="CU15" i="5" s="1"/>
  <c r="FY12" i="5"/>
  <c r="HP12" i="5" s="1"/>
  <c r="CS9" i="5"/>
  <c r="CU9" i="5" s="1"/>
  <c r="CS31" i="5"/>
  <c r="CU31" i="5" s="1"/>
  <c r="CS22" i="5"/>
  <c r="CU22" i="5" s="1"/>
  <c r="L39" i="44"/>
  <c r="AF38" i="44" s="1"/>
  <c r="O68" i="44"/>
  <c r="AJ9" i="44" s="1"/>
  <c r="FY24" i="5"/>
  <c r="HP24" i="5" s="1"/>
  <c r="AD22" i="44"/>
  <c r="AD19" i="44"/>
  <c r="CS18" i="5"/>
  <c r="CU18" i="5" s="1"/>
  <c r="AD14" i="44"/>
  <c r="AD16" i="44"/>
  <c r="FY16" i="5"/>
  <c r="HP16" i="5" s="1"/>
  <c r="AD17" i="44"/>
  <c r="AD15" i="44"/>
  <c r="AD18" i="44"/>
  <c r="AD20" i="44"/>
  <c r="FY23" i="5"/>
  <c r="HP23" i="5" s="1"/>
  <c r="CS8" i="5"/>
  <c r="CS17" i="5"/>
  <c r="CU17" i="5" s="1"/>
  <c r="CS36" i="5"/>
  <c r="CU36" i="5" s="1"/>
  <c r="FY29" i="5"/>
  <c r="HP29" i="5" s="1"/>
  <c r="FY35" i="5"/>
  <c r="HP35" i="5" s="1"/>
  <c r="CS11" i="5"/>
  <c r="CU11" i="5" s="1"/>
  <c r="CS26" i="5"/>
  <c r="CU26" i="5" s="1"/>
  <c r="CS27" i="5"/>
  <c r="CU27" i="5" s="1"/>
  <c r="CS28" i="5"/>
  <c r="CU28" i="5" s="1"/>
  <c r="AD47" i="44"/>
  <c r="AD21" i="44"/>
  <c r="AD56" i="44"/>
  <c r="CS19" i="5"/>
  <c r="CU19" i="5" s="1"/>
  <c r="AD44" i="44"/>
  <c r="AD28" i="44"/>
  <c r="AD31" i="44"/>
  <c r="AD53" i="44"/>
  <c r="AD55" i="44"/>
  <c r="AD61" i="44"/>
  <c r="AD23" i="44"/>
  <c r="AD24" i="44"/>
  <c r="AD39" i="44"/>
  <c r="AD34" i="44"/>
  <c r="AD42" i="44"/>
  <c r="AD66" i="44"/>
  <c r="AD33" i="44"/>
  <c r="AD38" i="44"/>
  <c r="AD60" i="44"/>
  <c r="AD32" i="44"/>
  <c r="AD43" i="44"/>
  <c r="AD65" i="44"/>
  <c r="AD59" i="44"/>
  <c r="AD36" i="44"/>
  <c r="AD64" i="44"/>
  <c r="AD41" i="44"/>
  <c r="AD50" i="44"/>
  <c r="AD45" i="44"/>
  <c r="AD27" i="44"/>
  <c r="AD26" i="44"/>
  <c r="AD46" i="44"/>
  <c r="AD58" i="44"/>
  <c r="AD25" i="44"/>
  <c r="AD52" i="44"/>
  <c r="AD54" i="44"/>
  <c r="AD67" i="44"/>
  <c r="AD68" i="44"/>
  <c r="AD57" i="44"/>
  <c r="AD35" i="44"/>
  <c r="AD30" i="44"/>
  <c r="AD29" i="44"/>
  <c r="AD49" i="44"/>
  <c r="AD63" i="44"/>
  <c r="AD48" i="44"/>
  <c r="AD37" i="44"/>
  <c r="AD40" i="44"/>
  <c r="AD62" i="44"/>
  <c r="AD51" i="44"/>
  <c r="CS20" i="5"/>
  <c r="CU20" i="5" s="1"/>
  <c r="AI36" i="44"/>
  <c r="CS32" i="5"/>
  <c r="CU32" i="5" s="1"/>
  <c r="CS33" i="5"/>
  <c r="CU33" i="5" s="1"/>
  <c r="AI29" i="44"/>
  <c r="AI32" i="44"/>
  <c r="X46" i="44"/>
  <c r="X33" i="44"/>
  <c r="X21" i="44"/>
  <c r="X11" i="44"/>
  <c r="AI28" i="44"/>
  <c r="AI37" i="44"/>
  <c r="AE35" i="14"/>
  <c r="AE40" i="14" s="1"/>
  <c r="X62" i="44"/>
  <c r="X12" i="44"/>
  <c r="X15" i="44"/>
  <c r="X68" i="44"/>
  <c r="X56" i="44"/>
  <c r="X25" i="44"/>
  <c r="X57" i="44"/>
  <c r="X44" i="44"/>
  <c r="X37" i="44"/>
  <c r="X23" i="44"/>
  <c r="X18" i="44"/>
  <c r="X60" i="44"/>
  <c r="X45" i="44"/>
  <c r="AI34" i="44"/>
  <c r="AI38" i="44"/>
  <c r="AI22" i="44"/>
  <c r="X50" i="44"/>
  <c r="AI27" i="44"/>
  <c r="AI25" i="44"/>
  <c r="X34" i="44"/>
  <c r="X32" i="44"/>
  <c r="G63" i="44"/>
  <c r="EE13" i="5"/>
  <c r="FJ13" i="5" s="1"/>
  <c r="G41" i="44"/>
  <c r="EE35" i="5"/>
  <c r="FJ35" i="5" s="1"/>
  <c r="G53" i="44"/>
  <c r="EE23" i="5"/>
  <c r="FJ23" i="5" s="1"/>
  <c r="X47" i="44"/>
  <c r="AI33" i="44"/>
  <c r="X13" i="44"/>
  <c r="HF37" i="5"/>
  <c r="AI31" i="44"/>
  <c r="HF22" i="5"/>
  <c r="X10" i="44"/>
  <c r="HF19" i="5"/>
  <c r="G65" i="44"/>
  <c r="EE11" i="5"/>
  <c r="FJ11" i="5" s="1"/>
  <c r="X39" i="44"/>
  <c r="G49" i="44"/>
  <c r="EE27" i="5"/>
  <c r="FJ27" i="5" s="1"/>
  <c r="EE10" i="5"/>
  <c r="FJ10" i="5" s="1"/>
  <c r="G66" i="44"/>
  <c r="EE21" i="5"/>
  <c r="FJ21" i="5" s="1"/>
  <c r="G55" i="44"/>
  <c r="EE8" i="5"/>
  <c r="FJ8" i="5" s="1"/>
  <c r="G68" i="44"/>
  <c r="Y9" i="44" s="1"/>
  <c r="Z9" i="44" s="1"/>
  <c r="G60" i="44"/>
  <c r="EE16" i="5"/>
  <c r="FJ16" i="5" s="1"/>
  <c r="X53" i="44"/>
  <c r="HF25" i="5"/>
  <c r="X66" i="44"/>
  <c r="AI21" i="44"/>
  <c r="X49" i="44"/>
  <c r="G43" i="44"/>
  <c r="EE33" i="5"/>
  <c r="FJ33" i="5" s="1"/>
  <c r="AI35" i="44"/>
  <c r="AI23" i="44"/>
  <c r="X36" i="44"/>
  <c r="X24" i="44"/>
  <c r="X52" i="44"/>
  <c r="EE12" i="5"/>
  <c r="FJ12" i="5" s="1"/>
  <c r="G64" i="44"/>
  <c r="HF33" i="5"/>
  <c r="G42" i="44"/>
  <c r="EE34" i="5"/>
  <c r="FJ34" i="5" s="1"/>
  <c r="AI30" i="44"/>
  <c r="X64" i="44"/>
  <c r="G57" i="44"/>
  <c r="EE19" i="5"/>
  <c r="FJ19" i="5" s="1"/>
  <c r="G44" i="44"/>
  <c r="EE32" i="5"/>
  <c r="FJ32" i="5" s="1"/>
  <c r="EE20" i="5"/>
  <c r="FJ20" i="5" s="1"/>
  <c r="G56" i="44"/>
  <c r="X63" i="44"/>
  <c r="X51" i="44"/>
  <c r="X31" i="44"/>
  <c r="X28" i="44"/>
  <c r="G62" i="44"/>
  <c r="EE14" i="5"/>
  <c r="FJ14" i="5" s="1"/>
  <c r="X22" i="44"/>
  <c r="X55" i="44"/>
  <c r="G48" i="44"/>
  <c r="EE28" i="5"/>
  <c r="FJ28" i="5" s="1"/>
  <c r="EE18" i="5"/>
  <c r="FJ18" i="5" s="1"/>
  <c r="G58" i="44"/>
  <c r="X17" i="44"/>
  <c r="G39" i="44"/>
  <c r="EE37" i="5"/>
  <c r="FJ37" i="5" s="1"/>
  <c r="AI26" i="44"/>
  <c r="AI20" i="44"/>
  <c r="X54" i="44"/>
  <c r="X40" i="44"/>
  <c r="EE15" i="5"/>
  <c r="FJ15" i="5" s="1"/>
  <c r="G61" i="44"/>
  <c r="X41" i="44"/>
  <c r="X48" i="44"/>
  <c r="X30" i="44"/>
  <c r="X26" i="44"/>
  <c r="G50" i="44"/>
  <c r="EE26" i="5"/>
  <c r="FJ26" i="5" s="1"/>
  <c r="X35" i="44"/>
  <c r="AI24" i="44"/>
  <c r="X20" i="44"/>
  <c r="G52" i="44"/>
  <c r="EE24" i="5"/>
  <c r="FJ24" i="5" s="1"/>
  <c r="X43" i="44"/>
  <c r="EE36" i="5"/>
  <c r="FJ36" i="5" s="1"/>
  <c r="G40" i="44"/>
  <c r="G46" i="44"/>
  <c r="EE30" i="5"/>
  <c r="FJ30" i="5" s="1"/>
  <c r="G54" i="44"/>
  <c r="EE22" i="5"/>
  <c r="FJ22" i="5" s="1"/>
  <c r="EE17" i="5"/>
  <c r="FJ17" i="5" s="1"/>
  <c r="G59" i="44"/>
  <c r="X65" i="44"/>
  <c r="X29" i="44"/>
  <c r="X19" i="44"/>
  <c r="X38" i="44"/>
  <c r="X67" i="44"/>
  <c r="X16" i="44"/>
  <c r="X61" i="44"/>
  <c r="X42" i="44"/>
  <c r="G45" i="44"/>
  <c r="EE31" i="5"/>
  <c r="FJ31" i="5" s="1"/>
  <c r="EE29" i="5"/>
  <c r="FJ29" i="5" s="1"/>
  <c r="G47" i="44"/>
  <c r="X14" i="44"/>
  <c r="X58" i="44"/>
  <c r="G51" i="44"/>
  <c r="EE25" i="5"/>
  <c r="FJ25" i="5" s="1"/>
  <c r="X59" i="44"/>
  <c r="X27" i="44"/>
  <c r="HF38" i="5"/>
  <c r="HF27" i="5"/>
  <c r="G67" i="44"/>
  <c r="EE9" i="5"/>
  <c r="FJ9" i="5" s="1"/>
  <c r="BZ41" i="5"/>
  <c r="HC41" i="5" s="1"/>
  <c r="HR41" i="5" s="1"/>
  <c r="HF40" i="5"/>
  <c r="FK41" i="5"/>
  <c r="HE41" i="5" s="1"/>
  <c r="GS42" i="5"/>
  <c r="K38" i="44"/>
  <c r="AE39" i="44" s="1"/>
  <c r="DT38" i="5"/>
  <c r="FC42" i="5"/>
  <c r="FB42" i="5"/>
  <c r="FF42" i="5"/>
  <c r="FE42" i="5"/>
  <c r="AQ41" i="44"/>
  <c r="AQ42" i="44" s="1"/>
  <c r="BT42" i="5"/>
  <c r="BU42" i="5"/>
  <c r="BQ42" i="5"/>
  <c r="BR42" i="5"/>
  <c r="GQ42" i="5"/>
  <c r="Q18" i="44"/>
  <c r="Q30" i="44"/>
  <c r="Q14" i="44"/>
  <c r="Q13" i="44"/>
  <c r="Q28" i="44"/>
  <c r="Q24" i="44"/>
  <c r="Q22" i="44"/>
  <c r="Q25" i="44"/>
  <c r="Q9" i="44"/>
  <c r="Q26" i="44"/>
  <c r="Q33" i="44"/>
  <c r="Q15" i="44"/>
  <c r="Q36" i="44"/>
  <c r="Q12" i="44"/>
  <c r="Q38" i="44"/>
  <c r="Q17" i="44"/>
  <c r="Q31" i="44"/>
  <c r="Q11" i="44"/>
  <c r="Q37" i="44"/>
  <c r="Q23" i="44"/>
  <c r="Q19" i="44"/>
  <c r="Q20" i="44"/>
  <c r="Q21" i="44"/>
  <c r="Q34" i="44"/>
  <c r="Q29" i="44"/>
  <c r="Q27" i="44"/>
  <c r="Q32" i="44"/>
  <c r="Q16" i="44"/>
  <c r="Q35" i="44"/>
  <c r="Q10" i="44"/>
  <c r="I40" i="44"/>
  <c r="AC37" i="44" s="1"/>
  <c r="H39" i="44"/>
  <c r="AB38" i="44" s="1"/>
  <c r="AI37" i="5"/>
  <c r="AE23" i="14"/>
  <c r="AG22" i="14"/>
  <c r="DL41" i="5" l="1"/>
  <c r="DN41" i="5" s="1"/>
  <c r="Q62" i="44"/>
  <c r="Q52" i="44"/>
  <c r="Q41" i="44"/>
  <c r="Q60" i="44"/>
  <c r="Q47" i="44"/>
  <c r="Q53" i="44"/>
  <c r="Q42" i="44"/>
  <c r="Q64" i="44"/>
  <c r="HJ33" i="5"/>
  <c r="HJ19" i="5"/>
  <c r="HJ11" i="5"/>
  <c r="DD29" i="5"/>
  <c r="DD18" i="5"/>
  <c r="HJ36" i="5"/>
  <c r="HJ17" i="5"/>
  <c r="HJ35" i="5"/>
  <c r="HJ12" i="5"/>
  <c r="HJ28" i="5"/>
  <c r="HJ9" i="5"/>
  <c r="HJ27" i="5"/>
  <c r="HJ25" i="5"/>
  <c r="HF8" i="5"/>
  <c r="HK12" i="5" s="1"/>
  <c r="HJ20" i="5"/>
  <c r="DD23" i="5"/>
  <c r="DD13" i="5"/>
  <c r="DD28" i="5"/>
  <c r="HJ37" i="5"/>
  <c r="HJ29" i="5"/>
  <c r="HJ21" i="5"/>
  <c r="HJ13" i="5"/>
  <c r="HJ34" i="5"/>
  <c r="HJ26" i="5"/>
  <c r="HJ18" i="5"/>
  <c r="HJ10" i="5"/>
  <c r="HJ32" i="5"/>
  <c r="HJ24" i="5"/>
  <c r="HJ16" i="5"/>
  <c r="HJ8" i="5"/>
  <c r="HJ31" i="5"/>
  <c r="HJ23" i="5"/>
  <c r="HJ15" i="5"/>
  <c r="HJ30" i="5"/>
  <c r="HJ22" i="5"/>
  <c r="DD10" i="5"/>
  <c r="DD36" i="5"/>
  <c r="DD24" i="5"/>
  <c r="DD30" i="5"/>
  <c r="DD16" i="5"/>
  <c r="DD33" i="5"/>
  <c r="DD32" i="5"/>
  <c r="DD8" i="5"/>
  <c r="DD20" i="5"/>
  <c r="DD21" i="5"/>
  <c r="DD9" i="5"/>
  <c r="FN15" i="5"/>
  <c r="FN27" i="5"/>
  <c r="FN35" i="5"/>
  <c r="FN16" i="5"/>
  <c r="FN28" i="5"/>
  <c r="FN22" i="5"/>
  <c r="FN17" i="5"/>
  <c r="FN29" i="5"/>
  <c r="FN11" i="5"/>
  <c r="FN24" i="5"/>
  <c r="FN18" i="5"/>
  <c r="FN30" i="5"/>
  <c r="FN36" i="5"/>
  <c r="FN19" i="5"/>
  <c r="FN31" i="5"/>
  <c r="FN20" i="5"/>
  <c r="FN32" i="5"/>
  <c r="FN8" i="5"/>
  <c r="FN9" i="5"/>
  <c r="FN21" i="5"/>
  <c r="FN33" i="5"/>
  <c r="FN13" i="5"/>
  <c r="FN25" i="5"/>
  <c r="FN37" i="5"/>
  <c r="AG29" i="14" s="1"/>
  <c r="AI29" i="14" s="1"/>
  <c r="FN10" i="5"/>
  <c r="FN12" i="5"/>
  <c r="FN14" i="5"/>
  <c r="FN26" i="5"/>
  <c r="FN34" i="5"/>
  <c r="FN23" i="5"/>
  <c r="DD11" i="5"/>
  <c r="DD34" i="5"/>
  <c r="DD22" i="5"/>
  <c r="DD17" i="5"/>
  <c r="DD27" i="5"/>
  <c r="DD15" i="5"/>
  <c r="DD26" i="5"/>
  <c r="DD31" i="5"/>
  <c r="DD14" i="5"/>
  <c r="DD19" i="5"/>
  <c r="DD25" i="5"/>
  <c r="DD37" i="5"/>
  <c r="AE28" i="14"/>
  <c r="CU8" i="5"/>
  <c r="Q39" i="44"/>
  <c r="Q56" i="44"/>
  <c r="Q51" i="44"/>
  <c r="Q49" i="44"/>
  <c r="Q66" i="44"/>
  <c r="Q63" i="44"/>
  <c r="Q58" i="44"/>
  <c r="Q40" i="44"/>
  <c r="Q46" i="44"/>
  <c r="Q57" i="44"/>
  <c r="HF41" i="5"/>
  <c r="HS41" i="5"/>
  <c r="AH40" i="5"/>
  <c r="AC40" i="5"/>
  <c r="AD40" i="5"/>
  <c r="HV8" i="5"/>
  <c r="HV9" i="5"/>
  <c r="HV21" i="5"/>
  <c r="HV33" i="5"/>
  <c r="HV10" i="5"/>
  <c r="HV22" i="5"/>
  <c r="HV34" i="5"/>
  <c r="HV32" i="5"/>
  <c r="HV11" i="5"/>
  <c r="HV23" i="5"/>
  <c r="HV35" i="5"/>
  <c r="HV20" i="5"/>
  <c r="HV12" i="5"/>
  <c r="HV24" i="5"/>
  <c r="HV36" i="5"/>
  <c r="HV13" i="5"/>
  <c r="HV25" i="5"/>
  <c r="HV37" i="5"/>
  <c r="HV14" i="5"/>
  <c r="HV26" i="5"/>
  <c r="HV15" i="5"/>
  <c r="HV27" i="5"/>
  <c r="HV16" i="5"/>
  <c r="HV28" i="5"/>
  <c r="HV31" i="5"/>
  <c r="HV17" i="5"/>
  <c r="HV29" i="5"/>
  <c r="HV18" i="5"/>
  <c r="HV30" i="5"/>
  <c r="HV19" i="5"/>
  <c r="C42" i="44"/>
  <c r="G35" i="44" s="1"/>
  <c r="Y42" i="44" s="1"/>
  <c r="AJ12" i="44"/>
  <c r="AK12" i="44" s="1"/>
  <c r="AJ32" i="44"/>
  <c r="AK32" i="44" s="1"/>
  <c r="AJ29" i="44"/>
  <c r="AK29" i="44" s="1"/>
  <c r="AJ16" i="44"/>
  <c r="AK16" i="44" s="1"/>
  <c r="AJ15" i="44"/>
  <c r="AK15" i="44" s="1"/>
  <c r="AJ31" i="44"/>
  <c r="AK31" i="44" s="1"/>
  <c r="AJ25" i="44"/>
  <c r="AK25" i="44" s="1"/>
  <c r="AJ28" i="44"/>
  <c r="AK28" i="44" s="1"/>
  <c r="AJ26" i="44"/>
  <c r="AK26" i="44" s="1"/>
  <c r="AJ20" i="44"/>
  <c r="AK20" i="44" s="1"/>
  <c r="AJ30" i="44"/>
  <c r="AK30" i="44" s="1"/>
  <c r="AJ27" i="44"/>
  <c r="AK27" i="44" s="1"/>
  <c r="AJ13" i="44"/>
  <c r="AK13" i="44" s="1"/>
  <c r="AJ33" i="44"/>
  <c r="AK33" i="44" s="1"/>
  <c r="Y10" i="44"/>
  <c r="V10" i="44" s="1"/>
  <c r="AA10" i="44" s="1"/>
  <c r="AJ36" i="44"/>
  <c r="AK36" i="44" s="1"/>
  <c r="AJ34" i="44"/>
  <c r="AK34" i="44" s="1"/>
  <c r="AJ14" i="44"/>
  <c r="AK14" i="44" s="1"/>
  <c r="AJ23" i="44"/>
  <c r="AK23" i="44" s="1"/>
  <c r="AJ22" i="44"/>
  <c r="AK22" i="44" s="1"/>
  <c r="AJ37" i="44"/>
  <c r="AK37" i="44" s="1"/>
  <c r="AJ18" i="44"/>
  <c r="AK18" i="44" s="1"/>
  <c r="AJ17" i="44"/>
  <c r="AK17" i="44" s="1"/>
  <c r="AJ19" i="44"/>
  <c r="AK19" i="44" s="1"/>
  <c r="AJ38" i="44"/>
  <c r="AK38" i="44" s="1"/>
  <c r="AJ11" i="44"/>
  <c r="AK11" i="44" s="1"/>
  <c r="AJ35" i="44"/>
  <c r="AK35" i="44" s="1"/>
  <c r="AJ10" i="44"/>
  <c r="AJ21" i="44"/>
  <c r="AK21" i="44" s="1"/>
  <c r="AJ24" i="44"/>
  <c r="AK24" i="44" s="1"/>
  <c r="Q55" i="44"/>
  <c r="DY38" i="5"/>
  <c r="DZ38" i="5" s="1"/>
  <c r="DO41" i="5"/>
  <c r="DL42" i="5" s="1"/>
  <c r="DS41" i="5"/>
  <c r="GS24" i="5"/>
  <c r="GS27" i="5"/>
  <c r="GS37" i="5"/>
  <c r="GS34" i="5"/>
  <c r="GS33" i="5"/>
  <c r="GS23" i="5"/>
  <c r="GS9" i="5"/>
  <c r="GS29" i="5"/>
  <c r="GS16" i="5"/>
  <c r="GS11" i="5"/>
  <c r="GS31" i="5"/>
  <c r="GS17" i="5"/>
  <c r="GS15" i="5"/>
  <c r="GS35" i="5"/>
  <c r="GS22" i="5"/>
  <c r="GS18" i="5"/>
  <c r="GS20" i="5"/>
  <c r="GS12" i="5"/>
  <c r="GS28" i="5"/>
  <c r="GS32" i="5"/>
  <c r="GS8" i="5"/>
  <c r="GS13" i="5"/>
  <c r="GS30" i="5"/>
  <c r="GS26" i="5"/>
  <c r="GS19" i="5"/>
  <c r="GS21" i="5"/>
  <c r="GS25" i="5"/>
  <c r="GS36" i="5"/>
  <c r="GS14" i="5"/>
  <c r="GS10" i="5"/>
  <c r="GH8" i="5"/>
  <c r="GH9" i="5"/>
  <c r="GH21" i="5"/>
  <c r="GH33" i="5"/>
  <c r="GH10" i="5"/>
  <c r="GH22" i="5"/>
  <c r="GH34" i="5"/>
  <c r="GH11" i="5"/>
  <c r="GH23" i="5"/>
  <c r="GH35" i="5"/>
  <c r="GH12" i="5"/>
  <c r="GH24" i="5"/>
  <c r="GH36" i="5"/>
  <c r="GH13" i="5"/>
  <c r="GH25" i="5"/>
  <c r="GH37" i="5"/>
  <c r="GH14" i="5"/>
  <c r="GH26" i="5"/>
  <c r="GH15" i="5"/>
  <c r="GH27" i="5"/>
  <c r="GH16" i="5"/>
  <c r="GH28" i="5"/>
  <c r="GH17" i="5"/>
  <c r="GH29" i="5"/>
  <c r="GH18" i="5"/>
  <c r="GH30" i="5"/>
  <c r="GH32" i="5"/>
  <c r="GH19" i="5"/>
  <c r="GH31" i="5"/>
  <c r="GH20" i="5"/>
  <c r="Q67" i="44"/>
  <c r="Q61" i="44"/>
  <c r="AN37" i="5"/>
  <c r="AO37" i="5" s="1"/>
  <c r="AE36" i="14"/>
  <c r="AE41" i="14" s="1"/>
  <c r="Q54" i="44"/>
  <c r="Q45" i="44"/>
  <c r="AK9" i="44"/>
  <c r="Q65" i="44"/>
  <c r="Q50" i="44"/>
  <c r="Q48" i="44"/>
  <c r="Q43" i="44"/>
  <c r="Q44" i="44"/>
  <c r="Y26" i="44"/>
  <c r="Z26" i="44" s="1"/>
  <c r="Y27" i="44"/>
  <c r="Z27" i="44" s="1"/>
  <c r="Y19" i="44"/>
  <c r="V19" i="44" s="1"/>
  <c r="Y15" i="44"/>
  <c r="Y33" i="44"/>
  <c r="Y22" i="44"/>
  <c r="V22" i="44" s="1"/>
  <c r="Y12" i="44"/>
  <c r="Y36" i="44"/>
  <c r="Z36" i="44" s="1"/>
  <c r="Y31" i="44"/>
  <c r="V31" i="44" s="1"/>
  <c r="Y21" i="44"/>
  <c r="Y34" i="44"/>
  <c r="V34" i="44" s="1"/>
  <c r="Y28" i="44"/>
  <c r="V28" i="44" s="1"/>
  <c r="Y32" i="44"/>
  <c r="V32" i="44" s="1"/>
  <c r="Y37" i="44"/>
  <c r="Z37" i="44" s="1"/>
  <c r="Y25" i="44"/>
  <c r="Z25" i="44" s="1"/>
  <c r="Y38" i="44"/>
  <c r="Z38" i="44" s="1"/>
  <c r="Y39" i="44"/>
  <c r="Z39" i="44" s="1"/>
  <c r="Y41" i="44"/>
  <c r="Z41" i="44" s="1"/>
  <c r="Y40" i="44"/>
  <c r="Z40" i="44" s="1"/>
  <c r="Y20" i="44"/>
  <c r="Z20" i="44" s="1"/>
  <c r="Y13" i="44"/>
  <c r="V13" i="44" s="1"/>
  <c r="Y11" i="44"/>
  <c r="Y24" i="44"/>
  <c r="Z24" i="44" s="1"/>
  <c r="Y14" i="44"/>
  <c r="Z14" i="44" s="1"/>
  <c r="V9" i="44"/>
  <c r="Y30" i="44"/>
  <c r="Z30" i="44" s="1"/>
  <c r="Y18" i="44"/>
  <c r="Z18" i="44" s="1"/>
  <c r="Y23" i="44"/>
  <c r="Z23" i="44" s="1"/>
  <c r="Y16" i="44"/>
  <c r="Z16" i="44" s="1"/>
  <c r="Y29" i="44"/>
  <c r="Z29" i="44" s="1"/>
  <c r="Y35" i="44"/>
  <c r="Z35" i="44" s="1"/>
  <c r="Y17" i="44"/>
  <c r="Z17" i="44" s="1"/>
  <c r="Q59" i="44"/>
  <c r="BV42" i="5"/>
  <c r="CH42" i="5" s="1"/>
  <c r="FG42" i="5"/>
  <c r="FS42" i="5" s="1"/>
  <c r="BW42" i="5"/>
  <c r="M34" i="44" s="1"/>
  <c r="AH43" i="44" s="1"/>
  <c r="FH42" i="5"/>
  <c r="FD42" i="5"/>
  <c r="EF43" i="5"/>
  <c r="EG43" i="5"/>
  <c r="EE43" i="5"/>
  <c r="FA43" i="5"/>
  <c r="DU38" i="5"/>
  <c r="L38" i="44" s="1"/>
  <c r="AF39" i="44" s="1"/>
  <c r="GT42" i="5"/>
  <c r="BP43" i="5"/>
  <c r="AT43" i="5"/>
  <c r="AU43" i="5"/>
  <c r="AV43" i="5"/>
  <c r="BS42" i="5"/>
  <c r="AA38" i="14"/>
  <c r="AJ37" i="5"/>
  <c r="AG23" i="14"/>
  <c r="HK11" i="5" l="1"/>
  <c r="HK37" i="5"/>
  <c r="HK29" i="5"/>
  <c r="HK35" i="5"/>
  <c r="HK27" i="5"/>
  <c r="HK21" i="5"/>
  <c r="HK19" i="5"/>
  <c r="HK13" i="5"/>
  <c r="HK34" i="5"/>
  <c r="HK26" i="5"/>
  <c r="HK18" i="5"/>
  <c r="HK10" i="5"/>
  <c r="HK33" i="5"/>
  <c r="HK25" i="5"/>
  <c r="HK17" i="5"/>
  <c r="HK9" i="5"/>
  <c r="HK32" i="5"/>
  <c r="HK24" i="5"/>
  <c r="HK16" i="5"/>
  <c r="HK8" i="5"/>
  <c r="HK31" i="5"/>
  <c r="HK23" i="5"/>
  <c r="HK15" i="5"/>
  <c r="HK30" i="5"/>
  <c r="HK22" i="5"/>
  <c r="HK14" i="5"/>
  <c r="HK36" i="5"/>
  <c r="HK28" i="5"/>
  <c r="HK20" i="5"/>
  <c r="FJ43" i="5"/>
  <c r="AE27" i="14"/>
  <c r="BY43" i="5"/>
  <c r="AI30" i="14"/>
  <c r="AB41" i="5"/>
  <c r="AC41" i="5" s="1"/>
  <c r="GT26" i="5"/>
  <c r="GT17" i="5"/>
  <c r="GT30" i="5"/>
  <c r="GT31" i="5"/>
  <c r="GT13" i="5"/>
  <c r="GT11" i="5"/>
  <c r="GT22" i="5"/>
  <c r="GT35" i="5"/>
  <c r="GT8" i="5"/>
  <c r="GY8" i="5" s="1"/>
  <c r="GT16" i="5"/>
  <c r="GT27" i="5"/>
  <c r="GT32" i="5"/>
  <c r="GT29" i="5"/>
  <c r="GT21" i="5"/>
  <c r="GT19" i="5"/>
  <c r="GT28" i="5"/>
  <c r="GT9" i="5"/>
  <c r="GT10" i="5"/>
  <c r="GT12" i="5"/>
  <c r="GT23" i="5"/>
  <c r="GT37" i="5"/>
  <c r="GT24" i="5"/>
  <c r="GT14" i="5"/>
  <c r="GT20" i="5"/>
  <c r="GT33" i="5"/>
  <c r="GT25" i="5"/>
  <c r="GT15" i="5"/>
  <c r="GT36" i="5"/>
  <c r="GT18" i="5"/>
  <c r="GT34" i="5"/>
  <c r="O34" i="44"/>
  <c r="AJ43" i="44" s="1"/>
  <c r="AK43" i="44" s="1"/>
  <c r="Z10" i="44"/>
  <c r="AK10" i="44"/>
  <c r="Z42" i="44"/>
  <c r="AP37" i="5"/>
  <c r="BX37" i="5" s="1"/>
  <c r="CF37" i="5" s="1"/>
  <c r="DO42" i="5"/>
  <c r="DS42" i="5"/>
  <c r="GX9" i="5"/>
  <c r="GX21" i="5"/>
  <c r="GX33" i="5"/>
  <c r="GX10" i="5"/>
  <c r="GX22" i="5"/>
  <c r="GX34" i="5"/>
  <c r="GX11" i="5"/>
  <c r="GX23" i="5"/>
  <c r="GX35" i="5"/>
  <c r="GX12" i="5"/>
  <c r="GX24" i="5"/>
  <c r="GX36" i="5"/>
  <c r="GX13" i="5"/>
  <c r="GX25" i="5"/>
  <c r="GX37" i="5"/>
  <c r="GX14" i="5"/>
  <c r="GX26" i="5"/>
  <c r="GX15" i="5"/>
  <c r="GX27" i="5"/>
  <c r="GX16" i="5"/>
  <c r="GX28" i="5"/>
  <c r="GX17" i="5"/>
  <c r="GX29" i="5"/>
  <c r="GX18" i="5"/>
  <c r="GX30" i="5"/>
  <c r="GX19" i="5"/>
  <c r="GX31" i="5"/>
  <c r="GX20" i="5"/>
  <c r="GX32" i="5"/>
  <c r="GX8" i="5"/>
  <c r="Z34" i="44"/>
  <c r="Z19" i="44"/>
  <c r="Z22" i="44"/>
  <c r="V24" i="44"/>
  <c r="AA24" i="44" s="1"/>
  <c r="S10" i="44"/>
  <c r="Z31" i="44"/>
  <c r="V26" i="44"/>
  <c r="AA26" i="44" s="1"/>
  <c r="V20" i="44"/>
  <c r="AA20" i="44" s="1"/>
  <c r="V23" i="44"/>
  <c r="S23" i="44" s="1"/>
  <c r="AL23" i="44" s="1"/>
  <c r="V39" i="44"/>
  <c r="S39" i="44" s="1"/>
  <c r="AL39" i="44" s="1"/>
  <c r="V25" i="44"/>
  <c r="S25" i="44" s="1"/>
  <c r="AL25" i="44" s="1"/>
  <c r="V14" i="44"/>
  <c r="S14" i="44" s="1"/>
  <c r="AL14" i="44" s="1"/>
  <c r="Z32" i="44"/>
  <c r="V27" i="44"/>
  <c r="S27" i="44" s="1"/>
  <c r="AL27" i="44" s="1"/>
  <c r="V29" i="44"/>
  <c r="S29" i="44" s="1"/>
  <c r="AL29" i="44" s="1"/>
  <c r="V35" i="44"/>
  <c r="S35" i="44" s="1"/>
  <c r="AL35" i="44" s="1"/>
  <c r="Z28" i="44"/>
  <c r="AA34" i="44"/>
  <c r="S34" i="44"/>
  <c r="AL34" i="44" s="1"/>
  <c r="S28" i="44"/>
  <c r="AL28" i="44" s="1"/>
  <c r="AA28" i="44"/>
  <c r="S32" i="44"/>
  <c r="AL32" i="44" s="1"/>
  <c r="AA32" i="44"/>
  <c r="V11" i="44"/>
  <c r="Z11" i="44"/>
  <c r="V41" i="44"/>
  <c r="V18" i="44"/>
  <c r="V12" i="44"/>
  <c r="Z12" i="44"/>
  <c r="V36" i="44"/>
  <c r="V15" i="44"/>
  <c r="Z15" i="44"/>
  <c r="S13" i="44"/>
  <c r="AL13" i="44" s="1"/>
  <c r="AA13" i="44"/>
  <c r="S31" i="44"/>
  <c r="AL31" i="44" s="1"/>
  <c r="AA31" i="44"/>
  <c r="Z13" i="44"/>
  <c r="S19" i="44"/>
  <c r="AL19" i="44" s="1"/>
  <c r="AA19" i="44"/>
  <c r="V37" i="44"/>
  <c r="AA22" i="44"/>
  <c r="S22" i="44"/>
  <c r="AL22" i="44" s="1"/>
  <c r="V30" i="44"/>
  <c r="V38" i="44"/>
  <c r="V17" i="44"/>
  <c r="S9" i="44"/>
  <c r="AA9" i="44"/>
  <c r="V40" i="44"/>
  <c r="Z21" i="44"/>
  <c r="V21" i="44"/>
  <c r="V16" i="44"/>
  <c r="V33" i="44"/>
  <c r="Z33" i="44"/>
  <c r="DN42" i="5"/>
  <c r="C43" i="44"/>
  <c r="G34" i="44" s="1"/>
  <c r="Y43" i="44" s="1"/>
  <c r="Z43" i="44" s="1"/>
  <c r="BZ42" i="5"/>
  <c r="HC42" i="5" s="1"/>
  <c r="HR42" i="5" s="1"/>
  <c r="FK42" i="5"/>
  <c r="HE42" i="5" s="1"/>
  <c r="FE43" i="5"/>
  <c r="FF43" i="5"/>
  <c r="GS43" i="5"/>
  <c r="FB43" i="5"/>
  <c r="FC43" i="5"/>
  <c r="EE44" i="5"/>
  <c r="EF44" i="5"/>
  <c r="EG44" i="5"/>
  <c r="FA44" i="5"/>
  <c r="K37" i="44"/>
  <c r="AE40" i="44" s="1"/>
  <c r="DT39" i="5"/>
  <c r="AT44" i="5"/>
  <c r="BP44" i="5"/>
  <c r="AU44" i="5"/>
  <c r="AV44" i="5"/>
  <c r="BR43" i="5"/>
  <c r="BQ43" i="5"/>
  <c r="BU43" i="5"/>
  <c r="BT43" i="5"/>
  <c r="GQ43" i="5"/>
  <c r="AQ43" i="44"/>
  <c r="BQ44" i="5"/>
  <c r="Q68" i="44"/>
  <c r="AI38" i="5"/>
  <c r="H38" i="44"/>
  <c r="AB39" i="44" s="1"/>
  <c r="I39" i="44"/>
  <c r="AC38" i="44" s="1"/>
  <c r="AE21" i="14"/>
  <c r="AE50" i="14"/>
  <c r="AC22" i="14"/>
  <c r="AL9" i="44" l="1"/>
  <c r="AQ9" i="44" s="1"/>
  <c r="AG10" i="44"/>
  <c r="AL10" i="44"/>
  <c r="AV10" i="44" s="1"/>
  <c r="AN27" i="44"/>
  <c r="AX27" i="44" s="1"/>
  <c r="AN9" i="44"/>
  <c r="AN10" i="44"/>
  <c r="AX10" i="44" s="1"/>
  <c r="AN11" i="44"/>
  <c r="AX11" i="44" s="1"/>
  <c r="AN18" i="44"/>
  <c r="AX18" i="44" s="1"/>
  <c r="AN29" i="44"/>
  <c r="AX29" i="44" s="1"/>
  <c r="AN17" i="44"/>
  <c r="AX17" i="44" s="1"/>
  <c r="AN16" i="44"/>
  <c r="AX16" i="44" s="1"/>
  <c r="AN25" i="44"/>
  <c r="AX25" i="44" s="1"/>
  <c r="AN21" i="44"/>
  <c r="AX21" i="44" s="1"/>
  <c r="AN24" i="44"/>
  <c r="AX24" i="44" s="1"/>
  <c r="AN12" i="44"/>
  <c r="AX12" i="44" s="1"/>
  <c r="AN37" i="44"/>
  <c r="AX37" i="44" s="1"/>
  <c r="AN20" i="44"/>
  <c r="AX20" i="44" s="1"/>
  <c r="AN28" i="44"/>
  <c r="AX28" i="44" s="1"/>
  <c r="AN33" i="44"/>
  <c r="AX33" i="44" s="1"/>
  <c r="AN32" i="44"/>
  <c r="AX32" i="44" s="1"/>
  <c r="AN13" i="44"/>
  <c r="AX13" i="44" s="1"/>
  <c r="AN15" i="44"/>
  <c r="AX15" i="44" s="1"/>
  <c r="AN36" i="44"/>
  <c r="AX36" i="44" s="1"/>
  <c r="AN14" i="44"/>
  <c r="AX14" i="44" s="1"/>
  <c r="AN35" i="44"/>
  <c r="AX35" i="44" s="1"/>
  <c r="AN19" i="44"/>
  <c r="AX19" i="44" s="1"/>
  <c r="AN38" i="44"/>
  <c r="AX38" i="44" s="1"/>
  <c r="AN30" i="44"/>
  <c r="AX30" i="44" s="1"/>
  <c r="AN22" i="44"/>
  <c r="AX22" i="44" s="1"/>
  <c r="AN23" i="44"/>
  <c r="AX23" i="44" s="1"/>
  <c r="AN34" i="44"/>
  <c r="AX34" i="44" s="1"/>
  <c r="AN31" i="44"/>
  <c r="AX31" i="44" s="1"/>
  <c r="AN26" i="44"/>
  <c r="AX26" i="44" s="1"/>
  <c r="AD41" i="5"/>
  <c r="AB42" i="5" s="1"/>
  <c r="E35" i="44"/>
  <c r="W42" i="44" s="1"/>
  <c r="V42" i="44" s="1"/>
  <c r="S42" i="44" s="1"/>
  <c r="AH41" i="5"/>
  <c r="FJ44" i="5"/>
  <c r="BY44" i="5"/>
  <c r="HF42" i="5"/>
  <c r="HS42" i="5"/>
  <c r="GY9" i="5"/>
  <c r="GY10" i="5"/>
  <c r="GY18" i="5"/>
  <c r="GY13" i="5"/>
  <c r="GY12" i="5"/>
  <c r="GY15" i="5"/>
  <c r="GY36" i="5"/>
  <c r="GY11" i="5"/>
  <c r="GY27" i="5"/>
  <c r="GY16" i="5"/>
  <c r="GY14" i="5"/>
  <c r="GY19" i="5"/>
  <c r="GY17" i="5"/>
  <c r="GY24" i="5"/>
  <c r="GY32" i="5"/>
  <c r="GY23" i="5"/>
  <c r="GY30" i="5"/>
  <c r="GY34" i="5"/>
  <c r="GY26" i="5"/>
  <c r="GY22" i="5"/>
  <c r="GY29" i="5"/>
  <c r="GY20" i="5"/>
  <c r="GY31" i="5"/>
  <c r="GY37" i="5"/>
  <c r="GY33" i="5"/>
  <c r="GY28" i="5"/>
  <c r="GY35" i="5"/>
  <c r="GY25" i="5"/>
  <c r="GY21" i="5"/>
  <c r="FX37" i="5"/>
  <c r="GB37" i="5" s="1"/>
  <c r="DL43" i="5"/>
  <c r="C44" i="44" s="1"/>
  <c r="G33" i="44" s="1"/>
  <c r="Y44" i="44" s="1"/>
  <c r="Z44" i="44" s="1"/>
  <c r="DY39" i="5"/>
  <c r="DZ39" i="5" s="1"/>
  <c r="AN38" i="5"/>
  <c r="AO38" i="5" s="1"/>
  <c r="S24" i="44"/>
  <c r="AL24" i="44" s="1"/>
  <c r="AA25" i="44"/>
  <c r="AA39" i="44"/>
  <c r="AA23" i="44"/>
  <c r="AA29" i="44"/>
  <c r="S20" i="44"/>
  <c r="S26" i="44"/>
  <c r="AL26" i="44" s="1"/>
  <c r="AA27" i="44"/>
  <c r="AA14" i="44"/>
  <c r="AA35" i="44"/>
  <c r="AG27" i="44"/>
  <c r="S16" i="44"/>
  <c r="AL16" i="44" s="1"/>
  <c r="AA16" i="44"/>
  <c r="AG14" i="44"/>
  <c r="AA17" i="44"/>
  <c r="S17" i="44"/>
  <c r="AL17" i="44" s="1"/>
  <c r="S30" i="44"/>
  <c r="AL30" i="44" s="1"/>
  <c r="AA30" i="44"/>
  <c r="AG25" i="44"/>
  <c r="AA15" i="44"/>
  <c r="S15" i="44"/>
  <c r="AL15" i="44" s="1"/>
  <c r="S18" i="44"/>
  <c r="AL18" i="44" s="1"/>
  <c r="AA18" i="44"/>
  <c r="S21" i="44"/>
  <c r="AL21" i="44" s="1"/>
  <c r="AA21" i="44"/>
  <c r="S40" i="44"/>
  <c r="AL40" i="44" s="1"/>
  <c r="AA40" i="44"/>
  <c r="AG9" i="44"/>
  <c r="AG22" i="44"/>
  <c r="AG31" i="44"/>
  <c r="AA36" i="44"/>
  <c r="S36" i="44"/>
  <c r="AL36" i="44" s="1"/>
  <c r="AA41" i="44"/>
  <c r="S41" i="44"/>
  <c r="AL41" i="44" s="1"/>
  <c r="AG23" i="44"/>
  <c r="AG28" i="44"/>
  <c r="AG39" i="44"/>
  <c r="AV39" i="44"/>
  <c r="AG19" i="44"/>
  <c r="AG29" i="44"/>
  <c r="AG34" i="44"/>
  <c r="AA33" i="44"/>
  <c r="S33" i="44"/>
  <c r="AL33" i="44" s="1"/>
  <c r="S38" i="44"/>
  <c r="AL38" i="44" s="1"/>
  <c r="AA38" i="44"/>
  <c r="AA37" i="44"/>
  <c r="S37" i="44"/>
  <c r="AL37" i="44" s="1"/>
  <c r="AG35" i="44"/>
  <c r="AG13" i="44"/>
  <c r="S12" i="44"/>
  <c r="AL12" i="44" s="1"/>
  <c r="AA12" i="44"/>
  <c r="S11" i="44"/>
  <c r="AA11" i="44"/>
  <c r="AG32" i="44"/>
  <c r="BV43" i="5"/>
  <c r="CH43" i="5" s="1"/>
  <c r="BT44" i="5"/>
  <c r="GQ44" i="5"/>
  <c r="FA45" i="5"/>
  <c r="EG45" i="5"/>
  <c r="FC44" i="5"/>
  <c r="FB44" i="5"/>
  <c r="DU39" i="5"/>
  <c r="L37" i="44" s="1"/>
  <c r="AF40" i="44" s="1"/>
  <c r="FE44" i="5"/>
  <c r="FF44" i="5"/>
  <c r="FD43" i="5"/>
  <c r="FH43" i="5"/>
  <c r="O33" i="44" s="1"/>
  <c r="AJ44" i="44" s="1"/>
  <c r="AK44" i="44" s="1"/>
  <c r="GT43" i="5"/>
  <c r="GS44" i="5"/>
  <c r="FG43" i="5"/>
  <c r="FS43" i="5" s="1"/>
  <c r="BP45" i="5"/>
  <c r="AU45" i="5"/>
  <c r="AT45" i="5"/>
  <c r="AV45" i="5"/>
  <c r="BW43" i="5"/>
  <c r="M33" i="44" s="1"/>
  <c r="AH44" i="44" s="1"/>
  <c r="BS43" i="5"/>
  <c r="BR44" i="5"/>
  <c r="BS44" i="5" s="1"/>
  <c r="BU45" i="5"/>
  <c r="BT45" i="5"/>
  <c r="AX41" i="44"/>
  <c r="AX57" i="44"/>
  <c r="AX53" i="44"/>
  <c r="AX68" i="44"/>
  <c r="AX49" i="44"/>
  <c r="AX52" i="44"/>
  <c r="AX43" i="44"/>
  <c r="AX62" i="44"/>
  <c r="AX67" i="44"/>
  <c r="AX63" i="44"/>
  <c r="AX45" i="44"/>
  <c r="AX65" i="44"/>
  <c r="AX42" i="44"/>
  <c r="AX58" i="44"/>
  <c r="AX44" i="44"/>
  <c r="AX60" i="44"/>
  <c r="AX48" i="44"/>
  <c r="AX64" i="44"/>
  <c r="AX51" i="44"/>
  <c r="AX66" i="44"/>
  <c r="AX55" i="44"/>
  <c r="AX46" i="44"/>
  <c r="AX40" i="44"/>
  <c r="AX50" i="44"/>
  <c r="AX47" i="44"/>
  <c r="AX39" i="44"/>
  <c r="AX59" i="44"/>
  <c r="AX56" i="44"/>
  <c r="AX54" i="44"/>
  <c r="AX61" i="44"/>
  <c r="AJ38" i="5"/>
  <c r="K74" i="14"/>
  <c r="AA21" i="14"/>
  <c r="K48" i="14"/>
  <c r="BL2" i="14"/>
  <c r="AL11" i="44" l="1"/>
  <c r="AG20" i="44"/>
  <c r="AL20" i="44"/>
  <c r="AG42" i="44"/>
  <c r="AL42" i="44"/>
  <c r="AV42" i="44" s="1"/>
  <c r="AC42" i="5"/>
  <c r="E34" i="44"/>
  <c r="W43" i="44" s="1"/>
  <c r="V43" i="44" s="1"/>
  <c r="AA43" i="44" s="1"/>
  <c r="AH42" i="5"/>
  <c r="AD42" i="5"/>
  <c r="AA42" i="44"/>
  <c r="BY45" i="5"/>
  <c r="DN43" i="5"/>
  <c r="DO43" i="5"/>
  <c r="HO37" i="5"/>
  <c r="GT44" i="5"/>
  <c r="DS43" i="5"/>
  <c r="AG24" i="44"/>
  <c r="BU44" i="5"/>
  <c r="BV44" i="5" s="1"/>
  <c r="AG26" i="44"/>
  <c r="AG12" i="44"/>
  <c r="AG38" i="44"/>
  <c r="AG21" i="44"/>
  <c r="AG17" i="44"/>
  <c r="AG37" i="44"/>
  <c r="AG33" i="44"/>
  <c r="AG36" i="44"/>
  <c r="AG16" i="44"/>
  <c r="AG11" i="44"/>
  <c r="AV40" i="44"/>
  <c r="AG40" i="44"/>
  <c r="AG18" i="44"/>
  <c r="AV41" i="44"/>
  <c r="AG41" i="44"/>
  <c r="AQ10" i="44"/>
  <c r="AV9" i="44"/>
  <c r="AG15" i="44"/>
  <c r="AG30" i="44"/>
  <c r="BZ43" i="5"/>
  <c r="HC43" i="5" s="1"/>
  <c r="HR43" i="5" s="1"/>
  <c r="BR45" i="5"/>
  <c r="FK43" i="5"/>
  <c r="HE43" i="5" s="1"/>
  <c r="HS43" i="5" s="1"/>
  <c r="EF45" i="5"/>
  <c r="GQ45" i="5"/>
  <c r="FG44" i="5"/>
  <c r="FS44" i="5" s="1"/>
  <c r="FA46" i="5"/>
  <c r="EE46" i="5"/>
  <c r="FC45" i="5"/>
  <c r="FB45" i="5"/>
  <c r="FF45" i="5"/>
  <c r="FE45" i="5"/>
  <c r="DT40" i="5"/>
  <c r="K36" i="44"/>
  <c r="AE41" i="44" s="1"/>
  <c r="FD44" i="5"/>
  <c r="FH44" i="5"/>
  <c r="O32" i="44" s="1"/>
  <c r="AJ45" i="44" s="1"/>
  <c r="AK45" i="44" s="1"/>
  <c r="AQ44" i="44"/>
  <c r="BV45" i="5"/>
  <c r="CH45" i="5" s="1"/>
  <c r="AX9" i="44"/>
  <c r="BC9" i="44" s="1"/>
  <c r="BC10" i="44" s="1"/>
  <c r="BC11" i="44" s="1"/>
  <c r="BC12" i="44" s="1"/>
  <c r="BC13" i="44" s="1"/>
  <c r="BC14" i="44" s="1"/>
  <c r="BC15" i="44" s="1"/>
  <c r="BC16" i="44" s="1"/>
  <c r="BC17" i="44" s="1"/>
  <c r="BC18" i="44" s="1"/>
  <c r="BC19" i="44" s="1"/>
  <c r="BC20" i="44" s="1"/>
  <c r="BC21" i="44" s="1"/>
  <c r="BC22" i="44" s="1"/>
  <c r="BC23" i="44" s="1"/>
  <c r="BC24" i="44" s="1"/>
  <c r="BC25" i="44" s="1"/>
  <c r="BC26" i="44" s="1"/>
  <c r="BC27" i="44" s="1"/>
  <c r="BC28" i="44" s="1"/>
  <c r="BC29" i="44" s="1"/>
  <c r="BC30" i="44" s="1"/>
  <c r="BC31" i="44" s="1"/>
  <c r="BC32" i="44" s="1"/>
  <c r="BC33" i="44" s="1"/>
  <c r="BC34" i="44" s="1"/>
  <c r="BC35" i="44" s="1"/>
  <c r="BC36" i="44" s="1"/>
  <c r="BC37" i="44" s="1"/>
  <c r="BC38" i="44" s="1"/>
  <c r="AS9" i="44"/>
  <c r="AS10" i="44" s="1"/>
  <c r="AS11" i="44" s="1"/>
  <c r="AS12" i="44" s="1"/>
  <c r="AS13" i="44" s="1"/>
  <c r="AS14" i="44" s="1"/>
  <c r="AS15" i="44" s="1"/>
  <c r="AS16" i="44" s="1"/>
  <c r="AS17" i="44" s="1"/>
  <c r="AS18" i="44" s="1"/>
  <c r="AS19" i="44" s="1"/>
  <c r="AS20" i="44" s="1"/>
  <c r="AS21" i="44" s="1"/>
  <c r="AS22" i="44" s="1"/>
  <c r="AS23" i="44" s="1"/>
  <c r="AS24" i="44" s="1"/>
  <c r="AS25" i="44" s="1"/>
  <c r="AS26" i="44" s="1"/>
  <c r="AS27" i="44" s="1"/>
  <c r="AS28" i="44" s="1"/>
  <c r="AS29" i="44" s="1"/>
  <c r="AS30" i="44" s="1"/>
  <c r="AS31" i="44" s="1"/>
  <c r="AS32" i="44" s="1"/>
  <c r="AS33" i="44" s="1"/>
  <c r="AS34" i="44" s="1"/>
  <c r="AS35" i="44" s="1"/>
  <c r="AS36" i="44" s="1"/>
  <c r="AS37" i="44" s="1"/>
  <c r="AS38" i="44" s="1"/>
  <c r="AS39" i="44" s="1"/>
  <c r="AS40" i="44" s="1"/>
  <c r="AS41" i="44" s="1"/>
  <c r="AS42" i="44" s="1"/>
  <c r="AS43" i="44" s="1"/>
  <c r="AS44" i="44" s="1"/>
  <c r="AS45" i="44" s="1"/>
  <c r="AS46" i="44" s="1"/>
  <c r="AS47" i="44" s="1"/>
  <c r="AS48" i="44" s="1"/>
  <c r="AS49" i="44" s="1"/>
  <c r="AS50" i="44" s="1"/>
  <c r="AS51" i="44" s="1"/>
  <c r="AS52" i="44" s="1"/>
  <c r="AS53" i="44" s="1"/>
  <c r="AS54" i="44" s="1"/>
  <c r="AS55" i="44" s="1"/>
  <c r="AS56" i="44" s="1"/>
  <c r="AS57" i="44" s="1"/>
  <c r="AS58" i="44" s="1"/>
  <c r="AS59" i="44" s="1"/>
  <c r="AS60" i="44" s="1"/>
  <c r="AS61" i="44" s="1"/>
  <c r="AS62" i="44" s="1"/>
  <c r="AS63" i="44" s="1"/>
  <c r="AS64" i="44" s="1"/>
  <c r="AS65" i="44" s="1"/>
  <c r="AS66" i="44" s="1"/>
  <c r="AS67" i="44" s="1"/>
  <c r="AS68" i="44" s="1"/>
  <c r="AI39" i="5"/>
  <c r="H37" i="44"/>
  <c r="AB40" i="44" s="1"/>
  <c r="I38" i="44"/>
  <c r="AC39" i="44" s="1"/>
  <c r="AC23" i="14"/>
  <c r="AA23" i="14"/>
  <c r="BA9" i="44" l="1"/>
  <c r="BA10" i="44" s="1"/>
  <c r="S43" i="44"/>
  <c r="DL44" i="5"/>
  <c r="C45" i="44" s="1"/>
  <c r="G32" i="44" s="1"/>
  <c r="Y45" i="44" s="1"/>
  <c r="Z45" i="44" s="1"/>
  <c r="AB43" i="5"/>
  <c r="AC43" i="5" s="1"/>
  <c r="E33" i="44"/>
  <c r="W44" i="44" s="1"/>
  <c r="V44" i="44" s="1"/>
  <c r="AA44" i="44" s="1"/>
  <c r="BW44" i="5"/>
  <c r="M32" i="44" s="1"/>
  <c r="AH45" i="44" s="1"/>
  <c r="DO44" i="5"/>
  <c r="DY40" i="5"/>
  <c r="DZ40" i="5" s="1"/>
  <c r="BZ44" i="5"/>
  <c r="HC44" i="5" s="1"/>
  <c r="HR44" i="5" s="1"/>
  <c r="CH44" i="5"/>
  <c r="AN39" i="5"/>
  <c r="AO39" i="5" s="1"/>
  <c r="BC39" i="44"/>
  <c r="BC40" i="44" s="1"/>
  <c r="BC41" i="44" s="1"/>
  <c r="BC42" i="44" s="1"/>
  <c r="BC43" i="44" s="1"/>
  <c r="BC44" i="44" s="1"/>
  <c r="BC45" i="44" s="1"/>
  <c r="BC46" i="44" s="1"/>
  <c r="BC47" i="44" s="1"/>
  <c r="BC48" i="44" s="1"/>
  <c r="BC49" i="44" s="1"/>
  <c r="BC50" i="44" s="1"/>
  <c r="BC51" i="44" s="1"/>
  <c r="BC52" i="44" s="1"/>
  <c r="BC53" i="44" s="1"/>
  <c r="BC54" i="44" s="1"/>
  <c r="BC55" i="44" s="1"/>
  <c r="BC56" i="44" s="1"/>
  <c r="BC57" i="44" s="1"/>
  <c r="BC58" i="44" s="1"/>
  <c r="BC59" i="44" s="1"/>
  <c r="BC60" i="44" s="1"/>
  <c r="BC61" i="44" s="1"/>
  <c r="BC62" i="44" s="1"/>
  <c r="BC63" i="44" s="1"/>
  <c r="BC64" i="44" s="1"/>
  <c r="BC65" i="44" s="1"/>
  <c r="BC66" i="44" s="1"/>
  <c r="BC67" i="44" s="1"/>
  <c r="BC68" i="44" s="1"/>
  <c r="EE45" i="5"/>
  <c r="FJ45" i="5" s="1"/>
  <c r="AQ45" i="44"/>
  <c r="EG46" i="5"/>
  <c r="HF43" i="5"/>
  <c r="FK44" i="5"/>
  <c r="HE44" i="5" s="1"/>
  <c r="EE47" i="5"/>
  <c r="EF47" i="5"/>
  <c r="FC46" i="5"/>
  <c r="FB46" i="5"/>
  <c r="FG45" i="5"/>
  <c r="FS45" i="5" s="1"/>
  <c r="FF46" i="5"/>
  <c r="FE46" i="5"/>
  <c r="FH45" i="5"/>
  <c r="O31" i="44" s="1"/>
  <c r="AJ46" i="44" s="1"/>
  <c r="AK46" i="44" s="1"/>
  <c r="FD45" i="5"/>
  <c r="DU40" i="5"/>
  <c r="L36" i="44" s="1"/>
  <c r="AF41" i="44" s="1"/>
  <c r="AT46" i="5"/>
  <c r="AV46" i="5"/>
  <c r="AU46" i="5"/>
  <c r="BP46" i="5"/>
  <c r="AJ39" i="5"/>
  <c r="DN44" i="5" l="1"/>
  <c r="AG43" i="44"/>
  <c r="AL43" i="44"/>
  <c r="AV43" i="44" s="1"/>
  <c r="S44" i="44"/>
  <c r="DS44" i="5"/>
  <c r="AD43" i="5"/>
  <c r="AB44" i="5" s="1"/>
  <c r="AH43" i="5"/>
  <c r="BY46" i="5"/>
  <c r="HF44" i="5"/>
  <c r="HS44" i="5"/>
  <c r="DL45" i="5"/>
  <c r="DS45" i="5" s="1"/>
  <c r="GS45" i="5"/>
  <c r="EF46" i="5"/>
  <c r="FJ46" i="5" s="1"/>
  <c r="FA47" i="5"/>
  <c r="FK45" i="5"/>
  <c r="HE45" i="5" s="1"/>
  <c r="HF45" i="5" s="1"/>
  <c r="FG46" i="5"/>
  <c r="FS46" i="5" s="1"/>
  <c r="FE47" i="5"/>
  <c r="FF47" i="5"/>
  <c r="FH46" i="5"/>
  <c r="O30" i="44" s="1"/>
  <c r="AJ47" i="44" s="1"/>
  <c r="AK47" i="44" s="1"/>
  <c r="FD46" i="5"/>
  <c r="FC47" i="5"/>
  <c r="FB47" i="5"/>
  <c r="DT41" i="5"/>
  <c r="K35" i="44"/>
  <c r="AE42" i="44" s="1"/>
  <c r="BT46" i="5"/>
  <c r="BU46" i="5"/>
  <c r="BR46" i="5"/>
  <c r="BQ46" i="5"/>
  <c r="GQ46" i="5"/>
  <c r="I37" i="44"/>
  <c r="AC40" i="44" s="1"/>
  <c r="H36" i="44"/>
  <c r="AB41" i="44" s="1"/>
  <c r="AI40" i="5"/>
  <c r="DO45" i="5" l="1"/>
  <c r="AL44" i="44"/>
  <c r="AV44" i="44" s="1"/>
  <c r="AG44" i="44"/>
  <c r="AD44" i="5"/>
  <c r="E32" i="44"/>
  <c r="W45" i="44" s="1"/>
  <c r="V45" i="44" s="1"/>
  <c r="AA45" i="44" s="1"/>
  <c r="AC44" i="5"/>
  <c r="AH44" i="5"/>
  <c r="C46" i="44"/>
  <c r="G31" i="44" s="1"/>
  <c r="Y46" i="44" s="1"/>
  <c r="Z46" i="44" s="1"/>
  <c r="HS45" i="5"/>
  <c r="DN45" i="5"/>
  <c r="DL46" i="5" s="1"/>
  <c r="DS46" i="5" s="1"/>
  <c r="GT45" i="5"/>
  <c r="BQ45" i="5"/>
  <c r="DY41" i="5"/>
  <c r="DZ41" i="5" s="1"/>
  <c r="GS46" i="5"/>
  <c r="AN40" i="5"/>
  <c r="AO40" i="5" s="1"/>
  <c r="EG47" i="5"/>
  <c r="FJ47" i="5" s="1"/>
  <c r="FK46" i="5"/>
  <c r="HE46" i="5" s="1"/>
  <c r="HF46" i="5" s="1"/>
  <c r="AQ46" i="44"/>
  <c r="FA48" i="5"/>
  <c r="EE48" i="5"/>
  <c r="EF48" i="5"/>
  <c r="EG48" i="5"/>
  <c r="DU41" i="5"/>
  <c r="L35" i="44" s="1"/>
  <c r="AF42" i="44" s="1"/>
  <c r="FG47" i="5"/>
  <c r="FS47" i="5" s="1"/>
  <c r="FH47" i="5"/>
  <c r="O29" i="44" s="1"/>
  <c r="AJ48" i="44" s="1"/>
  <c r="AK48" i="44" s="1"/>
  <c r="FD47" i="5"/>
  <c r="BS46" i="5"/>
  <c r="BW46" i="5"/>
  <c r="M30" i="44" s="1"/>
  <c r="AH47" i="44" s="1"/>
  <c r="BV46" i="5"/>
  <c r="CH46" i="5" s="1"/>
  <c r="AV47" i="5"/>
  <c r="AU47" i="5"/>
  <c r="AT47" i="5"/>
  <c r="BP47" i="5"/>
  <c r="AJ40" i="5"/>
  <c r="S45" i="44" l="1"/>
  <c r="AB45" i="5"/>
  <c r="FJ48" i="5"/>
  <c r="BY47" i="5"/>
  <c r="HS46" i="5"/>
  <c r="GT46" i="5"/>
  <c r="BS45" i="5"/>
  <c r="BZ45" i="5" s="1"/>
  <c r="HC45" i="5" s="1"/>
  <c r="HR45" i="5" s="1"/>
  <c r="BW45" i="5"/>
  <c r="M31" i="44" s="1"/>
  <c r="AH46" i="44" s="1"/>
  <c r="DN46" i="5"/>
  <c r="GS47" i="5"/>
  <c r="C47" i="44"/>
  <c r="G30" i="44" s="1"/>
  <c r="Y47" i="44" s="1"/>
  <c r="Z47" i="44" s="1"/>
  <c r="DO46" i="5"/>
  <c r="FE48" i="5"/>
  <c r="FF48" i="5"/>
  <c r="GS48" i="5"/>
  <c r="FB48" i="5"/>
  <c r="FC48" i="5"/>
  <c r="FK47" i="5"/>
  <c r="HE47" i="5" s="1"/>
  <c r="DT42" i="5"/>
  <c r="K34" i="44"/>
  <c r="AE43" i="44" s="1"/>
  <c r="BU47" i="5"/>
  <c r="BT47" i="5"/>
  <c r="BQ47" i="5"/>
  <c r="BR47" i="5"/>
  <c r="AQ47" i="44"/>
  <c r="BZ46" i="5"/>
  <c r="HC46" i="5" s="1"/>
  <c r="HR46" i="5" s="1"/>
  <c r="GQ47" i="5"/>
  <c r="H35" i="44"/>
  <c r="AB42" i="44" s="1"/>
  <c r="AI41" i="5"/>
  <c r="I36" i="44"/>
  <c r="AC41" i="44" s="1"/>
  <c r="AL45" i="44" l="1"/>
  <c r="AV45" i="44" s="1"/>
  <c r="AG45" i="44"/>
  <c r="AC45" i="5"/>
  <c r="AH45" i="5"/>
  <c r="AD45" i="5"/>
  <c r="E31" i="44"/>
  <c r="W46" i="44" s="1"/>
  <c r="V46" i="44" s="1"/>
  <c r="S46" i="44" s="1"/>
  <c r="AL46" i="44" s="1"/>
  <c r="HS47" i="5"/>
  <c r="GT47" i="5"/>
  <c r="DL47" i="5"/>
  <c r="DS47" i="5" s="1"/>
  <c r="DY42" i="5"/>
  <c r="DZ42" i="5" s="1"/>
  <c r="AN41" i="5"/>
  <c r="AO41" i="5" s="1"/>
  <c r="BV47" i="5"/>
  <c r="CH47" i="5" s="1"/>
  <c r="FH48" i="5"/>
  <c r="O28" i="44" s="1"/>
  <c r="AJ49" i="44" s="1"/>
  <c r="AK49" i="44" s="1"/>
  <c r="FD48" i="5"/>
  <c r="EG49" i="5"/>
  <c r="EF49" i="5"/>
  <c r="FA49" i="5"/>
  <c r="EE49" i="5"/>
  <c r="GT48" i="5"/>
  <c r="DU42" i="5"/>
  <c r="L34" i="44" s="1"/>
  <c r="AF43" i="44" s="1"/>
  <c r="FG48" i="5"/>
  <c r="FS48" i="5" s="1"/>
  <c r="HF47" i="5"/>
  <c r="BS47" i="5"/>
  <c r="BW47" i="5"/>
  <c r="BP48" i="5"/>
  <c r="AV48" i="5"/>
  <c r="AT48" i="5"/>
  <c r="AU48" i="5"/>
  <c r="AJ41" i="5"/>
  <c r="AB46" i="5" l="1"/>
  <c r="E30" i="44" s="1"/>
  <c r="W47" i="44" s="1"/>
  <c r="V47" i="44" s="1"/>
  <c r="S47" i="44" s="1"/>
  <c r="AA46" i="44"/>
  <c r="AG46" i="44"/>
  <c r="AV46" i="44"/>
  <c r="BY48" i="5"/>
  <c r="FJ49" i="5"/>
  <c r="M29" i="44"/>
  <c r="AH48" i="44" s="1"/>
  <c r="DO47" i="5"/>
  <c r="C48" i="44"/>
  <c r="G29" i="44" s="1"/>
  <c r="Y48" i="44" s="1"/>
  <c r="Z48" i="44" s="1"/>
  <c r="DN47" i="5"/>
  <c r="BZ47" i="5"/>
  <c r="HC47" i="5" s="1"/>
  <c r="HR47" i="5" s="1"/>
  <c r="FK48" i="5"/>
  <c r="HE48" i="5" s="1"/>
  <c r="AQ48" i="44"/>
  <c r="GS49" i="5"/>
  <c r="FB49" i="5"/>
  <c r="FC49" i="5"/>
  <c r="FF49" i="5"/>
  <c r="FE49" i="5"/>
  <c r="K33" i="44"/>
  <c r="AE44" i="44" s="1"/>
  <c r="DT43" i="5"/>
  <c r="GQ48" i="5"/>
  <c r="BU48" i="5"/>
  <c r="BT48" i="5"/>
  <c r="BR48" i="5"/>
  <c r="BQ48" i="5"/>
  <c r="H34" i="44"/>
  <c r="AB43" i="44" s="1"/>
  <c r="AI42" i="5"/>
  <c r="I35" i="44"/>
  <c r="AC42" i="44" s="1"/>
  <c r="AL47" i="44" l="1"/>
  <c r="AV47" i="44" s="1"/>
  <c r="AH46" i="5"/>
  <c r="AD46" i="5"/>
  <c r="AC46" i="5"/>
  <c r="AG47" i="44"/>
  <c r="AA47" i="44"/>
  <c r="DL48" i="5"/>
  <c r="DS48" i="5" s="1"/>
  <c r="HF48" i="5"/>
  <c r="HS48" i="5"/>
  <c r="DY43" i="5"/>
  <c r="DZ43" i="5" s="1"/>
  <c r="AN42" i="5"/>
  <c r="AO42" i="5" s="1"/>
  <c r="BV48" i="5"/>
  <c r="CH48" i="5" s="1"/>
  <c r="FG49" i="5"/>
  <c r="FS49" i="5" s="1"/>
  <c r="FH49" i="5"/>
  <c r="FD49" i="5"/>
  <c r="DU43" i="5"/>
  <c r="L33" i="44" s="1"/>
  <c r="AF44" i="44" s="1"/>
  <c r="EG50" i="5"/>
  <c r="EF50" i="5"/>
  <c r="EE50" i="5"/>
  <c r="FA50" i="5"/>
  <c r="GT49" i="5"/>
  <c r="BP49" i="5"/>
  <c r="AU49" i="5"/>
  <c r="AV49" i="5"/>
  <c r="AT49" i="5"/>
  <c r="BW48" i="5"/>
  <c r="BS48" i="5"/>
  <c r="AJ42" i="5"/>
  <c r="AB47" i="5" l="1"/>
  <c r="DN48" i="5"/>
  <c r="C49" i="44"/>
  <c r="G28" i="44" s="1"/>
  <c r="Y49" i="44" s="1"/>
  <c r="Z49" i="44" s="1"/>
  <c r="DO48" i="5"/>
  <c r="AH47" i="5"/>
  <c r="AC47" i="5"/>
  <c r="E29" i="44"/>
  <c r="W48" i="44" s="1"/>
  <c r="V48" i="44" s="1"/>
  <c r="AA48" i="44" s="1"/>
  <c r="AD47" i="5"/>
  <c r="FJ50" i="5"/>
  <c r="BY49" i="5"/>
  <c r="O27" i="44"/>
  <c r="AJ50" i="44" s="1"/>
  <c r="AK50" i="44" s="1"/>
  <c r="M28" i="44"/>
  <c r="AH49" i="44" s="1"/>
  <c r="BZ48" i="5"/>
  <c r="HC48" i="5" s="1"/>
  <c r="HR48" i="5" s="1"/>
  <c r="FK49" i="5"/>
  <c r="HE49" i="5" s="1"/>
  <c r="FE50" i="5"/>
  <c r="FF50" i="5"/>
  <c r="GS50" i="5"/>
  <c r="K32" i="44"/>
  <c r="AE45" i="44" s="1"/>
  <c r="DT44" i="5"/>
  <c r="FC50" i="5"/>
  <c r="FB50" i="5"/>
  <c r="AT50" i="5"/>
  <c r="AU50" i="5"/>
  <c r="BP50" i="5"/>
  <c r="AV50" i="5"/>
  <c r="GQ49" i="5"/>
  <c r="BQ49" i="5"/>
  <c r="BR49" i="5"/>
  <c r="AQ49" i="44"/>
  <c r="BU49" i="5"/>
  <c r="BT49" i="5"/>
  <c r="AI43" i="5"/>
  <c r="H33" i="44"/>
  <c r="AB44" i="44" s="1"/>
  <c r="I34" i="44"/>
  <c r="AC43" i="44" s="1"/>
  <c r="DL49" i="5" l="1"/>
  <c r="DS49" i="5" s="1"/>
  <c r="C50" i="44"/>
  <c r="G27" i="44" s="1"/>
  <c r="Y50" i="44" s="1"/>
  <c r="Z50" i="44" s="1"/>
  <c r="S48" i="44"/>
  <c r="AB48" i="5"/>
  <c r="BY50" i="5"/>
  <c r="HF49" i="5"/>
  <c r="HS49" i="5"/>
  <c r="DO49" i="5"/>
  <c r="DN49" i="5"/>
  <c r="DY44" i="5"/>
  <c r="DZ44" i="5" s="1"/>
  <c r="AN43" i="5"/>
  <c r="AO43" i="5" s="1"/>
  <c r="BV49" i="5"/>
  <c r="CH49" i="5" s="1"/>
  <c r="AV51" i="5"/>
  <c r="BP51" i="5"/>
  <c r="AT51" i="5"/>
  <c r="GT50" i="5"/>
  <c r="DU44" i="5"/>
  <c r="L32" i="44" s="1"/>
  <c r="AF45" i="44" s="1"/>
  <c r="FG50" i="5"/>
  <c r="FS50" i="5" s="1"/>
  <c r="FH50" i="5"/>
  <c r="O26" i="44" s="1"/>
  <c r="AJ51" i="44" s="1"/>
  <c r="AK51" i="44" s="1"/>
  <c r="FD50" i="5"/>
  <c r="EG51" i="5"/>
  <c r="EF51" i="5"/>
  <c r="FA51" i="5"/>
  <c r="EE51" i="5"/>
  <c r="GQ50" i="5"/>
  <c r="AU51" i="5"/>
  <c r="BU50" i="5"/>
  <c r="BT50" i="5"/>
  <c r="BQ50" i="5"/>
  <c r="BR50" i="5"/>
  <c r="BS49" i="5"/>
  <c r="BW49" i="5"/>
  <c r="M27" i="44" s="1"/>
  <c r="AH50" i="44" s="1"/>
  <c r="BA39" i="44"/>
  <c r="AJ43" i="5"/>
  <c r="AL48" i="44" l="1"/>
  <c r="AV48" i="44" s="1"/>
  <c r="AG48" i="44"/>
  <c r="AC48" i="5"/>
  <c r="AH48" i="5"/>
  <c r="AD48" i="5"/>
  <c r="E28" i="44"/>
  <c r="W49" i="44" s="1"/>
  <c r="V49" i="44" s="1"/>
  <c r="FJ51" i="5"/>
  <c r="BY51" i="5"/>
  <c r="DL50" i="5"/>
  <c r="C51" i="44" s="1"/>
  <c r="G26" i="44" s="1"/>
  <c r="Y51" i="44" s="1"/>
  <c r="Z51" i="44" s="1"/>
  <c r="BT51" i="5"/>
  <c r="BZ49" i="5"/>
  <c r="HC49" i="5" s="1"/>
  <c r="HR49" i="5" s="1"/>
  <c r="BU51" i="5"/>
  <c r="BR51" i="5"/>
  <c r="GQ51" i="5"/>
  <c r="FE51" i="5"/>
  <c r="FF51" i="5"/>
  <c r="GS51" i="5"/>
  <c r="FK50" i="5"/>
  <c r="HE50" i="5" s="1"/>
  <c r="HS50" i="5" s="1"/>
  <c r="DT45" i="5"/>
  <c r="K31" i="44"/>
  <c r="AE46" i="44" s="1"/>
  <c r="FB51" i="5"/>
  <c r="FC51" i="5"/>
  <c r="BS50" i="5"/>
  <c r="BW50" i="5"/>
  <c r="M26" i="44" s="1"/>
  <c r="AH51" i="44" s="1"/>
  <c r="BV50" i="5"/>
  <c r="CH50" i="5" s="1"/>
  <c r="AQ50" i="44"/>
  <c r="AU52" i="5"/>
  <c r="BP52" i="5"/>
  <c r="AV52" i="5"/>
  <c r="I33" i="44"/>
  <c r="AC44" i="44" s="1"/>
  <c r="AI44" i="5"/>
  <c r="H32" i="44"/>
  <c r="AB45" i="44" s="1"/>
  <c r="BA40" i="44"/>
  <c r="AB49" i="5" l="1"/>
  <c r="DO50" i="5"/>
  <c r="DN50" i="5"/>
  <c r="S49" i="44"/>
  <c r="AL49" i="44" s="1"/>
  <c r="AA49" i="44"/>
  <c r="AC49" i="5"/>
  <c r="E27" i="44"/>
  <c r="W50" i="44" s="1"/>
  <c r="V50" i="44" s="1"/>
  <c r="AH49" i="5"/>
  <c r="AD49" i="5"/>
  <c r="DS50" i="5"/>
  <c r="DY45" i="5"/>
  <c r="DZ45" i="5" s="1"/>
  <c r="AN44" i="5"/>
  <c r="AO44" i="5" s="1"/>
  <c r="BV51" i="5"/>
  <c r="CH51" i="5" s="1"/>
  <c r="BZ50" i="5"/>
  <c r="HC50" i="5" s="1"/>
  <c r="HR50" i="5" s="1"/>
  <c r="DU45" i="5"/>
  <c r="L31" i="44" s="1"/>
  <c r="AF46" i="44" s="1"/>
  <c r="HF50" i="5"/>
  <c r="GT51" i="5"/>
  <c r="FA52" i="5"/>
  <c r="EG52" i="5"/>
  <c r="EE52" i="5"/>
  <c r="EF52" i="5"/>
  <c r="FD51" i="5"/>
  <c r="FH51" i="5"/>
  <c r="O25" i="44" s="1"/>
  <c r="AJ52" i="44" s="1"/>
  <c r="AK52" i="44" s="1"/>
  <c r="FG51" i="5"/>
  <c r="FS51" i="5" s="1"/>
  <c r="AQ51" i="44"/>
  <c r="BQ52" i="5"/>
  <c r="BR52" i="5"/>
  <c r="BT52" i="5"/>
  <c r="BU52" i="5"/>
  <c r="BA41" i="44"/>
  <c r="AJ44" i="5"/>
  <c r="DL51" i="5" l="1"/>
  <c r="DN51" i="5" s="1"/>
  <c r="AB50" i="5"/>
  <c r="DS51" i="5"/>
  <c r="AD50" i="5"/>
  <c r="E26" i="44"/>
  <c r="W51" i="44" s="1"/>
  <c r="V51" i="44" s="1"/>
  <c r="AA51" i="44" s="1"/>
  <c r="AH50" i="5"/>
  <c r="AC50" i="5"/>
  <c r="AA50" i="44"/>
  <c r="S50" i="44"/>
  <c r="AL50" i="44" s="1"/>
  <c r="AV49" i="44"/>
  <c r="AG49" i="44"/>
  <c r="FJ52" i="5"/>
  <c r="AT52" i="5"/>
  <c r="BY52" i="5" s="1"/>
  <c r="FK51" i="5"/>
  <c r="HE51" i="5" s="1"/>
  <c r="HS51" i="5" s="1"/>
  <c r="AT53" i="5"/>
  <c r="BP53" i="5"/>
  <c r="FE52" i="5"/>
  <c r="FF52" i="5"/>
  <c r="FC52" i="5"/>
  <c r="FB52" i="5"/>
  <c r="GS52" i="5"/>
  <c r="DT46" i="5"/>
  <c r="K30" i="44"/>
  <c r="AE47" i="44" s="1"/>
  <c r="AU53" i="5"/>
  <c r="AV53" i="5"/>
  <c r="BV52" i="5"/>
  <c r="CH52" i="5" s="1"/>
  <c r="BU53" i="5"/>
  <c r="BT53" i="5"/>
  <c r="BS52" i="5"/>
  <c r="BW52" i="5"/>
  <c r="H31" i="44"/>
  <c r="AB46" i="44" s="1"/>
  <c r="AI45" i="5"/>
  <c r="BA42" i="44"/>
  <c r="I32" i="44"/>
  <c r="AC45" i="44" s="1"/>
  <c r="C52" i="44" l="1"/>
  <c r="G25" i="44" s="1"/>
  <c r="Y52" i="44" s="1"/>
  <c r="Z52" i="44" s="1"/>
  <c r="DO51" i="5"/>
  <c r="DL52" i="5" s="1"/>
  <c r="AB51" i="5"/>
  <c r="AV50" i="44"/>
  <c r="AG50" i="44"/>
  <c r="AD51" i="5"/>
  <c r="AC51" i="5"/>
  <c r="BQ51" i="5" s="1"/>
  <c r="AH51" i="5"/>
  <c r="E25" i="44"/>
  <c r="W52" i="44" s="1"/>
  <c r="V52" i="44" s="1"/>
  <c r="AA52" i="44" s="1"/>
  <c r="S51" i="44"/>
  <c r="BY53" i="5"/>
  <c r="GQ52" i="5"/>
  <c r="DY46" i="5"/>
  <c r="DZ46" i="5" s="1"/>
  <c r="AN45" i="5"/>
  <c r="AO45" i="5" s="1"/>
  <c r="HF51" i="5"/>
  <c r="GQ53" i="5"/>
  <c r="FD52" i="5"/>
  <c r="FH52" i="5"/>
  <c r="AQ52" i="44"/>
  <c r="FA53" i="5"/>
  <c r="EE53" i="5"/>
  <c r="EF53" i="5"/>
  <c r="EG53" i="5"/>
  <c r="DU46" i="5"/>
  <c r="L30" i="44" s="1"/>
  <c r="AF47" i="44" s="1"/>
  <c r="FG52" i="5"/>
  <c r="FS52" i="5" s="1"/>
  <c r="GT52" i="5"/>
  <c r="BR53" i="5"/>
  <c r="BZ52" i="5"/>
  <c r="HC52" i="5" s="1"/>
  <c r="M24" i="44"/>
  <c r="AH53" i="44" s="1"/>
  <c r="BV53" i="5"/>
  <c r="CH53" i="5" s="1"/>
  <c r="AT54" i="5"/>
  <c r="AV54" i="5"/>
  <c r="BP54" i="5"/>
  <c r="AU54" i="5"/>
  <c r="AJ45" i="5"/>
  <c r="BA43" i="44"/>
  <c r="DS52" i="5" l="1"/>
  <c r="DO52" i="5"/>
  <c r="DN52" i="5"/>
  <c r="C53" i="44"/>
  <c r="G24" i="44" s="1"/>
  <c r="Y53" i="44" s="1"/>
  <c r="AG51" i="44"/>
  <c r="AL51" i="44"/>
  <c r="AV51" i="44" s="1"/>
  <c r="AB52" i="5"/>
  <c r="BS51" i="5"/>
  <c r="BZ51" i="5" s="1"/>
  <c r="HC51" i="5" s="1"/>
  <c r="HR51" i="5" s="1"/>
  <c r="BW51" i="5"/>
  <c r="M25" i="44" s="1"/>
  <c r="AH52" i="44" s="1"/>
  <c r="S52" i="44"/>
  <c r="FJ53" i="5"/>
  <c r="BY54" i="5"/>
  <c r="HR52" i="5"/>
  <c r="O24" i="44"/>
  <c r="AJ53" i="44" s="1"/>
  <c r="AK53" i="44" s="1"/>
  <c r="DL53" i="5"/>
  <c r="Z53" i="44"/>
  <c r="FK52" i="5"/>
  <c r="HE52" i="5" s="1"/>
  <c r="FA54" i="5"/>
  <c r="EE54" i="5"/>
  <c r="EG54" i="5"/>
  <c r="GS53" i="5"/>
  <c r="FE53" i="5"/>
  <c r="FF53" i="5"/>
  <c r="K29" i="44"/>
  <c r="AE48" i="44" s="1"/>
  <c r="DT47" i="5"/>
  <c r="FC53" i="5"/>
  <c r="FB53" i="5"/>
  <c r="GQ54" i="5"/>
  <c r="BR54" i="5"/>
  <c r="BQ54" i="5"/>
  <c r="BT54" i="5"/>
  <c r="BU54" i="5"/>
  <c r="BA44" i="44"/>
  <c r="I31" i="44"/>
  <c r="AC46" i="44" s="1"/>
  <c r="AI46" i="5"/>
  <c r="H30" i="44"/>
  <c r="AB47" i="44" s="1"/>
  <c r="AL52" i="44" l="1"/>
  <c r="AV52" i="44" s="1"/>
  <c r="AG52" i="44"/>
  <c r="AC52" i="5"/>
  <c r="AH52" i="5"/>
  <c r="E24" i="44"/>
  <c r="W53" i="44" s="1"/>
  <c r="V53" i="44" s="1"/>
  <c r="S53" i="44" s="1"/>
  <c r="AL53" i="44" s="1"/>
  <c r="AD52" i="5"/>
  <c r="AB53" i="5" s="1"/>
  <c r="HF52" i="5"/>
  <c r="HS52" i="5"/>
  <c r="DY47" i="5"/>
  <c r="DZ47" i="5" s="1"/>
  <c r="DO53" i="5"/>
  <c r="DS53" i="5"/>
  <c r="AN46" i="5"/>
  <c r="AO46" i="5" s="1"/>
  <c r="C54" i="44"/>
  <c r="G23" i="44" s="1"/>
  <c r="Y54" i="44" s="1"/>
  <c r="DN53" i="5"/>
  <c r="FF54" i="5"/>
  <c r="AU55" i="5"/>
  <c r="AV55" i="5"/>
  <c r="FG53" i="5"/>
  <c r="FS53" i="5" s="1"/>
  <c r="AQ53" i="44"/>
  <c r="FB54" i="5"/>
  <c r="FD53" i="5"/>
  <c r="FH53" i="5"/>
  <c r="O23" i="44" s="1"/>
  <c r="AJ54" i="44" s="1"/>
  <c r="AK54" i="44" s="1"/>
  <c r="DU47" i="5"/>
  <c r="L29" i="44" s="1"/>
  <c r="AF48" i="44" s="1"/>
  <c r="GT53" i="5"/>
  <c r="AT55" i="5"/>
  <c r="BP55" i="5"/>
  <c r="BQ55" i="5"/>
  <c r="BR55" i="5"/>
  <c r="BV54" i="5"/>
  <c r="CH54" i="5" s="1"/>
  <c r="BT55" i="5"/>
  <c r="BU55" i="5"/>
  <c r="BS54" i="5"/>
  <c r="BW54" i="5"/>
  <c r="EE55" i="5"/>
  <c r="AJ46" i="5"/>
  <c r="BA45" i="44"/>
  <c r="AD53" i="5" l="1"/>
  <c r="AH53" i="5"/>
  <c r="E23" i="44"/>
  <c r="W54" i="44" s="1"/>
  <c r="V54" i="44" s="1"/>
  <c r="AC53" i="5"/>
  <c r="BQ53" i="5" s="1"/>
  <c r="AA53" i="44"/>
  <c r="BY55" i="5"/>
  <c r="DL54" i="5"/>
  <c r="Z54" i="44"/>
  <c r="AG53" i="44"/>
  <c r="AV53" i="44"/>
  <c r="GQ55" i="5"/>
  <c r="FK53" i="5"/>
  <c r="HE53" i="5" s="1"/>
  <c r="HS53" i="5" s="1"/>
  <c r="FA55" i="5"/>
  <c r="EF55" i="5"/>
  <c r="EG55" i="5"/>
  <c r="AU56" i="5"/>
  <c r="AT56" i="5"/>
  <c r="K28" i="44"/>
  <c r="AE49" i="44" s="1"/>
  <c r="DT48" i="5"/>
  <c r="BP56" i="5"/>
  <c r="AV56" i="5"/>
  <c r="M22" i="44"/>
  <c r="AH55" i="44" s="1"/>
  <c r="BZ54" i="5"/>
  <c r="HC54" i="5" s="1"/>
  <c r="HR54" i="5" s="1"/>
  <c r="BV55" i="5"/>
  <c r="CH55" i="5" s="1"/>
  <c r="BW55" i="5"/>
  <c r="BS55" i="5"/>
  <c r="I30" i="44"/>
  <c r="AC47" i="44" s="1"/>
  <c r="BA46" i="44"/>
  <c r="H29" i="44"/>
  <c r="AB48" i="44" s="1"/>
  <c r="AI47" i="5"/>
  <c r="AB54" i="5" l="1"/>
  <c r="BW53" i="5"/>
  <c r="M23" i="44" s="1"/>
  <c r="AH54" i="44" s="1"/>
  <c r="BS53" i="5"/>
  <c r="BZ53" i="5" s="1"/>
  <c r="HC53" i="5" s="1"/>
  <c r="HR53" i="5" s="1"/>
  <c r="FJ55" i="5"/>
  <c r="BY56" i="5"/>
  <c r="DY48" i="5"/>
  <c r="DZ48" i="5" s="1"/>
  <c r="DO54" i="5"/>
  <c r="DS54" i="5"/>
  <c r="AN47" i="5"/>
  <c r="AO47" i="5" s="1"/>
  <c r="S54" i="44"/>
  <c r="AL54" i="44" s="1"/>
  <c r="AA54" i="44"/>
  <c r="EF54" i="5"/>
  <c r="FJ54" i="5" s="1"/>
  <c r="DN54" i="5"/>
  <c r="FE54" i="5"/>
  <c r="FG54" i="5" s="1"/>
  <c r="FS54" i="5" s="1"/>
  <c r="C55" i="44"/>
  <c r="G22" i="44" s="1"/>
  <c r="Y55" i="44" s="1"/>
  <c r="HF53" i="5"/>
  <c r="GS55" i="5"/>
  <c r="BR56" i="5"/>
  <c r="BQ56" i="5"/>
  <c r="FB55" i="5"/>
  <c r="BU56" i="5"/>
  <c r="FF55" i="5"/>
  <c r="FE55" i="5"/>
  <c r="GQ56" i="5"/>
  <c r="BP57" i="5"/>
  <c r="AQ54" i="44"/>
  <c r="DU48" i="5"/>
  <c r="L28" i="44" s="1"/>
  <c r="AF49" i="44" s="1"/>
  <c r="AU57" i="5"/>
  <c r="AV57" i="5"/>
  <c r="BZ55" i="5"/>
  <c r="HC55" i="5" s="1"/>
  <c r="HR55" i="5" s="1"/>
  <c r="M21" i="44"/>
  <c r="AH56" i="44" s="1"/>
  <c r="FA56" i="5"/>
  <c r="EE56" i="5"/>
  <c r="EG56" i="5"/>
  <c r="EF56" i="5"/>
  <c r="AJ47" i="5"/>
  <c r="BA47" i="44"/>
  <c r="AQ55" i="44" l="1"/>
  <c r="AH54" i="5"/>
  <c r="AD54" i="5"/>
  <c r="E22" i="44"/>
  <c r="W55" i="44" s="1"/>
  <c r="V55" i="44" s="1"/>
  <c r="AC54" i="5"/>
  <c r="FJ56" i="5"/>
  <c r="GT55" i="5"/>
  <c r="GS54" i="5"/>
  <c r="BT56" i="5"/>
  <c r="BV56" i="5" s="1"/>
  <c r="CH56" i="5" s="1"/>
  <c r="Z55" i="44"/>
  <c r="FC54" i="5"/>
  <c r="DL55" i="5"/>
  <c r="AV54" i="44"/>
  <c r="AG54" i="44"/>
  <c r="BS56" i="5"/>
  <c r="FG55" i="5"/>
  <c r="FS55" i="5" s="1"/>
  <c r="BT57" i="5"/>
  <c r="BR57" i="5"/>
  <c r="BQ57" i="5"/>
  <c r="FF56" i="5"/>
  <c r="DT49" i="5"/>
  <c r="K27" i="44"/>
  <c r="AE50" i="44" s="1"/>
  <c r="BP58" i="5"/>
  <c r="FC56" i="5"/>
  <c r="FB56" i="5"/>
  <c r="AT58" i="5"/>
  <c r="AU58" i="5"/>
  <c r="AV58" i="5"/>
  <c r="GS56" i="5"/>
  <c r="FA57" i="5"/>
  <c r="EE57" i="5"/>
  <c r="EG57" i="5"/>
  <c r="EF57" i="5"/>
  <c r="BA48" i="44"/>
  <c r="I29" i="44"/>
  <c r="AC48" i="44" s="1"/>
  <c r="AI48" i="5"/>
  <c r="H28" i="44"/>
  <c r="AB49" i="44" s="1"/>
  <c r="AB55" i="5" l="1"/>
  <c r="AD55" i="5"/>
  <c r="AC55" i="5"/>
  <c r="E21" i="44"/>
  <c r="W56" i="44" s="1"/>
  <c r="AH55" i="5"/>
  <c r="FJ57" i="5"/>
  <c r="BY58" i="5"/>
  <c r="GT54" i="5"/>
  <c r="DO55" i="5"/>
  <c r="DS55" i="5"/>
  <c r="DY49" i="5"/>
  <c r="DZ49" i="5" s="1"/>
  <c r="AN48" i="5"/>
  <c r="AO48" i="5" s="1"/>
  <c r="BW56" i="5"/>
  <c r="M20" i="44" s="1"/>
  <c r="AH57" i="44" s="1"/>
  <c r="BZ56" i="5"/>
  <c r="HC56" i="5" s="1"/>
  <c r="HR56" i="5" s="1"/>
  <c r="DN55" i="5"/>
  <c r="FC55" i="5" s="1"/>
  <c r="C56" i="44"/>
  <c r="G21" i="44" s="1"/>
  <c r="Y56" i="44" s="1"/>
  <c r="FH54" i="5"/>
  <c r="O22" i="44" s="1"/>
  <c r="AJ55" i="44" s="1"/>
  <c r="AK55" i="44" s="1"/>
  <c r="FD54" i="5"/>
  <c r="FK54" i="5" s="1"/>
  <c r="HE54" i="5" s="1"/>
  <c r="HS54" i="5" s="1"/>
  <c r="S55" i="44"/>
  <c r="AL55" i="44" s="1"/>
  <c r="AA55" i="44"/>
  <c r="AQ56" i="44"/>
  <c r="BS57" i="5"/>
  <c r="FD56" i="5"/>
  <c r="FE57" i="5"/>
  <c r="DU49" i="5"/>
  <c r="L27" i="44" s="1"/>
  <c r="AF50" i="44" s="1"/>
  <c r="BU58" i="5"/>
  <c r="BQ58" i="5"/>
  <c r="BT58" i="5"/>
  <c r="GQ58" i="5"/>
  <c r="GT56" i="5"/>
  <c r="GS57" i="5"/>
  <c r="FC57" i="5"/>
  <c r="FB57" i="5"/>
  <c r="FA58" i="5"/>
  <c r="EE58" i="5"/>
  <c r="EF58" i="5"/>
  <c r="EG58" i="5"/>
  <c r="AJ48" i="5"/>
  <c r="BA49" i="44"/>
  <c r="AB56" i="5" l="1"/>
  <c r="AH56" i="5" s="1"/>
  <c r="AD56" i="5"/>
  <c r="E20" i="44"/>
  <c r="W57" i="44" s="1"/>
  <c r="AC56" i="5"/>
  <c r="FJ58" i="5"/>
  <c r="GT57" i="5"/>
  <c r="AT57" i="5"/>
  <c r="BY57" i="5" s="1"/>
  <c r="BU57" i="5"/>
  <c r="HF54" i="5"/>
  <c r="DL56" i="5"/>
  <c r="Z56" i="44"/>
  <c r="V56" i="44"/>
  <c r="FH55" i="5"/>
  <c r="O21" i="44" s="1"/>
  <c r="AJ56" i="44" s="1"/>
  <c r="AK56" i="44" s="1"/>
  <c r="FD55" i="5"/>
  <c r="FK55" i="5" s="1"/>
  <c r="HE55" i="5" s="1"/>
  <c r="HS55" i="5" s="1"/>
  <c r="AG55" i="44"/>
  <c r="AV55" i="44"/>
  <c r="BV58" i="5"/>
  <c r="CH58" i="5" s="1"/>
  <c r="AQ57" i="44"/>
  <c r="DT50" i="5"/>
  <c r="K26" i="44"/>
  <c r="AE51" i="44" s="1"/>
  <c r="AU59" i="5"/>
  <c r="AT59" i="5"/>
  <c r="BP59" i="5"/>
  <c r="FD57" i="5"/>
  <c r="FC58" i="5"/>
  <c r="FB58" i="5"/>
  <c r="FF58" i="5"/>
  <c r="FE58" i="5"/>
  <c r="GS58" i="5"/>
  <c r="H27" i="44"/>
  <c r="AB50" i="44" s="1"/>
  <c r="AI49" i="5"/>
  <c r="BA50" i="44"/>
  <c r="I28" i="44"/>
  <c r="AC49" i="44" s="1"/>
  <c r="AB57" i="5" l="1"/>
  <c r="AD57" i="5"/>
  <c r="AC57" i="5"/>
  <c r="AB58" i="5" s="1"/>
  <c r="AD58" i="5" s="1"/>
  <c r="AH57" i="5"/>
  <c r="E19" i="44"/>
  <c r="W58" i="44" s="1"/>
  <c r="GT58" i="5"/>
  <c r="GQ57" i="5"/>
  <c r="DO56" i="5"/>
  <c r="DS56" i="5"/>
  <c r="DY50" i="5"/>
  <c r="DZ50" i="5" s="1"/>
  <c r="AN49" i="5"/>
  <c r="AO49" i="5" s="1"/>
  <c r="BW57" i="5"/>
  <c r="M19" i="44" s="1"/>
  <c r="AH58" i="44" s="1"/>
  <c r="BV57" i="5"/>
  <c r="HF55" i="5"/>
  <c r="AA56" i="44"/>
  <c r="S56" i="44"/>
  <c r="AL56" i="44" s="1"/>
  <c r="C57" i="44"/>
  <c r="G20" i="44" s="1"/>
  <c r="Y57" i="44" s="1"/>
  <c r="FE56" i="5"/>
  <c r="DN56" i="5"/>
  <c r="BT59" i="5"/>
  <c r="BQ59" i="5"/>
  <c r="AU60" i="5"/>
  <c r="DU50" i="5"/>
  <c r="L26" i="44" s="1"/>
  <c r="AF51" i="44" s="1"/>
  <c r="BP60" i="5"/>
  <c r="AT60" i="5"/>
  <c r="AV60" i="5"/>
  <c r="FG58" i="5"/>
  <c r="FS58" i="5" s="1"/>
  <c r="FD58" i="5"/>
  <c r="FA59" i="5"/>
  <c r="EE59" i="5"/>
  <c r="EF59" i="5"/>
  <c r="EG59" i="5"/>
  <c r="BA51" i="44"/>
  <c r="FH58" i="5"/>
  <c r="AQ58" i="44"/>
  <c r="AJ49" i="5"/>
  <c r="FJ59" i="5" l="1"/>
  <c r="BY60" i="5"/>
  <c r="BZ57" i="5"/>
  <c r="HC57" i="5" s="1"/>
  <c r="HR57" i="5" s="1"/>
  <c r="CH57" i="5"/>
  <c r="DL57" i="5"/>
  <c r="C58" i="44" s="1"/>
  <c r="G19" i="44" s="1"/>
  <c r="Y58" i="44" s="1"/>
  <c r="E18" i="44"/>
  <c r="W59" i="44" s="1"/>
  <c r="AH58" i="5"/>
  <c r="AC58" i="5"/>
  <c r="BR58" i="5" s="1"/>
  <c r="BS58" i="5" s="1"/>
  <c r="BZ58" i="5" s="1"/>
  <c r="HC58" i="5" s="1"/>
  <c r="HR58" i="5" s="1"/>
  <c r="AV59" i="5"/>
  <c r="BY59" i="5" s="1"/>
  <c r="FF57" i="5"/>
  <c r="FG56" i="5"/>
  <c r="FH56" i="5"/>
  <c r="V57" i="44"/>
  <c r="Z57" i="44"/>
  <c r="AG56" i="44"/>
  <c r="AV56" i="44"/>
  <c r="BR60" i="5"/>
  <c r="FB59" i="5"/>
  <c r="FF59" i="5"/>
  <c r="K25" i="44"/>
  <c r="AE52" i="44" s="1"/>
  <c r="DT51" i="5"/>
  <c r="AT61" i="5"/>
  <c r="BT60" i="5"/>
  <c r="BU60" i="5"/>
  <c r="AU61" i="5"/>
  <c r="AV61" i="5"/>
  <c r="GQ60" i="5"/>
  <c r="BP61" i="5"/>
  <c r="FE59" i="5"/>
  <c r="GS59" i="5"/>
  <c r="O18" i="44"/>
  <c r="AJ59" i="44" s="1"/>
  <c r="BA52" i="44"/>
  <c r="I27" i="44"/>
  <c r="AC50" i="44" s="1"/>
  <c r="AI50" i="5"/>
  <c r="H26" i="44"/>
  <c r="AB51" i="44" s="1"/>
  <c r="FK58" i="5"/>
  <c r="HE58" i="5" s="1"/>
  <c r="DN57" i="5" l="1"/>
  <c r="BY61" i="5"/>
  <c r="HF58" i="5"/>
  <c r="HS58" i="5"/>
  <c r="GT59" i="5"/>
  <c r="O20" i="44"/>
  <c r="AJ57" i="44" s="1"/>
  <c r="AK57" i="44" s="1"/>
  <c r="GQ59" i="5"/>
  <c r="FK56" i="5"/>
  <c r="HE56" i="5" s="1"/>
  <c r="FS56" i="5"/>
  <c r="DO57" i="5"/>
  <c r="DS57" i="5"/>
  <c r="DY51" i="5"/>
  <c r="DZ51" i="5" s="1"/>
  <c r="AN50" i="5"/>
  <c r="AO50" i="5" s="1"/>
  <c r="AB59" i="5"/>
  <c r="AC59" i="5" s="1"/>
  <c r="BR59" i="5" s="1"/>
  <c r="BW58" i="5"/>
  <c r="M18" i="44" s="1"/>
  <c r="AH59" i="44" s="1"/>
  <c r="BU59" i="5"/>
  <c r="BV59" i="5" s="1"/>
  <c r="CH59" i="5" s="1"/>
  <c r="AA57" i="44"/>
  <c r="S57" i="44"/>
  <c r="AL57" i="44" s="1"/>
  <c r="V58" i="44"/>
  <c r="Z58" i="44"/>
  <c r="FG57" i="5"/>
  <c r="FH57" i="5"/>
  <c r="O19" i="44" s="1"/>
  <c r="AJ58" i="44" s="1"/>
  <c r="AK58" i="44" s="1"/>
  <c r="BV60" i="5"/>
  <c r="CH60" i="5" s="1"/>
  <c r="GQ61" i="5"/>
  <c r="EG60" i="5"/>
  <c r="DU51" i="5"/>
  <c r="L25" i="44" s="1"/>
  <c r="AF52" i="44" s="1"/>
  <c r="BT61" i="5"/>
  <c r="BR61" i="5"/>
  <c r="AV62" i="5"/>
  <c r="FA60" i="5"/>
  <c r="EE60" i="5"/>
  <c r="EF60" i="5"/>
  <c r="FG59" i="5"/>
  <c r="FS59" i="5" s="1"/>
  <c r="AQ59" i="44"/>
  <c r="AK59" i="44"/>
  <c r="AJ50" i="5"/>
  <c r="BA53" i="44"/>
  <c r="DL58" i="5" l="1"/>
  <c r="DS58" i="5" s="1"/>
  <c r="FJ60" i="5"/>
  <c r="HF56" i="5"/>
  <c r="HS56" i="5"/>
  <c r="DO58" i="5"/>
  <c r="FK57" i="5"/>
  <c r="HE57" i="5" s="1"/>
  <c r="FS57" i="5"/>
  <c r="E17" i="44"/>
  <c r="W60" i="44" s="1"/>
  <c r="AD59" i="5"/>
  <c r="AH59" i="5"/>
  <c r="BW59" i="5"/>
  <c r="M17" i="44" s="1"/>
  <c r="AH60" i="44" s="1"/>
  <c r="BS59" i="5"/>
  <c r="BZ59" i="5" s="1"/>
  <c r="HC59" i="5" s="1"/>
  <c r="HR59" i="5" s="1"/>
  <c r="DN58" i="5"/>
  <c r="AA58" i="44"/>
  <c r="S58" i="44"/>
  <c r="AL58" i="44" s="1"/>
  <c r="AG57" i="44"/>
  <c r="AV57" i="44"/>
  <c r="DT52" i="5"/>
  <c r="K24" i="44"/>
  <c r="AE53" i="44" s="1"/>
  <c r="FB60" i="5"/>
  <c r="AU62" i="5"/>
  <c r="BP62" i="5"/>
  <c r="GS60" i="5"/>
  <c r="FE60" i="5"/>
  <c r="FF60" i="5"/>
  <c r="I26" i="44"/>
  <c r="AC51" i="44" s="1"/>
  <c r="BA54" i="44"/>
  <c r="H25" i="44"/>
  <c r="AB52" i="44" s="1"/>
  <c r="AI51" i="5"/>
  <c r="AQ60" i="44"/>
  <c r="C59" i="44" l="1"/>
  <c r="G18" i="44" s="1"/>
  <c r="Y59" i="44" s="1"/>
  <c r="Z59" i="44" s="1"/>
  <c r="HF57" i="5"/>
  <c r="HS57" i="5"/>
  <c r="GT60" i="5"/>
  <c r="DY52" i="5"/>
  <c r="DZ52" i="5" s="1"/>
  <c r="AB60" i="5"/>
  <c r="AD60" i="5" s="1"/>
  <c r="DL59" i="5"/>
  <c r="DN59" i="5" s="1"/>
  <c r="FC59" i="5" s="1"/>
  <c r="AN51" i="5"/>
  <c r="AO51" i="5" s="1"/>
  <c r="AC60" i="5"/>
  <c r="BQ60" i="5" s="1"/>
  <c r="BS60" i="5" s="1"/>
  <c r="BZ60" i="5" s="1"/>
  <c r="HC60" i="5" s="1"/>
  <c r="HR60" i="5" s="1"/>
  <c r="AG58" i="44"/>
  <c r="AV58" i="44"/>
  <c r="FA61" i="5"/>
  <c r="DU52" i="5"/>
  <c r="L24" i="44" s="1"/>
  <c r="AF53" i="44" s="1"/>
  <c r="EF61" i="5"/>
  <c r="BR62" i="5"/>
  <c r="BU62" i="5"/>
  <c r="EG61" i="5"/>
  <c r="FG60" i="5"/>
  <c r="FS60" i="5" s="1"/>
  <c r="AJ51" i="5"/>
  <c r="BA55" i="44"/>
  <c r="V59" i="44" l="1"/>
  <c r="C60" i="44"/>
  <c r="G17" i="44" s="1"/>
  <c r="Y60" i="44" s="1"/>
  <c r="V60" i="44" s="1"/>
  <c r="E16" i="44"/>
  <c r="W61" i="44" s="1"/>
  <c r="AH60" i="5"/>
  <c r="DO59" i="5"/>
  <c r="DL60" i="5" s="1"/>
  <c r="DS59" i="5"/>
  <c r="AB61" i="5"/>
  <c r="BW60" i="5"/>
  <c r="M16" i="44" s="1"/>
  <c r="AH61" i="44" s="1"/>
  <c r="BU61" i="5"/>
  <c r="BV61" i="5" s="1"/>
  <c r="CH61" i="5" s="1"/>
  <c r="AC61" i="5"/>
  <c r="BQ61" i="5" s="1"/>
  <c r="BS61" i="5" s="1"/>
  <c r="E15" i="44"/>
  <c r="W62" i="44" s="1"/>
  <c r="AA59" i="44"/>
  <c r="S59" i="44"/>
  <c r="AL59" i="44" s="1"/>
  <c r="FD59" i="5"/>
  <c r="FK59" i="5" s="1"/>
  <c r="HE59" i="5" s="1"/>
  <c r="HS59" i="5" s="1"/>
  <c r="FH59" i="5"/>
  <c r="O17" i="44" s="1"/>
  <c r="AJ60" i="44" s="1"/>
  <c r="AK60" i="44" s="1"/>
  <c r="FE61" i="5"/>
  <c r="FB61" i="5"/>
  <c r="DT53" i="5"/>
  <c r="K23" i="44"/>
  <c r="AE54" i="44" s="1"/>
  <c r="AV63" i="5"/>
  <c r="AT63" i="5"/>
  <c r="AU63" i="5"/>
  <c r="BP63" i="5"/>
  <c r="BA56" i="44"/>
  <c r="AQ61" i="44"/>
  <c r="I25" i="44"/>
  <c r="AC52" i="44" s="1"/>
  <c r="AI52" i="5"/>
  <c r="H24" i="44"/>
  <c r="AB53" i="44" s="1"/>
  <c r="Z60" i="44" l="1"/>
  <c r="BY63" i="5"/>
  <c r="DO60" i="5"/>
  <c r="DS60" i="5"/>
  <c r="C61" i="44"/>
  <c r="G16" i="44" s="1"/>
  <c r="Y61" i="44" s="1"/>
  <c r="V61" i="44" s="1"/>
  <c r="DN60" i="5"/>
  <c r="FC60" i="5" s="1"/>
  <c r="FD60" i="5" s="1"/>
  <c r="FK60" i="5" s="1"/>
  <c r="HE60" i="5" s="1"/>
  <c r="DY53" i="5"/>
  <c r="DZ53" i="5" s="1"/>
  <c r="AN52" i="5"/>
  <c r="AO52" i="5" s="1"/>
  <c r="AH61" i="5"/>
  <c r="AD61" i="5"/>
  <c r="BZ61" i="5"/>
  <c r="HC61" i="5" s="1"/>
  <c r="HR61" i="5" s="1"/>
  <c r="BW61" i="5"/>
  <c r="M15" i="44" s="1"/>
  <c r="AH62" i="44" s="1"/>
  <c r="HF59" i="5"/>
  <c r="AG59" i="44"/>
  <c r="AV59" i="44"/>
  <c r="S60" i="44"/>
  <c r="AL60" i="44" s="1"/>
  <c r="AA60" i="44"/>
  <c r="AT62" i="5"/>
  <c r="BY62" i="5" s="1"/>
  <c r="BT62" i="5"/>
  <c r="BV62" i="5" s="1"/>
  <c r="CH62" i="5" s="1"/>
  <c r="GQ63" i="5"/>
  <c r="BQ63" i="5"/>
  <c r="FA62" i="5"/>
  <c r="EE62" i="5"/>
  <c r="EG62" i="5"/>
  <c r="EF62" i="5"/>
  <c r="DU53" i="5"/>
  <c r="L23" i="44" s="1"/>
  <c r="AF54" i="44" s="1"/>
  <c r="BT63" i="5"/>
  <c r="BU63" i="5"/>
  <c r="BA57" i="44"/>
  <c r="AJ52" i="5"/>
  <c r="FJ62" i="5" l="1"/>
  <c r="HF60" i="5"/>
  <c r="HS60" i="5"/>
  <c r="GQ62" i="5"/>
  <c r="Z61" i="44"/>
  <c r="FH60" i="5"/>
  <c r="O16" i="44" s="1"/>
  <c r="AJ61" i="44" s="1"/>
  <c r="AK61" i="44" s="1"/>
  <c r="DL61" i="5"/>
  <c r="C62" i="44" s="1"/>
  <c r="G15" i="44" s="1"/>
  <c r="Y62" i="44" s="1"/>
  <c r="AB62" i="5"/>
  <c r="AC62" i="5" s="1"/>
  <c r="BQ62" i="5" s="1"/>
  <c r="BW62" i="5" s="1"/>
  <c r="M14" i="44" s="1"/>
  <c r="AH63" i="44" s="1"/>
  <c r="S61" i="44"/>
  <c r="AL61" i="44" s="1"/>
  <c r="AA61" i="44"/>
  <c r="AG60" i="44"/>
  <c r="AV60" i="44"/>
  <c r="EE61" i="5"/>
  <c r="FJ61" i="5" s="1"/>
  <c r="FF61" i="5"/>
  <c r="FG61" i="5" s="1"/>
  <c r="FS61" i="5" s="1"/>
  <c r="BP64" i="5"/>
  <c r="AU64" i="5"/>
  <c r="AV64" i="5"/>
  <c r="AQ62" i="44"/>
  <c r="K22" i="44"/>
  <c r="AE55" i="44" s="1"/>
  <c r="DT54" i="5"/>
  <c r="GS62" i="5"/>
  <c r="FB62" i="5"/>
  <c r="FC62" i="5"/>
  <c r="FF62" i="5"/>
  <c r="FE62" i="5"/>
  <c r="BR64" i="5"/>
  <c r="BV63" i="5"/>
  <c r="CH63" i="5" s="1"/>
  <c r="I24" i="44"/>
  <c r="AC53" i="44" s="1"/>
  <c r="AI53" i="5"/>
  <c r="H23" i="44"/>
  <c r="AB54" i="44" s="1"/>
  <c r="BA58" i="44"/>
  <c r="E14" i="44" l="1"/>
  <c r="W63" i="44" s="1"/>
  <c r="AD62" i="5"/>
  <c r="AB63" i="5" s="1"/>
  <c r="AH63" i="5" s="1"/>
  <c r="DN61" i="5"/>
  <c r="FC61" i="5" s="1"/>
  <c r="FD61" i="5" s="1"/>
  <c r="FK61" i="5" s="1"/>
  <c r="HE61" i="5" s="1"/>
  <c r="AH62" i="5"/>
  <c r="DY54" i="5"/>
  <c r="DZ54" i="5" s="1"/>
  <c r="DO61" i="5"/>
  <c r="DS61" i="5"/>
  <c r="GS61" i="5"/>
  <c r="BS62" i="5"/>
  <c r="BZ62" i="5" s="1"/>
  <c r="HC62" i="5" s="1"/>
  <c r="HR62" i="5" s="1"/>
  <c r="AN53" i="5"/>
  <c r="AO53" i="5" s="1"/>
  <c r="Z62" i="44"/>
  <c r="V62" i="44"/>
  <c r="AG61" i="44"/>
  <c r="AV61" i="44"/>
  <c r="FG62" i="5"/>
  <c r="FS62" i="5" s="1"/>
  <c r="AT65" i="5"/>
  <c r="BP65" i="5"/>
  <c r="BT64" i="5"/>
  <c r="BU64" i="5"/>
  <c r="AU65" i="5"/>
  <c r="AV65" i="5"/>
  <c r="EG63" i="5"/>
  <c r="FA63" i="5"/>
  <c r="EE63" i="5"/>
  <c r="EF63" i="5"/>
  <c r="FD62" i="5"/>
  <c r="FH62" i="5"/>
  <c r="O14" i="44" s="1"/>
  <c r="AJ63" i="44" s="1"/>
  <c r="AK63" i="44" s="1"/>
  <c r="GT62" i="5"/>
  <c r="DU54" i="5"/>
  <c r="L22" i="44" s="1"/>
  <c r="AF55" i="44" s="1"/>
  <c r="AJ53" i="5"/>
  <c r="BA59" i="44"/>
  <c r="FJ63" i="5" l="1"/>
  <c r="BY65" i="5"/>
  <c r="AD63" i="5"/>
  <c r="DL62" i="5"/>
  <c r="DN62" i="5" s="1"/>
  <c r="HS61" i="5"/>
  <c r="FH61" i="5"/>
  <c r="O15" i="44" s="1"/>
  <c r="AJ62" i="44" s="1"/>
  <c r="AK62" i="44" s="1"/>
  <c r="GT61" i="5"/>
  <c r="E13" i="44"/>
  <c r="W64" i="44" s="1"/>
  <c r="AC63" i="5"/>
  <c r="BR63" i="5" s="1"/>
  <c r="BW63" i="5" s="1"/>
  <c r="M13" i="44" s="1"/>
  <c r="AH64" i="44" s="1"/>
  <c r="HF61" i="5"/>
  <c r="AA62" i="44"/>
  <c r="S62" i="44"/>
  <c r="AL62" i="44" s="1"/>
  <c r="FK62" i="5"/>
  <c r="HE62" i="5" s="1"/>
  <c r="BU65" i="5"/>
  <c r="GQ65" i="5"/>
  <c r="BR65" i="5"/>
  <c r="BQ65" i="5"/>
  <c r="BV64" i="5"/>
  <c r="CH64" i="5" s="1"/>
  <c r="EF64" i="5"/>
  <c r="GS63" i="5"/>
  <c r="FB63" i="5"/>
  <c r="FC63" i="5"/>
  <c r="DT55" i="5"/>
  <c r="K21" i="44"/>
  <c r="AE56" i="44" s="1"/>
  <c r="FF63" i="5"/>
  <c r="FE63" i="5"/>
  <c r="AT66" i="5"/>
  <c r="BP66" i="5"/>
  <c r="AV66" i="5"/>
  <c r="AU66" i="5"/>
  <c r="BQ66" i="5"/>
  <c r="BR66" i="5"/>
  <c r="BA60" i="44"/>
  <c r="AI54" i="5"/>
  <c r="H22" i="44"/>
  <c r="AB55" i="44" s="1"/>
  <c r="I23" i="44"/>
  <c r="AC54" i="44" s="1"/>
  <c r="DS62" i="5" l="1"/>
  <c r="DO62" i="5"/>
  <c r="DL63" i="5" s="1"/>
  <c r="C64" i="44" s="1"/>
  <c r="G13" i="44" s="1"/>
  <c r="C63" i="44"/>
  <c r="G14" i="44" s="1"/>
  <c r="Y63" i="44" s="1"/>
  <c r="V63" i="44" s="1"/>
  <c r="BY66" i="5"/>
  <c r="HF62" i="5"/>
  <c r="HS62" i="5"/>
  <c r="BS63" i="5"/>
  <c r="BZ63" i="5" s="1"/>
  <c r="HC63" i="5" s="1"/>
  <c r="HR63" i="5" s="1"/>
  <c r="AB64" i="5"/>
  <c r="AH64" i="5" s="1"/>
  <c r="DY55" i="5"/>
  <c r="DZ55" i="5" s="1"/>
  <c r="AN54" i="5"/>
  <c r="AO54" i="5" s="1"/>
  <c r="AD64" i="5"/>
  <c r="AG62" i="44"/>
  <c r="AV62" i="44"/>
  <c r="BS65" i="5"/>
  <c r="AT64" i="5"/>
  <c r="BY64" i="5" s="1"/>
  <c r="EG64" i="5"/>
  <c r="EE64" i="5"/>
  <c r="FA64" i="5"/>
  <c r="FB64" i="5"/>
  <c r="FG63" i="5"/>
  <c r="FS63" i="5" s="1"/>
  <c r="AQ63" i="44"/>
  <c r="DU55" i="5"/>
  <c r="L21" i="44" s="1"/>
  <c r="AF56" i="44" s="1"/>
  <c r="FD63" i="5"/>
  <c r="FH63" i="5"/>
  <c r="GT63" i="5"/>
  <c r="BT66" i="5"/>
  <c r="BU66" i="5"/>
  <c r="GQ66" i="5"/>
  <c r="BS66" i="5"/>
  <c r="BA61" i="44"/>
  <c r="AJ54" i="5"/>
  <c r="FJ64" i="5" l="1"/>
  <c r="Y64" i="44"/>
  <c r="V64" i="44" s="1"/>
  <c r="E12" i="44"/>
  <c r="W65" i="44" s="1"/>
  <c r="AC64" i="5"/>
  <c r="BQ64" i="5" s="1"/>
  <c r="BS64" i="5" s="1"/>
  <c r="BZ64" i="5" s="1"/>
  <c r="HC64" i="5" s="1"/>
  <c r="Z63" i="44"/>
  <c r="DN63" i="5"/>
  <c r="O13" i="44"/>
  <c r="AJ64" i="44" s="1"/>
  <c r="AK64" i="44" s="1"/>
  <c r="GQ64" i="5"/>
  <c r="DO63" i="5"/>
  <c r="DS63" i="5"/>
  <c r="FF64" i="5"/>
  <c r="AA63" i="44"/>
  <c r="S63" i="44"/>
  <c r="AL63" i="44" s="1"/>
  <c r="GS64" i="5"/>
  <c r="BV66" i="5"/>
  <c r="FE64" i="5"/>
  <c r="FK63" i="5"/>
  <c r="HE63" i="5" s="1"/>
  <c r="BW66" i="5"/>
  <c r="M10" i="44" s="1"/>
  <c r="AH67" i="44" s="1"/>
  <c r="BP67" i="5"/>
  <c r="AT67" i="5"/>
  <c r="K20" i="44"/>
  <c r="AE57" i="44" s="1"/>
  <c r="DT56" i="5"/>
  <c r="AU67" i="5"/>
  <c r="AV67" i="5"/>
  <c r="BT67" i="5"/>
  <c r="BU67" i="5"/>
  <c r="H21" i="44"/>
  <c r="AB56" i="44" s="1"/>
  <c r="AI55" i="5"/>
  <c r="I22" i="44"/>
  <c r="AC55" i="44" s="1"/>
  <c r="BA62" i="44"/>
  <c r="Z64" i="44" l="1"/>
  <c r="AB65" i="5"/>
  <c r="DL64" i="5"/>
  <c r="DS64" i="5" s="1"/>
  <c r="BW64" i="5"/>
  <c r="M12" i="44" s="1"/>
  <c r="AH65" i="44" s="1"/>
  <c r="BY67" i="5"/>
  <c r="HF63" i="5"/>
  <c r="HS63" i="5"/>
  <c r="HR64" i="5"/>
  <c r="GT64" i="5"/>
  <c r="DO64" i="5"/>
  <c r="C65" i="44"/>
  <c r="G12" i="44" s="1"/>
  <c r="Y65" i="44" s="1"/>
  <c r="Z65" i="44" s="1"/>
  <c r="BZ66" i="5"/>
  <c r="HC66" i="5" s="1"/>
  <c r="HR66" i="5" s="1"/>
  <c r="CH66" i="5"/>
  <c r="DY56" i="5"/>
  <c r="DZ56" i="5" s="1"/>
  <c r="AN55" i="5"/>
  <c r="AO55" i="5" s="1"/>
  <c r="BT65" i="5"/>
  <c r="BW65" i="5" s="1"/>
  <c r="AD65" i="5"/>
  <c r="E11" i="44"/>
  <c r="W66" i="44" s="1"/>
  <c r="AC65" i="5"/>
  <c r="AH65" i="5"/>
  <c r="AG63" i="44"/>
  <c r="AV63" i="44"/>
  <c r="S64" i="44"/>
  <c r="AL64" i="44" s="1"/>
  <c r="AA64" i="44"/>
  <c r="BQ67" i="5"/>
  <c r="AP54" i="5"/>
  <c r="BX54" i="5" s="1"/>
  <c r="CF54" i="5" s="1"/>
  <c r="FE65" i="5"/>
  <c r="FA65" i="5"/>
  <c r="EG65" i="5"/>
  <c r="EE65" i="5"/>
  <c r="FG64" i="5"/>
  <c r="GQ67" i="5"/>
  <c r="FB65" i="5"/>
  <c r="FC65" i="5"/>
  <c r="FF65" i="5"/>
  <c r="AQ64" i="44"/>
  <c r="DU56" i="5"/>
  <c r="AP39" i="5"/>
  <c r="BX39" i="5" s="1"/>
  <c r="CF39" i="5" s="1"/>
  <c r="AP52" i="5"/>
  <c r="BX52" i="5" s="1"/>
  <c r="CF52" i="5" s="1"/>
  <c r="AP44" i="5"/>
  <c r="BX44" i="5" s="1"/>
  <c r="CF44" i="5" s="1"/>
  <c r="AP47" i="5"/>
  <c r="BX47" i="5" s="1"/>
  <c r="CF47" i="5" s="1"/>
  <c r="AP38" i="5"/>
  <c r="BX38" i="5" s="1"/>
  <c r="CF38" i="5" s="1"/>
  <c r="AP41" i="5"/>
  <c r="BX41" i="5" s="1"/>
  <c r="CF41" i="5" s="1"/>
  <c r="AP45" i="5"/>
  <c r="BX45" i="5" s="1"/>
  <c r="CF45" i="5" s="1"/>
  <c r="AP49" i="5"/>
  <c r="BX49" i="5" s="1"/>
  <c r="CF49" i="5" s="1"/>
  <c r="AP42" i="5"/>
  <c r="BX42" i="5" s="1"/>
  <c r="CF42" i="5" s="1"/>
  <c r="AP40" i="5"/>
  <c r="BX40" i="5" s="1"/>
  <c r="CF40" i="5" s="1"/>
  <c r="AP53" i="5"/>
  <c r="BX53" i="5" s="1"/>
  <c r="CF53" i="5" s="1"/>
  <c r="AP48" i="5"/>
  <c r="BX48" i="5" s="1"/>
  <c r="CF48" i="5" s="1"/>
  <c r="AP50" i="5"/>
  <c r="BX50" i="5" s="1"/>
  <c r="CF50" i="5" s="1"/>
  <c r="AP43" i="5"/>
  <c r="BX43" i="5" s="1"/>
  <c r="CF43" i="5" s="1"/>
  <c r="AP51" i="5"/>
  <c r="BX51" i="5" s="1"/>
  <c r="CF51" i="5" s="1"/>
  <c r="BV67" i="5"/>
  <c r="CH67" i="5" s="1"/>
  <c r="AP46" i="5"/>
  <c r="BX46" i="5" s="1"/>
  <c r="CF46" i="5" s="1"/>
  <c r="AJ55" i="5"/>
  <c r="BA63" i="44"/>
  <c r="DN64" i="5" l="1"/>
  <c r="FC64" i="5" s="1"/>
  <c r="FD64" i="5" s="1"/>
  <c r="FK64" i="5" s="1"/>
  <c r="HE64" i="5" s="1"/>
  <c r="AC35" i="14"/>
  <c r="AC40" i="14" s="1"/>
  <c r="FX38" i="5"/>
  <c r="GB38" i="5" s="1"/>
  <c r="CG47" i="5"/>
  <c r="FX47" i="5"/>
  <c r="GB47" i="5" s="1"/>
  <c r="FX51" i="5"/>
  <c r="GB51" i="5" s="1"/>
  <c r="CG44" i="5"/>
  <c r="FX44" i="5"/>
  <c r="GB44" i="5" s="1"/>
  <c r="CG45" i="5"/>
  <c r="FX45" i="5"/>
  <c r="GB45" i="5" s="1"/>
  <c r="CG43" i="5"/>
  <c r="FX43" i="5"/>
  <c r="GB43" i="5" s="1"/>
  <c r="FX52" i="5"/>
  <c r="GB52" i="5" s="1"/>
  <c r="CG50" i="5"/>
  <c r="FX50" i="5"/>
  <c r="GB50" i="5" s="1"/>
  <c r="CG39" i="5"/>
  <c r="FX39" i="5"/>
  <c r="GB39" i="5" s="1"/>
  <c r="FX54" i="5"/>
  <c r="GB54" i="5" s="1"/>
  <c r="CG48" i="5"/>
  <c r="FX48" i="5"/>
  <c r="GB48" i="5" s="1"/>
  <c r="CG41" i="5"/>
  <c r="FX41" i="5"/>
  <c r="GB41" i="5" s="1"/>
  <c r="CA53" i="5"/>
  <c r="FX53" i="5"/>
  <c r="GB53" i="5" s="1"/>
  <c r="CG46" i="5"/>
  <c r="FX46" i="5"/>
  <c r="GB46" i="5" s="1"/>
  <c r="CG42" i="5"/>
  <c r="FX42" i="5"/>
  <c r="GB42" i="5" s="1"/>
  <c r="CG40" i="5"/>
  <c r="FX40" i="5"/>
  <c r="GB40" i="5" s="1"/>
  <c r="CA49" i="5"/>
  <c r="FX49" i="5"/>
  <c r="GB49" i="5" s="1"/>
  <c r="V65" i="44"/>
  <c r="S65" i="44" s="1"/>
  <c r="AL65" i="44" s="1"/>
  <c r="BV65" i="5"/>
  <c r="M11" i="44" s="1"/>
  <c r="AH66" i="44" s="1"/>
  <c r="FS64" i="5"/>
  <c r="CG52" i="5"/>
  <c r="CG51" i="5"/>
  <c r="CG38" i="5"/>
  <c r="EF65" i="5"/>
  <c r="FJ65" i="5" s="1"/>
  <c r="AB66" i="5"/>
  <c r="E10" i="44" s="1"/>
  <c r="W67" i="44" s="1"/>
  <c r="AG64" i="44"/>
  <c r="AV64" i="44"/>
  <c r="AO104" i="5"/>
  <c r="AO103" i="5"/>
  <c r="FG65" i="5"/>
  <c r="FS65" i="5" s="1"/>
  <c r="FA66" i="5"/>
  <c r="EE66" i="5"/>
  <c r="FD65" i="5"/>
  <c r="FH65" i="5"/>
  <c r="L20" i="44"/>
  <c r="AF57" i="44" s="1"/>
  <c r="DT57" i="5"/>
  <c r="K19" i="44"/>
  <c r="AE58" i="44" s="1"/>
  <c r="AQ65" i="44"/>
  <c r="CA38" i="5"/>
  <c r="CA47" i="5"/>
  <c r="CA52" i="5"/>
  <c r="CA39" i="5"/>
  <c r="CA51" i="5"/>
  <c r="AP55" i="5"/>
  <c r="BX55" i="5" s="1"/>
  <c r="CF55" i="5" s="1"/>
  <c r="I21" i="44"/>
  <c r="AC56" i="44" s="1"/>
  <c r="AI56" i="5"/>
  <c r="H20" i="44"/>
  <c r="AB57" i="44" s="1"/>
  <c r="BA64" i="44"/>
  <c r="DL65" i="5" l="1"/>
  <c r="DS65" i="5" s="1"/>
  <c r="FH64" i="5"/>
  <c r="O12" i="44" s="1"/>
  <c r="AJ65" i="44" s="1"/>
  <c r="AK65" i="44" s="1"/>
  <c r="DN65" i="5"/>
  <c r="DO65" i="5"/>
  <c r="C66" i="44"/>
  <c r="G11" i="44" s="1"/>
  <c r="Y66" i="44" s="1"/>
  <c r="Z66" i="44" s="1"/>
  <c r="HF64" i="5"/>
  <c r="HS64" i="5"/>
  <c r="CA45" i="5"/>
  <c r="P31" i="44" s="1"/>
  <c r="CA48" i="5"/>
  <c r="P28" i="44" s="1"/>
  <c r="CA46" i="5"/>
  <c r="P30" i="44" s="1"/>
  <c r="CA42" i="5"/>
  <c r="P34" i="44" s="1"/>
  <c r="CG53" i="5"/>
  <c r="CG49" i="5"/>
  <c r="CA40" i="5"/>
  <c r="P36" i="44" s="1"/>
  <c r="CA44" i="5"/>
  <c r="P32" i="44" s="1"/>
  <c r="CA50" i="5"/>
  <c r="P26" i="44" s="1"/>
  <c r="HO41" i="5"/>
  <c r="HO43" i="5"/>
  <c r="HO49" i="5"/>
  <c r="HO48" i="5"/>
  <c r="HO45" i="5"/>
  <c r="HO40" i="5"/>
  <c r="HO54" i="5"/>
  <c r="HO44" i="5"/>
  <c r="HO42" i="5"/>
  <c r="HO39" i="5"/>
  <c r="HO51" i="5"/>
  <c r="HO46" i="5"/>
  <c r="HO50" i="5"/>
  <c r="HO47" i="5"/>
  <c r="HO53" i="5"/>
  <c r="HO52" i="5"/>
  <c r="HO38" i="5"/>
  <c r="CA41" i="5"/>
  <c r="P35" i="44" s="1"/>
  <c r="CA43" i="5"/>
  <c r="P33" i="44" s="1"/>
  <c r="AA65" i="44"/>
  <c r="CA55" i="5"/>
  <c r="FX55" i="5"/>
  <c r="GB55" i="5" s="1"/>
  <c r="DY57" i="5"/>
  <c r="DZ57" i="5" s="1"/>
  <c r="AH66" i="5"/>
  <c r="AC66" i="5"/>
  <c r="AD66" i="5"/>
  <c r="GS65" i="5"/>
  <c r="BZ65" i="5"/>
  <c r="HC65" i="5" s="1"/>
  <c r="HR65" i="5" s="1"/>
  <c r="CH65" i="5"/>
  <c r="EF66" i="5"/>
  <c r="CA54" i="5"/>
  <c r="CG54" i="5"/>
  <c r="AN56" i="5"/>
  <c r="AO56" i="5" s="1"/>
  <c r="AG65" i="44"/>
  <c r="AV65" i="44"/>
  <c r="EG66" i="5"/>
  <c r="FK65" i="5"/>
  <c r="HE65" i="5" s="1"/>
  <c r="HF65" i="5" s="1"/>
  <c r="O11" i="44"/>
  <c r="AJ66" i="44" s="1"/>
  <c r="FE66" i="5"/>
  <c r="FF66" i="5"/>
  <c r="FC66" i="5"/>
  <c r="FB66" i="5"/>
  <c r="DU57" i="5"/>
  <c r="P38" i="44"/>
  <c r="P29" i="44"/>
  <c r="P23" i="44"/>
  <c r="P37" i="44"/>
  <c r="P25" i="44"/>
  <c r="P24" i="44"/>
  <c r="P27" i="44"/>
  <c r="AJ56" i="5"/>
  <c r="BA65" i="44"/>
  <c r="DL66" i="5" l="1"/>
  <c r="DS66" i="5" s="1"/>
  <c r="FJ66" i="5"/>
  <c r="V66" i="44"/>
  <c r="AA66" i="44" s="1"/>
  <c r="DO66" i="5"/>
  <c r="HS65" i="5"/>
  <c r="DN66" i="5"/>
  <c r="C67" i="44"/>
  <c r="G10" i="44" s="1"/>
  <c r="Y67" i="44" s="1"/>
  <c r="V67" i="44" s="1"/>
  <c r="AA67" i="44" s="1"/>
  <c r="HO55" i="5"/>
  <c r="GT65" i="5"/>
  <c r="AB67" i="5"/>
  <c r="AD67" i="5" s="1"/>
  <c r="P22" i="44"/>
  <c r="GS66" i="5"/>
  <c r="CG55" i="5"/>
  <c r="C35" i="14"/>
  <c r="AP9" i="5"/>
  <c r="BX9" i="5" s="1"/>
  <c r="CF9" i="5" s="1"/>
  <c r="AP11" i="5"/>
  <c r="BX11" i="5" s="1"/>
  <c r="CF11" i="5" s="1"/>
  <c r="AP12" i="5"/>
  <c r="BX12" i="5" s="1"/>
  <c r="CF12" i="5" s="1"/>
  <c r="AP10" i="5"/>
  <c r="BX10" i="5" s="1"/>
  <c r="CF10" i="5" s="1"/>
  <c r="AP13" i="5"/>
  <c r="BX13" i="5" s="1"/>
  <c r="CF13" i="5" s="1"/>
  <c r="AP21" i="5"/>
  <c r="BX21" i="5" s="1"/>
  <c r="CF21" i="5" s="1"/>
  <c r="AP23" i="5"/>
  <c r="BX23" i="5" s="1"/>
  <c r="CF23" i="5" s="1"/>
  <c r="AP24" i="5"/>
  <c r="BX24" i="5" s="1"/>
  <c r="CF24" i="5" s="1"/>
  <c r="AP25" i="5"/>
  <c r="BX25" i="5" s="1"/>
  <c r="CF25" i="5" s="1"/>
  <c r="AP26" i="5"/>
  <c r="BX26" i="5" s="1"/>
  <c r="CF26" i="5" s="1"/>
  <c r="AP27" i="5"/>
  <c r="BX27" i="5" s="1"/>
  <c r="CF27" i="5" s="1"/>
  <c r="AP28" i="5"/>
  <c r="BX28" i="5" s="1"/>
  <c r="CF28" i="5" s="1"/>
  <c r="AP29" i="5"/>
  <c r="BX29" i="5" s="1"/>
  <c r="CF29" i="5" s="1"/>
  <c r="AP30" i="5"/>
  <c r="BX30" i="5" s="1"/>
  <c r="CF30" i="5" s="1"/>
  <c r="AP34" i="5"/>
  <c r="BX34" i="5" s="1"/>
  <c r="CF34" i="5" s="1"/>
  <c r="AP17" i="5"/>
  <c r="BX17" i="5" s="1"/>
  <c r="CF17" i="5" s="1"/>
  <c r="AP35" i="5"/>
  <c r="BX35" i="5" s="1"/>
  <c r="CF35" i="5" s="1"/>
  <c r="AP18" i="5"/>
  <c r="BX18" i="5" s="1"/>
  <c r="CF18" i="5" s="1"/>
  <c r="AP16" i="5"/>
  <c r="BX16" i="5" s="1"/>
  <c r="CF16" i="5" s="1"/>
  <c r="AP20" i="5"/>
  <c r="BX20" i="5" s="1"/>
  <c r="CF20" i="5" s="1"/>
  <c r="AP36" i="5"/>
  <c r="BX36" i="5" s="1"/>
  <c r="CF36" i="5" s="1"/>
  <c r="AP33" i="5"/>
  <c r="BX33" i="5" s="1"/>
  <c r="CF33" i="5" s="1"/>
  <c r="AP32" i="5"/>
  <c r="BX32" i="5" s="1"/>
  <c r="CF32" i="5" s="1"/>
  <c r="AP19" i="5"/>
  <c r="BX19" i="5" s="1"/>
  <c r="CF19" i="5" s="1"/>
  <c r="EG67" i="5"/>
  <c r="FA67" i="5"/>
  <c r="EE67" i="5"/>
  <c r="EF67" i="5"/>
  <c r="FH66" i="5"/>
  <c r="FD66" i="5"/>
  <c r="FG66" i="5"/>
  <c r="FS66" i="5" s="1"/>
  <c r="AQ66" i="44"/>
  <c r="AK66" i="44"/>
  <c r="K18" i="44"/>
  <c r="AE59" i="44" s="1"/>
  <c r="DT58" i="5"/>
  <c r="L19" i="44"/>
  <c r="AF58" i="44" s="1"/>
  <c r="I20" i="44"/>
  <c r="AC57" i="44" s="1"/>
  <c r="EA50" i="5"/>
  <c r="FI50" i="5" s="1"/>
  <c r="FQ50" i="5" s="1"/>
  <c r="EA49" i="5"/>
  <c r="FI49" i="5" s="1"/>
  <c r="FQ49" i="5" s="1"/>
  <c r="EA42" i="5"/>
  <c r="FI42" i="5" s="1"/>
  <c r="FQ42" i="5" s="1"/>
  <c r="EA48" i="5"/>
  <c r="FI48" i="5" s="1"/>
  <c r="FQ48" i="5" s="1"/>
  <c r="EA41" i="5"/>
  <c r="FI41" i="5" s="1"/>
  <c r="FQ41" i="5" s="1"/>
  <c r="EA43" i="5"/>
  <c r="FI43" i="5" s="1"/>
  <c r="FQ43" i="5" s="1"/>
  <c r="BA66" i="44"/>
  <c r="EA47" i="5"/>
  <c r="FI47" i="5" s="1"/>
  <c r="FQ47" i="5" s="1"/>
  <c r="EA54" i="5"/>
  <c r="FI54" i="5" s="1"/>
  <c r="FQ54" i="5" s="1"/>
  <c r="EA46" i="5"/>
  <c r="FI46" i="5" s="1"/>
  <c r="FQ46" i="5" s="1"/>
  <c r="EA57" i="5"/>
  <c r="FI57" i="5" s="1"/>
  <c r="FQ57" i="5" s="1"/>
  <c r="EA55" i="5"/>
  <c r="FI55" i="5" s="1"/>
  <c r="FQ55" i="5" s="1"/>
  <c r="EA45" i="5"/>
  <c r="FI45" i="5" s="1"/>
  <c r="FQ45" i="5" s="1"/>
  <c r="AP56" i="5"/>
  <c r="BX56" i="5" s="1"/>
  <c r="CF56" i="5" s="1"/>
  <c r="P21" i="44"/>
  <c r="EA40" i="5"/>
  <c r="FI40" i="5" s="1"/>
  <c r="FQ40" i="5" s="1"/>
  <c r="EA53" i="5"/>
  <c r="FI53" i="5" s="1"/>
  <c r="FQ53" i="5" s="1"/>
  <c r="EA38" i="5"/>
  <c r="FI38" i="5" s="1"/>
  <c r="FQ38" i="5" s="1"/>
  <c r="EA39" i="5"/>
  <c r="FI39" i="5" s="1"/>
  <c r="FQ39" i="5" s="1"/>
  <c r="EA56" i="5"/>
  <c r="FI56" i="5" s="1"/>
  <c r="FQ56" i="5" s="1"/>
  <c r="EA44" i="5"/>
  <c r="FI44" i="5" s="1"/>
  <c r="FQ44" i="5" s="1"/>
  <c r="H19" i="44"/>
  <c r="AB58" i="44" s="1"/>
  <c r="AI57" i="5"/>
  <c r="EA51" i="5"/>
  <c r="FI51" i="5" s="1"/>
  <c r="FQ51" i="5" s="1"/>
  <c r="EA52" i="5"/>
  <c r="FI52" i="5" s="1"/>
  <c r="FQ52" i="5" s="1"/>
  <c r="AC47" i="14"/>
  <c r="AC49" i="14"/>
  <c r="AC48" i="14"/>
  <c r="S66" i="44" l="1"/>
  <c r="DL67" i="5"/>
  <c r="DS67" i="5" s="1"/>
  <c r="FJ67" i="5"/>
  <c r="AH67" i="5"/>
  <c r="CB9" i="5"/>
  <c r="CE9" i="5" s="1"/>
  <c r="CB11" i="5"/>
  <c r="CE11" i="5" s="1"/>
  <c r="CB10" i="5"/>
  <c r="CE10" i="5" s="1"/>
  <c r="CB12" i="5"/>
  <c r="CE12" i="5" s="1"/>
  <c r="CB13" i="5"/>
  <c r="CE13" i="5" s="1"/>
  <c r="S67" i="44"/>
  <c r="E9" i="44"/>
  <c r="W68" i="44" s="1"/>
  <c r="Z67" i="44"/>
  <c r="AC67" i="5"/>
  <c r="BR67" i="5" s="1"/>
  <c r="BS67" i="5" s="1"/>
  <c r="BZ67" i="5" s="1"/>
  <c r="HC67" i="5" s="1"/>
  <c r="GT66" i="5"/>
  <c r="FX28" i="5"/>
  <c r="GB28" i="5" s="1"/>
  <c r="FR51" i="5"/>
  <c r="FZ51" i="5"/>
  <c r="GD51" i="5" s="1"/>
  <c r="CA26" i="5"/>
  <c r="FX26" i="5"/>
  <c r="GB26" i="5" s="1"/>
  <c r="FL50" i="5"/>
  <c r="FZ50" i="5"/>
  <c r="GD50" i="5" s="1"/>
  <c r="FR44" i="5"/>
  <c r="FZ44" i="5"/>
  <c r="GD44" i="5" s="1"/>
  <c r="CG33" i="5"/>
  <c r="FX33" i="5"/>
  <c r="GB33" i="5" s="1"/>
  <c r="FL56" i="5"/>
  <c r="FZ56" i="5"/>
  <c r="GD56" i="5" s="1"/>
  <c r="FZ54" i="5"/>
  <c r="GD54" i="5" s="1"/>
  <c r="CG36" i="5"/>
  <c r="FX36" i="5"/>
  <c r="GB36" i="5" s="1"/>
  <c r="CG25" i="5"/>
  <c r="FX25" i="5"/>
  <c r="GB25" i="5" s="1"/>
  <c r="CG27" i="5"/>
  <c r="FX27" i="5"/>
  <c r="GB27" i="5" s="1"/>
  <c r="CG20" i="5"/>
  <c r="FX20" i="5"/>
  <c r="GB20" i="5" s="1"/>
  <c r="CA24" i="5"/>
  <c r="FX24" i="5"/>
  <c r="GB24" i="5" s="1"/>
  <c r="FR57" i="5"/>
  <c r="FZ57" i="5"/>
  <c r="GD57" i="5" s="1"/>
  <c r="FR39" i="5"/>
  <c r="FZ39" i="5"/>
  <c r="GD39" i="5" s="1"/>
  <c r="FL47" i="5"/>
  <c r="FZ47" i="5"/>
  <c r="GD47" i="5" s="1"/>
  <c r="FR38" i="5"/>
  <c r="FZ38" i="5"/>
  <c r="GD38" i="5" s="1"/>
  <c r="CG16" i="5"/>
  <c r="FX16" i="5"/>
  <c r="GB16" i="5" s="1"/>
  <c r="CG23" i="5"/>
  <c r="FX23" i="5"/>
  <c r="GB23" i="5" s="1"/>
  <c r="FX18" i="5"/>
  <c r="GB18" i="5" s="1"/>
  <c r="CG21" i="5"/>
  <c r="FX21" i="5"/>
  <c r="GB21" i="5" s="1"/>
  <c r="FL45" i="5"/>
  <c r="FZ45" i="5"/>
  <c r="GD45" i="5" s="1"/>
  <c r="CG9" i="5"/>
  <c r="FX9" i="5"/>
  <c r="GB9" i="5" s="1"/>
  <c r="GC9" i="5" s="1"/>
  <c r="HR9" i="5" s="1"/>
  <c r="FL55" i="5"/>
  <c r="FZ55" i="5"/>
  <c r="GD55" i="5" s="1"/>
  <c r="CA19" i="5"/>
  <c r="FX19" i="5"/>
  <c r="GB19" i="5" s="1"/>
  <c r="FR43" i="5"/>
  <c r="FZ43" i="5"/>
  <c r="GD43" i="5" s="1"/>
  <c r="FR41" i="5"/>
  <c r="FZ41" i="5"/>
  <c r="GD41" i="5" s="1"/>
  <c r="CG35" i="5"/>
  <c r="FX35" i="5"/>
  <c r="GB35" i="5" s="1"/>
  <c r="CG13" i="5"/>
  <c r="FX13" i="5"/>
  <c r="GB13" i="5" s="1"/>
  <c r="CA17" i="5"/>
  <c r="FX17" i="5"/>
  <c r="GB17" i="5" s="1"/>
  <c r="CA10" i="5"/>
  <c r="FX10" i="5"/>
  <c r="GB10" i="5" s="1"/>
  <c r="FR40" i="5"/>
  <c r="FZ40" i="5"/>
  <c r="GD40" i="5" s="1"/>
  <c r="FR42" i="5"/>
  <c r="FZ42" i="5"/>
  <c r="GD42" i="5" s="1"/>
  <c r="CG34" i="5"/>
  <c r="FX34" i="5"/>
  <c r="GB34" i="5" s="1"/>
  <c r="CG12" i="5"/>
  <c r="FX12" i="5"/>
  <c r="GB12" i="5" s="1"/>
  <c r="CA29" i="5"/>
  <c r="FX29" i="5"/>
  <c r="GB29" i="5" s="1"/>
  <c r="CA32" i="5"/>
  <c r="FX32" i="5"/>
  <c r="GB32" i="5" s="1"/>
  <c r="FR46" i="5"/>
  <c r="FZ46" i="5"/>
  <c r="GD46" i="5" s="1"/>
  <c r="FR53" i="5"/>
  <c r="FZ53" i="5"/>
  <c r="GD53" i="5" s="1"/>
  <c r="FR48" i="5"/>
  <c r="FZ48" i="5"/>
  <c r="GD48" i="5" s="1"/>
  <c r="FR52" i="5"/>
  <c r="FZ52" i="5"/>
  <c r="GD52" i="5" s="1"/>
  <c r="CA56" i="5"/>
  <c r="FX56" i="5"/>
  <c r="GB56" i="5" s="1"/>
  <c r="FR49" i="5"/>
  <c r="FZ49" i="5"/>
  <c r="GD49" i="5" s="1"/>
  <c r="CA30" i="5"/>
  <c r="FX30" i="5"/>
  <c r="GB30" i="5" s="1"/>
  <c r="CG11" i="5"/>
  <c r="FX11" i="5"/>
  <c r="GB11" i="5" s="1"/>
  <c r="FR54" i="5"/>
  <c r="DY58" i="5"/>
  <c r="DZ58" i="5" s="1"/>
  <c r="CG10" i="5"/>
  <c r="CG32" i="5"/>
  <c r="CG28" i="5"/>
  <c r="CG18" i="5"/>
  <c r="AN57" i="5"/>
  <c r="AO57" i="5" s="1"/>
  <c r="C5" i="55"/>
  <c r="AP14" i="5"/>
  <c r="BX14" i="5" s="1"/>
  <c r="CF14" i="5" s="1"/>
  <c r="AP22" i="5"/>
  <c r="BX22" i="5" s="1"/>
  <c r="CF22" i="5" s="1"/>
  <c r="AP31" i="5"/>
  <c r="BX31" i="5" s="1"/>
  <c r="CF31" i="5" s="1"/>
  <c r="AP15" i="5"/>
  <c r="BX15" i="5" s="1"/>
  <c r="CF15" i="5" s="1"/>
  <c r="C63" i="14"/>
  <c r="C8" i="55" s="1"/>
  <c r="CA28" i="5"/>
  <c r="CA23" i="5"/>
  <c r="CA18" i="5"/>
  <c r="FK66" i="5"/>
  <c r="HE66" i="5" s="1"/>
  <c r="HS66" i="5" s="1"/>
  <c r="O10" i="44"/>
  <c r="AJ67" i="44" s="1"/>
  <c r="FB67" i="5"/>
  <c r="FC67" i="5"/>
  <c r="GS67" i="5"/>
  <c r="FF67" i="5"/>
  <c r="FE67" i="5"/>
  <c r="DU58" i="5"/>
  <c r="AW49" i="44"/>
  <c r="AW46" i="44"/>
  <c r="AW53" i="44"/>
  <c r="AW52" i="44"/>
  <c r="AW39" i="44"/>
  <c r="AW48" i="44"/>
  <c r="AW44" i="44"/>
  <c r="AW43" i="44"/>
  <c r="AW45" i="44"/>
  <c r="AW50" i="44"/>
  <c r="AW47" i="44"/>
  <c r="AW51" i="44"/>
  <c r="AW42" i="44"/>
  <c r="AW54" i="44"/>
  <c r="AW55" i="44"/>
  <c r="AW40" i="44"/>
  <c r="AW41" i="44"/>
  <c r="AW56" i="44"/>
  <c r="FL57" i="5"/>
  <c r="FL51" i="5"/>
  <c r="FL46" i="5"/>
  <c r="FL43" i="5"/>
  <c r="FL54" i="5"/>
  <c r="AJ57" i="5"/>
  <c r="FL40" i="5"/>
  <c r="D56" i="55" l="1"/>
  <c r="D64" i="55"/>
  <c r="D72" i="55"/>
  <c r="C22" i="55"/>
  <c r="C30" i="55"/>
  <c r="C38" i="55"/>
  <c r="C54" i="55"/>
  <c r="C62" i="55"/>
  <c r="C70" i="55"/>
  <c r="C78" i="55"/>
  <c r="B27" i="55"/>
  <c r="B35" i="55"/>
  <c r="B43" i="55"/>
  <c r="B51" i="55"/>
  <c r="B59" i="55"/>
  <c r="B67" i="55"/>
  <c r="B75" i="55"/>
  <c r="D71" i="55"/>
  <c r="C61" i="55"/>
  <c r="B50" i="55"/>
  <c r="B20" i="55"/>
  <c r="J20" i="55" s="1"/>
  <c r="D57" i="55"/>
  <c r="D65" i="55"/>
  <c r="D73" i="55"/>
  <c r="C31" i="55"/>
  <c r="C55" i="55"/>
  <c r="C63" i="55"/>
  <c r="C71" i="55"/>
  <c r="C79" i="55"/>
  <c r="B28" i="55"/>
  <c r="B36" i="55"/>
  <c r="B44" i="55"/>
  <c r="B52" i="55"/>
  <c r="B60" i="55"/>
  <c r="B68" i="55"/>
  <c r="B76" i="55"/>
  <c r="D55" i="55"/>
  <c r="C77" i="55"/>
  <c r="B66" i="55"/>
  <c r="D50" i="55"/>
  <c r="D58" i="55"/>
  <c r="D66" i="55"/>
  <c r="D74" i="55"/>
  <c r="C40" i="55"/>
  <c r="C56" i="55"/>
  <c r="C64" i="55"/>
  <c r="C72" i="55"/>
  <c r="B29" i="55"/>
  <c r="B37" i="55"/>
  <c r="B45" i="55"/>
  <c r="B53" i="55"/>
  <c r="B61" i="55"/>
  <c r="B69" i="55"/>
  <c r="B77" i="55"/>
  <c r="D51" i="55"/>
  <c r="D59" i="55"/>
  <c r="D67" i="55"/>
  <c r="D75" i="55"/>
  <c r="C41" i="55"/>
  <c r="C57" i="55"/>
  <c r="C65" i="55"/>
  <c r="C73" i="55"/>
  <c r="B22" i="55"/>
  <c r="B30" i="55"/>
  <c r="B38" i="55"/>
  <c r="B46" i="55"/>
  <c r="B54" i="55"/>
  <c r="B62" i="55"/>
  <c r="B70" i="55"/>
  <c r="B78" i="55"/>
  <c r="D63" i="55"/>
  <c r="C53" i="55"/>
  <c r="B42" i="55"/>
  <c r="D52" i="55"/>
  <c r="D60" i="55"/>
  <c r="D68" i="55"/>
  <c r="D76" i="55"/>
  <c r="C42" i="55"/>
  <c r="C50" i="55"/>
  <c r="C58" i="55"/>
  <c r="C66" i="55"/>
  <c r="C74" i="55"/>
  <c r="B23" i="55"/>
  <c r="B31" i="55"/>
  <c r="B39" i="55"/>
  <c r="B47" i="55"/>
  <c r="B55" i="55"/>
  <c r="B63" i="55"/>
  <c r="B71" i="55"/>
  <c r="B79" i="55"/>
  <c r="D79" i="55"/>
  <c r="B26" i="55"/>
  <c r="B74" i="55"/>
  <c r="D53" i="55"/>
  <c r="D61" i="55"/>
  <c r="D69" i="55"/>
  <c r="D77" i="55"/>
  <c r="C35" i="55"/>
  <c r="C51" i="55"/>
  <c r="C59" i="55"/>
  <c r="C67" i="55"/>
  <c r="C75" i="55"/>
  <c r="B24" i="55"/>
  <c r="B32" i="55"/>
  <c r="B40" i="55"/>
  <c r="B48" i="55"/>
  <c r="B56" i="55"/>
  <c r="B64" i="55"/>
  <c r="B72" i="55"/>
  <c r="B21" i="55"/>
  <c r="C29" i="55"/>
  <c r="C69" i="55"/>
  <c r="B34" i="55"/>
  <c r="B58" i="55"/>
  <c r="D54" i="55"/>
  <c r="D62" i="55"/>
  <c r="D70" i="55"/>
  <c r="D78" i="55"/>
  <c r="C36" i="55"/>
  <c r="C44" i="55"/>
  <c r="C52" i="55"/>
  <c r="C60" i="55"/>
  <c r="C68" i="55"/>
  <c r="C76" i="55"/>
  <c r="B25" i="55"/>
  <c r="B33" i="55"/>
  <c r="B41" i="55"/>
  <c r="B49" i="55"/>
  <c r="B57" i="55"/>
  <c r="B65" i="55"/>
  <c r="B73" i="55"/>
  <c r="AF56" i="55"/>
  <c r="AF64" i="55"/>
  <c r="AF72" i="55"/>
  <c r="AE50" i="55"/>
  <c r="AE58" i="55"/>
  <c r="AE66" i="55"/>
  <c r="AE74" i="55"/>
  <c r="Y52" i="55"/>
  <c r="Y60" i="55"/>
  <c r="Y68" i="55"/>
  <c r="Y76" i="55"/>
  <c r="X54" i="55"/>
  <c r="X62" i="55"/>
  <c r="X70" i="55"/>
  <c r="X78" i="55"/>
  <c r="W56" i="55"/>
  <c r="W64" i="55"/>
  <c r="W72" i="55"/>
  <c r="AF70" i="55"/>
  <c r="Y50" i="55"/>
  <c r="X52" i="55"/>
  <c r="AF57" i="55"/>
  <c r="AF65" i="55"/>
  <c r="AF73" i="55"/>
  <c r="AE51" i="55"/>
  <c r="AE59" i="55"/>
  <c r="AE67" i="55"/>
  <c r="AE75" i="55"/>
  <c r="Y53" i="55"/>
  <c r="Y61" i="55"/>
  <c r="Y69" i="55"/>
  <c r="Y77" i="55"/>
  <c r="X55" i="55"/>
  <c r="X63" i="55"/>
  <c r="X71" i="55"/>
  <c r="X79" i="55"/>
  <c r="W57" i="55"/>
  <c r="W65" i="55"/>
  <c r="W73" i="55"/>
  <c r="AE72" i="55"/>
  <c r="Y66" i="55"/>
  <c r="W54" i="55"/>
  <c r="AF50" i="55"/>
  <c r="AF58" i="55"/>
  <c r="AF66" i="55"/>
  <c r="AF74" i="55"/>
  <c r="AE52" i="55"/>
  <c r="AE60" i="55"/>
  <c r="AE68" i="55"/>
  <c r="AE76" i="55"/>
  <c r="Y54" i="55"/>
  <c r="Y62" i="55"/>
  <c r="Y70" i="55"/>
  <c r="Y78" i="55"/>
  <c r="X56" i="55"/>
  <c r="X64" i="55"/>
  <c r="X72" i="55"/>
  <c r="W50" i="55"/>
  <c r="W58" i="55"/>
  <c r="W66" i="55"/>
  <c r="W74" i="55"/>
  <c r="AE64" i="55"/>
  <c r="W70" i="55"/>
  <c r="AF51" i="55"/>
  <c r="AF59" i="55"/>
  <c r="AF67" i="55"/>
  <c r="AF75" i="55"/>
  <c r="AE53" i="55"/>
  <c r="AE61" i="55"/>
  <c r="AE69" i="55"/>
  <c r="AE77" i="55"/>
  <c r="Y55" i="55"/>
  <c r="Y63" i="55"/>
  <c r="Y71" i="55"/>
  <c r="Y79" i="55"/>
  <c r="X57" i="55"/>
  <c r="X65" i="55"/>
  <c r="X73" i="55"/>
  <c r="W51" i="55"/>
  <c r="W59" i="55"/>
  <c r="W67" i="55"/>
  <c r="W75" i="55"/>
  <c r="AF78" i="55"/>
  <c r="Y74" i="55"/>
  <c r="W62" i="55"/>
  <c r="AF52" i="55"/>
  <c r="AF60" i="55"/>
  <c r="AF68" i="55"/>
  <c r="AF76" i="55"/>
  <c r="AE54" i="55"/>
  <c r="AE62" i="55"/>
  <c r="AE70" i="55"/>
  <c r="AE78" i="55"/>
  <c r="Y56" i="55"/>
  <c r="Y64" i="55"/>
  <c r="Y72" i="55"/>
  <c r="X50" i="55"/>
  <c r="X58" i="55"/>
  <c r="X66" i="55"/>
  <c r="X74" i="55"/>
  <c r="W52" i="55"/>
  <c r="W60" i="55"/>
  <c r="W68" i="55"/>
  <c r="W76" i="55"/>
  <c r="AE56" i="55"/>
  <c r="X60" i="55"/>
  <c r="AF53" i="55"/>
  <c r="AF61" i="55"/>
  <c r="AF69" i="55"/>
  <c r="AF77" i="55"/>
  <c r="AE55" i="55"/>
  <c r="AE63" i="55"/>
  <c r="AE71" i="55"/>
  <c r="AE79" i="55"/>
  <c r="Y57" i="55"/>
  <c r="Y65" i="55"/>
  <c r="Y73" i="55"/>
  <c r="X51" i="55"/>
  <c r="X59" i="55"/>
  <c r="X67" i="55"/>
  <c r="X75" i="55"/>
  <c r="W53" i="55"/>
  <c r="W61" i="55"/>
  <c r="W69" i="55"/>
  <c r="W77" i="55"/>
  <c r="AF54" i="55"/>
  <c r="X76" i="55"/>
  <c r="AF55" i="55"/>
  <c r="AF63" i="55"/>
  <c r="AF71" i="55"/>
  <c r="AF79" i="55"/>
  <c r="AE57" i="55"/>
  <c r="AE65" i="55"/>
  <c r="AE73" i="55"/>
  <c r="Y51" i="55"/>
  <c r="Y59" i="55"/>
  <c r="Y67" i="55"/>
  <c r="Y75" i="55"/>
  <c r="X53" i="55"/>
  <c r="X61" i="55"/>
  <c r="X69" i="55"/>
  <c r="X77" i="55"/>
  <c r="W55" i="55"/>
  <c r="W63" i="55"/>
  <c r="W71" i="55"/>
  <c r="W79" i="55"/>
  <c r="AF62" i="55"/>
  <c r="Y58" i="55"/>
  <c r="X68" i="55"/>
  <c r="W78" i="55"/>
  <c r="W20" i="55"/>
  <c r="AE20" i="55" s="1"/>
  <c r="D33" i="55"/>
  <c r="D41" i="55"/>
  <c r="D24" i="55"/>
  <c r="D29" i="55"/>
  <c r="D34" i="55"/>
  <c r="D21" i="55"/>
  <c r="D40" i="55"/>
  <c r="D25" i="55"/>
  <c r="D37" i="55"/>
  <c r="D43" i="55"/>
  <c r="D22" i="55"/>
  <c r="D31" i="55"/>
  <c r="D28" i="55"/>
  <c r="D38" i="55"/>
  <c r="D23" i="55"/>
  <c r="D36" i="55"/>
  <c r="D44" i="55"/>
  <c r="D46" i="55"/>
  <c r="D45" i="55"/>
  <c r="D49" i="55"/>
  <c r="D39" i="55"/>
  <c r="D20" i="55"/>
  <c r="D47" i="55"/>
  <c r="D26" i="55"/>
  <c r="D30" i="55"/>
  <c r="D42" i="55"/>
  <c r="D32" i="55"/>
  <c r="D27" i="55"/>
  <c r="D35" i="55"/>
  <c r="D48" i="55"/>
  <c r="AG67" i="44"/>
  <c r="AL67" i="44"/>
  <c r="AV67" i="44" s="1"/>
  <c r="BA67" i="44" s="1"/>
  <c r="CY78" i="55" s="1"/>
  <c r="W21" i="55"/>
  <c r="AL66" i="44"/>
  <c r="AV66" i="44" s="1"/>
  <c r="G50" i="55"/>
  <c r="G58" i="55"/>
  <c r="G66" i="55"/>
  <c r="G74" i="55"/>
  <c r="E51" i="55"/>
  <c r="E59" i="55"/>
  <c r="E67" i="55"/>
  <c r="E75" i="55"/>
  <c r="H77" i="55"/>
  <c r="H69" i="55"/>
  <c r="H61" i="55"/>
  <c r="H53" i="55"/>
  <c r="G59" i="55"/>
  <c r="E68" i="55"/>
  <c r="H68" i="55"/>
  <c r="G28" i="55"/>
  <c r="G44" i="55"/>
  <c r="G52" i="55"/>
  <c r="G60" i="55"/>
  <c r="G68" i="55"/>
  <c r="G76" i="55"/>
  <c r="E53" i="55"/>
  <c r="E61" i="55"/>
  <c r="E69" i="55"/>
  <c r="E77" i="55"/>
  <c r="H75" i="55"/>
  <c r="H67" i="55"/>
  <c r="H59" i="55"/>
  <c r="H51" i="55"/>
  <c r="G75" i="55"/>
  <c r="G21" i="55"/>
  <c r="G37" i="55"/>
  <c r="G45" i="55"/>
  <c r="G53" i="55"/>
  <c r="G61" i="55"/>
  <c r="G69" i="55"/>
  <c r="G77" i="55"/>
  <c r="E54" i="55"/>
  <c r="E62" i="55"/>
  <c r="E70" i="55"/>
  <c r="E78" i="55"/>
  <c r="H74" i="55"/>
  <c r="H66" i="55"/>
  <c r="H58" i="55"/>
  <c r="H50" i="55"/>
  <c r="G22" i="55"/>
  <c r="G30" i="55"/>
  <c r="G46" i="55"/>
  <c r="G54" i="55"/>
  <c r="G62" i="55"/>
  <c r="G70" i="55"/>
  <c r="G78" i="55"/>
  <c r="E55" i="55"/>
  <c r="E63" i="55"/>
  <c r="E71" i="55"/>
  <c r="E79" i="55"/>
  <c r="H73" i="55"/>
  <c r="H65" i="55"/>
  <c r="H57" i="55"/>
  <c r="G51" i="55"/>
  <c r="E76" i="55"/>
  <c r="H52" i="55"/>
  <c r="G23" i="55"/>
  <c r="G39" i="55"/>
  <c r="G47" i="55"/>
  <c r="G55" i="55"/>
  <c r="G63" i="55"/>
  <c r="G71" i="55"/>
  <c r="G79" i="55"/>
  <c r="E56" i="55"/>
  <c r="E64" i="55"/>
  <c r="E72" i="55"/>
  <c r="H72" i="55"/>
  <c r="H64" i="55"/>
  <c r="H56" i="55"/>
  <c r="E52" i="55"/>
  <c r="G24" i="55"/>
  <c r="G32" i="55"/>
  <c r="G40" i="55"/>
  <c r="G48" i="55"/>
  <c r="G56" i="55"/>
  <c r="G64" i="55"/>
  <c r="G72" i="55"/>
  <c r="G20" i="55"/>
  <c r="O20" i="55" s="1"/>
  <c r="E57" i="55"/>
  <c r="E65" i="55"/>
  <c r="E73" i="55"/>
  <c r="H79" i="55"/>
  <c r="H71" i="55"/>
  <c r="H63" i="55"/>
  <c r="H55" i="55"/>
  <c r="G35" i="55"/>
  <c r="E60" i="55"/>
  <c r="H76" i="55"/>
  <c r="G25" i="55"/>
  <c r="G33" i="55"/>
  <c r="G57" i="55"/>
  <c r="G65" i="55"/>
  <c r="G73" i="55"/>
  <c r="E50" i="55"/>
  <c r="E58" i="55"/>
  <c r="E66" i="55"/>
  <c r="E74" i="55"/>
  <c r="H78" i="55"/>
  <c r="H70" i="55"/>
  <c r="H62" i="55"/>
  <c r="H54" i="55"/>
  <c r="G67" i="55"/>
  <c r="H60" i="55"/>
  <c r="AG66" i="44"/>
  <c r="BU28" i="55"/>
  <c r="BU36" i="55"/>
  <c r="BU44" i="55"/>
  <c r="BU52" i="55"/>
  <c r="BU60" i="55"/>
  <c r="BU68" i="55"/>
  <c r="BU76" i="55"/>
  <c r="BT24" i="55"/>
  <c r="BT32" i="55"/>
  <c r="BT40" i="55"/>
  <c r="BT48" i="55"/>
  <c r="BT56" i="55"/>
  <c r="BT64" i="55"/>
  <c r="BT72" i="55"/>
  <c r="BT20" i="55"/>
  <c r="BS28" i="55"/>
  <c r="BS36" i="55"/>
  <c r="BS44" i="55"/>
  <c r="BS52" i="55"/>
  <c r="BS60" i="55"/>
  <c r="BS68" i="55"/>
  <c r="BS76" i="55"/>
  <c r="BR24" i="55"/>
  <c r="BR32" i="55"/>
  <c r="BR40" i="55"/>
  <c r="BR48" i="55"/>
  <c r="BR56" i="55"/>
  <c r="BR64" i="55"/>
  <c r="BR72" i="55"/>
  <c r="BR20" i="55"/>
  <c r="BQ28" i="55"/>
  <c r="BQ36" i="55"/>
  <c r="BQ44" i="55"/>
  <c r="BQ52" i="55"/>
  <c r="BQ60" i="55"/>
  <c r="BQ68" i="55"/>
  <c r="BQ76" i="55"/>
  <c r="BP24" i="55"/>
  <c r="BP32" i="55"/>
  <c r="BP40" i="55"/>
  <c r="BP48" i="55"/>
  <c r="BP56" i="55"/>
  <c r="BP64" i="55"/>
  <c r="BP72" i="55"/>
  <c r="BP20" i="55"/>
  <c r="BN27" i="55"/>
  <c r="BN35" i="55"/>
  <c r="BN43" i="55"/>
  <c r="BN51" i="55"/>
  <c r="BN59" i="55"/>
  <c r="BN67" i="55"/>
  <c r="BN75" i="55"/>
  <c r="BM23" i="55"/>
  <c r="BM31" i="55"/>
  <c r="BM39" i="55"/>
  <c r="BM47" i="55"/>
  <c r="BM55" i="55"/>
  <c r="BM63" i="55"/>
  <c r="BM71" i="55"/>
  <c r="BM79" i="55"/>
  <c r="BL27" i="55"/>
  <c r="BL35" i="55"/>
  <c r="BL43" i="55"/>
  <c r="BL51" i="55"/>
  <c r="BL59" i="55"/>
  <c r="BL67" i="55"/>
  <c r="BL75" i="55"/>
  <c r="BK23" i="55"/>
  <c r="BK31" i="55"/>
  <c r="BK39" i="55"/>
  <c r="BK47" i="55"/>
  <c r="BK55" i="55"/>
  <c r="BK63" i="55"/>
  <c r="BK71" i="55"/>
  <c r="BK79" i="55"/>
  <c r="BG26" i="55"/>
  <c r="BG34" i="55"/>
  <c r="BG42" i="55"/>
  <c r="BG50" i="55"/>
  <c r="BG58" i="55"/>
  <c r="BG66" i="55"/>
  <c r="BG74" i="55"/>
  <c r="BE22" i="55"/>
  <c r="BE30" i="55"/>
  <c r="BU21" i="55"/>
  <c r="BU29" i="55"/>
  <c r="BU37" i="55"/>
  <c r="BU45" i="55"/>
  <c r="BU53" i="55"/>
  <c r="BU61" i="55"/>
  <c r="BU69" i="55"/>
  <c r="BU77" i="55"/>
  <c r="BT25" i="55"/>
  <c r="BT33" i="55"/>
  <c r="BT41" i="55"/>
  <c r="BT49" i="55"/>
  <c r="BT57" i="55"/>
  <c r="BT65" i="55"/>
  <c r="BT73" i="55"/>
  <c r="BS21" i="55"/>
  <c r="BS29" i="55"/>
  <c r="BS37" i="55"/>
  <c r="BS45" i="55"/>
  <c r="BS53" i="55"/>
  <c r="BS61" i="55"/>
  <c r="BS69" i="55"/>
  <c r="BS77" i="55"/>
  <c r="BR25" i="55"/>
  <c r="BR33" i="55"/>
  <c r="BR41" i="55"/>
  <c r="BR49" i="55"/>
  <c r="BR57" i="55"/>
  <c r="BR65" i="55"/>
  <c r="BR73" i="55"/>
  <c r="BQ21" i="55"/>
  <c r="BQ29" i="55"/>
  <c r="BQ37" i="55"/>
  <c r="BQ45" i="55"/>
  <c r="BQ53" i="55"/>
  <c r="BQ61" i="55"/>
  <c r="BQ69" i="55"/>
  <c r="BQ77" i="55"/>
  <c r="BP25" i="55"/>
  <c r="BP33" i="55"/>
  <c r="BP41" i="55"/>
  <c r="BP49" i="55"/>
  <c r="BP57" i="55"/>
  <c r="BP65" i="55"/>
  <c r="BP73" i="55"/>
  <c r="BN28" i="55"/>
  <c r="BN36" i="55"/>
  <c r="BN44" i="55"/>
  <c r="BN52" i="55"/>
  <c r="BN60" i="55"/>
  <c r="BN68" i="55"/>
  <c r="BN76" i="55"/>
  <c r="BM24" i="55"/>
  <c r="BM32" i="55"/>
  <c r="BM40" i="55"/>
  <c r="BM48" i="55"/>
  <c r="BM56" i="55"/>
  <c r="BM64" i="55"/>
  <c r="BM72" i="55"/>
  <c r="BM20" i="55"/>
  <c r="BL28" i="55"/>
  <c r="BL36" i="55"/>
  <c r="BL44" i="55"/>
  <c r="BL52" i="55"/>
  <c r="BL60" i="55"/>
  <c r="BL68" i="55"/>
  <c r="BL76" i="55"/>
  <c r="BK24" i="55"/>
  <c r="BK32" i="55"/>
  <c r="BK40" i="55"/>
  <c r="BK48" i="55"/>
  <c r="BK56" i="55"/>
  <c r="BK64" i="55"/>
  <c r="BK72" i="55"/>
  <c r="BK20" i="55"/>
  <c r="BG27" i="55"/>
  <c r="BG35" i="55"/>
  <c r="BG43" i="55"/>
  <c r="BG51" i="55"/>
  <c r="BG59" i="55"/>
  <c r="BG67" i="55"/>
  <c r="BG75" i="55"/>
  <c r="BE23" i="55"/>
  <c r="BE31" i="55"/>
  <c r="BU22" i="55"/>
  <c r="BU30" i="55"/>
  <c r="BU38" i="55"/>
  <c r="BU46" i="55"/>
  <c r="BU54" i="55"/>
  <c r="BU62" i="55"/>
  <c r="BU70" i="55"/>
  <c r="BU78" i="55"/>
  <c r="BT26" i="55"/>
  <c r="BT34" i="55"/>
  <c r="BT42" i="55"/>
  <c r="BT50" i="55"/>
  <c r="BT58" i="55"/>
  <c r="BT66" i="55"/>
  <c r="BT74" i="55"/>
  <c r="BS22" i="55"/>
  <c r="BS30" i="55"/>
  <c r="BS38" i="55"/>
  <c r="BS46" i="55"/>
  <c r="BS54" i="55"/>
  <c r="BS62" i="55"/>
  <c r="BS70" i="55"/>
  <c r="BS78" i="55"/>
  <c r="BR26" i="55"/>
  <c r="BR34" i="55"/>
  <c r="BR42" i="55"/>
  <c r="BR50" i="55"/>
  <c r="BR58" i="55"/>
  <c r="BR66" i="55"/>
  <c r="BR74" i="55"/>
  <c r="BQ22" i="55"/>
  <c r="BQ30" i="55"/>
  <c r="BQ38" i="55"/>
  <c r="BQ46" i="55"/>
  <c r="BQ54" i="55"/>
  <c r="BQ62" i="55"/>
  <c r="BQ70" i="55"/>
  <c r="BQ78" i="55"/>
  <c r="BP26" i="55"/>
  <c r="BP34" i="55"/>
  <c r="BP42" i="55"/>
  <c r="BP50" i="55"/>
  <c r="BP58" i="55"/>
  <c r="BP66" i="55"/>
  <c r="BP74" i="55"/>
  <c r="BN21" i="55"/>
  <c r="BN29" i="55"/>
  <c r="BN37" i="55"/>
  <c r="BN45" i="55"/>
  <c r="BN53" i="55"/>
  <c r="BN61" i="55"/>
  <c r="BN69" i="55"/>
  <c r="BN77" i="55"/>
  <c r="BM25" i="55"/>
  <c r="BM33" i="55"/>
  <c r="BM41" i="55"/>
  <c r="BM49" i="55"/>
  <c r="BM57" i="55"/>
  <c r="BM65" i="55"/>
  <c r="BM73" i="55"/>
  <c r="BL21" i="55"/>
  <c r="BL29" i="55"/>
  <c r="BL37" i="55"/>
  <c r="BL45" i="55"/>
  <c r="BL53" i="55"/>
  <c r="BL61" i="55"/>
  <c r="BL69" i="55"/>
  <c r="BL77" i="55"/>
  <c r="BK25" i="55"/>
  <c r="BK33" i="55"/>
  <c r="BK41" i="55"/>
  <c r="BK49" i="55"/>
  <c r="BK57" i="55"/>
  <c r="BK65" i="55"/>
  <c r="BK73" i="55"/>
  <c r="BG28" i="55"/>
  <c r="BG36" i="55"/>
  <c r="BG44" i="55"/>
  <c r="BG52" i="55"/>
  <c r="BG60" i="55"/>
  <c r="BG68" i="55"/>
  <c r="BG76" i="55"/>
  <c r="BE24" i="55"/>
  <c r="BE32" i="55"/>
  <c r="BU23" i="55"/>
  <c r="BU31" i="55"/>
  <c r="BU39" i="55"/>
  <c r="BU47" i="55"/>
  <c r="BU55" i="55"/>
  <c r="BU63" i="55"/>
  <c r="BU71" i="55"/>
  <c r="BU79" i="55"/>
  <c r="BT27" i="55"/>
  <c r="BT35" i="55"/>
  <c r="BT43" i="55"/>
  <c r="BT51" i="55"/>
  <c r="BT59" i="55"/>
  <c r="BT67" i="55"/>
  <c r="BT75" i="55"/>
  <c r="BS23" i="55"/>
  <c r="BS31" i="55"/>
  <c r="BS39" i="55"/>
  <c r="BS47" i="55"/>
  <c r="BS55" i="55"/>
  <c r="BS63" i="55"/>
  <c r="BS71" i="55"/>
  <c r="BS79" i="55"/>
  <c r="BR27" i="55"/>
  <c r="BR35" i="55"/>
  <c r="BR43" i="55"/>
  <c r="BR51" i="55"/>
  <c r="BR59" i="55"/>
  <c r="BR67" i="55"/>
  <c r="BR75" i="55"/>
  <c r="BQ23" i="55"/>
  <c r="BQ31" i="55"/>
  <c r="BQ39" i="55"/>
  <c r="BQ47" i="55"/>
  <c r="BQ55" i="55"/>
  <c r="BQ63" i="55"/>
  <c r="BQ71" i="55"/>
  <c r="BQ79" i="55"/>
  <c r="BP27" i="55"/>
  <c r="BP35" i="55"/>
  <c r="BP43" i="55"/>
  <c r="BP51" i="55"/>
  <c r="BP59" i="55"/>
  <c r="BP67" i="55"/>
  <c r="BP75" i="55"/>
  <c r="BN22" i="55"/>
  <c r="BN30" i="55"/>
  <c r="BN38" i="55"/>
  <c r="BN46" i="55"/>
  <c r="BN54" i="55"/>
  <c r="BN62" i="55"/>
  <c r="BN70" i="55"/>
  <c r="BN78" i="55"/>
  <c r="BM26" i="55"/>
  <c r="BM34" i="55"/>
  <c r="BM42" i="55"/>
  <c r="BM50" i="55"/>
  <c r="BM58" i="55"/>
  <c r="BM66" i="55"/>
  <c r="BM74" i="55"/>
  <c r="BL22" i="55"/>
  <c r="BL30" i="55"/>
  <c r="BL38" i="55"/>
  <c r="BL46" i="55"/>
  <c r="BL54" i="55"/>
  <c r="BL62" i="55"/>
  <c r="BL70" i="55"/>
  <c r="BL78" i="55"/>
  <c r="BK26" i="55"/>
  <c r="BK34" i="55"/>
  <c r="BK42" i="55"/>
  <c r="BK50" i="55"/>
  <c r="BK58" i="55"/>
  <c r="BK66" i="55"/>
  <c r="BK74" i="55"/>
  <c r="BG21" i="55"/>
  <c r="BG29" i="55"/>
  <c r="BG37" i="55"/>
  <c r="BG45" i="55"/>
  <c r="BG53" i="55"/>
  <c r="BG61" i="55"/>
  <c r="BG69" i="55"/>
  <c r="BG77" i="55"/>
  <c r="BE25" i="55"/>
  <c r="BE33" i="55"/>
  <c r="BU24" i="55"/>
  <c r="BU32" i="55"/>
  <c r="BU40" i="55"/>
  <c r="BU48" i="55"/>
  <c r="BU56" i="55"/>
  <c r="BU64" i="55"/>
  <c r="BU72" i="55"/>
  <c r="BU20" i="55"/>
  <c r="BT28" i="55"/>
  <c r="BT36" i="55"/>
  <c r="BT44" i="55"/>
  <c r="BT52" i="55"/>
  <c r="BT60" i="55"/>
  <c r="BT68" i="55"/>
  <c r="BT76" i="55"/>
  <c r="BS24" i="55"/>
  <c r="BS32" i="55"/>
  <c r="BS40" i="55"/>
  <c r="BS48" i="55"/>
  <c r="BS56" i="55"/>
  <c r="BS64" i="55"/>
  <c r="BS72" i="55"/>
  <c r="BS20" i="55"/>
  <c r="BR28" i="55"/>
  <c r="BR36" i="55"/>
  <c r="BR44" i="55"/>
  <c r="BR52" i="55"/>
  <c r="BR60" i="55"/>
  <c r="BR68" i="55"/>
  <c r="BR76" i="55"/>
  <c r="BQ24" i="55"/>
  <c r="BQ32" i="55"/>
  <c r="BQ40" i="55"/>
  <c r="BQ48" i="55"/>
  <c r="BQ56" i="55"/>
  <c r="BQ64" i="55"/>
  <c r="BQ72" i="55"/>
  <c r="BQ20" i="55"/>
  <c r="BP28" i="55"/>
  <c r="BP36" i="55"/>
  <c r="BP44" i="55"/>
  <c r="BP52" i="55"/>
  <c r="BP60" i="55"/>
  <c r="BP68" i="55"/>
  <c r="BP76" i="55"/>
  <c r="BN23" i="55"/>
  <c r="BN31" i="55"/>
  <c r="BN39" i="55"/>
  <c r="BN47" i="55"/>
  <c r="BN55" i="55"/>
  <c r="BN63" i="55"/>
  <c r="BN71" i="55"/>
  <c r="BN79" i="55"/>
  <c r="BM27" i="55"/>
  <c r="BM35" i="55"/>
  <c r="BM43" i="55"/>
  <c r="BM51" i="55"/>
  <c r="BM59" i="55"/>
  <c r="BM67" i="55"/>
  <c r="BM75" i="55"/>
  <c r="BL23" i="55"/>
  <c r="BL31" i="55"/>
  <c r="BL39" i="55"/>
  <c r="BL47" i="55"/>
  <c r="BL55" i="55"/>
  <c r="BL63" i="55"/>
  <c r="BL71" i="55"/>
  <c r="BL79" i="55"/>
  <c r="BK27" i="55"/>
  <c r="BK35" i="55"/>
  <c r="BK43" i="55"/>
  <c r="BK51" i="55"/>
  <c r="BK59" i="55"/>
  <c r="BK67" i="55"/>
  <c r="BK75" i="55"/>
  <c r="BG22" i="55"/>
  <c r="BG30" i="55"/>
  <c r="BG38" i="55"/>
  <c r="BG46" i="55"/>
  <c r="BG54" i="55"/>
  <c r="BG62" i="55"/>
  <c r="BG70" i="55"/>
  <c r="BG78" i="55"/>
  <c r="BE26" i="55"/>
  <c r="BE34" i="55"/>
  <c r="BU25" i="55"/>
  <c r="BU33" i="55"/>
  <c r="BU41" i="55"/>
  <c r="BU49" i="55"/>
  <c r="BU57" i="55"/>
  <c r="BU65" i="55"/>
  <c r="BU73" i="55"/>
  <c r="BT21" i="55"/>
  <c r="BT29" i="55"/>
  <c r="BT37" i="55"/>
  <c r="BT45" i="55"/>
  <c r="BT53" i="55"/>
  <c r="BT61" i="55"/>
  <c r="BT69" i="55"/>
  <c r="BT77" i="55"/>
  <c r="BS25" i="55"/>
  <c r="BS33" i="55"/>
  <c r="BS41" i="55"/>
  <c r="BS49" i="55"/>
  <c r="BS57" i="55"/>
  <c r="BS65" i="55"/>
  <c r="BS73" i="55"/>
  <c r="BR21" i="55"/>
  <c r="BR29" i="55"/>
  <c r="BR37" i="55"/>
  <c r="BR45" i="55"/>
  <c r="BR53" i="55"/>
  <c r="BR61" i="55"/>
  <c r="BR69" i="55"/>
  <c r="BR77" i="55"/>
  <c r="BQ25" i="55"/>
  <c r="BQ33" i="55"/>
  <c r="BQ41" i="55"/>
  <c r="BQ49" i="55"/>
  <c r="BQ57" i="55"/>
  <c r="BQ65" i="55"/>
  <c r="BQ73" i="55"/>
  <c r="BP21" i="55"/>
  <c r="BP29" i="55"/>
  <c r="BP37" i="55"/>
  <c r="BP45" i="55"/>
  <c r="BP53" i="55"/>
  <c r="BP61" i="55"/>
  <c r="BP69" i="55"/>
  <c r="BP77" i="55"/>
  <c r="BN24" i="55"/>
  <c r="BN32" i="55"/>
  <c r="BN40" i="55"/>
  <c r="BN48" i="55"/>
  <c r="BN56" i="55"/>
  <c r="BN64" i="55"/>
  <c r="BN72" i="55"/>
  <c r="BN20" i="55"/>
  <c r="BM28" i="55"/>
  <c r="BM36" i="55"/>
  <c r="BM44" i="55"/>
  <c r="BM52" i="55"/>
  <c r="BM60" i="55"/>
  <c r="BM68" i="55"/>
  <c r="BM76" i="55"/>
  <c r="BL24" i="55"/>
  <c r="BL32" i="55"/>
  <c r="BL40" i="55"/>
  <c r="BL48" i="55"/>
  <c r="BL56" i="55"/>
  <c r="BL64" i="55"/>
  <c r="BL72" i="55"/>
  <c r="BL20" i="55"/>
  <c r="BK28" i="55"/>
  <c r="BK36" i="55"/>
  <c r="BK44" i="55"/>
  <c r="BK52" i="55"/>
  <c r="BK60" i="55"/>
  <c r="BK68" i="55"/>
  <c r="BK76" i="55"/>
  <c r="BG23" i="55"/>
  <c r="BG31" i="55"/>
  <c r="BG39" i="55"/>
  <c r="BG47" i="55"/>
  <c r="BG55" i="55"/>
  <c r="BG63" i="55"/>
  <c r="BG71" i="55"/>
  <c r="BG79" i="55"/>
  <c r="BE27" i="55"/>
  <c r="BE35" i="55"/>
  <c r="BU26" i="55"/>
  <c r="BU34" i="55"/>
  <c r="BU42" i="55"/>
  <c r="BU50" i="55"/>
  <c r="BU58" i="55"/>
  <c r="BU66" i="55"/>
  <c r="BU74" i="55"/>
  <c r="BT22" i="55"/>
  <c r="BT30" i="55"/>
  <c r="BT38" i="55"/>
  <c r="BT46" i="55"/>
  <c r="BT54" i="55"/>
  <c r="BT62" i="55"/>
  <c r="BT70" i="55"/>
  <c r="BT78" i="55"/>
  <c r="BS26" i="55"/>
  <c r="BS34" i="55"/>
  <c r="BS42" i="55"/>
  <c r="BS50" i="55"/>
  <c r="BS58" i="55"/>
  <c r="BS66" i="55"/>
  <c r="BS74" i="55"/>
  <c r="BR22" i="55"/>
  <c r="BR30" i="55"/>
  <c r="BR38" i="55"/>
  <c r="BR46" i="55"/>
  <c r="BR54" i="55"/>
  <c r="BR62" i="55"/>
  <c r="BR70" i="55"/>
  <c r="BR78" i="55"/>
  <c r="BQ26" i="55"/>
  <c r="BQ34" i="55"/>
  <c r="BQ42" i="55"/>
  <c r="BQ50" i="55"/>
  <c r="BQ58" i="55"/>
  <c r="BQ66" i="55"/>
  <c r="BQ74" i="55"/>
  <c r="BP22" i="55"/>
  <c r="BP30" i="55"/>
  <c r="BP38" i="55"/>
  <c r="BP46" i="55"/>
  <c r="BP54" i="55"/>
  <c r="BP62" i="55"/>
  <c r="BP70" i="55"/>
  <c r="BP78" i="55"/>
  <c r="BN25" i="55"/>
  <c r="BN33" i="55"/>
  <c r="BN41" i="55"/>
  <c r="BN49" i="55"/>
  <c r="BN57" i="55"/>
  <c r="BN65" i="55"/>
  <c r="BN73" i="55"/>
  <c r="BM21" i="55"/>
  <c r="BM29" i="55"/>
  <c r="BM37" i="55"/>
  <c r="BM45" i="55"/>
  <c r="BM53" i="55"/>
  <c r="BM61" i="55"/>
  <c r="BM69" i="55"/>
  <c r="BM77" i="55"/>
  <c r="BL25" i="55"/>
  <c r="BL33" i="55"/>
  <c r="BL41" i="55"/>
  <c r="BL49" i="55"/>
  <c r="BL57" i="55"/>
  <c r="BL65" i="55"/>
  <c r="BL73" i="55"/>
  <c r="BK21" i="55"/>
  <c r="BK29" i="55"/>
  <c r="BK37" i="55"/>
  <c r="BK45" i="55"/>
  <c r="BK53" i="55"/>
  <c r="BK61" i="55"/>
  <c r="BK69" i="55"/>
  <c r="BK77" i="55"/>
  <c r="BG24" i="55"/>
  <c r="BG32" i="55"/>
  <c r="BG40" i="55"/>
  <c r="BG48" i="55"/>
  <c r="BG56" i="55"/>
  <c r="BG64" i="55"/>
  <c r="BG72" i="55"/>
  <c r="BG20" i="55"/>
  <c r="BE28" i="55"/>
  <c r="BE36" i="55"/>
  <c r="BU27" i="55"/>
  <c r="BU35" i="55"/>
  <c r="BU43" i="55"/>
  <c r="BU51" i="55"/>
  <c r="BU59" i="55"/>
  <c r="BU67" i="55"/>
  <c r="BU75" i="55"/>
  <c r="BT23" i="55"/>
  <c r="BT31" i="55"/>
  <c r="BT39" i="55"/>
  <c r="BT47" i="55"/>
  <c r="BT55" i="55"/>
  <c r="BT63" i="55"/>
  <c r="BT71" i="55"/>
  <c r="BT79" i="55"/>
  <c r="BS27" i="55"/>
  <c r="BS35" i="55"/>
  <c r="BS43" i="55"/>
  <c r="BS51" i="55"/>
  <c r="BS59" i="55"/>
  <c r="BS67" i="55"/>
  <c r="BS75" i="55"/>
  <c r="BR23" i="55"/>
  <c r="BR31" i="55"/>
  <c r="BR39" i="55"/>
  <c r="BR47" i="55"/>
  <c r="BR55" i="55"/>
  <c r="BR63" i="55"/>
  <c r="BR71" i="55"/>
  <c r="BR79" i="55"/>
  <c r="BQ27" i="55"/>
  <c r="BQ35" i="55"/>
  <c r="BQ43" i="55"/>
  <c r="BQ51" i="55"/>
  <c r="BQ59" i="55"/>
  <c r="BQ67" i="55"/>
  <c r="BQ75" i="55"/>
  <c r="BP23" i="55"/>
  <c r="BP31" i="55"/>
  <c r="BP39" i="55"/>
  <c r="BP47" i="55"/>
  <c r="BP55" i="55"/>
  <c r="BP63" i="55"/>
  <c r="BP71" i="55"/>
  <c r="BP79" i="55"/>
  <c r="BN26" i="55"/>
  <c r="BN34" i="55"/>
  <c r="BN42" i="55"/>
  <c r="BN50" i="55"/>
  <c r="BN58" i="55"/>
  <c r="BN66" i="55"/>
  <c r="BN74" i="55"/>
  <c r="BM22" i="55"/>
  <c r="BM30" i="55"/>
  <c r="BM38" i="55"/>
  <c r="BM46" i="55"/>
  <c r="BM54" i="55"/>
  <c r="BM62" i="55"/>
  <c r="BM70" i="55"/>
  <c r="BM78" i="55"/>
  <c r="BL26" i="55"/>
  <c r="BL34" i="55"/>
  <c r="BL42" i="55"/>
  <c r="BL50" i="55"/>
  <c r="BL58" i="55"/>
  <c r="BL66" i="55"/>
  <c r="BL74" i="55"/>
  <c r="BK22" i="55"/>
  <c r="BK30" i="55"/>
  <c r="BK38" i="55"/>
  <c r="BK46" i="55"/>
  <c r="BK54" i="55"/>
  <c r="BK62" i="55"/>
  <c r="BK70" i="55"/>
  <c r="BK78" i="55"/>
  <c r="BG25" i="55"/>
  <c r="BG33" i="55"/>
  <c r="BG41" i="55"/>
  <c r="BG49" i="55"/>
  <c r="BG57" i="55"/>
  <c r="BG65" i="55"/>
  <c r="BG73" i="55"/>
  <c r="BE21" i="55"/>
  <c r="BE29" i="55"/>
  <c r="BE37" i="55"/>
  <c r="BE38" i="55"/>
  <c r="BE46" i="55"/>
  <c r="BE54" i="55"/>
  <c r="BE62" i="55"/>
  <c r="BE70" i="55"/>
  <c r="BE78" i="55"/>
  <c r="BC26" i="55"/>
  <c r="BC34" i="55"/>
  <c r="BC42" i="55"/>
  <c r="BC50" i="55"/>
  <c r="BC58" i="55"/>
  <c r="BC66" i="55"/>
  <c r="BC74" i="55"/>
  <c r="BB22" i="55"/>
  <c r="BB30" i="55"/>
  <c r="BB38" i="55"/>
  <c r="BB46" i="55"/>
  <c r="BB54" i="55"/>
  <c r="BB62" i="55"/>
  <c r="BB70" i="55"/>
  <c r="BB78" i="55"/>
  <c r="AV24" i="55"/>
  <c r="AV32" i="55"/>
  <c r="AV40" i="55"/>
  <c r="AV48" i="55"/>
  <c r="AV56" i="55"/>
  <c r="AV64" i="55"/>
  <c r="AV72" i="55"/>
  <c r="AV20" i="55"/>
  <c r="AU28" i="55"/>
  <c r="AU36" i="55"/>
  <c r="AU44" i="55"/>
  <c r="AU52" i="55"/>
  <c r="AU60" i="55"/>
  <c r="AU68" i="55"/>
  <c r="AU76" i="55"/>
  <c r="I50" i="55"/>
  <c r="I54" i="55"/>
  <c r="I58" i="55"/>
  <c r="I62" i="55"/>
  <c r="I66" i="55"/>
  <c r="I70" i="55"/>
  <c r="I74" i="55"/>
  <c r="I78" i="55"/>
  <c r="BE39" i="55"/>
  <c r="BE47" i="55"/>
  <c r="BE55" i="55"/>
  <c r="BE63" i="55"/>
  <c r="BE71" i="55"/>
  <c r="BE79" i="55"/>
  <c r="BC27" i="55"/>
  <c r="BC35" i="55"/>
  <c r="BC43" i="55"/>
  <c r="BC51" i="55"/>
  <c r="BC59" i="55"/>
  <c r="BC67" i="55"/>
  <c r="BC75" i="55"/>
  <c r="BB23" i="55"/>
  <c r="BB31" i="55"/>
  <c r="BB39" i="55"/>
  <c r="BB47" i="55"/>
  <c r="BB55" i="55"/>
  <c r="BB63" i="55"/>
  <c r="BB71" i="55"/>
  <c r="BB79" i="55"/>
  <c r="AV25" i="55"/>
  <c r="AV33" i="55"/>
  <c r="AV41" i="55"/>
  <c r="AV49" i="55"/>
  <c r="AV57" i="55"/>
  <c r="AV65" i="55"/>
  <c r="AV73" i="55"/>
  <c r="AU21" i="55"/>
  <c r="AU29" i="55"/>
  <c r="AU37" i="55"/>
  <c r="AU45" i="55"/>
  <c r="AU53" i="55"/>
  <c r="AU61" i="55"/>
  <c r="AU69" i="55"/>
  <c r="AU77" i="55"/>
  <c r="F51" i="55"/>
  <c r="F55" i="55"/>
  <c r="F59" i="55"/>
  <c r="F63" i="55"/>
  <c r="F67" i="55"/>
  <c r="F71" i="55"/>
  <c r="F75" i="55"/>
  <c r="F79" i="55"/>
  <c r="BE40" i="55"/>
  <c r="BE48" i="55"/>
  <c r="BE56" i="55"/>
  <c r="BE64" i="55"/>
  <c r="BE72" i="55"/>
  <c r="BE20" i="55"/>
  <c r="BC28" i="55"/>
  <c r="BC36" i="55"/>
  <c r="BC44" i="55"/>
  <c r="BC52" i="55"/>
  <c r="BC60" i="55"/>
  <c r="BC68" i="55"/>
  <c r="BC76" i="55"/>
  <c r="BB24" i="55"/>
  <c r="BB32" i="55"/>
  <c r="BB40" i="55"/>
  <c r="BB48" i="55"/>
  <c r="BB56" i="55"/>
  <c r="BB64" i="55"/>
  <c r="BB72" i="55"/>
  <c r="BB20" i="55"/>
  <c r="AV26" i="55"/>
  <c r="AV34" i="55"/>
  <c r="AV42" i="55"/>
  <c r="AV50" i="55"/>
  <c r="AV58" i="55"/>
  <c r="AV66" i="55"/>
  <c r="AV74" i="55"/>
  <c r="AU22" i="55"/>
  <c r="AU30" i="55"/>
  <c r="AU38" i="55"/>
  <c r="AU46" i="55"/>
  <c r="AU54" i="55"/>
  <c r="AU62" i="55"/>
  <c r="AU70" i="55"/>
  <c r="AU78" i="55"/>
  <c r="I51" i="55"/>
  <c r="I55" i="55"/>
  <c r="I59" i="55"/>
  <c r="I63" i="55"/>
  <c r="I67" i="55"/>
  <c r="I71" i="55"/>
  <c r="I75" i="55"/>
  <c r="I79" i="55"/>
  <c r="BE41" i="55"/>
  <c r="BE49" i="55"/>
  <c r="BE57" i="55"/>
  <c r="BE65" i="55"/>
  <c r="BE73" i="55"/>
  <c r="BC21" i="55"/>
  <c r="BC29" i="55"/>
  <c r="BC37" i="55"/>
  <c r="BC45" i="55"/>
  <c r="BC53" i="55"/>
  <c r="BC61" i="55"/>
  <c r="BC69" i="55"/>
  <c r="BC77" i="55"/>
  <c r="BB25" i="55"/>
  <c r="BB33" i="55"/>
  <c r="BB41" i="55"/>
  <c r="BB49" i="55"/>
  <c r="BB57" i="55"/>
  <c r="BB65" i="55"/>
  <c r="BB73" i="55"/>
  <c r="AV27" i="55"/>
  <c r="AV35" i="55"/>
  <c r="AV43" i="55"/>
  <c r="AV51" i="55"/>
  <c r="AV59" i="55"/>
  <c r="AV67" i="55"/>
  <c r="AV75" i="55"/>
  <c r="AU23" i="55"/>
  <c r="AU31" i="55"/>
  <c r="AU39" i="55"/>
  <c r="AU47" i="55"/>
  <c r="AU55" i="55"/>
  <c r="AU63" i="55"/>
  <c r="AU71" i="55"/>
  <c r="AU79" i="55"/>
  <c r="F52" i="55"/>
  <c r="F56" i="55"/>
  <c r="F60" i="55"/>
  <c r="F64" i="55"/>
  <c r="F68" i="55"/>
  <c r="F72" i="55"/>
  <c r="F76" i="55"/>
  <c r="BE42" i="55"/>
  <c r="BE50" i="55"/>
  <c r="BE58" i="55"/>
  <c r="BE66" i="55"/>
  <c r="BE74" i="55"/>
  <c r="BC22" i="55"/>
  <c r="BC30" i="55"/>
  <c r="BC38" i="55"/>
  <c r="BC46" i="55"/>
  <c r="BC54" i="55"/>
  <c r="BC62" i="55"/>
  <c r="BC70" i="55"/>
  <c r="BC78" i="55"/>
  <c r="BB26" i="55"/>
  <c r="BB34" i="55"/>
  <c r="BB42" i="55"/>
  <c r="BB50" i="55"/>
  <c r="BB58" i="55"/>
  <c r="BB66" i="55"/>
  <c r="BB74" i="55"/>
  <c r="AV28" i="55"/>
  <c r="AV36" i="55"/>
  <c r="AV44" i="55"/>
  <c r="AV52" i="55"/>
  <c r="AV60" i="55"/>
  <c r="AV68" i="55"/>
  <c r="AV76" i="55"/>
  <c r="AU24" i="55"/>
  <c r="AU32" i="55"/>
  <c r="AU40" i="55"/>
  <c r="AU48" i="55"/>
  <c r="AU56" i="55"/>
  <c r="AU64" i="55"/>
  <c r="AU72" i="55"/>
  <c r="AU20" i="55"/>
  <c r="I52" i="55"/>
  <c r="I56" i="55"/>
  <c r="I60" i="55"/>
  <c r="I64" i="55"/>
  <c r="I68" i="55"/>
  <c r="I72" i="55"/>
  <c r="I76" i="55"/>
  <c r="BE43" i="55"/>
  <c r="BE51" i="55"/>
  <c r="BE59" i="55"/>
  <c r="BE67" i="55"/>
  <c r="BE75" i="55"/>
  <c r="BC23" i="55"/>
  <c r="BC31" i="55"/>
  <c r="BC39" i="55"/>
  <c r="BC47" i="55"/>
  <c r="BC55" i="55"/>
  <c r="BC63" i="55"/>
  <c r="BC71" i="55"/>
  <c r="BC79" i="55"/>
  <c r="BB27" i="55"/>
  <c r="BB35" i="55"/>
  <c r="BB43" i="55"/>
  <c r="BB51" i="55"/>
  <c r="BB59" i="55"/>
  <c r="BB67" i="55"/>
  <c r="BB75" i="55"/>
  <c r="AV21" i="55"/>
  <c r="AV29" i="55"/>
  <c r="AV37" i="55"/>
  <c r="AV45" i="55"/>
  <c r="AV53" i="55"/>
  <c r="AV61" i="55"/>
  <c r="AV69" i="55"/>
  <c r="AV77" i="55"/>
  <c r="AU25" i="55"/>
  <c r="AU33" i="55"/>
  <c r="AU41" i="55"/>
  <c r="AU49" i="55"/>
  <c r="AU57" i="55"/>
  <c r="AU65" i="55"/>
  <c r="AU73" i="55"/>
  <c r="F53" i="55"/>
  <c r="F57" i="55"/>
  <c r="F61" i="55"/>
  <c r="F65" i="55"/>
  <c r="F69" i="55"/>
  <c r="F73" i="55"/>
  <c r="F77" i="55"/>
  <c r="BE44" i="55"/>
  <c r="BE52" i="55"/>
  <c r="BE60" i="55"/>
  <c r="BE68" i="55"/>
  <c r="BE76" i="55"/>
  <c r="BC24" i="55"/>
  <c r="BC32" i="55"/>
  <c r="BC40" i="55"/>
  <c r="BC48" i="55"/>
  <c r="BC56" i="55"/>
  <c r="BC64" i="55"/>
  <c r="BC72" i="55"/>
  <c r="BC20" i="55"/>
  <c r="BB28" i="55"/>
  <c r="BB36" i="55"/>
  <c r="BB44" i="55"/>
  <c r="BB52" i="55"/>
  <c r="BB60" i="55"/>
  <c r="BB68" i="55"/>
  <c r="BB76" i="55"/>
  <c r="AV22" i="55"/>
  <c r="AV30" i="55"/>
  <c r="AV38" i="55"/>
  <c r="AV46" i="55"/>
  <c r="AV54" i="55"/>
  <c r="AV62" i="55"/>
  <c r="AV70" i="55"/>
  <c r="AV78" i="55"/>
  <c r="AU26" i="55"/>
  <c r="AU34" i="55"/>
  <c r="AU42" i="55"/>
  <c r="AU50" i="55"/>
  <c r="AU58" i="55"/>
  <c r="AU66" i="55"/>
  <c r="AU74" i="55"/>
  <c r="I53" i="55"/>
  <c r="I57" i="55"/>
  <c r="I61" i="55"/>
  <c r="I65" i="55"/>
  <c r="I69" i="55"/>
  <c r="I73" i="55"/>
  <c r="I77" i="55"/>
  <c r="BE45" i="55"/>
  <c r="BC49" i="55"/>
  <c r="BB53" i="55"/>
  <c r="AV55" i="55"/>
  <c r="AU59" i="55"/>
  <c r="F58" i="55"/>
  <c r="BC57" i="55"/>
  <c r="AV63" i="55"/>
  <c r="AU67" i="55"/>
  <c r="BE53" i="55"/>
  <c r="BB61" i="55"/>
  <c r="BE61" i="55"/>
  <c r="BC65" i="55"/>
  <c r="BB69" i="55"/>
  <c r="AV71" i="55"/>
  <c r="AU75" i="55"/>
  <c r="F66" i="55"/>
  <c r="AV23" i="55"/>
  <c r="F74" i="55"/>
  <c r="F50" i="55"/>
  <c r="BC41" i="55"/>
  <c r="BE69" i="55"/>
  <c r="BC73" i="55"/>
  <c r="BB77" i="55"/>
  <c r="AV79" i="55"/>
  <c r="F70" i="55"/>
  <c r="AU27" i="55"/>
  <c r="AV47" i="55"/>
  <c r="BE77" i="55"/>
  <c r="BB21" i="55"/>
  <c r="AU51" i="55"/>
  <c r="F62" i="55"/>
  <c r="BC25" i="55"/>
  <c r="BB29" i="55"/>
  <c r="AV31" i="55"/>
  <c r="AU35" i="55"/>
  <c r="F78" i="55"/>
  <c r="BC33" i="55"/>
  <c r="BB37" i="55"/>
  <c r="AV39" i="55"/>
  <c r="AU43" i="55"/>
  <c r="BB45" i="55"/>
  <c r="F54" i="55"/>
  <c r="C68" i="44"/>
  <c r="G9" i="44" s="1"/>
  <c r="Y68" i="44" s="1"/>
  <c r="V68" i="44" s="1"/>
  <c r="DO67" i="5"/>
  <c r="DN67" i="5"/>
  <c r="CB17" i="5"/>
  <c r="CE17" i="5" s="1"/>
  <c r="CB33" i="5"/>
  <c r="CE33" i="5" s="1"/>
  <c r="CB20" i="5"/>
  <c r="CE20" i="5" s="1"/>
  <c r="BW67" i="5"/>
  <c r="M9" i="44" s="1"/>
  <c r="AH68" i="44" s="1"/>
  <c r="GC17" i="5"/>
  <c r="HR17" i="5" s="1"/>
  <c r="W29" i="55" s="1"/>
  <c r="CB32" i="5"/>
  <c r="CE32" i="5" s="1"/>
  <c r="CB19" i="5"/>
  <c r="CE19" i="5" s="1"/>
  <c r="CB31" i="5"/>
  <c r="CE31" i="5" s="1"/>
  <c r="CB16" i="5"/>
  <c r="CE16" i="5" s="1"/>
  <c r="CB30" i="5"/>
  <c r="CE30" i="5" s="1"/>
  <c r="CB15" i="5"/>
  <c r="CE15" i="5" s="1"/>
  <c r="GC29" i="5"/>
  <c r="HR29" i="5" s="1"/>
  <c r="W41" i="55" s="1"/>
  <c r="CB29" i="5"/>
  <c r="CE29" i="5" s="1"/>
  <c r="CB14" i="5"/>
  <c r="CE14" i="5" s="1"/>
  <c r="CB28" i="5"/>
  <c r="CE28" i="5" s="1"/>
  <c r="CB27" i="5"/>
  <c r="CE27" i="5" s="1"/>
  <c r="CB23" i="5"/>
  <c r="CE23" i="5" s="1"/>
  <c r="CB26" i="5"/>
  <c r="CE26" i="5" s="1"/>
  <c r="CB37" i="5"/>
  <c r="CB25" i="5"/>
  <c r="CE25" i="5" s="1"/>
  <c r="CB36" i="5"/>
  <c r="CE36" i="5" s="1"/>
  <c r="CB24" i="5"/>
  <c r="CE24" i="5" s="1"/>
  <c r="CB18" i="5"/>
  <c r="CE18" i="5" s="1"/>
  <c r="CB35" i="5"/>
  <c r="CE35" i="5" s="1"/>
  <c r="CB22" i="5"/>
  <c r="CE22" i="5" s="1"/>
  <c r="CB34" i="5"/>
  <c r="CE34" i="5" s="1"/>
  <c r="CB21" i="5"/>
  <c r="CE21" i="5" s="1"/>
  <c r="CG30" i="5"/>
  <c r="G42" i="55" s="1"/>
  <c r="Q50" i="55"/>
  <c r="Q62" i="55"/>
  <c r="Q74" i="55"/>
  <c r="P51" i="55"/>
  <c r="P63" i="55"/>
  <c r="P75" i="55"/>
  <c r="O51" i="55"/>
  <c r="O63" i="55"/>
  <c r="O75" i="55"/>
  <c r="N56" i="55"/>
  <c r="N68" i="55"/>
  <c r="M57" i="55"/>
  <c r="M69" i="55"/>
  <c r="L50" i="55"/>
  <c r="L62" i="55"/>
  <c r="L74" i="55"/>
  <c r="K51" i="55"/>
  <c r="K63" i="55"/>
  <c r="K75" i="55"/>
  <c r="J51" i="55"/>
  <c r="J63" i="55"/>
  <c r="J75" i="55"/>
  <c r="Q51" i="55"/>
  <c r="Q63" i="55"/>
  <c r="Q75" i="55"/>
  <c r="P52" i="55"/>
  <c r="P64" i="55"/>
  <c r="P76" i="55"/>
  <c r="O52" i="55"/>
  <c r="O64" i="55"/>
  <c r="O76" i="55"/>
  <c r="N57" i="55"/>
  <c r="N69" i="55"/>
  <c r="M58" i="55"/>
  <c r="M70" i="55"/>
  <c r="L51" i="55"/>
  <c r="L63" i="55"/>
  <c r="L75" i="55"/>
  <c r="K52" i="55"/>
  <c r="K64" i="55"/>
  <c r="K76" i="55"/>
  <c r="J52" i="55"/>
  <c r="J64" i="55"/>
  <c r="J76" i="55"/>
  <c r="Q52" i="55"/>
  <c r="Q64" i="55"/>
  <c r="Q76" i="55"/>
  <c r="P53" i="55"/>
  <c r="P65" i="55"/>
  <c r="P77" i="55"/>
  <c r="O53" i="55"/>
  <c r="O65" i="55"/>
  <c r="O77" i="55"/>
  <c r="N58" i="55"/>
  <c r="N70" i="55"/>
  <c r="M59" i="55"/>
  <c r="M71" i="55"/>
  <c r="L52" i="55"/>
  <c r="L64" i="55"/>
  <c r="L76" i="55"/>
  <c r="K53" i="55"/>
  <c r="K65" i="55"/>
  <c r="K77" i="55"/>
  <c r="J53" i="55"/>
  <c r="J65" i="55"/>
  <c r="J77" i="55"/>
  <c r="Q53" i="55"/>
  <c r="Q65" i="55"/>
  <c r="Q77" i="55"/>
  <c r="P54" i="55"/>
  <c r="P66" i="55"/>
  <c r="P78" i="55"/>
  <c r="O54" i="55"/>
  <c r="O66" i="55"/>
  <c r="O78" i="55"/>
  <c r="N59" i="55"/>
  <c r="N71" i="55"/>
  <c r="M60" i="55"/>
  <c r="M72" i="55"/>
  <c r="L53" i="55"/>
  <c r="L65" i="55"/>
  <c r="L77" i="55"/>
  <c r="K54" i="55"/>
  <c r="K66" i="55"/>
  <c r="K78" i="55"/>
  <c r="J54" i="55"/>
  <c r="J66" i="55"/>
  <c r="J78" i="55"/>
  <c r="Q54" i="55"/>
  <c r="Q66" i="55"/>
  <c r="Q78" i="55"/>
  <c r="P55" i="55"/>
  <c r="P67" i="55"/>
  <c r="P79" i="55"/>
  <c r="O55" i="55"/>
  <c r="O67" i="55"/>
  <c r="O79" i="55"/>
  <c r="N60" i="55"/>
  <c r="N72" i="55"/>
  <c r="M61" i="55"/>
  <c r="M73" i="55"/>
  <c r="L54" i="55"/>
  <c r="L66" i="55"/>
  <c r="L78" i="55"/>
  <c r="K55" i="55"/>
  <c r="K67" i="55"/>
  <c r="K79" i="55"/>
  <c r="J55" i="55"/>
  <c r="J67" i="55"/>
  <c r="J79" i="55"/>
  <c r="Q55" i="55"/>
  <c r="Q67" i="55"/>
  <c r="Q79" i="55"/>
  <c r="P56" i="55"/>
  <c r="P68" i="55"/>
  <c r="O56" i="55"/>
  <c r="O68" i="55"/>
  <c r="N61" i="55"/>
  <c r="N73" i="55"/>
  <c r="M50" i="55"/>
  <c r="M62" i="55"/>
  <c r="M74" i="55"/>
  <c r="L55" i="55"/>
  <c r="L67" i="55"/>
  <c r="L79" i="55"/>
  <c r="K56" i="55"/>
  <c r="K68" i="55"/>
  <c r="J56" i="55"/>
  <c r="J68" i="55"/>
  <c r="Q56" i="55"/>
  <c r="Q68" i="55"/>
  <c r="P57" i="55"/>
  <c r="P69" i="55"/>
  <c r="O57" i="55"/>
  <c r="O69" i="55"/>
  <c r="N50" i="55"/>
  <c r="N62" i="55"/>
  <c r="N74" i="55"/>
  <c r="M51" i="55"/>
  <c r="M63" i="55"/>
  <c r="M75" i="55"/>
  <c r="L56" i="55"/>
  <c r="L68" i="55"/>
  <c r="K57" i="55"/>
  <c r="K69" i="55"/>
  <c r="J57" i="55"/>
  <c r="J69" i="55"/>
  <c r="Q57" i="55"/>
  <c r="Q69" i="55"/>
  <c r="P58" i="55"/>
  <c r="P70" i="55"/>
  <c r="O58" i="55"/>
  <c r="O70" i="55"/>
  <c r="N51" i="55"/>
  <c r="N63" i="55"/>
  <c r="N75" i="55"/>
  <c r="M52" i="55"/>
  <c r="M64" i="55"/>
  <c r="M76" i="55"/>
  <c r="L57" i="55"/>
  <c r="L69" i="55"/>
  <c r="K58" i="55"/>
  <c r="K70" i="55"/>
  <c r="J58" i="55"/>
  <c r="J70" i="55"/>
  <c r="Q58" i="55"/>
  <c r="Q70" i="55"/>
  <c r="P59" i="55"/>
  <c r="P71" i="55"/>
  <c r="O59" i="55"/>
  <c r="O71" i="55"/>
  <c r="N52" i="55"/>
  <c r="N64" i="55"/>
  <c r="N76" i="55"/>
  <c r="M53" i="55"/>
  <c r="M65" i="55"/>
  <c r="M77" i="55"/>
  <c r="L58" i="55"/>
  <c r="L70" i="55"/>
  <c r="K59" i="55"/>
  <c r="K71" i="55"/>
  <c r="J59" i="55"/>
  <c r="J71" i="55"/>
  <c r="Q59" i="55"/>
  <c r="Q71" i="55"/>
  <c r="P60" i="55"/>
  <c r="P72" i="55"/>
  <c r="O60" i="55"/>
  <c r="O72" i="55"/>
  <c r="N53" i="55"/>
  <c r="N65" i="55"/>
  <c r="N77" i="55"/>
  <c r="M54" i="55"/>
  <c r="M66" i="55"/>
  <c r="M78" i="55"/>
  <c r="L59" i="55"/>
  <c r="L71" i="55"/>
  <c r="K60" i="55"/>
  <c r="K72" i="55"/>
  <c r="J60" i="55"/>
  <c r="J72" i="55"/>
  <c r="Q60" i="55"/>
  <c r="Q72" i="55"/>
  <c r="P61" i="55"/>
  <c r="P73" i="55"/>
  <c r="O61" i="55"/>
  <c r="O73" i="55"/>
  <c r="N54" i="55"/>
  <c r="N66" i="55"/>
  <c r="N78" i="55"/>
  <c r="M55" i="55"/>
  <c r="M67" i="55"/>
  <c r="M79" i="55"/>
  <c r="L60" i="55"/>
  <c r="L72" i="55"/>
  <c r="K61" i="55"/>
  <c r="K73" i="55"/>
  <c r="J61" i="55"/>
  <c r="J73" i="55"/>
  <c r="Q61" i="55"/>
  <c r="Q73" i="55"/>
  <c r="P50" i="55"/>
  <c r="P62" i="55"/>
  <c r="P74" i="55"/>
  <c r="O50" i="55"/>
  <c r="O62" i="55"/>
  <c r="O74" i="55"/>
  <c r="N55" i="55"/>
  <c r="N67" i="55"/>
  <c r="N79" i="55"/>
  <c r="M56" i="55"/>
  <c r="M68" i="55"/>
  <c r="L61" i="55"/>
  <c r="L73" i="55"/>
  <c r="K50" i="55"/>
  <c r="K62" i="55"/>
  <c r="K74" i="55"/>
  <c r="J50" i="55"/>
  <c r="J62" i="55"/>
  <c r="J74" i="55"/>
  <c r="CA36" i="5"/>
  <c r="C48" i="55" s="1"/>
  <c r="GC19" i="5"/>
  <c r="HR19" i="5" s="1"/>
  <c r="W31" i="55" s="1"/>
  <c r="GC11" i="5"/>
  <c r="HR11" i="5" s="1"/>
  <c r="W23" i="55" s="1"/>
  <c r="GC34" i="5"/>
  <c r="HR34" i="5" s="1"/>
  <c r="W46" i="55" s="1"/>
  <c r="GC21" i="5"/>
  <c r="HR21" i="5" s="1"/>
  <c r="W33" i="55" s="1"/>
  <c r="CA33" i="5"/>
  <c r="C45" i="55" s="1"/>
  <c r="GC30" i="5"/>
  <c r="HR30" i="5" s="1"/>
  <c r="W42" i="55" s="1"/>
  <c r="GC28" i="5"/>
  <c r="HR28" i="5" s="1"/>
  <c r="W40" i="55" s="1"/>
  <c r="GC10" i="5"/>
  <c r="HR10" i="5" s="1"/>
  <c r="W22" i="55" s="1"/>
  <c r="AC36" i="14"/>
  <c r="AC41" i="14" s="1"/>
  <c r="HR67" i="5"/>
  <c r="GC26" i="5"/>
  <c r="HR26" i="5" s="1"/>
  <c r="W38" i="55" s="1"/>
  <c r="FL42" i="5"/>
  <c r="R34" i="44" s="1"/>
  <c r="CG26" i="5"/>
  <c r="G38" i="55" s="1"/>
  <c r="FL41" i="5"/>
  <c r="R35" i="44" s="1"/>
  <c r="GC35" i="5"/>
  <c r="HR35" i="5" s="1"/>
  <c r="W47" i="55" s="1"/>
  <c r="GC25" i="5"/>
  <c r="HR25" i="5" s="1"/>
  <c r="W37" i="55" s="1"/>
  <c r="GC36" i="5"/>
  <c r="HR36" i="5" s="1"/>
  <c r="W48" i="55" s="1"/>
  <c r="GC37" i="5"/>
  <c r="HR37" i="5" s="1"/>
  <c r="W49" i="55" s="1"/>
  <c r="GC18" i="5"/>
  <c r="HR18" i="5" s="1"/>
  <c r="W30" i="55" s="1"/>
  <c r="GC24" i="5"/>
  <c r="HR24" i="5" s="1"/>
  <c r="W36" i="55" s="1"/>
  <c r="GC20" i="5"/>
  <c r="HR20" i="5" s="1"/>
  <c r="W32" i="55" s="1"/>
  <c r="GC33" i="5"/>
  <c r="HR33" i="5" s="1"/>
  <c r="W45" i="55" s="1"/>
  <c r="GC12" i="5"/>
  <c r="HR12" i="5" s="1"/>
  <c r="W24" i="55" s="1"/>
  <c r="GC13" i="5"/>
  <c r="HR13" i="5" s="1"/>
  <c r="W25" i="55" s="1"/>
  <c r="GC27" i="5"/>
  <c r="HR27" i="5" s="1"/>
  <c r="W39" i="55" s="1"/>
  <c r="CA25" i="5"/>
  <c r="C37" i="55" s="1"/>
  <c r="FR50" i="5"/>
  <c r="FL48" i="5"/>
  <c r="R28" i="44" s="1"/>
  <c r="CA20" i="5"/>
  <c r="C32" i="55" s="1"/>
  <c r="CA34" i="5"/>
  <c r="C46" i="55" s="1"/>
  <c r="AG59" i="55"/>
  <c r="AG71" i="55"/>
  <c r="AD53" i="55"/>
  <c r="AD65" i="55"/>
  <c r="AD77" i="55"/>
  <c r="AC53" i="55"/>
  <c r="AC65" i="55"/>
  <c r="AC77" i="55"/>
  <c r="AB59" i="55"/>
  <c r="AB71" i="55"/>
  <c r="AA53" i="55"/>
  <c r="AA65" i="55"/>
  <c r="AA77" i="55"/>
  <c r="Z59" i="55"/>
  <c r="Z71" i="55"/>
  <c r="AC79" i="55"/>
  <c r="AA55" i="55"/>
  <c r="Z61" i="55"/>
  <c r="Z70" i="55"/>
  <c r="AG60" i="55"/>
  <c r="AG72" i="55"/>
  <c r="AD54" i="55"/>
  <c r="AD66" i="55"/>
  <c r="AD78" i="55"/>
  <c r="AC54" i="55"/>
  <c r="AC66" i="55"/>
  <c r="AC78" i="55"/>
  <c r="AB60" i="55"/>
  <c r="AB72" i="55"/>
  <c r="AA54" i="55"/>
  <c r="AA66" i="55"/>
  <c r="AA78" i="55"/>
  <c r="Z60" i="55"/>
  <c r="Z72" i="55"/>
  <c r="AC67" i="55"/>
  <c r="AB73" i="55"/>
  <c r="AA79" i="55"/>
  <c r="Z73" i="55"/>
  <c r="AC64" i="55"/>
  <c r="AG61" i="55"/>
  <c r="AG73" i="55"/>
  <c r="AD55" i="55"/>
  <c r="AD67" i="55"/>
  <c r="AD79" i="55"/>
  <c r="AC55" i="55"/>
  <c r="AB61" i="55"/>
  <c r="AA67" i="55"/>
  <c r="AB70" i="55"/>
  <c r="AG50" i="55"/>
  <c r="AG62" i="55"/>
  <c r="AG74" i="55"/>
  <c r="AD56" i="55"/>
  <c r="AD68" i="55"/>
  <c r="AC56" i="55"/>
  <c r="AC68" i="55"/>
  <c r="AB50" i="55"/>
  <c r="AB62" i="55"/>
  <c r="AB74" i="55"/>
  <c r="AA56" i="55"/>
  <c r="AA68" i="55"/>
  <c r="Z50" i="55"/>
  <c r="Z62" i="55"/>
  <c r="Z74" i="55"/>
  <c r="Z75" i="55"/>
  <c r="AC70" i="55"/>
  <c r="AA58" i="55"/>
  <c r="Z64" i="55"/>
  <c r="AA76" i="55"/>
  <c r="AG51" i="55"/>
  <c r="AG63" i="55"/>
  <c r="AG75" i="55"/>
  <c r="AD57" i="55"/>
  <c r="AD69" i="55"/>
  <c r="AC57" i="55"/>
  <c r="AC69" i="55"/>
  <c r="AB51" i="55"/>
  <c r="AB63" i="55"/>
  <c r="AB75" i="55"/>
  <c r="AA57" i="55"/>
  <c r="AA69" i="55"/>
  <c r="Z51" i="55"/>
  <c r="Z63" i="55"/>
  <c r="AB52" i="55"/>
  <c r="AB76" i="55"/>
  <c r="AA70" i="55"/>
  <c r="Z76" i="55"/>
  <c r="AG52" i="55"/>
  <c r="AG64" i="55"/>
  <c r="AG76" i="55"/>
  <c r="AD58" i="55"/>
  <c r="AD70" i="55"/>
  <c r="AC58" i="55"/>
  <c r="AB64" i="55"/>
  <c r="Z52" i="55"/>
  <c r="AB58" i="55"/>
  <c r="AG53" i="55"/>
  <c r="AG65" i="55"/>
  <c r="AG77" i="55"/>
  <c r="AD59" i="55"/>
  <c r="AD71" i="55"/>
  <c r="AC59" i="55"/>
  <c r="AC71" i="55"/>
  <c r="AB53" i="55"/>
  <c r="AB65" i="55"/>
  <c r="AB77" i="55"/>
  <c r="AA59" i="55"/>
  <c r="AA71" i="55"/>
  <c r="Z53" i="55"/>
  <c r="Z65" i="55"/>
  <c r="Z77" i="55"/>
  <c r="AD64" i="55"/>
  <c r="AA52" i="55"/>
  <c r="AG54" i="55"/>
  <c r="AG66" i="55"/>
  <c r="AG78" i="55"/>
  <c r="AD60" i="55"/>
  <c r="AD72" i="55"/>
  <c r="AC60" i="55"/>
  <c r="AC72" i="55"/>
  <c r="AB54" i="55"/>
  <c r="AB66" i="55"/>
  <c r="AB78" i="55"/>
  <c r="AA60" i="55"/>
  <c r="AA72" i="55"/>
  <c r="Z54" i="55"/>
  <c r="Z66" i="55"/>
  <c r="Z78" i="55"/>
  <c r="AG70" i="55"/>
  <c r="AC76" i="55"/>
  <c r="AG55" i="55"/>
  <c r="AG67" i="55"/>
  <c r="AG79" i="55"/>
  <c r="AD61" i="55"/>
  <c r="AD73" i="55"/>
  <c r="AC61" i="55"/>
  <c r="AC73" i="55"/>
  <c r="AB55" i="55"/>
  <c r="AB67" i="55"/>
  <c r="AB79" i="55"/>
  <c r="AA61" i="55"/>
  <c r="AA73" i="55"/>
  <c r="Z55" i="55"/>
  <c r="Z67" i="55"/>
  <c r="Z79" i="55"/>
  <c r="AD76" i="55"/>
  <c r="AC52" i="55"/>
  <c r="AG56" i="55"/>
  <c r="AG68" i="55"/>
  <c r="AD50" i="55"/>
  <c r="AD62" i="55"/>
  <c r="AD74" i="55"/>
  <c r="AC50" i="55"/>
  <c r="AC62" i="55"/>
  <c r="AC74" i="55"/>
  <c r="AB56" i="55"/>
  <c r="AB68" i="55"/>
  <c r="AA50" i="55"/>
  <c r="AA62" i="55"/>
  <c r="AA74" i="55"/>
  <c r="Z56" i="55"/>
  <c r="Z68" i="55"/>
  <c r="AD52" i="55"/>
  <c r="AA64" i="55"/>
  <c r="AG57" i="55"/>
  <c r="AG69" i="55"/>
  <c r="AD51" i="55"/>
  <c r="AD63" i="55"/>
  <c r="AD75" i="55"/>
  <c r="AC51" i="55"/>
  <c r="AC63" i="55"/>
  <c r="AC75" i="55"/>
  <c r="AB57" i="55"/>
  <c r="AB69" i="55"/>
  <c r="AA51" i="55"/>
  <c r="AA63" i="55"/>
  <c r="AA75" i="55"/>
  <c r="Z57" i="55"/>
  <c r="Z69" i="55"/>
  <c r="AG58" i="55"/>
  <c r="Z58" i="55"/>
  <c r="R20" i="55"/>
  <c r="Z20" i="55" s="1"/>
  <c r="R21" i="55"/>
  <c r="R22" i="55"/>
  <c r="R23" i="55"/>
  <c r="R24" i="55"/>
  <c r="R25" i="55"/>
  <c r="R26" i="55"/>
  <c r="S20" i="55"/>
  <c r="AA20" i="55" s="1"/>
  <c r="R27" i="55"/>
  <c r="R29" i="55"/>
  <c r="R28" i="55"/>
  <c r="R30" i="55"/>
  <c r="R31" i="55"/>
  <c r="R32" i="55"/>
  <c r="R33" i="55"/>
  <c r="R34" i="55"/>
  <c r="R35" i="55"/>
  <c r="R36" i="55"/>
  <c r="R37" i="55"/>
  <c r="R38" i="55"/>
  <c r="R39" i="55"/>
  <c r="R40" i="55"/>
  <c r="R41" i="55"/>
  <c r="R42" i="55"/>
  <c r="R43" i="55"/>
  <c r="R44" i="55"/>
  <c r="R46" i="55"/>
  <c r="R45" i="55"/>
  <c r="R47" i="55"/>
  <c r="R48" i="55"/>
  <c r="R49" i="55"/>
  <c r="T25" i="55"/>
  <c r="T45" i="55"/>
  <c r="T32" i="55"/>
  <c r="T34" i="55"/>
  <c r="T44" i="55"/>
  <c r="T21" i="55"/>
  <c r="T23" i="55"/>
  <c r="T39" i="55"/>
  <c r="T29" i="55"/>
  <c r="T47" i="55"/>
  <c r="T36" i="55"/>
  <c r="T38" i="55"/>
  <c r="T33" i="55"/>
  <c r="T46" i="55"/>
  <c r="T35" i="55"/>
  <c r="T40" i="55"/>
  <c r="T37" i="55"/>
  <c r="T48" i="55"/>
  <c r="T43" i="55"/>
  <c r="T26" i="55"/>
  <c r="T41" i="55"/>
  <c r="T22" i="55"/>
  <c r="T28" i="55"/>
  <c r="T30" i="55"/>
  <c r="T20" i="55"/>
  <c r="T31" i="55"/>
  <c r="T24" i="55"/>
  <c r="T27" i="55"/>
  <c r="T49" i="55"/>
  <c r="T42" i="55"/>
  <c r="S49" i="55"/>
  <c r="CA11" i="5"/>
  <c r="C23" i="55" s="1"/>
  <c r="CG19" i="5"/>
  <c r="G31" i="55" s="1"/>
  <c r="CA21" i="5"/>
  <c r="P55" i="44" s="1"/>
  <c r="CA9" i="5"/>
  <c r="C21" i="55" s="1"/>
  <c r="CA35" i="5"/>
  <c r="P41" i="44" s="1"/>
  <c r="CG17" i="5"/>
  <c r="G29" i="55" s="1"/>
  <c r="FR56" i="5"/>
  <c r="FR45" i="5"/>
  <c r="FL39" i="5"/>
  <c r="R37" i="44" s="1"/>
  <c r="FR55" i="5"/>
  <c r="CA27" i="5"/>
  <c r="P49" i="44" s="1"/>
  <c r="CG24" i="5"/>
  <c r="G36" i="55" s="1"/>
  <c r="HQ48" i="5"/>
  <c r="HO34" i="5"/>
  <c r="S46" i="55" s="1"/>
  <c r="HO35" i="5"/>
  <c r="S47" i="55" s="1"/>
  <c r="HQ45" i="5"/>
  <c r="HQ47" i="5"/>
  <c r="HO25" i="5"/>
  <c r="S37" i="55" s="1"/>
  <c r="HQ50" i="5"/>
  <c r="HO11" i="5"/>
  <c r="S23" i="55" s="1"/>
  <c r="HQ53" i="5"/>
  <c r="HQ42" i="5"/>
  <c r="HQ41" i="5"/>
  <c r="HO21" i="5"/>
  <c r="S33" i="55" s="1"/>
  <c r="HQ39" i="5"/>
  <c r="HO36" i="5"/>
  <c r="S48" i="55" s="1"/>
  <c r="HO26" i="5"/>
  <c r="S38" i="55" s="1"/>
  <c r="HO30" i="5"/>
  <c r="S42" i="55" s="1"/>
  <c r="HQ46" i="5"/>
  <c r="HQ40" i="5"/>
  <c r="HQ43" i="5"/>
  <c r="HO18" i="5"/>
  <c r="S30" i="55" s="1"/>
  <c r="HQ57" i="5"/>
  <c r="HQ54" i="5"/>
  <c r="HQ51" i="5"/>
  <c r="CA13" i="5"/>
  <c r="P63" i="44" s="1"/>
  <c r="HQ49" i="5"/>
  <c r="HO32" i="5"/>
  <c r="S44" i="55" s="1"/>
  <c r="HO10" i="5"/>
  <c r="S22" i="55" s="1"/>
  <c r="HO19" i="5"/>
  <c r="S31" i="55" s="1"/>
  <c r="HO23" i="5"/>
  <c r="S35" i="55" s="1"/>
  <c r="HO24" i="5"/>
  <c r="S36" i="55" s="1"/>
  <c r="HQ56" i="5"/>
  <c r="HO28" i="5"/>
  <c r="S40" i="55" s="1"/>
  <c r="CA12" i="5"/>
  <c r="C24" i="55" s="1"/>
  <c r="HO56" i="5"/>
  <c r="HO29" i="5"/>
  <c r="S41" i="55" s="1"/>
  <c r="HO17" i="5"/>
  <c r="S29" i="55" s="1"/>
  <c r="HQ55" i="5"/>
  <c r="HO16" i="5"/>
  <c r="S28" i="55" s="1"/>
  <c r="HO20" i="5"/>
  <c r="S32" i="55" s="1"/>
  <c r="HO33" i="5"/>
  <c r="S45" i="55" s="1"/>
  <c r="HQ52" i="5"/>
  <c r="HO12" i="5"/>
  <c r="S24" i="55" s="1"/>
  <c r="HO13" i="5"/>
  <c r="S25" i="55" s="1"/>
  <c r="HO9" i="5"/>
  <c r="HQ38" i="5"/>
  <c r="HO27" i="5"/>
  <c r="S39" i="55" s="1"/>
  <c r="HQ44" i="5"/>
  <c r="FL38" i="5"/>
  <c r="R38" i="44" s="1"/>
  <c r="FR47" i="5"/>
  <c r="FL52" i="5"/>
  <c r="R24" i="44" s="1"/>
  <c r="CG29" i="5"/>
  <c r="G41" i="55" s="1"/>
  <c r="CA16" i="5"/>
  <c r="P60" i="44" s="1"/>
  <c r="FX31" i="5"/>
  <c r="GB31" i="5" s="1"/>
  <c r="GC31" i="5" s="1"/>
  <c r="HR31" i="5" s="1"/>
  <c r="W43" i="55" s="1"/>
  <c r="CA22" i="5"/>
  <c r="C34" i="55" s="1"/>
  <c r="FX22" i="5"/>
  <c r="GB22" i="5" s="1"/>
  <c r="GC22" i="5" s="1"/>
  <c r="HR22" i="5" s="1"/>
  <c r="W34" i="55" s="1"/>
  <c r="FX14" i="5"/>
  <c r="GB14" i="5" s="1"/>
  <c r="GC14" i="5" s="1"/>
  <c r="HR14" i="5" s="1"/>
  <c r="W26" i="55" s="1"/>
  <c r="FX15" i="5"/>
  <c r="GB15" i="5" s="1"/>
  <c r="GC16" i="5" s="1"/>
  <c r="HR16" i="5" s="1"/>
  <c r="W28" i="55" s="1"/>
  <c r="GA53" i="5"/>
  <c r="GA49" i="5"/>
  <c r="GA44" i="5"/>
  <c r="GA56" i="5"/>
  <c r="GA57" i="5"/>
  <c r="GA51" i="5"/>
  <c r="GA54" i="5"/>
  <c r="GA55" i="5"/>
  <c r="GA42" i="5"/>
  <c r="GA41" i="5"/>
  <c r="GA38" i="5"/>
  <c r="GA48" i="5"/>
  <c r="GA40" i="5"/>
  <c r="GA47" i="5"/>
  <c r="GA50" i="5"/>
  <c r="GA39" i="5"/>
  <c r="GA43" i="5"/>
  <c r="GA46" i="5"/>
  <c r="GA45" i="5"/>
  <c r="GA52" i="5"/>
  <c r="BX61" i="55"/>
  <c r="FL44" i="5"/>
  <c r="BW29" i="55"/>
  <c r="BW44" i="55"/>
  <c r="BW36" i="55"/>
  <c r="BW42" i="55"/>
  <c r="CJ79" i="55"/>
  <c r="BW38" i="55"/>
  <c r="FL53" i="5"/>
  <c r="R23" i="44" s="1"/>
  <c r="AQ70" i="55"/>
  <c r="BW46" i="55"/>
  <c r="BW23" i="55"/>
  <c r="AY70" i="55"/>
  <c r="BW32" i="55"/>
  <c r="FL49" i="5"/>
  <c r="BW39" i="55"/>
  <c r="CG56" i="5"/>
  <c r="BW37" i="55"/>
  <c r="CM68" i="55"/>
  <c r="BW30" i="55"/>
  <c r="BW41" i="55"/>
  <c r="BW47" i="55"/>
  <c r="BW45" i="55"/>
  <c r="BW33" i="55"/>
  <c r="BW35" i="55"/>
  <c r="CA78" i="55"/>
  <c r="BW22" i="55"/>
  <c r="BW21" i="55"/>
  <c r="BW31" i="55"/>
  <c r="BW48" i="55"/>
  <c r="BW28" i="55"/>
  <c r="BW25" i="55"/>
  <c r="BW24" i="55"/>
  <c r="BW40" i="55"/>
  <c r="BX60" i="55"/>
  <c r="BX65" i="55"/>
  <c r="CL69" i="55"/>
  <c r="BX50" i="55"/>
  <c r="BX55" i="55"/>
  <c r="BX51" i="55"/>
  <c r="BX53" i="55"/>
  <c r="BW68" i="55"/>
  <c r="CO70" i="55"/>
  <c r="BX59" i="55"/>
  <c r="BX69" i="55"/>
  <c r="BW60" i="55"/>
  <c r="CU59" i="55"/>
  <c r="CU50" i="55"/>
  <c r="CU52" i="55"/>
  <c r="CA77" i="55"/>
  <c r="BW56" i="55"/>
  <c r="CD37" i="55"/>
  <c r="BO60" i="55"/>
  <c r="CC54" i="55"/>
  <c r="CD48" i="55"/>
  <c r="BH60" i="55"/>
  <c r="AP25" i="55"/>
  <c r="CB33" i="55"/>
  <c r="BO53" i="55"/>
  <c r="AJ50" i="55"/>
  <c r="CD61" i="55"/>
  <c r="BH61" i="55"/>
  <c r="CD40" i="55"/>
  <c r="CC78" i="55"/>
  <c r="BO56" i="55"/>
  <c r="CD72" i="55"/>
  <c r="BA59" i="55"/>
  <c r="CC36" i="55"/>
  <c r="BO74" i="55"/>
  <c r="CD42" i="55"/>
  <c r="CD46" i="55"/>
  <c r="CD26" i="55"/>
  <c r="BA60" i="55"/>
  <c r="CD64" i="55"/>
  <c r="CD67" i="55"/>
  <c r="CB24" i="55"/>
  <c r="CD27" i="55"/>
  <c r="CC53" i="55"/>
  <c r="AN73" i="55"/>
  <c r="BA54" i="55"/>
  <c r="BO67" i="55"/>
  <c r="CU57" i="55"/>
  <c r="CU71" i="55"/>
  <c r="CU62" i="55"/>
  <c r="CU64" i="55"/>
  <c r="CR79" i="55"/>
  <c r="BW62" i="55"/>
  <c r="CC79" i="55"/>
  <c r="BO69" i="55"/>
  <c r="CB52" i="55"/>
  <c r="AN68" i="55"/>
  <c r="CB31" i="55"/>
  <c r="BH64" i="55"/>
  <c r="AN52" i="55"/>
  <c r="CB63" i="55"/>
  <c r="AJ55" i="55"/>
  <c r="AP28" i="55"/>
  <c r="CB37" i="55"/>
  <c r="BH70" i="55"/>
  <c r="CB76" i="55"/>
  <c r="AJ56" i="55"/>
  <c r="CB55" i="55"/>
  <c r="BA51" i="55"/>
  <c r="CD43" i="55"/>
  <c r="AN76" i="55"/>
  <c r="AJ79" i="55"/>
  <c r="AP49" i="55"/>
  <c r="CB57" i="55"/>
  <c r="BO77" i="55"/>
  <c r="CB61" i="55"/>
  <c r="BA69" i="55"/>
  <c r="CB79" i="55"/>
  <c r="BA75" i="55"/>
  <c r="CB23" i="55"/>
  <c r="AP30" i="55"/>
  <c r="CC32" i="55"/>
  <c r="AT58" i="55"/>
  <c r="AT73" i="55"/>
  <c r="CC74" i="55"/>
  <c r="BH53" i="55"/>
  <c r="CB48" i="55"/>
  <c r="BH69" i="55"/>
  <c r="CC45" i="55"/>
  <c r="AT71" i="55"/>
  <c r="CC72" i="55"/>
  <c r="BH75" i="55"/>
  <c r="CD78" i="55"/>
  <c r="AN51" i="55"/>
  <c r="CC56" i="55"/>
  <c r="CU69" i="55"/>
  <c r="CU60" i="55"/>
  <c r="CU74" i="55"/>
  <c r="CU76" i="55"/>
  <c r="AY69" i="55"/>
  <c r="BW50" i="55"/>
  <c r="CP68" i="55"/>
  <c r="CY75" i="55"/>
  <c r="BW58" i="55"/>
  <c r="AN77" i="55"/>
  <c r="CD33" i="55"/>
  <c r="AN71" i="55"/>
  <c r="CB34" i="55"/>
  <c r="CD38" i="55"/>
  <c r="BH74" i="55"/>
  <c r="CD30" i="55"/>
  <c r="AJ65" i="55"/>
  <c r="AJ71" i="55"/>
  <c r="CB58" i="55"/>
  <c r="CC30" i="55"/>
  <c r="CD62" i="55"/>
  <c r="AN60" i="55"/>
  <c r="AJ76" i="55"/>
  <c r="BH78" i="55"/>
  <c r="CT20" i="55"/>
  <c r="CU72" i="55"/>
  <c r="CU54" i="55"/>
  <c r="CU55" i="55"/>
  <c r="BW51" i="55"/>
  <c r="CY76" i="55"/>
  <c r="CC42" i="55"/>
  <c r="CD36" i="55"/>
  <c r="BO71" i="55"/>
  <c r="CD63" i="55"/>
  <c r="CB71" i="55"/>
  <c r="BA79" i="55"/>
  <c r="CD47" i="55"/>
  <c r="BH59" i="55"/>
  <c r="CB53" i="55"/>
  <c r="AJ69" i="55"/>
  <c r="AT76" i="55"/>
  <c r="CC66" i="55"/>
  <c r="CD60" i="55"/>
  <c r="BH72" i="55"/>
  <c r="CD28" i="55"/>
  <c r="BO62" i="55"/>
  <c r="BA66" i="55"/>
  <c r="AT67" i="55"/>
  <c r="CD71" i="55"/>
  <c r="BA58" i="55"/>
  <c r="CB77" i="55"/>
  <c r="BA73" i="55"/>
  <c r="CC50" i="55"/>
  <c r="BO64" i="55"/>
  <c r="CC20" i="55"/>
  <c r="BO68" i="55"/>
  <c r="CD25" i="55"/>
  <c r="BA71" i="55"/>
  <c r="CC48" i="55"/>
  <c r="BH51" i="55"/>
  <c r="CD54" i="55"/>
  <c r="BH54" i="55"/>
  <c r="CD58" i="55"/>
  <c r="CC34" i="55"/>
  <c r="BA72" i="55"/>
  <c r="CD76" i="55"/>
  <c r="CD56" i="55"/>
  <c r="BO55" i="55"/>
  <c r="CC35" i="55"/>
  <c r="AJ61" i="55"/>
  <c r="CD23" i="55"/>
  <c r="CU78" i="55"/>
  <c r="CU61" i="55"/>
  <c r="CU51" i="55"/>
  <c r="CU53" i="55"/>
  <c r="CM67" i="55"/>
  <c r="BW59" i="55"/>
  <c r="BW52" i="55"/>
  <c r="BW63" i="55"/>
  <c r="AP43" i="55"/>
  <c r="CB51" i="55"/>
  <c r="AN79" i="55"/>
  <c r="CB78" i="55"/>
  <c r="AT74" i="55"/>
  <c r="CC28" i="55"/>
  <c r="CB62" i="55"/>
  <c r="AJ54" i="55"/>
  <c r="AN50" i="55"/>
  <c r="AN64" i="55"/>
  <c r="CB75" i="55"/>
  <c r="AJ67" i="55"/>
  <c r="AP37" i="55"/>
  <c r="CB45" i="55"/>
  <c r="BO65" i="55"/>
  <c r="AJ78" i="55"/>
  <c r="AP39" i="55"/>
  <c r="AJ52" i="55"/>
  <c r="AN58" i="55"/>
  <c r="CB69" i="55"/>
  <c r="AN61" i="55"/>
  <c r="CB73" i="55"/>
  <c r="AT57" i="55"/>
  <c r="AT51" i="55"/>
  <c r="CD79" i="55"/>
  <c r="AP42" i="55"/>
  <c r="CC44" i="55"/>
  <c r="AT70" i="55"/>
  <c r="AP24" i="55"/>
  <c r="CC27" i="55"/>
  <c r="BH65" i="55"/>
  <c r="AP20" i="55"/>
  <c r="CU68" i="55"/>
  <c r="CU73" i="55"/>
  <c r="CU63" i="55"/>
  <c r="CU65" i="55"/>
  <c r="BW54" i="55"/>
  <c r="BW61" i="55"/>
  <c r="CO69" i="55"/>
  <c r="BH67" i="55"/>
  <c r="AT77" i="55"/>
  <c r="BO78" i="55"/>
  <c r="CD49" i="55"/>
  <c r="BO72" i="55"/>
  <c r="CB43" i="55"/>
  <c r="BH76" i="55"/>
  <c r="CC77" i="55"/>
  <c r="CD50" i="55"/>
  <c r="AP40" i="55"/>
  <c r="CD34" i="55"/>
  <c r="CD73" i="55"/>
  <c r="BH73" i="55"/>
  <c r="CD52" i="55"/>
  <c r="CB59" i="55"/>
  <c r="CD74" i="55"/>
  <c r="CD44" i="55"/>
  <c r="BO66" i="55"/>
  <c r="AN72" i="55"/>
  <c r="CD45" i="55"/>
  <c r="CU58" i="55"/>
  <c r="CU66" i="55"/>
  <c r="CU75" i="55"/>
  <c r="CU77" i="55"/>
  <c r="BW64" i="55"/>
  <c r="CL68" i="55"/>
  <c r="BW53" i="55"/>
  <c r="BA67" i="55"/>
  <c r="CD35" i="55"/>
  <c r="BO70" i="55"/>
  <c r="CB41" i="55"/>
  <c r="BH62" i="55"/>
  <c r="CD77" i="55"/>
  <c r="CB25" i="55"/>
  <c r="BH58" i="55"/>
  <c r="CB64" i="55"/>
  <c r="CB47" i="55"/>
  <c r="AJ59" i="55"/>
  <c r="CB46" i="55"/>
  <c r="AT55" i="55"/>
  <c r="CD59" i="55"/>
  <c r="BH71" i="55"/>
  <c r="CB65" i="55"/>
  <c r="BA61" i="55"/>
  <c r="CC38" i="55"/>
  <c r="BO52" i="55"/>
  <c r="CB49" i="55"/>
  <c r="BA57" i="55"/>
  <c r="AJ68" i="55"/>
  <c r="CB67" i="55"/>
  <c r="BA63" i="55"/>
  <c r="CD55" i="55"/>
  <c r="AT79" i="55"/>
  <c r="CD24" i="55"/>
  <c r="BA70" i="55"/>
  <c r="AT61" i="55"/>
  <c r="CC62" i="55"/>
  <c r="BO76" i="55"/>
  <c r="CB36" i="55"/>
  <c r="BH57" i="55"/>
  <c r="CC33" i="55"/>
  <c r="AT59" i="55"/>
  <c r="CC60" i="55"/>
  <c r="BH63" i="55"/>
  <c r="CD66" i="55"/>
  <c r="CD70" i="55"/>
  <c r="CC46" i="55"/>
  <c r="AT60" i="55"/>
  <c r="CD29" i="55"/>
  <c r="CB35" i="55"/>
  <c r="CB60" i="55"/>
  <c r="BA56" i="55"/>
  <c r="CC57" i="55"/>
  <c r="CU70" i="55"/>
  <c r="CU67" i="55"/>
  <c r="CU56" i="55"/>
  <c r="CU79" i="55"/>
  <c r="CJ78" i="55"/>
  <c r="BW67" i="55"/>
  <c r="CK77" i="55"/>
  <c r="BW55" i="55"/>
  <c r="AJ75" i="55"/>
  <c r="CB50" i="55"/>
  <c r="AN78" i="55"/>
  <c r="AJ57" i="55"/>
  <c r="AT64" i="55"/>
  <c r="AJ53" i="55"/>
  <c r="CD75" i="55"/>
  <c r="BO50" i="55"/>
  <c r="CB74" i="55"/>
  <c r="AJ66" i="55"/>
  <c r="AP27" i="55"/>
  <c r="AJ77" i="55"/>
  <c r="CB70" i="55"/>
  <c r="AJ64" i="55"/>
  <c r="AN70" i="55"/>
  <c r="CB22" i="55"/>
  <c r="BH66" i="55"/>
  <c r="AT69" i="55"/>
  <c r="AT63" i="55"/>
  <c r="CD32" i="55"/>
  <c r="AP21" i="55"/>
  <c r="AP36" i="55"/>
  <c r="CB32" i="55"/>
  <c r="BH77" i="55"/>
  <c r="AT78" i="55"/>
  <c r="CB72" i="55"/>
  <c r="BA68" i="55"/>
  <c r="CC69" i="55"/>
  <c r="AP34" i="55"/>
  <c r="CB30" i="55"/>
  <c r="BA62" i="55"/>
  <c r="CC39" i="55"/>
  <c r="AN75" i="55"/>
  <c r="CC21" i="55"/>
  <c r="AP45" i="55"/>
  <c r="AN57" i="55"/>
  <c r="CB56" i="55"/>
  <c r="BA64" i="55"/>
  <c r="AP41" i="55"/>
  <c r="AN53" i="55"/>
  <c r="AP50" i="55"/>
  <c r="CC76" i="55"/>
  <c r="CD65" i="55"/>
  <c r="CX63" i="55"/>
  <c r="CW58" i="55"/>
  <c r="AQ65" i="55"/>
  <c r="CO31" i="55"/>
  <c r="CI58" i="55"/>
  <c r="CS47" i="55"/>
  <c r="CH48" i="55"/>
  <c r="AN66" i="55"/>
  <c r="AW68" i="55"/>
  <c r="AP74" i="55"/>
  <c r="AW45" i="55"/>
  <c r="CY62" i="55"/>
  <c r="CJ43" i="55"/>
  <c r="CO25" i="55"/>
  <c r="CR66" i="55"/>
  <c r="CI27" i="55"/>
  <c r="CX72" i="55"/>
  <c r="AW22" i="55"/>
  <c r="CS31" i="55"/>
  <c r="CM34" i="55"/>
  <c r="CP63" i="55"/>
  <c r="CG45" i="55"/>
  <c r="CY72" i="55"/>
  <c r="AT65" i="55"/>
  <c r="CV52" i="55"/>
  <c r="CX50" i="55"/>
  <c r="AS53" i="55"/>
  <c r="CO67" i="55"/>
  <c r="CT28" i="55"/>
  <c r="CM35" i="55"/>
  <c r="CS36" i="55"/>
  <c r="BH50" i="55"/>
  <c r="AW49" i="55"/>
  <c r="CV78" i="55"/>
  <c r="AJ60" i="55"/>
  <c r="AJ70" i="55"/>
  <c r="BA65" i="55"/>
  <c r="CC65" i="55"/>
  <c r="CD22" i="55"/>
  <c r="CD39" i="55"/>
  <c r="CC29" i="55"/>
  <c r="AR52" i="55"/>
  <c r="CM60" i="55"/>
  <c r="BV48" i="55"/>
  <c r="CL28" i="55"/>
  <c r="CS27" i="55"/>
  <c r="CD51" i="55"/>
  <c r="CH51" i="55"/>
  <c r="CV66" i="55"/>
  <c r="AR58" i="55"/>
  <c r="CR22" i="55"/>
  <c r="CL46" i="55"/>
  <c r="BW66" i="55"/>
  <c r="CM54" i="55"/>
  <c r="CK38" i="55"/>
  <c r="AP31" i="55"/>
  <c r="AW79" i="55"/>
  <c r="CW61" i="55"/>
  <c r="AW34" i="55"/>
  <c r="CS67" i="55"/>
  <c r="CL63" i="55"/>
  <c r="CT50" i="55"/>
  <c r="CR33" i="55"/>
  <c r="CP47" i="55"/>
  <c r="CW52" i="55"/>
  <c r="CV75" i="55"/>
  <c r="AS57" i="55"/>
  <c r="CH58" i="55"/>
  <c r="CT64" i="55"/>
  <c r="CM37" i="55"/>
  <c r="CL64" i="55"/>
  <c r="CS72" i="55"/>
  <c r="AN59" i="55"/>
  <c r="CX79" i="55"/>
  <c r="CW74" i="55"/>
  <c r="CC58" i="55"/>
  <c r="AT72" i="55"/>
  <c r="CC37" i="55"/>
  <c r="BO79" i="55"/>
  <c r="CC59" i="55"/>
  <c r="BH55" i="55"/>
  <c r="CC43" i="55"/>
  <c r="CC23" i="55"/>
  <c r="AP35" i="55"/>
  <c r="CC61" i="55"/>
  <c r="BO63" i="55"/>
  <c r="BO54" i="55"/>
  <c r="AT68" i="55"/>
  <c r="CB27" i="55"/>
  <c r="AN55" i="55"/>
  <c r="CB54" i="55"/>
  <c r="AT50" i="55"/>
  <c r="CC63" i="55"/>
  <c r="AW75" i="55"/>
  <c r="AW54" i="55"/>
  <c r="AS65" i="55"/>
  <c r="CH43" i="55"/>
  <c r="CT55" i="55"/>
  <c r="CL30" i="55"/>
  <c r="CK57" i="55"/>
  <c r="CS63" i="55"/>
  <c r="CB21" i="55"/>
  <c r="CX67" i="55"/>
  <c r="CW62" i="55"/>
  <c r="AS56" i="55"/>
  <c r="CR58" i="55"/>
  <c r="CI25" i="55"/>
  <c r="CR56" i="55"/>
  <c r="CQ45" i="55"/>
  <c r="CP66" i="55"/>
  <c r="AP52" i="55"/>
  <c r="CW73" i="55"/>
  <c r="AW46" i="55"/>
  <c r="CY68" i="55"/>
  <c r="CJ46" i="55"/>
  <c r="CK28" i="55"/>
  <c r="CR69" i="55"/>
  <c r="CI30" i="55"/>
  <c r="AP72" i="55"/>
  <c r="CW77" i="55"/>
  <c r="AW23" i="55"/>
  <c r="CS34" i="55"/>
  <c r="CP36" i="55"/>
  <c r="CL66" i="55"/>
  <c r="CG48" i="55"/>
  <c r="CM21" i="55"/>
  <c r="CV56" i="55"/>
  <c r="CX54" i="55"/>
  <c r="AT75" i="55"/>
  <c r="CC40" i="55"/>
  <c r="AN63" i="55"/>
  <c r="CC68" i="55"/>
  <c r="AP33" i="55"/>
  <c r="AP48" i="55"/>
  <c r="CB44" i="55"/>
  <c r="BA52" i="55"/>
  <c r="AP44" i="55"/>
  <c r="AP38" i="55"/>
  <c r="CC64" i="55"/>
  <c r="AT53" i="55"/>
  <c r="AW64" i="55"/>
  <c r="CV77" i="55"/>
  <c r="AQ69" i="55"/>
  <c r="CS25" i="55"/>
  <c r="CO29" i="55"/>
  <c r="CK59" i="55"/>
  <c r="CG39" i="55"/>
  <c r="CY60" i="55"/>
  <c r="AS52" i="55"/>
  <c r="CK34" i="55"/>
  <c r="CI61" i="55"/>
  <c r="CS50" i="55"/>
  <c r="CH54" i="55"/>
  <c r="CB66" i="55"/>
  <c r="CH52" i="55"/>
  <c r="CV70" i="55"/>
  <c r="AR61" i="55"/>
  <c r="CR25" i="55"/>
  <c r="CO48" i="55"/>
  <c r="CR23" i="55"/>
  <c r="CP56" i="55"/>
  <c r="CM40" i="55"/>
  <c r="CI66" i="55"/>
  <c r="CX76" i="55"/>
  <c r="AW60" i="55"/>
  <c r="AW35" i="55"/>
  <c r="CS70" i="55"/>
  <c r="CO65" i="55"/>
  <c r="CT53" i="55"/>
  <c r="CR36" i="55"/>
  <c r="CL50" i="55"/>
  <c r="CW56" i="55"/>
  <c r="AT54" i="55"/>
  <c r="AJ72" i="55"/>
  <c r="CD69" i="55"/>
  <c r="BH68" i="55"/>
  <c r="AP29" i="55"/>
  <c r="CC24" i="55"/>
  <c r="BO73" i="55"/>
  <c r="CD53" i="55"/>
  <c r="CX64" i="55"/>
  <c r="AP68" i="55"/>
  <c r="AW20" i="55"/>
  <c r="CS61" i="55"/>
  <c r="CM58" i="55"/>
  <c r="CT44" i="55"/>
  <c r="CR27" i="55"/>
  <c r="CK43" i="55"/>
  <c r="AP59" i="55"/>
  <c r="AP79" i="55"/>
  <c r="AS68" i="55"/>
  <c r="CP62" i="55"/>
  <c r="CT22" i="55"/>
  <c r="CO30" i="55"/>
  <c r="CS30" i="55"/>
  <c r="CX71" i="55"/>
  <c r="CW66" i="55"/>
  <c r="AS59" i="55"/>
  <c r="CR61" i="55"/>
  <c r="CI28" i="55"/>
  <c r="CR59" i="55"/>
  <c r="CQ48" i="55"/>
  <c r="CK74" i="55"/>
  <c r="AP63" i="55"/>
  <c r="AP55" i="55"/>
  <c r="AW47" i="55"/>
  <c r="CL22" i="55"/>
  <c r="CJ49" i="55"/>
  <c r="CM30" i="55"/>
  <c r="CR72" i="55"/>
  <c r="CI33" i="55"/>
  <c r="CW51" i="55"/>
  <c r="AP22" i="55"/>
  <c r="CC25" i="55"/>
  <c r="BA50" i="55"/>
  <c r="CD31" i="55"/>
  <c r="CC31" i="55"/>
  <c r="CC70" i="55"/>
  <c r="AP23" i="55"/>
  <c r="CC49" i="55"/>
  <c r="BO51" i="55"/>
  <c r="CB20" i="55"/>
  <c r="AT56" i="55"/>
  <c r="CC22" i="55"/>
  <c r="AP46" i="55"/>
  <c r="CB42" i="55"/>
  <c r="BA74" i="55"/>
  <c r="CC51" i="55"/>
  <c r="AJ51" i="55"/>
  <c r="CB26" i="55"/>
  <c r="AN54" i="55"/>
  <c r="AN69" i="55"/>
  <c r="CB68" i="55"/>
  <c r="BA76" i="55"/>
  <c r="AN74" i="55"/>
  <c r="AW55" i="55"/>
  <c r="CW71" i="55"/>
  <c r="AW32" i="55"/>
  <c r="CY56" i="55"/>
  <c r="CJ40" i="55"/>
  <c r="CL23" i="55"/>
  <c r="CR63" i="55"/>
  <c r="CI24" i="55"/>
  <c r="AW76" i="55"/>
  <c r="AW71" i="55"/>
  <c r="AS50" i="55"/>
  <c r="CH46" i="55"/>
  <c r="CT58" i="55"/>
  <c r="CO32" i="55"/>
  <c r="CM59" i="55"/>
  <c r="CS66" i="55"/>
  <c r="AQ62" i="55"/>
  <c r="CM36" i="55"/>
  <c r="CI64" i="55"/>
  <c r="CS53" i="55"/>
  <c r="CH57" i="55"/>
  <c r="CB40" i="55"/>
  <c r="AP64" i="55"/>
  <c r="AQ64" i="55"/>
  <c r="CR28" i="55"/>
  <c r="CK51" i="55"/>
  <c r="CR26" i="55"/>
  <c r="CL59" i="55"/>
  <c r="CP42" i="55"/>
  <c r="CI69" i="55"/>
  <c r="AW53" i="55"/>
  <c r="CW65" i="55"/>
  <c r="AJ58" i="55"/>
  <c r="BA53" i="55"/>
  <c r="AP32" i="55"/>
  <c r="AP26" i="55"/>
  <c r="CC52" i="55"/>
  <c r="BA77" i="55"/>
  <c r="CD68" i="55"/>
  <c r="BO58" i="55"/>
  <c r="AW56" i="55"/>
  <c r="AW44" i="55"/>
  <c r="CP43" i="55"/>
  <c r="CJ76" i="55"/>
  <c r="CK52" i="55"/>
  <c r="CO35" i="55"/>
  <c r="CI60" i="55"/>
  <c r="CX68" i="55"/>
  <c r="CW59" i="55"/>
  <c r="AW21" i="55"/>
  <c r="CS28" i="55"/>
  <c r="CK32" i="55"/>
  <c r="CM61" i="55"/>
  <c r="CG42" i="55"/>
  <c r="CY66" i="55"/>
  <c r="AP71" i="55"/>
  <c r="CV63" i="55"/>
  <c r="AQ50" i="55"/>
  <c r="CL65" i="55"/>
  <c r="CT25" i="55"/>
  <c r="CK33" i="55"/>
  <c r="CS33" i="55"/>
  <c r="CH53" i="55"/>
  <c r="CV74" i="55"/>
  <c r="AR65" i="55"/>
  <c r="CR64" i="55"/>
  <c r="CI31" i="55"/>
  <c r="CR62" i="55"/>
  <c r="CQ51" i="55"/>
  <c r="CH21" i="55"/>
  <c r="AJ74" i="55"/>
  <c r="AP75" i="55"/>
  <c r="CV55" i="55"/>
  <c r="CC47" i="55"/>
  <c r="AJ73" i="55"/>
  <c r="CD57" i="55"/>
  <c r="AN62" i="55"/>
  <c r="BH56" i="55"/>
  <c r="BA78" i="55"/>
  <c r="CC71" i="55"/>
  <c r="BO61" i="55"/>
  <c r="CD41" i="55"/>
  <c r="CC55" i="55"/>
  <c r="CB28" i="55"/>
  <c r="AP47" i="55"/>
  <c r="CC73" i="55"/>
  <c r="BO75" i="55"/>
  <c r="BH79" i="55"/>
  <c r="CH49" i="55"/>
  <c r="CV62" i="55"/>
  <c r="AR55" i="55"/>
  <c r="CR55" i="55"/>
  <c r="CI22" i="55"/>
  <c r="CR53" i="55"/>
  <c r="CQ42" i="55"/>
  <c r="CM64" i="55"/>
  <c r="AW67" i="55"/>
  <c r="CV73" i="55"/>
  <c r="AW33" i="55"/>
  <c r="CS64" i="55"/>
  <c r="CP60" i="55"/>
  <c r="CT47" i="55"/>
  <c r="CR30" i="55"/>
  <c r="CM45" i="55"/>
  <c r="AP60" i="55"/>
  <c r="CV51" i="55"/>
  <c r="AR54" i="55"/>
  <c r="CH55" i="55"/>
  <c r="CT61" i="55"/>
  <c r="CK35" i="55"/>
  <c r="CP61" i="55"/>
  <c r="CS69" i="55"/>
  <c r="BH52" i="55"/>
  <c r="CX75" i="55"/>
  <c r="CW70" i="55"/>
  <c r="AQ68" i="55"/>
  <c r="CP38" i="55"/>
  <c r="CI67" i="55"/>
  <c r="CS56" i="55"/>
  <c r="CH60" i="55"/>
  <c r="AP76" i="55"/>
  <c r="AQ67" i="55"/>
  <c r="AQ57" i="55"/>
  <c r="CK70" i="55"/>
  <c r="CT31" i="55"/>
  <c r="CY52" i="55"/>
  <c r="CP37" i="55"/>
  <c r="CS39" i="55"/>
  <c r="AW61" i="55"/>
  <c r="AW57" i="55"/>
  <c r="AQ61" i="55"/>
  <c r="CO43" i="55"/>
  <c r="CI73" i="55"/>
  <c r="CS62" i="55"/>
  <c r="CY53" i="55"/>
  <c r="CH66" i="55"/>
  <c r="AN67" i="55"/>
  <c r="AS64" i="55"/>
  <c r="CR73" i="55"/>
  <c r="CI40" i="55"/>
  <c r="CS29" i="55"/>
  <c r="CQ60" i="55"/>
  <c r="CH30" i="55"/>
  <c r="BO57" i="55"/>
  <c r="CX61" i="55"/>
  <c r="AP56" i="55"/>
  <c r="CR40" i="55"/>
  <c r="CO60" i="55"/>
  <c r="CR38" i="55"/>
  <c r="CQ27" i="55"/>
  <c r="CM52" i="55"/>
  <c r="AN65" i="55"/>
  <c r="CX65" i="55"/>
  <c r="CR43" i="55"/>
  <c r="CK63" i="55"/>
  <c r="CR41" i="55"/>
  <c r="CQ30" i="55"/>
  <c r="CP54" i="55"/>
  <c r="AJ63" i="55"/>
  <c r="CV53" i="55"/>
  <c r="CW67" i="55"/>
  <c r="AW41" i="55"/>
  <c r="CO36" i="55"/>
  <c r="CJ67" i="55"/>
  <c r="CP44" i="55"/>
  <c r="CM28" i="55"/>
  <c r="CI51" i="55"/>
  <c r="CX56" i="55"/>
  <c r="CV71" i="55"/>
  <c r="AW30" i="55"/>
  <c r="CJ34" i="55"/>
  <c r="CT74" i="55"/>
  <c r="CR57" i="55"/>
  <c r="CK67" i="55"/>
  <c r="CO40" i="55"/>
  <c r="CY55" i="55"/>
  <c r="CG65" i="55"/>
  <c r="CY69" i="55"/>
  <c r="CH32" i="55"/>
  <c r="CK58" i="55"/>
  <c r="CJ45" i="55"/>
  <c r="BV71" i="55"/>
  <c r="BY43" i="55"/>
  <c r="BV47" i="55"/>
  <c r="CQ26" i="55"/>
  <c r="BV51" i="55"/>
  <c r="CN62" i="55"/>
  <c r="BJ23" i="55"/>
  <c r="CT60" i="55"/>
  <c r="CG31" i="55"/>
  <c r="BZ57" i="55"/>
  <c r="BY56" i="55"/>
  <c r="CN39" i="55"/>
  <c r="BJ79" i="55"/>
  <c r="BD75" i="55"/>
  <c r="CI57" i="55"/>
  <c r="CY73" i="55"/>
  <c r="CA40" i="55"/>
  <c r="BZ35" i="55"/>
  <c r="CG74" i="55"/>
  <c r="BY34" i="55"/>
  <c r="CN66" i="55"/>
  <c r="BJ29" i="55"/>
  <c r="CS44" i="55"/>
  <c r="CQ34" i="55"/>
  <c r="CQ41" i="55"/>
  <c r="BY73" i="55"/>
  <c r="CA47" i="55"/>
  <c r="BV59" i="55"/>
  <c r="BZ44" i="55"/>
  <c r="CT69" i="55"/>
  <c r="CG40" i="55"/>
  <c r="BZ63" i="55"/>
  <c r="CA32" i="55"/>
  <c r="BY62" i="55"/>
  <c r="CN54" i="55"/>
  <c r="CP27" i="55"/>
  <c r="CQ40" i="55"/>
  <c r="BY77" i="55"/>
  <c r="CA51" i="55"/>
  <c r="BZ48" i="55"/>
  <c r="BI64" i="55"/>
  <c r="CT75" i="55"/>
  <c r="CG46" i="55"/>
  <c r="CK76" i="55"/>
  <c r="BZ67" i="55"/>
  <c r="CA64" i="55"/>
  <c r="BY66" i="55"/>
  <c r="CN45" i="55"/>
  <c r="CH45" i="55"/>
  <c r="CG29" i="55"/>
  <c r="CM27" i="55"/>
  <c r="BZ76" i="55"/>
  <c r="CP52" i="55"/>
  <c r="BV41" i="55"/>
  <c r="CJ44" i="55"/>
  <c r="CA48" i="55"/>
  <c r="CJ65" i="55"/>
  <c r="BV70" i="55"/>
  <c r="CN44" i="55"/>
  <c r="BF64" i="55"/>
  <c r="AS60" i="55"/>
  <c r="CH61" i="55"/>
  <c r="CT67" i="55"/>
  <c r="CP39" i="55"/>
  <c r="CO66" i="55"/>
  <c r="CS75" i="55"/>
  <c r="CD21" i="55"/>
  <c r="AW50" i="55"/>
  <c r="CW78" i="55"/>
  <c r="AR62" i="55"/>
  <c r="CH22" i="55"/>
  <c r="CT34" i="55"/>
  <c r="CY58" i="55"/>
  <c r="CL40" i="55"/>
  <c r="CS42" i="55"/>
  <c r="AW73" i="55"/>
  <c r="AW69" i="55"/>
  <c r="AP51" i="55"/>
  <c r="CK46" i="55"/>
  <c r="CI76" i="55"/>
  <c r="CS65" i="55"/>
  <c r="CY59" i="55"/>
  <c r="CH69" i="55"/>
  <c r="CC41" i="55"/>
  <c r="AS67" i="55"/>
  <c r="CR76" i="55"/>
  <c r="CI43" i="55"/>
  <c r="CS32" i="55"/>
  <c r="CQ63" i="55"/>
  <c r="CH33" i="55"/>
  <c r="CB29" i="55"/>
  <c r="AQ56" i="55"/>
  <c r="CK22" i="55"/>
  <c r="CI46" i="55"/>
  <c r="CS35" i="55"/>
  <c r="CQ66" i="55"/>
  <c r="CH36" i="55"/>
  <c r="CX69" i="55"/>
  <c r="CW55" i="55"/>
  <c r="CR46" i="55"/>
  <c r="CM65" i="55"/>
  <c r="CR44" i="55"/>
  <c r="CQ33" i="55"/>
  <c r="CL57" i="55"/>
  <c r="CV57" i="55"/>
  <c r="AW42" i="55"/>
  <c r="CK39" i="55"/>
  <c r="CJ70" i="55"/>
  <c r="CL47" i="55"/>
  <c r="CP30" i="55"/>
  <c r="CI54" i="55"/>
  <c r="BV46" i="55"/>
  <c r="CK41" i="55"/>
  <c r="CI35" i="55"/>
  <c r="BZ29" i="55"/>
  <c r="CI47" i="55"/>
  <c r="BY28" i="55"/>
  <c r="CN20" i="55"/>
  <c r="BF57" i="55"/>
  <c r="CJ37" i="55"/>
  <c r="CQ25" i="55"/>
  <c r="CA44" i="55"/>
  <c r="BY67" i="55"/>
  <c r="CA41" i="55"/>
  <c r="CI74" i="55"/>
  <c r="BZ38" i="55"/>
  <c r="AW63" i="55"/>
  <c r="CK36" i="55"/>
  <c r="CG67" i="55"/>
  <c r="CP53" i="55"/>
  <c r="CN34" i="55"/>
  <c r="BI50" i="55"/>
  <c r="CT27" i="55"/>
  <c r="CL48" i="55"/>
  <c r="CI62" i="55"/>
  <c r="BZ59" i="55"/>
  <c r="CO58" i="55"/>
  <c r="BY58" i="55"/>
  <c r="CN73" i="55"/>
  <c r="CR24" i="55"/>
  <c r="CQ70" i="55"/>
  <c r="BV27" i="55"/>
  <c r="CL49" i="55"/>
  <c r="CA71" i="55"/>
  <c r="CQ29" i="55"/>
  <c r="BZ68" i="55"/>
  <c r="BJ28" i="55"/>
  <c r="CV61" i="55"/>
  <c r="CL43" i="55"/>
  <c r="CG76" i="55"/>
  <c r="CK49" i="55"/>
  <c r="CJ29" i="55"/>
  <c r="CN78" i="55"/>
  <c r="BD62" i="55"/>
  <c r="BJ26" i="55"/>
  <c r="CL33" i="55"/>
  <c r="CQ76" i="55"/>
  <c r="BV72" i="55"/>
  <c r="CK73" i="55"/>
  <c r="CA75" i="55"/>
  <c r="BZ72" i="55"/>
  <c r="BD41" i="55"/>
  <c r="CV58" i="55"/>
  <c r="CK48" i="55"/>
  <c r="BV29" i="55"/>
  <c r="CJ26" i="55"/>
  <c r="CP29" i="55"/>
  <c r="CJ47" i="55"/>
  <c r="CN76" i="55"/>
  <c r="BJ75" i="55"/>
  <c r="BD40" i="55"/>
  <c r="BV22" i="55"/>
  <c r="CM31" i="55"/>
  <c r="CP46" i="55"/>
  <c r="BZ21" i="55"/>
  <c r="CP65" i="55"/>
  <c r="BV77" i="55"/>
  <c r="BJ25" i="55"/>
  <c r="AQ58" i="55"/>
  <c r="CJ33" i="55"/>
  <c r="CH77" i="55"/>
  <c r="BY35" i="55"/>
  <c r="CH56" i="55"/>
  <c r="BV26" i="55"/>
  <c r="CI50" i="55"/>
  <c r="CN74" i="55"/>
  <c r="AW24" i="55"/>
  <c r="CS37" i="55"/>
  <c r="CL39" i="55"/>
  <c r="CO68" i="55"/>
  <c r="CG51" i="55"/>
  <c r="CP23" i="55"/>
  <c r="AJ62" i="55"/>
  <c r="CV60" i="55"/>
  <c r="CX58" i="55"/>
  <c r="AQ60" i="55"/>
  <c r="CH64" i="55"/>
  <c r="CT70" i="55"/>
  <c r="CL42" i="55"/>
  <c r="CK69" i="55"/>
  <c r="CS78" i="55"/>
  <c r="CC75" i="55"/>
  <c r="AW62" i="55"/>
  <c r="AW58" i="55"/>
  <c r="AR68" i="55"/>
  <c r="CH25" i="55"/>
  <c r="CT37" i="55"/>
  <c r="CY64" i="55"/>
  <c r="CO42" i="55"/>
  <c r="CS45" i="55"/>
  <c r="CC26" i="55"/>
  <c r="AP57" i="55"/>
  <c r="AP53" i="55"/>
  <c r="AS55" i="55"/>
  <c r="CM48" i="55"/>
  <c r="CI79" i="55"/>
  <c r="CS68" i="55"/>
  <c r="CY65" i="55"/>
  <c r="CH72" i="55"/>
  <c r="AP69" i="55"/>
  <c r="AP65" i="55"/>
  <c r="AS58" i="55"/>
  <c r="CP50" i="55"/>
  <c r="BV24" i="55"/>
  <c r="CS71" i="55"/>
  <c r="CY71" i="55"/>
  <c r="CH75" i="55"/>
  <c r="CV50" i="55"/>
  <c r="AQ59" i="55"/>
  <c r="CM24" i="55"/>
  <c r="CI49" i="55"/>
  <c r="CS38" i="55"/>
  <c r="CQ69" i="55"/>
  <c r="CH39" i="55"/>
  <c r="CB39" i="55"/>
  <c r="CX73" i="55"/>
  <c r="CW69" i="55"/>
  <c r="CR49" i="55"/>
  <c r="CP67" i="55"/>
  <c r="CR47" i="55"/>
  <c r="CQ36" i="55"/>
  <c r="CO59" i="55"/>
  <c r="CT54" i="55"/>
  <c r="CG25" i="55"/>
  <c r="BY20" i="55"/>
  <c r="BZ53" i="55"/>
  <c r="BY52" i="55"/>
  <c r="CN53" i="55"/>
  <c r="BI79" i="55"/>
  <c r="CP25" i="55"/>
  <c r="CQ61" i="55"/>
  <c r="CH62" i="55"/>
  <c r="CR74" i="55"/>
  <c r="CA65" i="55"/>
  <c r="CA42" i="55"/>
  <c r="BZ62" i="55"/>
  <c r="BI52" i="55"/>
  <c r="AP62" i="55"/>
  <c r="CP64" i="55"/>
  <c r="CP58" i="55"/>
  <c r="BY21" i="55"/>
  <c r="CK37" i="55"/>
  <c r="BV76" i="55"/>
  <c r="CR65" i="55"/>
  <c r="CN36" i="55"/>
  <c r="BJ64" i="55"/>
  <c r="BD72" i="55"/>
  <c r="CT63" i="55"/>
  <c r="CG34" i="55"/>
  <c r="CK66" i="55"/>
  <c r="CN77" i="55"/>
  <c r="BJ22" i="55"/>
  <c r="CI63" i="55"/>
  <c r="CP21" i="55"/>
  <c r="CA58" i="55"/>
  <c r="BV45" i="55"/>
  <c r="CR77" i="55"/>
  <c r="CJ74" i="55"/>
  <c r="CA36" i="55"/>
  <c r="AR59" i="55"/>
  <c r="CJ21" i="55"/>
  <c r="CG44" i="55"/>
  <c r="BY27" i="55"/>
  <c r="CM20" i="55"/>
  <c r="CM56" i="55"/>
  <c r="CN27" i="55"/>
  <c r="BJ65" i="55"/>
  <c r="BI67" i="55"/>
  <c r="CI75" i="55"/>
  <c r="CO26" i="55"/>
  <c r="CR71" i="55"/>
  <c r="BV65" i="55"/>
  <c r="CL37" i="55"/>
  <c r="BV38" i="55"/>
  <c r="AS62" i="55"/>
  <c r="CJ27" i="55"/>
  <c r="CG62" i="55"/>
  <c r="BY31" i="55"/>
  <c r="CH38" i="55"/>
  <c r="CI32" i="55"/>
  <c r="CN63" i="55"/>
  <c r="CT42" i="55"/>
  <c r="CL60" i="55"/>
  <c r="BV55" i="55"/>
  <c r="BZ45" i="55"/>
  <c r="BV67" i="55"/>
  <c r="BY44" i="55"/>
  <c r="CN38" i="55"/>
  <c r="BV42" i="55"/>
  <c r="CJ69" i="55"/>
  <c r="CJ32" i="55"/>
  <c r="BY59" i="55"/>
  <c r="CA33" i="55"/>
  <c r="CG41" i="55"/>
  <c r="BZ30" i="55"/>
  <c r="CN60" i="55"/>
  <c r="BJ76" i="55"/>
  <c r="AW36" i="55"/>
  <c r="CS73" i="55"/>
  <c r="CK68" i="55"/>
  <c r="CT56" i="55"/>
  <c r="CR39" i="55"/>
  <c r="CO52" i="55"/>
  <c r="CW60" i="55"/>
  <c r="AR63" i="55"/>
  <c r="CS40" i="55"/>
  <c r="CO41" i="55"/>
  <c r="CT23" i="55"/>
  <c r="CG54" i="55"/>
  <c r="CL26" i="55"/>
  <c r="CV64" i="55"/>
  <c r="CX62" i="55"/>
  <c r="AR50" i="55"/>
  <c r="CH67" i="55"/>
  <c r="CT73" i="55"/>
  <c r="CO44" i="55"/>
  <c r="CG21" i="55"/>
  <c r="AW74" i="55"/>
  <c r="AW70" i="55"/>
  <c r="AS54" i="55"/>
  <c r="CH28" i="55"/>
  <c r="CT40" i="55"/>
  <c r="CY70" i="55"/>
  <c r="CK45" i="55"/>
  <c r="CS48" i="55"/>
  <c r="AP58" i="55"/>
  <c r="AP54" i="55"/>
  <c r="AS66" i="55"/>
  <c r="CH31" i="55"/>
  <c r="CT43" i="55"/>
  <c r="CR20" i="55"/>
  <c r="CM47" i="55"/>
  <c r="CS51" i="55"/>
  <c r="CX51" i="55"/>
  <c r="AP77" i="55"/>
  <c r="AS61" i="55"/>
  <c r="CL53" i="55"/>
  <c r="BV30" i="55"/>
  <c r="CS74" i="55"/>
  <c r="CK21" i="55"/>
  <c r="CH78" i="55"/>
  <c r="CV54" i="55"/>
  <c r="AR56" i="55"/>
  <c r="CP26" i="55"/>
  <c r="CI52" i="55"/>
  <c r="CS41" i="55"/>
  <c r="CQ72" i="55"/>
  <c r="CH42" i="55"/>
  <c r="CX59" i="55"/>
  <c r="CL31" i="55"/>
  <c r="CG61" i="55"/>
  <c r="CQ47" i="55"/>
  <c r="BZ77" i="55"/>
  <c r="CK25" i="55"/>
  <c r="BY76" i="55"/>
  <c r="CN69" i="55"/>
  <c r="BD64" i="55"/>
  <c r="CI21" i="55"/>
  <c r="CY61" i="55"/>
  <c r="CG77" i="55"/>
  <c r="CJ71" i="55"/>
  <c r="CA30" i="55"/>
  <c r="CH41" i="55"/>
  <c r="BF67" i="55"/>
  <c r="CH40" i="55"/>
  <c r="CJ48" i="55"/>
  <c r="CA20" i="55"/>
  <c r="BY45" i="55"/>
  <c r="BV66" i="55"/>
  <c r="CQ62" i="55"/>
  <c r="BV61" i="55"/>
  <c r="CN26" i="55"/>
  <c r="CM38" i="55"/>
  <c r="CG70" i="55"/>
  <c r="BY23" i="55"/>
  <c r="CM51" i="55"/>
  <c r="CO27" i="55"/>
  <c r="CN46" i="55"/>
  <c r="BJ51" i="55"/>
  <c r="CT30" i="55"/>
  <c r="CO50" i="55"/>
  <c r="CH71" i="55"/>
  <c r="BZ37" i="55"/>
  <c r="CH20" i="55"/>
  <c r="BY36" i="55"/>
  <c r="CN59" i="55"/>
  <c r="CY50" i="55"/>
  <c r="CJ57" i="55"/>
  <c r="BY51" i="55"/>
  <c r="CA25" i="55"/>
  <c r="CK54" i="55"/>
  <c r="BZ22" i="55"/>
  <c r="CN56" i="55"/>
  <c r="BI32" i="55"/>
  <c r="CT36" i="55"/>
  <c r="CM55" i="55"/>
  <c r="BV31" i="55"/>
  <c r="BZ41" i="55"/>
  <c r="BV49" i="55"/>
  <c r="BY40" i="55"/>
  <c r="CN28" i="55"/>
  <c r="BJ53" i="55"/>
  <c r="CK75" i="55"/>
  <c r="CJ63" i="55"/>
  <c r="BY55" i="55"/>
  <c r="CA29" i="55"/>
  <c r="CG23" i="55"/>
  <c r="BZ26" i="55"/>
  <c r="CN42" i="55"/>
  <c r="BJ27" i="55"/>
  <c r="CO21" i="55"/>
  <c r="CG49" i="55"/>
  <c r="CJ68" i="55"/>
  <c r="BZ69" i="55"/>
  <c r="CQ23" i="55"/>
  <c r="BY68" i="55"/>
  <c r="CN23" i="55"/>
  <c r="BF36" i="55"/>
  <c r="CQ20" i="55"/>
  <c r="CQ49" i="55"/>
  <c r="CK61" i="55"/>
  <c r="CA57" i="55"/>
  <c r="BZ54" i="55"/>
  <c r="AW48" i="55"/>
  <c r="CO24" i="55"/>
  <c r="CJ52" i="55"/>
  <c r="CP32" i="55"/>
  <c r="CR75" i="55"/>
  <c r="CI36" i="55"/>
  <c r="CV79" i="55"/>
  <c r="AW25" i="55"/>
  <c r="CS76" i="55"/>
  <c r="CP20" i="55"/>
  <c r="CT59" i="55"/>
  <c r="CR42" i="55"/>
  <c r="CK55" i="55"/>
  <c r="CW64" i="55"/>
  <c r="CW63" i="55"/>
  <c r="AR69" i="55"/>
  <c r="CS43" i="55"/>
  <c r="CK44" i="55"/>
  <c r="CT26" i="55"/>
  <c r="CG57" i="55"/>
  <c r="CO28" i="55"/>
  <c r="CV68" i="55"/>
  <c r="CX66" i="55"/>
  <c r="AQ54" i="55"/>
  <c r="CH70" i="55"/>
  <c r="CT76" i="55"/>
  <c r="CK47" i="55"/>
  <c r="CG24" i="55"/>
  <c r="CV72" i="55"/>
  <c r="CX70" i="55"/>
  <c r="AR57" i="55"/>
  <c r="CH73" i="55"/>
  <c r="CM49" i="55"/>
  <c r="CG27" i="55"/>
  <c r="AT52" i="55"/>
  <c r="AP70" i="55"/>
  <c r="AP66" i="55"/>
  <c r="AQ55" i="55"/>
  <c r="CH34" i="55"/>
  <c r="CT46" i="55"/>
  <c r="CK23" i="55"/>
  <c r="CP49" i="55"/>
  <c r="CS54" i="55"/>
  <c r="AT62" i="55"/>
  <c r="CX55" i="55"/>
  <c r="CW50" i="55"/>
  <c r="AR64" i="55"/>
  <c r="CO55" i="55"/>
  <c r="BV36" i="55"/>
  <c r="CS77" i="55"/>
  <c r="CM23" i="55"/>
  <c r="CS21" i="55"/>
  <c r="CV59" i="55"/>
  <c r="CK60" i="55"/>
  <c r="CK30" i="55"/>
  <c r="CI71" i="55"/>
  <c r="CY51" i="55"/>
  <c r="BV37" i="55"/>
  <c r="CA70" i="55"/>
  <c r="CN43" i="55"/>
  <c r="BI26" i="55"/>
  <c r="CT21" i="55"/>
  <c r="CM43" i="55"/>
  <c r="CI44" i="55"/>
  <c r="BZ31" i="55"/>
  <c r="CI56" i="55"/>
  <c r="BY30" i="55"/>
  <c r="CN49" i="55"/>
  <c r="CJ73" i="55"/>
  <c r="CQ28" i="55"/>
  <c r="CA56" i="55"/>
  <c r="BY69" i="55"/>
  <c r="CA43" i="55"/>
  <c r="BV21" i="55"/>
  <c r="BZ40" i="55"/>
  <c r="AW52" i="55"/>
  <c r="CL67" i="55"/>
  <c r="CG26" i="55"/>
  <c r="BY47" i="55"/>
  <c r="CA21" i="55"/>
  <c r="CL25" i="55"/>
  <c r="BV69" i="55"/>
  <c r="CN33" i="55"/>
  <c r="CT66" i="55"/>
  <c r="CG37" i="55"/>
  <c r="BZ61" i="55"/>
  <c r="BV39" i="55"/>
  <c r="BY60" i="55"/>
  <c r="CN68" i="55"/>
  <c r="CQ37" i="55"/>
  <c r="CQ71" i="55"/>
  <c r="BY75" i="55"/>
  <c r="CA49" i="55"/>
  <c r="BV68" i="55"/>
  <c r="BZ46" i="55"/>
  <c r="CT72" i="55"/>
  <c r="CG43" i="55"/>
  <c r="BZ65" i="55"/>
  <c r="CA50" i="55"/>
  <c r="BY64" i="55"/>
  <c r="CN30" i="55"/>
  <c r="BJ50" i="55"/>
  <c r="CO56" i="55"/>
  <c r="CQ43" i="55"/>
  <c r="CL32" i="55"/>
  <c r="BY79" i="55"/>
  <c r="CA53" i="55"/>
  <c r="BZ50" i="55"/>
  <c r="BD74" i="55"/>
  <c r="CW54" i="55"/>
  <c r="CM50" i="55"/>
  <c r="BV35" i="55"/>
  <c r="CJ35" i="55"/>
  <c r="BV79" i="55"/>
  <c r="CJ56" i="55"/>
  <c r="CJ50" i="55"/>
  <c r="CN31" i="55"/>
  <c r="BF58" i="55"/>
  <c r="BJ69" i="55"/>
  <c r="CS24" i="55"/>
  <c r="CG38" i="55"/>
  <c r="CP41" i="55"/>
  <c r="BZ78" i="55"/>
  <c r="BI77" i="55"/>
  <c r="BD63" i="55"/>
  <c r="CR31" i="55"/>
  <c r="CM53" i="55"/>
  <c r="CR29" i="55"/>
  <c r="CO61" i="55"/>
  <c r="CL45" i="55"/>
  <c r="CD20" i="55"/>
  <c r="AW65" i="55"/>
  <c r="AW72" i="55"/>
  <c r="AW37" i="55"/>
  <c r="CK27" i="55"/>
  <c r="CJ55" i="55"/>
  <c r="CL35" i="55"/>
  <c r="CR78" i="55"/>
  <c r="CI39" i="55"/>
  <c r="AW78" i="55"/>
  <c r="AW26" i="55"/>
  <c r="CS79" i="55"/>
  <c r="CJ22" i="55"/>
  <c r="CT62" i="55"/>
  <c r="CR45" i="55"/>
  <c r="CM57" i="55"/>
  <c r="CW68" i="55"/>
  <c r="CW75" i="55"/>
  <c r="AQ51" i="55"/>
  <c r="CS46" i="55"/>
  <c r="CM46" i="55"/>
  <c r="CT29" i="55"/>
  <c r="CG60" i="55"/>
  <c r="CK31" i="55"/>
  <c r="CW72" i="55"/>
  <c r="AW66" i="55"/>
  <c r="AS63" i="55"/>
  <c r="CS49" i="55"/>
  <c r="CP48" i="55"/>
  <c r="CT32" i="55"/>
  <c r="CG63" i="55"/>
  <c r="CM33" i="55"/>
  <c r="CV76" i="55"/>
  <c r="CX74" i="55"/>
  <c r="AR60" i="55"/>
  <c r="CH76" i="55"/>
  <c r="CM22" i="55"/>
  <c r="CP51" i="55"/>
  <c r="CG30" i="55"/>
  <c r="AP78" i="55"/>
  <c r="AR53" i="55"/>
  <c r="CH37" i="55"/>
  <c r="CT49" i="55"/>
  <c r="CM25" i="55"/>
  <c r="CL52" i="55"/>
  <c r="CS57" i="55"/>
  <c r="CL29" i="55"/>
  <c r="CJ42" i="55"/>
  <c r="BV62" i="55"/>
  <c r="BY41" i="55"/>
  <c r="CI20" i="55"/>
  <c r="CA62" i="55"/>
  <c r="CG75" i="55"/>
  <c r="CN61" i="55"/>
  <c r="BD58" i="55"/>
  <c r="CT57" i="55"/>
  <c r="CG28" i="55"/>
  <c r="BZ55" i="55"/>
  <c r="BY54" i="55"/>
  <c r="CN55" i="55"/>
  <c r="CO54" i="55"/>
  <c r="CQ64" i="55"/>
  <c r="CG71" i="55"/>
  <c r="CS20" i="55"/>
  <c r="CA67" i="55"/>
  <c r="CA60" i="55"/>
  <c r="BZ64" i="55"/>
  <c r="BJ24" i="55"/>
  <c r="CS22" i="55"/>
  <c r="CJ51" i="55"/>
  <c r="BY71" i="55"/>
  <c r="CA45" i="55"/>
  <c r="BV50" i="55"/>
  <c r="BZ42" i="55"/>
  <c r="CX60" i="55"/>
  <c r="CP40" i="55"/>
  <c r="CG73" i="55"/>
  <c r="CO34" i="55"/>
  <c r="CK20" i="55"/>
  <c r="CN57" i="55"/>
  <c r="BD38" i="55"/>
  <c r="BF68" i="55"/>
  <c r="CR60" i="55"/>
  <c r="CQ73" i="55"/>
  <c r="BV54" i="55"/>
  <c r="CO63" i="55"/>
  <c r="CA73" i="55"/>
  <c r="CQ65" i="55"/>
  <c r="BZ70" i="55"/>
  <c r="BF35" i="55"/>
  <c r="CX77" i="55"/>
  <c r="CO45" i="55"/>
  <c r="BV23" i="55"/>
  <c r="CM63" i="55"/>
  <c r="CJ38" i="55"/>
  <c r="CN71" i="55"/>
  <c r="BF34" i="55"/>
  <c r="CK62" i="55"/>
  <c r="BZ20" i="55"/>
  <c r="CO20" i="55"/>
  <c r="CY63" i="55"/>
  <c r="BZ74" i="55"/>
  <c r="BD39" i="55"/>
  <c r="BF59" i="55"/>
  <c r="AQ66" i="55"/>
  <c r="CJ30" i="55"/>
  <c r="CG69" i="55"/>
  <c r="BY33" i="55"/>
  <c r="CH47" i="55"/>
  <c r="CL44" i="55"/>
  <c r="CI41" i="55"/>
  <c r="CN29" i="55"/>
  <c r="BI71" i="55"/>
  <c r="BV28" i="55"/>
  <c r="CP33" i="55"/>
  <c r="CL61" i="55"/>
  <c r="BZ23" i="55"/>
  <c r="CL20" i="55"/>
  <c r="BY22" i="55"/>
  <c r="CJ23" i="55"/>
  <c r="AR66" i="55"/>
  <c r="CR67" i="55"/>
  <c r="CI34" i="55"/>
  <c r="CS23" i="55"/>
  <c r="CQ54" i="55"/>
  <c r="CH24" i="55"/>
  <c r="CB38" i="55"/>
  <c r="CX53" i="55"/>
  <c r="CV69" i="55"/>
  <c r="CR34" i="55"/>
  <c r="CP55" i="55"/>
  <c r="CR32" i="55"/>
  <c r="CQ21" i="55"/>
  <c r="CO47" i="55"/>
  <c r="AW77" i="55"/>
  <c r="AW38" i="55"/>
  <c r="CM29" i="55"/>
  <c r="CJ58" i="55"/>
  <c r="CO37" i="55"/>
  <c r="CL21" i="55"/>
  <c r="CI42" i="55"/>
  <c r="CW53" i="55"/>
  <c r="AW27" i="55"/>
  <c r="CJ25" i="55"/>
  <c r="CT65" i="55"/>
  <c r="CR48" i="55"/>
  <c r="CP59" i="55"/>
  <c r="CW79" i="55"/>
  <c r="AW28" i="55"/>
  <c r="CJ28" i="55"/>
  <c r="CT68" i="55"/>
  <c r="CR51" i="55"/>
  <c r="CL62" i="55"/>
  <c r="CW76" i="55"/>
  <c r="AS69" i="55"/>
  <c r="CS52" i="55"/>
  <c r="CL51" i="55"/>
  <c r="CT35" i="55"/>
  <c r="CG66" i="55"/>
  <c r="CP35" i="55"/>
  <c r="AW51" i="55"/>
  <c r="CX78" i="55"/>
  <c r="AQ63" i="55"/>
  <c r="CH79" i="55"/>
  <c r="CP24" i="55"/>
  <c r="CL54" i="55"/>
  <c r="CG33" i="55"/>
  <c r="CK56" i="55"/>
  <c r="CQ22" i="55"/>
  <c r="CA28" i="55"/>
  <c r="BY65" i="55"/>
  <c r="CA39" i="55"/>
  <c r="CG68" i="55"/>
  <c r="BZ36" i="55"/>
  <c r="BI78" i="55"/>
  <c r="CO33" i="55"/>
  <c r="CG64" i="55"/>
  <c r="CQ74" i="55"/>
  <c r="BZ79" i="55"/>
  <c r="CM39" i="55"/>
  <c r="BY78" i="55"/>
  <c r="CN25" i="55"/>
  <c r="BJ59" i="55"/>
  <c r="BD68" i="55"/>
  <c r="CI45" i="55"/>
  <c r="CY67" i="55"/>
  <c r="CA24" i="55"/>
  <c r="CJ20" i="55"/>
  <c r="CA72" i="55"/>
  <c r="CH59" i="55"/>
  <c r="BD71" i="55"/>
  <c r="BD73" i="55"/>
  <c r="CR50" i="55"/>
  <c r="CQ31" i="55"/>
  <c r="CA74" i="55"/>
  <c r="CP34" i="55"/>
  <c r="CA69" i="55"/>
  <c r="CA76" i="55"/>
  <c r="BZ66" i="55"/>
  <c r="BJ49" i="55"/>
  <c r="AS51" i="55"/>
  <c r="CK72" i="55"/>
  <c r="CG35" i="55"/>
  <c r="BY25" i="55"/>
  <c r="CK64" i="55"/>
  <c r="CK42" i="55"/>
  <c r="CN40" i="55"/>
  <c r="CI72" i="55"/>
  <c r="CL24" i="55"/>
  <c r="CQ44" i="55"/>
  <c r="BV56" i="55"/>
  <c r="CP22" i="55"/>
  <c r="BV25" i="55"/>
  <c r="BI66" i="55"/>
  <c r="AR67" i="55"/>
  <c r="CJ24" i="55"/>
  <c r="CG53" i="55"/>
  <c r="BY29" i="55"/>
  <c r="CH29" i="55"/>
  <c r="CI23" i="55"/>
  <c r="CN24" i="55"/>
  <c r="BJ68" i="55"/>
  <c r="BI30" i="55"/>
  <c r="CI78" i="55"/>
  <c r="CK29" i="55"/>
  <c r="CM32" i="55"/>
  <c r="BV74" i="55"/>
  <c r="CO51" i="55"/>
  <c r="BV60" i="55"/>
  <c r="BJ66" i="55"/>
  <c r="BD59" i="55"/>
  <c r="CI55" i="55"/>
  <c r="CJ66" i="55"/>
  <c r="BY57" i="55"/>
  <c r="CA31" i="55"/>
  <c r="CG32" i="55"/>
  <c r="BZ28" i="55"/>
  <c r="CN50" i="55"/>
  <c r="BI56" i="55"/>
  <c r="AT66" i="55"/>
  <c r="CT45" i="55"/>
  <c r="CO62" i="55"/>
  <c r="BV63" i="55"/>
  <c r="BZ47" i="55"/>
  <c r="BV75" i="55"/>
  <c r="BY46" i="55"/>
  <c r="CN48" i="55"/>
  <c r="AQ53" i="55"/>
  <c r="CL41" i="55"/>
  <c r="CI70" i="55"/>
  <c r="CS59" i="55"/>
  <c r="CH63" i="55"/>
  <c r="BO59" i="55"/>
  <c r="AQ52" i="55"/>
  <c r="CR70" i="55"/>
  <c r="CI37" i="55"/>
  <c r="CS26" i="55"/>
  <c r="CQ57" i="55"/>
  <c r="CH27" i="55"/>
  <c r="CX57" i="55"/>
  <c r="CR37" i="55"/>
  <c r="CL58" i="55"/>
  <c r="CR35" i="55"/>
  <c r="CQ24" i="55"/>
  <c r="CK50" i="55"/>
  <c r="AP61" i="55"/>
  <c r="CV67" i="55"/>
  <c r="AW39" i="55"/>
  <c r="CP31" i="55"/>
  <c r="CJ61" i="55"/>
  <c r="CK40" i="55"/>
  <c r="CO23" i="55"/>
  <c r="BA55" i="55"/>
  <c r="AP73" i="55"/>
  <c r="AW40" i="55"/>
  <c r="CL34" i="55"/>
  <c r="CJ64" i="55"/>
  <c r="CM42" i="55"/>
  <c r="CK26" i="55"/>
  <c r="CI48" i="55"/>
  <c r="CX52" i="55"/>
  <c r="CW57" i="55"/>
  <c r="AW29" i="55"/>
  <c r="CJ31" i="55"/>
  <c r="CT71" i="55"/>
  <c r="CR54" i="55"/>
  <c r="CO64" i="55"/>
  <c r="AR51" i="55"/>
  <c r="CS55" i="55"/>
  <c r="CO53" i="55"/>
  <c r="CT38" i="55"/>
  <c r="CR21" i="55"/>
  <c r="CL38" i="55"/>
  <c r="CQ75" i="55"/>
  <c r="CQ58" i="55"/>
  <c r="CH44" i="55"/>
  <c r="CQ50" i="55"/>
  <c r="CA63" i="55"/>
  <c r="CA22" i="55"/>
  <c r="BZ60" i="55"/>
  <c r="AP67" i="55"/>
  <c r="CM62" i="55"/>
  <c r="CM44" i="55"/>
  <c r="BV64" i="55"/>
  <c r="CO22" i="55"/>
  <c r="BV58" i="55"/>
  <c r="CQ32" i="55"/>
  <c r="CN70" i="55"/>
  <c r="BD70" i="55"/>
  <c r="BF66" i="55"/>
  <c r="CT24" i="55"/>
  <c r="CP45" i="55"/>
  <c r="CI53" i="55"/>
  <c r="BZ33" i="55"/>
  <c r="CI65" i="55"/>
  <c r="BY32" i="55"/>
  <c r="CN75" i="55"/>
  <c r="BI29" i="55"/>
  <c r="CG36" i="55"/>
  <c r="CQ67" i="55"/>
  <c r="CI77" i="55"/>
  <c r="BV32" i="55"/>
  <c r="CQ56" i="55"/>
  <c r="CH68" i="55"/>
  <c r="CQ35" i="55"/>
  <c r="BI68" i="55"/>
  <c r="CS58" i="55"/>
  <c r="CJ54" i="55"/>
  <c r="BY49" i="55"/>
  <c r="CA23" i="55"/>
  <c r="CO39" i="55"/>
  <c r="BV78" i="55"/>
  <c r="CN22" i="55"/>
  <c r="CC67" i="55"/>
  <c r="CT33" i="55"/>
  <c r="CK53" i="55"/>
  <c r="CJ77" i="55"/>
  <c r="BZ39" i="55"/>
  <c r="BV33" i="55"/>
  <c r="BY38" i="55"/>
  <c r="CN65" i="55"/>
  <c r="CM41" i="55"/>
  <c r="CJ60" i="55"/>
  <c r="BY53" i="55"/>
  <c r="CA27" i="55"/>
  <c r="CM66" i="55"/>
  <c r="BZ24" i="55"/>
  <c r="CN67" i="55"/>
  <c r="AN56" i="55"/>
  <c r="CT39" i="55"/>
  <c r="CP57" i="55"/>
  <c r="BV44" i="55"/>
  <c r="BZ43" i="55"/>
  <c r="BV57" i="55"/>
  <c r="BY42" i="55"/>
  <c r="CN52" i="55"/>
  <c r="CT41" i="55"/>
  <c r="CQ46" i="55"/>
  <c r="CO46" i="55"/>
  <c r="CA55" i="55"/>
  <c r="BZ52" i="55"/>
  <c r="BI65" i="55"/>
  <c r="BI69" i="55"/>
  <c r="CK24" i="55"/>
  <c r="CG52" i="55"/>
  <c r="CA34" i="55"/>
  <c r="BZ71" i="55"/>
  <c r="CQ59" i="55"/>
  <c r="BY70" i="55"/>
  <c r="CN41" i="55"/>
  <c r="BF73" i="55"/>
  <c r="BF60" i="55"/>
  <c r="CS60" i="55"/>
  <c r="CG47" i="55"/>
  <c r="CL56" i="55"/>
  <c r="BJ78" i="55"/>
  <c r="BD67" i="55"/>
  <c r="BZ27" i="55"/>
  <c r="AS38" i="55"/>
  <c r="AQ47" i="55"/>
  <c r="AL27" i="55"/>
  <c r="AM27" i="55" s="1"/>
  <c r="AI71" i="55"/>
  <c r="AZ25" i="55"/>
  <c r="AK43" i="55"/>
  <c r="AO39" i="55"/>
  <c r="AO34" i="55"/>
  <c r="BJ41" i="55"/>
  <c r="AQ46" i="55"/>
  <c r="AL24" i="55"/>
  <c r="AM24" i="55" s="1"/>
  <c r="AL61" i="55"/>
  <c r="AM61" i="55" s="1"/>
  <c r="AI21" i="55"/>
  <c r="AL22" i="55"/>
  <c r="AM22" i="55" s="1"/>
  <c r="AI22" i="55"/>
  <c r="CN32" i="55"/>
  <c r="AS34" i="55"/>
  <c r="AX36" i="55"/>
  <c r="AR28" i="55"/>
  <c r="AX50" i="55"/>
  <c r="CH23" i="55"/>
  <c r="AY29" i="55"/>
  <c r="AY36" i="55"/>
  <c r="AK60" i="55"/>
  <c r="AK66" i="55"/>
  <c r="BF74" i="55"/>
  <c r="AH61" i="55"/>
  <c r="AH35" i="55"/>
  <c r="AK52" i="55"/>
  <c r="BF37" i="55"/>
  <c r="AK22" i="55"/>
  <c r="BI72" i="55"/>
  <c r="AL38" i="55"/>
  <c r="AM38" i="55" s="1"/>
  <c r="AS20" i="55"/>
  <c r="AL72" i="55"/>
  <c r="AM72" i="55" s="1"/>
  <c r="AO58" i="55"/>
  <c r="CA37" i="55"/>
  <c r="AL44" i="55"/>
  <c r="AM44" i="55" s="1"/>
  <c r="AY61" i="55"/>
  <c r="AK62" i="55"/>
  <c r="AZ32" i="55"/>
  <c r="AS26" i="55"/>
  <c r="AK35" i="55"/>
  <c r="AR32" i="55"/>
  <c r="AH28" i="55"/>
  <c r="AI66" i="55"/>
  <c r="BF79" i="55"/>
  <c r="AY46" i="55"/>
  <c r="AR25" i="55"/>
  <c r="AI29" i="55"/>
  <c r="CV65" i="55"/>
  <c r="AI40" i="55"/>
  <c r="AZ29" i="55"/>
  <c r="BF20" i="55"/>
  <c r="AK41" i="55"/>
  <c r="AZ20" i="55"/>
  <c r="CI38" i="55"/>
  <c r="AZ53" i="55"/>
  <c r="AL59" i="55"/>
  <c r="AM59" i="55" s="1"/>
  <c r="AX44" i="55"/>
  <c r="AK56" i="55"/>
  <c r="AZ38" i="55"/>
  <c r="AY41" i="55"/>
  <c r="BF65" i="55"/>
  <c r="AS32" i="55"/>
  <c r="AR46" i="55"/>
  <c r="AR23" i="55"/>
  <c r="AO57" i="55"/>
  <c r="CY57" i="55"/>
  <c r="AY27" i="55"/>
  <c r="AL71" i="55"/>
  <c r="AM71" i="55" s="1"/>
  <c r="AK77" i="55"/>
  <c r="AL35" i="55"/>
  <c r="AM35" i="55" s="1"/>
  <c r="AQ36" i="55"/>
  <c r="AS27" i="55"/>
  <c r="AL55" i="55"/>
  <c r="AM55" i="55" s="1"/>
  <c r="AX56" i="55"/>
  <c r="BD22" i="55"/>
  <c r="BD36" i="55"/>
  <c r="BF39" i="55"/>
  <c r="AL23" i="55"/>
  <c r="AM23" i="55" s="1"/>
  <c r="BF38" i="55"/>
  <c r="BJ55" i="55"/>
  <c r="AX68" i="55"/>
  <c r="AO44" i="55"/>
  <c r="BJ61" i="55"/>
  <c r="BD29" i="55"/>
  <c r="AL60" i="55"/>
  <c r="AM60" i="55" s="1"/>
  <c r="AQ35" i="55"/>
  <c r="AX66" i="55"/>
  <c r="BI49" i="55"/>
  <c r="AH20" i="55"/>
  <c r="BV34" i="55"/>
  <c r="CL36" i="55"/>
  <c r="CK71" i="55"/>
  <c r="BZ25" i="55"/>
  <c r="CI29" i="55"/>
  <c r="BY24" i="55"/>
  <c r="CA46" i="55"/>
  <c r="AZ63" i="55"/>
  <c r="AH34" i="55"/>
  <c r="AZ35" i="55"/>
  <c r="AY37" i="55"/>
  <c r="AH72" i="55"/>
  <c r="AZ40" i="55"/>
  <c r="AI52" i="55"/>
  <c r="AQ22" i="55"/>
  <c r="AQ25" i="55"/>
  <c r="BJ38" i="55"/>
  <c r="AZ66" i="55"/>
  <c r="AK76" i="55"/>
  <c r="AS41" i="55"/>
  <c r="AZ27" i="55"/>
  <c r="AZ45" i="55"/>
  <c r="AL52" i="55"/>
  <c r="AM52" i="55" s="1"/>
  <c r="BI51" i="55"/>
  <c r="AQ42" i="55"/>
  <c r="AI33" i="55"/>
  <c r="AY62" i="55"/>
  <c r="AI69" i="55"/>
  <c r="AY53" i="55"/>
  <c r="AK23" i="55"/>
  <c r="AI75" i="55"/>
  <c r="AO36" i="55"/>
  <c r="CN72" i="55"/>
  <c r="AI49" i="55"/>
  <c r="AR34" i="55"/>
  <c r="AS36" i="55"/>
  <c r="AH30" i="55"/>
  <c r="BI20" i="55"/>
  <c r="AY20" i="55"/>
  <c r="AH73" i="55"/>
  <c r="AO26" i="55"/>
  <c r="CJ39" i="55"/>
  <c r="BD78" i="55"/>
  <c r="AY45" i="55"/>
  <c r="BY50" i="55"/>
  <c r="AY21" i="55"/>
  <c r="AK74" i="55"/>
  <c r="AZ30" i="55"/>
  <c r="AZ64" i="55"/>
  <c r="AO52" i="55"/>
  <c r="AY28" i="55"/>
  <c r="BF25" i="55"/>
  <c r="BI28" i="55"/>
  <c r="AI53" i="55"/>
  <c r="AH24" i="55"/>
  <c r="AY59" i="55"/>
  <c r="AO38" i="55"/>
  <c r="AO76" i="55"/>
  <c r="AO59" i="55"/>
  <c r="AO22" i="55"/>
  <c r="AI28" i="55"/>
  <c r="BI76" i="55"/>
  <c r="AR39" i="55"/>
  <c r="AO66" i="55"/>
  <c r="AO23" i="55"/>
  <c r="AS23" i="55"/>
  <c r="CI68" i="55"/>
  <c r="AK36" i="55"/>
  <c r="AY52" i="55"/>
  <c r="AL75" i="55"/>
  <c r="AM75" i="55" s="1"/>
  <c r="AX49" i="55"/>
  <c r="AW43" i="55"/>
  <c r="BD60" i="55"/>
  <c r="AI27" i="55"/>
  <c r="AK45" i="55"/>
  <c r="AK68" i="55"/>
  <c r="AI46" i="55"/>
  <c r="BF75" i="55"/>
  <c r="AI41" i="55"/>
  <c r="AO67" i="55"/>
  <c r="BZ58" i="55"/>
  <c r="BD61" i="55"/>
  <c r="AZ50" i="55"/>
  <c r="AO25" i="55"/>
  <c r="AO37" i="55"/>
  <c r="AS37" i="55"/>
  <c r="AK33" i="55"/>
  <c r="AR42" i="55"/>
  <c r="AO69" i="55"/>
  <c r="BF31" i="55"/>
  <c r="BI33" i="55"/>
  <c r="AQ39" i="55"/>
  <c r="BF53" i="55"/>
  <c r="BI59" i="55"/>
  <c r="BD35" i="55"/>
  <c r="AI32" i="55"/>
  <c r="BI43" i="55"/>
  <c r="BF62" i="55"/>
  <c r="AO73" i="55"/>
  <c r="BI58" i="55"/>
  <c r="BD47" i="55"/>
  <c r="AR30" i="55"/>
  <c r="BD27" i="55"/>
  <c r="AS21" i="55"/>
  <c r="AH47" i="55"/>
  <c r="BD54" i="55"/>
  <c r="AK73" i="55"/>
  <c r="CT48" i="55"/>
  <c r="CK65" i="55"/>
  <c r="BV73" i="55"/>
  <c r="BZ49" i="55"/>
  <c r="BY48" i="55"/>
  <c r="CN79" i="55"/>
  <c r="CN21" i="55"/>
  <c r="AI60" i="55"/>
  <c r="AL58" i="55"/>
  <c r="AM58" i="55" s="1"/>
  <c r="AL29" i="55"/>
  <c r="AM29" i="55" s="1"/>
  <c r="AK47" i="55"/>
  <c r="CT51" i="55"/>
  <c r="AI36" i="55"/>
  <c r="AZ23" i="55"/>
  <c r="AR49" i="55"/>
  <c r="AL77" i="55"/>
  <c r="AM77" i="55" s="1"/>
  <c r="AQ20" i="55"/>
  <c r="AO20" i="55"/>
  <c r="AO60" i="55"/>
  <c r="AZ58" i="55"/>
  <c r="AL62" i="55"/>
  <c r="AM62" i="55" s="1"/>
  <c r="AH43" i="55"/>
  <c r="AL32" i="55"/>
  <c r="AM32" i="55" s="1"/>
  <c r="AL53" i="55"/>
  <c r="AM53" i="55" s="1"/>
  <c r="AH58" i="55"/>
  <c r="AZ54" i="55"/>
  <c r="AI68" i="55"/>
  <c r="AS40" i="55"/>
  <c r="AR48" i="55"/>
  <c r="AH79" i="55"/>
  <c r="AZ39" i="55"/>
  <c r="AL37" i="55"/>
  <c r="AM37" i="55" s="1"/>
  <c r="CI26" i="55"/>
  <c r="AX55" i="55"/>
  <c r="AH45" i="55"/>
  <c r="AY63" i="55"/>
  <c r="AK24" i="55"/>
  <c r="AI57" i="55"/>
  <c r="AI44" i="55"/>
  <c r="AX53" i="55"/>
  <c r="AI64" i="55"/>
  <c r="BJ36" i="55"/>
  <c r="AZ65" i="55"/>
  <c r="AI31" i="55"/>
  <c r="BD77" i="55"/>
  <c r="AZ43" i="55"/>
  <c r="AR22" i="55"/>
  <c r="AI78" i="55"/>
  <c r="BF52" i="55"/>
  <c r="AS39" i="55"/>
  <c r="AQ48" i="55"/>
  <c r="AS44" i="55"/>
  <c r="AK21" i="55"/>
  <c r="AL42" i="55"/>
  <c r="AM42" i="55" s="1"/>
  <c r="AH25" i="55"/>
  <c r="AL63" i="55"/>
  <c r="AM63" i="55" s="1"/>
  <c r="CJ62" i="55"/>
  <c r="BI70" i="55"/>
  <c r="BI74" i="55"/>
  <c r="AY57" i="55"/>
  <c r="AH59" i="55"/>
  <c r="AH27" i="55"/>
  <c r="AY25" i="55"/>
  <c r="AZ42" i="55"/>
  <c r="AH41" i="55"/>
  <c r="AQ24" i="55"/>
  <c r="AY56" i="55"/>
  <c r="AZ55" i="55"/>
  <c r="AX21" i="55"/>
  <c r="AH51" i="55"/>
  <c r="AO42" i="55"/>
  <c r="AO56" i="55"/>
  <c r="AO31" i="55"/>
  <c r="AO27" i="55"/>
  <c r="CL27" i="55"/>
  <c r="BD76" i="55"/>
  <c r="AS49" i="55"/>
  <c r="AQ37" i="55"/>
  <c r="BF78" i="55"/>
  <c r="AH33" i="55"/>
  <c r="AO64" i="55"/>
  <c r="AR24" i="55"/>
  <c r="AX48" i="55"/>
  <c r="BD55" i="55"/>
  <c r="AH48" i="55"/>
  <c r="AI39" i="55"/>
  <c r="AQ45" i="55"/>
  <c r="AK54" i="55"/>
  <c r="AX45" i="55"/>
  <c r="AY47" i="55"/>
  <c r="AZ57" i="55"/>
  <c r="BD42" i="55"/>
  <c r="BI37" i="55"/>
  <c r="BD57" i="55"/>
  <c r="BF51" i="55"/>
  <c r="AZ48" i="55"/>
  <c r="BJ33" i="55"/>
  <c r="BD53" i="55"/>
  <c r="CR68" i="55"/>
  <c r="BI23" i="55"/>
  <c r="CG56" i="55"/>
  <c r="BF28" i="55"/>
  <c r="BI60" i="55"/>
  <c r="BI31" i="55"/>
  <c r="CM26" i="55"/>
  <c r="CG55" i="55"/>
  <c r="CA52" i="55"/>
  <c r="BZ73" i="55"/>
  <c r="BY72" i="55"/>
  <c r="CN58" i="55"/>
  <c r="BJ67" i="55"/>
  <c r="AL47" i="55"/>
  <c r="AM47" i="55" s="1"/>
  <c r="AR41" i="55"/>
  <c r="AX26" i="55"/>
  <c r="AK27" i="55"/>
  <c r="AI35" i="55"/>
  <c r="AZ62" i="55"/>
  <c r="BV52" i="55"/>
  <c r="BJ73" i="55"/>
  <c r="AL65" i="55"/>
  <c r="AM65" i="55" s="1"/>
  <c r="AY43" i="55"/>
  <c r="BD26" i="55"/>
  <c r="BJ52" i="55"/>
  <c r="AH31" i="55"/>
  <c r="AZ34" i="55"/>
  <c r="BJ74" i="55"/>
  <c r="AR29" i="55"/>
  <c r="AX51" i="55"/>
  <c r="AY32" i="55"/>
  <c r="AI77" i="55"/>
  <c r="AS48" i="55"/>
  <c r="AX40" i="55"/>
  <c r="AH29" i="55"/>
  <c r="AI23" i="55"/>
  <c r="AZ46" i="55"/>
  <c r="CG72" i="55"/>
  <c r="AI59" i="55"/>
  <c r="AX29" i="55"/>
  <c r="AH40" i="55"/>
  <c r="AK51" i="55"/>
  <c r="AO51" i="55"/>
  <c r="AO46" i="55"/>
  <c r="BJ31" i="55"/>
  <c r="BJ77" i="55"/>
  <c r="AK53" i="55"/>
  <c r="AX60" i="55"/>
  <c r="AO33" i="55"/>
  <c r="AO41" i="55"/>
  <c r="AO32" i="55"/>
  <c r="CH50" i="55"/>
  <c r="AX28" i="55"/>
  <c r="AK71" i="55"/>
  <c r="AL48" i="55"/>
  <c r="AM48" i="55" s="1"/>
  <c r="AH75" i="55"/>
  <c r="AZ44" i="55"/>
  <c r="AK67" i="55"/>
  <c r="AI50" i="55"/>
  <c r="AQ41" i="55"/>
  <c r="AI51" i="55"/>
  <c r="AZ21" i="55"/>
  <c r="AR47" i="55"/>
  <c r="BJ71" i="55"/>
  <c r="AL30" i="55"/>
  <c r="AM30" i="55" s="1"/>
  <c r="AY22" i="55"/>
  <c r="AQ21" i="55"/>
  <c r="AK72" i="55"/>
  <c r="AK55" i="55"/>
  <c r="CG22" i="55"/>
  <c r="BD79" i="55"/>
  <c r="AQ44" i="55"/>
  <c r="AQ49" i="55"/>
  <c r="AH32" i="55"/>
  <c r="AL78" i="55"/>
  <c r="AM78" i="55" s="1"/>
  <c r="BF48" i="55"/>
  <c r="AI62" i="55"/>
  <c r="AX30" i="55"/>
  <c r="AZ22" i="55"/>
  <c r="AK78" i="55"/>
  <c r="AO40" i="55"/>
  <c r="AO28" i="55"/>
  <c r="BF40" i="55"/>
  <c r="AY51" i="55"/>
  <c r="BD44" i="55"/>
  <c r="AY30" i="55"/>
  <c r="BI45" i="55"/>
  <c r="BF33" i="55"/>
  <c r="AZ37" i="55"/>
  <c r="BI35" i="55"/>
  <c r="BI54" i="55"/>
  <c r="BF21" i="55"/>
  <c r="BD21" i="55"/>
  <c r="CG20" i="55"/>
  <c r="BD48" i="55"/>
  <c r="BD52" i="55"/>
  <c r="BF44" i="55"/>
  <c r="BJ40" i="55"/>
  <c r="AW59" i="55"/>
  <c r="CL55" i="55"/>
  <c r="CQ38" i="55"/>
  <c r="CJ53" i="55"/>
  <c r="CA66" i="55"/>
  <c r="CH74" i="55"/>
  <c r="CA38" i="55"/>
  <c r="CN51" i="55"/>
  <c r="BD66" i="55"/>
  <c r="BF54" i="55"/>
  <c r="AY66" i="55"/>
  <c r="AS46" i="55"/>
  <c r="AI74" i="55"/>
  <c r="AL46" i="55"/>
  <c r="AM46" i="55" s="1"/>
  <c r="AR26" i="55"/>
  <c r="AH70" i="55"/>
  <c r="BZ51" i="55"/>
  <c r="AZ59" i="55"/>
  <c r="AL64" i="55"/>
  <c r="AM64" i="55" s="1"/>
  <c r="AR38" i="55"/>
  <c r="AK29" i="55"/>
  <c r="AX54" i="55"/>
  <c r="AK20" i="55"/>
  <c r="CP28" i="55"/>
  <c r="AR35" i="55"/>
  <c r="AX27" i="55"/>
  <c r="AO54" i="55"/>
  <c r="AO49" i="55"/>
  <c r="AO29" i="55"/>
  <c r="AH66" i="55"/>
  <c r="BI53" i="55"/>
  <c r="AK58" i="55"/>
  <c r="AH23" i="55"/>
  <c r="AO70" i="55"/>
  <c r="AL40" i="55"/>
  <c r="AM40" i="55" s="1"/>
  <c r="BY26" i="55"/>
  <c r="AQ31" i="55"/>
  <c r="AL69" i="55"/>
  <c r="AM69" i="55" s="1"/>
  <c r="AH44" i="55"/>
  <c r="AQ28" i="55"/>
  <c r="AH42" i="55"/>
  <c r="AX32" i="55"/>
  <c r="AX64" i="55"/>
  <c r="AY26" i="55"/>
  <c r="AY44" i="55"/>
  <c r="AL28" i="55"/>
  <c r="AM28" i="55" s="1"/>
  <c r="AQ26" i="55"/>
  <c r="CQ55" i="55"/>
  <c r="BI27" i="55"/>
  <c r="AO78" i="55"/>
  <c r="AH53" i="55"/>
  <c r="AQ30" i="55"/>
  <c r="CA54" i="55"/>
  <c r="AL21" i="55"/>
  <c r="AM21" i="55" s="1"/>
  <c r="AX38" i="55"/>
  <c r="AZ28" i="55"/>
  <c r="AH49" i="55"/>
  <c r="AX63" i="55"/>
  <c r="AX37" i="55"/>
  <c r="AL74" i="55"/>
  <c r="AM74" i="55" s="1"/>
  <c r="AH76" i="55"/>
  <c r="AR20" i="55"/>
  <c r="BY63" i="55"/>
  <c r="AS33" i="55"/>
  <c r="AL50" i="55"/>
  <c r="AM50" i="55" s="1"/>
  <c r="AS45" i="55"/>
  <c r="AK61" i="55"/>
  <c r="AH57" i="55"/>
  <c r="AZ36" i="55"/>
  <c r="AK70" i="55"/>
  <c r="AQ27" i="55"/>
  <c r="AZ33" i="55"/>
  <c r="AS30" i="55"/>
  <c r="AQ40" i="55"/>
  <c r="BJ39" i="55"/>
  <c r="AX22" i="55"/>
  <c r="BD46" i="55"/>
  <c r="AY38" i="55"/>
  <c r="BI44" i="55"/>
  <c r="BD50" i="55"/>
  <c r="BJ62" i="55"/>
  <c r="CY54" i="55"/>
  <c r="BJ34" i="55"/>
  <c r="BF49" i="55"/>
  <c r="AY67" i="55"/>
  <c r="BD69" i="55"/>
  <c r="BD28" i="55"/>
  <c r="AW31" i="55"/>
  <c r="CJ36" i="55"/>
  <c r="BV43" i="55"/>
  <c r="BY37" i="55"/>
  <c r="CH65" i="55"/>
  <c r="CA26" i="55"/>
  <c r="CI59" i="55"/>
  <c r="CN64" i="55"/>
  <c r="BF56" i="55"/>
  <c r="AH69" i="55"/>
  <c r="AK28" i="55"/>
  <c r="AY49" i="55"/>
  <c r="AO68" i="55"/>
  <c r="AO72" i="55"/>
  <c r="AO61" i="55"/>
  <c r="CG59" i="55"/>
  <c r="AL68" i="55"/>
  <c r="AM68" i="55" s="1"/>
  <c r="AI45" i="55"/>
  <c r="AK65" i="55"/>
  <c r="AK46" i="55"/>
  <c r="AH36" i="55"/>
  <c r="AY42" i="55"/>
  <c r="CH35" i="55"/>
  <c r="AS31" i="55"/>
  <c r="AY55" i="55"/>
  <c r="AL70" i="55"/>
  <c r="AM70" i="55" s="1"/>
  <c r="AX35" i="55"/>
  <c r="AH26" i="55"/>
  <c r="AX46" i="55"/>
  <c r="CO57" i="55"/>
  <c r="BF69" i="55"/>
  <c r="BI63" i="55"/>
  <c r="AS35" i="55"/>
  <c r="AL67" i="55"/>
  <c r="AM67" i="55" s="1"/>
  <c r="AR43" i="55"/>
  <c r="AH60" i="55"/>
  <c r="AR21" i="55"/>
  <c r="AY40" i="55"/>
  <c r="BF24" i="55"/>
  <c r="CN35" i="55"/>
  <c r="AX58" i="55"/>
  <c r="AH68" i="55"/>
  <c r="AO53" i="55"/>
  <c r="AI20" i="55"/>
  <c r="AO47" i="55"/>
  <c r="AL79" i="55"/>
  <c r="AM79" i="55" s="1"/>
  <c r="AH37" i="55"/>
  <c r="AX39" i="55"/>
  <c r="AK40" i="55"/>
  <c r="AQ32" i="55"/>
  <c r="AK32" i="55"/>
  <c r="AR31" i="55"/>
  <c r="CA68" i="55"/>
  <c r="AH21" i="55"/>
  <c r="AH71" i="55"/>
  <c r="AK49" i="55"/>
  <c r="AL66" i="55"/>
  <c r="AM66" i="55" s="1"/>
  <c r="AH63" i="55"/>
  <c r="AS28" i="55"/>
  <c r="AI38" i="55"/>
  <c r="AI67" i="55"/>
  <c r="CR52" i="55"/>
  <c r="BF70" i="55"/>
  <c r="AY64" i="55"/>
  <c r="BF71" i="55"/>
  <c r="AO35" i="55"/>
  <c r="AZ52" i="55"/>
  <c r="AO55" i="55"/>
  <c r="AI65" i="55"/>
  <c r="AS43" i="55"/>
  <c r="AI43" i="55"/>
  <c r="AY39" i="55"/>
  <c r="AR33" i="55"/>
  <c r="CQ39" i="55"/>
  <c r="BF63" i="55"/>
  <c r="AZ49" i="55"/>
  <c r="AY58" i="55"/>
  <c r="AZ61" i="55"/>
  <c r="AH67" i="55"/>
  <c r="AY48" i="55"/>
  <c r="BF29" i="55"/>
  <c r="AL49" i="55"/>
  <c r="AM49" i="55" s="1"/>
  <c r="BF32" i="55"/>
  <c r="AX67" i="55"/>
  <c r="BD23" i="55"/>
  <c r="BI34" i="55"/>
  <c r="AH78" i="55"/>
  <c r="BF45" i="55"/>
  <c r="BJ45" i="55"/>
  <c r="BJ44" i="55"/>
  <c r="AX34" i="55"/>
  <c r="BJ32" i="55"/>
  <c r="BI55" i="55"/>
  <c r="BD33" i="55"/>
  <c r="BJ48" i="55"/>
  <c r="BJ70" i="55"/>
  <c r="BI36" i="55"/>
  <c r="BI25" i="55"/>
  <c r="CT52" i="55"/>
  <c r="CJ72" i="55"/>
  <c r="CJ59" i="55"/>
  <c r="BY61" i="55"/>
  <c r="CA35" i="55"/>
  <c r="CG50" i="55"/>
  <c r="BZ32" i="55"/>
  <c r="CN47" i="55"/>
  <c r="BV40" i="55"/>
  <c r="BF55" i="55"/>
  <c r="BI75" i="55"/>
  <c r="AL26" i="55"/>
  <c r="AM26" i="55" s="1"/>
  <c r="AZ51" i="55"/>
  <c r="AY60" i="55"/>
  <c r="AO50" i="55"/>
  <c r="BF46" i="55"/>
  <c r="CN37" i="55"/>
  <c r="BI73" i="55"/>
  <c r="AZ24" i="55"/>
  <c r="AL51" i="55"/>
  <c r="AM51" i="55" s="1"/>
  <c r="AZ41" i="55"/>
  <c r="AH50" i="55"/>
  <c r="AS22" i="55"/>
  <c r="BZ75" i="55"/>
  <c r="AX62" i="55"/>
  <c r="AY33" i="55"/>
  <c r="AK31" i="55"/>
  <c r="AH56" i="55"/>
  <c r="AK64" i="55"/>
  <c r="AK38" i="55"/>
  <c r="AX25" i="55"/>
  <c r="AX65" i="55"/>
  <c r="AH22" i="55"/>
  <c r="AI26" i="55"/>
  <c r="AX24" i="55"/>
  <c r="AH54" i="55"/>
  <c r="AX61" i="55"/>
  <c r="AI55" i="55"/>
  <c r="AI72" i="55"/>
  <c r="CJ75" i="55"/>
  <c r="BF61" i="55"/>
  <c r="AY35" i="55"/>
  <c r="AL57" i="55"/>
  <c r="AM57" i="55" s="1"/>
  <c r="BJ63" i="55"/>
  <c r="AI76" i="55"/>
  <c r="AO71" i="55"/>
  <c r="AZ47" i="55"/>
  <c r="AI58" i="55"/>
  <c r="CA61" i="55"/>
  <c r="AR40" i="55"/>
  <c r="AL56" i="55"/>
  <c r="AM56" i="55" s="1"/>
  <c r="AY23" i="55"/>
  <c r="AY50" i="55"/>
  <c r="AI70" i="55"/>
  <c r="AQ43" i="55"/>
  <c r="AH62" i="55"/>
  <c r="AO79" i="55"/>
  <c r="AO75" i="55"/>
  <c r="AO24" i="55"/>
  <c r="AO74" i="55"/>
  <c r="CO38" i="55"/>
  <c r="BD65" i="55"/>
  <c r="AI63" i="55"/>
  <c r="AH65" i="55"/>
  <c r="AK75" i="55"/>
  <c r="BZ34" i="55"/>
  <c r="AL76" i="55"/>
  <c r="AM76" i="55" s="1"/>
  <c r="AY31" i="55"/>
  <c r="AI37" i="55"/>
  <c r="AQ38" i="55"/>
  <c r="AS24" i="55"/>
  <c r="AI47" i="55"/>
  <c r="AO77" i="55"/>
  <c r="AY54" i="55"/>
  <c r="CG58" i="55"/>
  <c r="BF77" i="55"/>
  <c r="AZ56" i="55"/>
  <c r="AL39" i="55"/>
  <c r="AM39" i="55" s="1"/>
  <c r="AX41" i="55"/>
  <c r="BJ20" i="55"/>
  <c r="AO65" i="55"/>
  <c r="AX20" i="55"/>
  <c r="BD24" i="55"/>
  <c r="AL36" i="55"/>
  <c r="AM36" i="55" s="1"/>
  <c r="BI47" i="55"/>
  <c r="BJ35" i="55"/>
  <c r="AO63" i="55"/>
  <c r="BD34" i="55"/>
  <c r="BD56" i="55"/>
  <c r="BJ30" i="55"/>
  <c r="BD30" i="55"/>
  <c r="AX57" i="55"/>
  <c r="BI39" i="55"/>
  <c r="BF23" i="55"/>
  <c r="AH77" i="55"/>
  <c r="AZ67" i="55"/>
  <c r="AK37" i="55"/>
  <c r="BD37" i="55"/>
  <c r="BF22" i="55"/>
  <c r="BF43" i="55"/>
  <c r="CO49" i="55"/>
  <c r="CQ52" i="55"/>
  <c r="CH26" i="55"/>
  <c r="CA59" i="55"/>
  <c r="CQ68" i="55"/>
  <c r="BZ56" i="55"/>
  <c r="BF72" i="55"/>
  <c r="BD49" i="55"/>
  <c r="BV53" i="55"/>
  <c r="AK50" i="55"/>
  <c r="AI42" i="55"/>
  <c r="AI48" i="55"/>
  <c r="AL45" i="55"/>
  <c r="AM45" i="55" s="1"/>
  <c r="AQ33" i="55"/>
  <c r="AR27" i="55"/>
  <c r="BI57" i="55"/>
  <c r="AK63" i="55"/>
  <c r="AK34" i="55"/>
  <c r="AS29" i="55"/>
  <c r="AO43" i="55"/>
  <c r="AO48" i="55"/>
  <c r="AO62" i="55"/>
  <c r="CJ41" i="55"/>
  <c r="AI54" i="55"/>
  <c r="AK25" i="55"/>
  <c r="AK79" i="55"/>
  <c r="AY24" i="55"/>
  <c r="BF76" i="55"/>
  <c r="AR44" i="55"/>
  <c r="AQ34" i="55"/>
  <c r="CQ53" i="55"/>
  <c r="AI24" i="55"/>
  <c r="AK42" i="55"/>
  <c r="AS47" i="55"/>
  <c r="AL41" i="55"/>
  <c r="AM41" i="55" s="1"/>
  <c r="AO21" i="55"/>
  <c r="AO45" i="55"/>
  <c r="BI62" i="55"/>
  <c r="AK39" i="55"/>
  <c r="AH64" i="55"/>
  <c r="AX52" i="55"/>
  <c r="AI61" i="55"/>
  <c r="BV20" i="55"/>
  <c r="BJ72" i="55"/>
  <c r="AI56" i="55"/>
  <c r="AX59" i="55"/>
  <c r="AR37" i="55"/>
  <c r="AK30" i="55"/>
  <c r="AL31" i="55"/>
  <c r="AM31" i="55" s="1"/>
  <c r="BF42" i="55"/>
  <c r="BY74" i="55"/>
  <c r="AR45" i="55"/>
  <c r="AY65" i="55"/>
  <c r="AH46" i="55"/>
  <c r="AX43" i="55"/>
  <c r="AK48" i="55"/>
  <c r="AK57" i="55"/>
  <c r="BJ21" i="55"/>
  <c r="AZ60" i="55"/>
  <c r="AK59" i="55"/>
  <c r="AZ26" i="55"/>
  <c r="AX42" i="55"/>
  <c r="AH38" i="55"/>
  <c r="AQ23" i="55"/>
  <c r="BY39" i="55"/>
  <c r="BD31" i="55"/>
  <c r="AI30" i="55"/>
  <c r="AX31" i="55"/>
  <c r="AX33" i="55"/>
  <c r="AL54" i="55"/>
  <c r="AM54" i="55" s="1"/>
  <c r="AK26" i="55"/>
  <c r="BD20" i="55"/>
  <c r="AK44" i="55"/>
  <c r="AY34" i="55"/>
  <c r="AH55" i="55"/>
  <c r="AR36" i="55"/>
  <c r="AS42" i="55"/>
  <c r="AO30" i="55"/>
  <c r="AH74" i="55"/>
  <c r="AX47" i="55"/>
  <c r="AQ29" i="55"/>
  <c r="AH39" i="55"/>
  <c r="AX23" i="55"/>
  <c r="AL43" i="55"/>
  <c r="AM43" i="55" s="1"/>
  <c r="AL25" i="55"/>
  <c r="AM25" i="55" s="1"/>
  <c r="AL34" i="55"/>
  <c r="AM34" i="55" s="1"/>
  <c r="BJ37" i="55"/>
  <c r="BJ56" i="55"/>
  <c r="AI25" i="55"/>
  <c r="AK69" i="55"/>
  <c r="BD51" i="55"/>
  <c r="AH52" i="55"/>
  <c r="BF30" i="55"/>
  <c r="AL73" i="55"/>
  <c r="AM73" i="55" s="1"/>
  <c r="BF27" i="55"/>
  <c r="BI38" i="55"/>
  <c r="BJ43" i="55"/>
  <c r="BI21" i="55"/>
  <c r="AS25" i="55"/>
  <c r="BD45" i="55"/>
  <c r="BF26" i="55"/>
  <c r="AI73" i="55"/>
  <c r="BI46" i="55"/>
  <c r="BD32" i="55"/>
  <c r="BJ54" i="55"/>
  <c r="BF50" i="55"/>
  <c r="AZ69" i="55"/>
  <c r="BJ46" i="55"/>
  <c r="BF47" i="55"/>
  <c r="AL20" i="55"/>
  <c r="AM20" i="55" s="1"/>
  <c r="BI48" i="55"/>
  <c r="CY74" i="55"/>
  <c r="CT77" i="55"/>
  <c r="BI42" i="55"/>
  <c r="BJ57" i="55"/>
  <c r="BI40" i="55"/>
  <c r="BJ47" i="55"/>
  <c r="AZ68" i="55"/>
  <c r="BJ60" i="55"/>
  <c r="BI61" i="55"/>
  <c r="AX69" i="55"/>
  <c r="CG78" i="55"/>
  <c r="AI79" i="55"/>
  <c r="BI24" i="55"/>
  <c r="BW57" i="55"/>
  <c r="AX70" i="55"/>
  <c r="BI41" i="55"/>
  <c r="AY68" i="55"/>
  <c r="BJ42" i="55"/>
  <c r="BF41" i="55"/>
  <c r="BW65" i="55"/>
  <c r="AL33" i="55"/>
  <c r="AM33" i="55" s="1"/>
  <c r="AI34" i="55"/>
  <c r="BD43" i="55"/>
  <c r="BJ58" i="55"/>
  <c r="BI22" i="55"/>
  <c r="AZ31" i="55"/>
  <c r="BD25" i="55"/>
  <c r="BX67" i="55"/>
  <c r="BX66" i="55"/>
  <c r="BX58" i="55"/>
  <c r="BX54" i="55"/>
  <c r="BX64" i="55"/>
  <c r="BX63" i="55"/>
  <c r="CQ77" i="55"/>
  <c r="BX52" i="55"/>
  <c r="BX57" i="55"/>
  <c r="CK78" i="55"/>
  <c r="CP69" i="55"/>
  <c r="BX68" i="55"/>
  <c r="BX56" i="55"/>
  <c r="BX62" i="55"/>
  <c r="CY77" i="55"/>
  <c r="P57" i="44"/>
  <c r="P44" i="44"/>
  <c r="P52" i="44"/>
  <c r="P46" i="44"/>
  <c r="P40" i="44"/>
  <c r="P53" i="44"/>
  <c r="P50" i="44"/>
  <c r="P47" i="44"/>
  <c r="P66" i="44"/>
  <c r="P48" i="44"/>
  <c r="P59" i="44"/>
  <c r="P58" i="44"/>
  <c r="EA15" i="5"/>
  <c r="FI15" i="5" s="1"/>
  <c r="FQ15" i="5" s="1"/>
  <c r="EA34" i="5"/>
  <c r="FI34" i="5" s="1"/>
  <c r="FQ34" i="5" s="1"/>
  <c r="EA22" i="5"/>
  <c r="FI22" i="5" s="1"/>
  <c r="FQ22" i="5" s="1"/>
  <c r="EA18" i="5"/>
  <c r="FI18" i="5" s="1"/>
  <c r="FQ18" i="5" s="1"/>
  <c r="EA25" i="5"/>
  <c r="FI25" i="5" s="1"/>
  <c r="FQ25" i="5" s="1"/>
  <c r="EA14" i="5"/>
  <c r="FI14" i="5" s="1"/>
  <c r="FQ14" i="5" s="1"/>
  <c r="EA27" i="5"/>
  <c r="FI27" i="5" s="1"/>
  <c r="FQ27" i="5" s="1"/>
  <c r="EA16" i="5"/>
  <c r="FI16" i="5" s="1"/>
  <c r="FQ16" i="5" s="1"/>
  <c r="EA30" i="5"/>
  <c r="FI30" i="5" s="1"/>
  <c r="FQ30" i="5" s="1"/>
  <c r="EA37" i="5"/>
  <c r="FI37" i="5" s="1"/>
  <c r="EA21" i="5"/>
  <c r="FI21" i="5" s="1"/>
  <c r="FQ21" i="5" s="1"/>
  <c r="EA12" i="5"/>
  <c r="FI12" i="5" s="1"/>
  <c r="FQ12" i="5" s="1"/>
  <c r="EA20" i="5"/>
  <c r="FI20" i="5" s="1"/>
  <c r="FQ20" i="5" s="1"/>
  <c r="EA9" i="5"/>
  <c r="FI9" i="5" s="1"/>
  <c r="FQ9" i="5" s="1"/>
  <c r="EA35" i="5"/>
  <c r="FI35" i="5" s="1"/>
  <c r="FQ35" i="5" s="1"/>
  <c r="EA10" i="5"/>
  <c r="FI10" i="5" s="1"/>
  <c r="FQ10" i="5" s="1"/>
  <c r="EA23" i="5"/>
  <c r="FI23" i="5" s="1"/>
  <c r="FQ23" i="5" s="1"/>
  <c r="HF66" i="5"/>
  <c r="CQ78" i="55"/>
  <c r="EA32" i="5"/>
  <c r="FI32" i="5" s="1"/>
  <c r="FQ32" i="5" s="1"/>
  <c r="CG79" i="55"/>
  <c r="FG67" i="5"/>
  <c r="FS67" i="5" s="1"/>
  <c r="AQ67" i="44"/>
  <c r="GT67" i="5"/>
  <c r="AG35" i="14"/>
  <c r="AG40" i="14" s="1"/>
  <c r="FH67" i="5"/>
  <c r="FD67" i="5"/>
  <c r="CT78" i="55"/>
  <c r="AK67" i="44"/>
  <c r="L18" i="44"/>
  <c r="AF59" i="44" s="1"/>
  <c r="CP70" i="55" s="1"/>
  <c r="AZ70" i="55"/>
  <c r="EA58" i="5"/>
  <c r="FI58" i="5" s="1"/>
  <c r="FQ58" i="5" s="1"/>
  <c r="AX71" i="55"/>
  <c r="K17" i="44"/>
  <c r="AE60" i="44" s="1"/>
  <c r="CO71" i="55" s="1"/>
  <c r="DT59" i="5"/>
  <c r="R29" i="44"/>
  <c r="AI58" i="5"/>
  <c r="H18" i="44"/>
  <c r="AB59" i="44" s="1"/>
  <c r="CL70" i="55" s="1"/>
  <c r="R25" i="44"/>
  <c r="I19" i="44"/>
  <c r="AC58" i="44" s="1"/>
  <c r="R22" i="44"/>
  <c r="R21" i="44"/>
  <c r="R31" i="44"/>
  <c r="R19" i="44"/>
  <c r="AP57" i="5"/>
  <c r="BX57" i="5" s="1"/>
  <c r="CF57" i="5" s="1"/>
  <c r="P20" i="44"/>
  <c r="R30" i="44"/>
  <c r="R36" i="44"/>
  <c r="R20" i="44"/>
  <c r="R33" i="44"/>
  <c r="R26" i="44"/>
  <c r="AG48" i="14"/>
  <c r="BA20" i="55" l="1"/>
  <c r="AE22" i="55"/>
  <c r="AE21" i="55"/>
  <c r="C47" i="55"/>
  <c r="C33" i="55"/>
  <c r="C39" i="55"/>
  <c r="C25" i="55"/>
  <c r="FL37" i="5"/>
  <c r="FQ37" i="5"/>
  <c r="C28" i="55"/>
  <c r="O21" i="55"/>
  <c r="AE26" i="55"/>
  <c r="AE23" i="55"/>
  <c r="AT20" i="55"/>
  <c r="AE24" i="55"/>
  <c r="AE25" i="55"/>
  <c r="Z21" i="55"/>
  <c r="BA21" i="55"/>
  <c r="AB20" i="55"/>
  <c r="AB24" i="55"/>
  <c r="AB21" i="55"/>
  <c r="BH20" i="55"/>
  <c r="Z68" i="44"/>
  <c r="Z22" i="55"/>
  <c r="BO20" i="55"/>
  <c r="AJ20" i="55"/>
  <c r="AJ22" i="55"/>
  <c r="AJ21" i="55"/>
  <c r="AN22" i="55"/>
  <c r="AN21" i="55"/>
  <c r="AN20" i="55"/>
  <c r="S68" i="44"/>
  <c r="AL68" i="44" s="1"/>
  <c r="AA68" i="44"/>
  <c r="P64" i="44"/>
  <c r="P65" i="44"/>
  <c r="P51" i="44"/>
  <c r="AC28" i="14"/>
  <c r="CE37" i="5"/>
  <c r="J21" i="55"/>
  <c r="P67" i="44"/>
  <c r="P42" i="44"/>
  <c r="P43" i="44"/>
  <c r="J24" i="55"/>
  <c r="P56" i="44"/>
  <c r="J25" i="55"/>
  <c r="J49" i="55"/>
  <c r="J45" i="55"/>
  <c r="J41" i="55"/>
  <c r="J37" i="55"/>
  <c r="O22" i="55"/>
  <c r="J33" i="55"/>
  <c r="J29" i="55"/>
  <c r="J46" i="55"/>
  <c r="J42" i="55"/>
  <c r="J38" i="55"/>
  <c r="O23" i="55"/>
  <c r="J34" i="55"/>
  <c r="J30" i="55"/>
  <c r="J26" i="55"/>
  <c r="J22" i="55"/>
  <c r="J47" i="55"/>
  <c r="J43" i="55"/>
  <c r="J39" i="55"/>
  <c r="O24" i="55"/>
  <c r="J35" i="55"/>
  <c r="J31" i="55"/>
  <c r="J27" i="55"/>
  <c r="J23" i="55"/>
  <c r="J48" i="55"/>
  <c r="J44" i="55"/>
  <c r="J40" i="55"/>
  <c r="O25" i="55"/>
  <c r="J36" i="55"/>
  <c r="J32" i="55"/>
  <c r="J28" i="55"/>
  <c r="L20" i="55"/>
  <c r="L21" i="55"/>
  <c r="L33" i="55"/>
  <c r="L45" i="55"/>
  <c r="L22" i="55"/>
  <c r="L34" i="55"/>
  <c r="L46" i="55"/>
  <c r="L23" i="55"/>
  <c r="L35" i="55"/>
  <c r="L47" i="55"/>
  <c r="L24" i="55"/>
  <c r="L36" i="55"/>
  <c r="L48" i="55"/>
  <c r="L25" i="55"/>
  <c r="L37" i="55"/>
  <c r="L49" i="55"/>
  <c r="L26" i="55"/>
  <c r="L38" i="55"/>
  <c r="L27" i="55"/>
  <c r="L39" i="55"/>
  <c r="L28" i="55"/>
  <c r="L40" i="55"/>
  <c r="L29" i="55"/>
  <c r="L41" i="55"/>
  <c r="L30" i="55"/>
  <c r="L42" i="55"/>
  <c r="L31" i="55"/>
  <c r="L43" i="55"/>
  <c r="L32" i="55"/>
  <c r="L44" i="55"/>
  <c r="FZ58" i="5"/>
  <c r="GD58" i="5" s="1"/>
  <c r="GC23" i="5"/>
  <c r="HR23" i="5" s="1"/>
  <c r="W35" i="55" s="1"/>
  <c r="GC32" i="5"/>
  <c r="HR32" i="5" s="1"/>
  <c r="W44" i="55" s="1"/>
  <c r="BH30" i="55"/>
  <c r="Z24" i="55"/>
  <c r="GC15" i="5"/>
  <c r="HR15" i="5" s="1"/>
  <c r="W27" i="55" s="1"/>
  <c r="AE31" i="55" s="1"/>
  <c r="Z42" i="55"/>
  <c r="Z36" i="55"/>
  <c r="AB36" i="55"/>
  <c r="AB39" i="55"/>
  <c r="AB42" i="55"/>
  <c r="Z23" i="55"/>
  <c r="AB40" i="55"/>
  <c r="Z35" i="55"/>
  <c r="AB27" i="55"/>
  <c r="AB28" i="55"/>
  <c r="AB34" i="55"/>
  <c r="AB46" i="55"/>
  <c r="Z46" i="55"/>
  <c r="Z27" i="55"/>
  <c r="AB26" i="55"/>
  <c r="AB31" i="55"/>
  <c r="AB30" i="55"/>
  <c r="Z40" i="55"/>
  <c r="Z34" i="55"/>
  <c r="Z29" i="55"/>
  <c r="Z41" i="55"/>
  <c r="AB47" i="55"/>
  <c r="AB29" i="55"/>
  <c r="Z45" i="55"/>
  <c r="AB45" i="55"/>
  <c r="Z39" i="55"/>
  <c r="Z33" i="55"/>
  <c r="Z26" i="55"/>
  <c r="AB48" i="55"/>
  <c r="Z25" i="55"/>
  <c r="AB35" i="55"/>
  <c r="AB49" i="55"/>
  <c r="AB41" i="55"/>
  <c r="Z44" i="55"/>
  <c r="Z38" i="55"/>
  <c r="Z32" i="55"/>
  <c r="Z47" i="55"/>
  <c r="AB25" i="55"/>
  <c r="AB43" i="55"/>
  <c r="AB32" i="55"/>
  <c r="AB44" i="55"/>
  <c r="Z49" i="55"/>
  <c r="AB33" i="55"/>
  <c r="Z28" i="55"/>
  <c r="AB23" i="55"/>
  <c r="AB38" i="55"/>
  <c r="AB22" i="55"/>
  <c r="Z43" i="55"/>
  <c r="Z37" i="55"/>
  <c r="Z30" i="55"/>
  <c r="AB37" i="55"/>
  <c r="Z48" i="55"/>
  <c r="Z31" i="55"/>
  <c r="S21" i="55"/>
  <c r="HU12" i="5"/>
  <c r="HU10" i="5"/>
  <c r="HU11" i="5"/>
  <c r="HU9" i="5"/>
  <c r="HU13" i="5"/>
  <c r="HY11" i="5"/>
  <c r="HY13" i="5"/>
  <c r="HY10" i="5"/>
  <c r="HY12" i="5"/>
  <c r="HY9" i="5"/>
  <c r="HO15" i="5"/>
  <c r="S27" i="55" s="1"/>
  <c r="HY14" i="5"/>
  <c r="HO14" i="5"/>
  <c r="S26" i="55" s="1"/>
  <c r="HO22" i="5"/>
  <c r="S34" i="55" s="1"/>
  <c r="HO31" i="5"/>
  <c r="S43" i="55" s="1"/>
  <c r="CU22" i="55"/>
  <c r="FR18" i="5"/>
  <c r="FZ18" i="5"/>
  <c r="GD18" i="5" s="1"/>
  <c r="FZ22" i="5"/>
  <c r="GD22" i="5" s="1"/>
  <c r="FR34" i="5"/>
  <c r="FZ34" i="5"/>
  <c r="GD34" i="5" s="1"/>
  <c r="FR35" i="5"/>
  <c r="FZ35" i="5"/>
  <c r="GD35" i="5" s="1"/>
  <c r="FR20" i="5"/>
  <c r="FZ20" i="5"/>
  <c r="GD20" i="5" s="1"/>
  <c r="FR15" i="5"/>
  <c r="FZ15" i="5"/>
  <c r="GD15" i="5" s="1"/>
  <c r="FX57" i="5"/>
  <c r="GB57" i="5" s="1"/>
  <c r="FZ9" i="5"/>
  <c r="GD9" i="5" s="1"/>
  <c r="FR12" i="5"/>
  <c r="FZ12" i="5"/>
  <c r="GD12" i="5" s="1"/>
  <c r="FR21" i="5"/>
  <c r="FZ21" i="5"/>
  <c r="GD21" i="5" s="1"/>
  <c r="FR37" i="5"/>
  <c r="FZ37" i="5"/>
  <c r="GD37" i="5" s="1"/>
  <c r="FL10" i="5"/>
  <c r="E22" i="55" s="1"/>
  <c r="F22" i="55" s="1"/>
  <c r="FZ10" i="5"/>
  <c r="GD10" i="5" s="1"/>
  <c r="FR30" i="5"/>
  <c r="FZ30" i="5"/>
  <c r="GD30" i="5" s="1"/>
  <c r="FZ32" i="5"/>
  <c r="GD32" i="5" s="1"/>
  <c r="FL27" i="5"/>
  <c r="E39" i="55" s="1"/>
  <c r="F39" i="55" s="1"/>
  <c r="FZ27" i="5"/>
  <c r="GD27" i="5" s="1"/>
  <c r="FR16" i="5"/>
  <c r="FZ16" i="5"/>
  <c r="GD16" i="5" s="1"/>
  <c r="FR14" i="5"/>
  <c r="FZ14" i="5"/>
  <c r="GD14" i="5" s="1"/>
  <c r="FR23" i="5"/>
  <c r="FZ23" i="5"/>
  <c r="GD23" i="5" s="1"/>
  <c r="FR25" i="5"/>
  <c r="FZ25" i="5"/>
  <c r="GD25" i="5" s="1"/>
  <c r="BW26" i="55"/>
  <c r="BW27" i="55"/>
  <c r="R32" i="44"/>
  <c r="BW43" i="55"/>
  <c r="BW34" i="55"/>
  <c r="R27" i="44"/>
  <c r="BH46" i="55"/>
  <c r="BH41" i="55"/>
  <c r="FR9" i="5"/>
  <c r="FR58" i="5"/>
  <c r="FR22" i="5"/>
  <c r="FR32" i="5"/>
  <c r="DY59" i="5"/>
  <c r="DZ59" i="5" s="1"/>
  <c r="BW49" i="55"/>
  <c r="CU28" i="55"/>
  <c r="CU23" i="55"/>
  <c r="CA31" i="5"/>
  <c r="C43" i="55" s="1"/>
  <c r="CG31" i="5"/>
  <c r="G43" i="55" s="1"/>
  <c r="BH26" i="55"/>
  <c r="CA15" i="5"/>
  <c r="C27" i="55" s="1"/>
  <c r="CG15" i="5"/>
  <c r="G27" i="55" s="1"/>
  <c r="CA14" i="5"/>
  <c r="C26" i="55" s="1"/>
  <c r="CG14" i="5"/>
  <c r="G26" i="55" s="1"/>
  <c r="CA37" i="5"/>
  <c r="C49" i="55" s="1"/>
  <c r="CG37" i="5"/>
  <c r="G49" i="55" s="1"/>
  <c r="AN58" i="5"/>
  <c r="AO58" i="5" s="1"/>
  <c r="BH32" i="55"/>
  <c r="CU44" i="55"/>
  <c r="BH31" i="55"/>
  <c r="BO48" i="55"/>
  <c r="CU46" i="55"/>
  <c r="BH43" i="55"/>
  <c r="BH49" i="55"/>
  <c r="BH45" i="55"/>
  <c r="AT21" i="55"/>
  <c r="AT23" i="55"/>
  <c r="BA22" i="55"/>
  <c r="P54" i="44"/>
  <c r="CU43" i="55"/>
  <c r="CU26" i="55"/>
  <c r="BO41" i="55"/>
  <c r="BA23" i="55"/>
  <c r="BA25" i="55"/>
  <c r="CU37" i="55"/>
  <c r="BH27" i="55"/>
  <c r="BO40" i="55"/>
  <c r="BH29" i="55"/>
  <c r="BO22" i="55"/>
  <c r="BH47" i="55"/>
  <c r="CU20" i="55"/>
  <c r="BH39" i="55"/>
  <c r="BA47" i="55"/>
  <c r="BA31" i="55"/>
  <c r="AT33" i="55"/>
  <c r="BH22" i="55"/>
  <c r="BO47" i="55"/>
  <c r="BO38" i="55"/>
  <c r="AT29" i="55"/>
  <c r="BA33" i="55"/>
  <c r="BA42" i="55"/>
  <c r="AT38" i="55"/>
  <c r="BO25" i="55"/>
  <c r="BA27" i="55"/>
  <c r="BH40" i="55"/>
  <c r="BA45" i="55"/>
  <c r="BA48" i="55"/>
  <c r="BO28" i="55"/>
  <c r="AT46" i="55"/>
  <c r="BO30" i="55"/>
  <c r="CU36" i="55"/>
  <c r="BO36" i="55"/>
  <c r="BA34" i="55"/>
  <c r="BO34" i="55"/>
  <c r="AT32" i="55"/>
  <c r="AT27" i="55"/>
  <c r="AT30" i="55"/>
  <c r="BA32" i="55"/>
  <c r="AT31" i="55"/>
  <c r="BH21" i="55"/>
  <c r="AT49" i="55"/>
  <c r="AN23" i="55"/>
  <c r="AN29" i="55"/>
  <c r="AJ43" i="55"/>
  <c r="AJ41" i="55"/>
  <c r="AJ24" i="55"/>
  <c r="AJ37" i="55"/>
  <c r="AJ36" i="55"/>
  <c r="AN25" i="55"/>
  <c r="AN35" i="55"/>
  <c r="AJ28" i="55"/>
  <c r="AN26" i="55"/>
  <c r="AJ35" i="55"/>
  <c r="AN41" i="55"/>
  <c r="AJ44" i="55"/>
  <c r="AN24" i="55"/>
  <c r="AN45" i="55"/>
  <c r="AJ49" i="55"/>
  <c r="AN32" i="55"/>
  <c r="AJ29" i="55"/>
  <c r="AN46" i="55"/>
  <c r="AN34" i="55"/>
  <c r="AN28" i="55"/>
  <c r="AN33" i="55"/>
  <c r="AJ46" i="55"/>
  <c r="AJ33" i="55"/>
  <c r="AJ23" i="55"/>
  <c r="AJ40" i="55"/>
  <c r="AJ39" i="55"/>
  <c r="AJ31" i="55"/>
  <c r="AJ38" i="55"/>
  <c r="AJ27" i="55"/>
  <c r="AN37" i="55"/>
  <c r="AN38" i="55"/>
  <c r="AJ45" i="55"/>
  <c r="AJ47" i="55"/>
  <c r="AN42" i="55"/>
  <c r="AJ32" i="55"/>
  <c r="AN43" i="55"/>
  <c r="AJ26" i="55"/>
  <c r="AN47" i="55"/>
  <c r="AJ30" i="55"/>
  <c r="AN27" i="55"/>
  <c r="AN36" i="55"/>
  <c r="AN39" i="55"/>
  <c r="AJ25" i="55"/>
  <c r="AN48" i="55"/>
  <c r="AJ34" i="55"/>
  <c r="AN31" i="55"/>
  <c r="AN49" i="55"/>
  <c r="AN30" i="55"/>
  <c r="AN40" i="55"/>
  <c r="AJ48" i="55"/>
  <c r="AJ42" i="55"/>
  <c r="AN44" i="55"/>
  <c r="BA40" i="55"/>
  <c r="BH25" i="55"/>
  <c r="AT42" i="55"/>
  <c r="BO29" i="55"/>
  <c r="CU45" i="55"/>
  <c r="CU35" i="55"/>
  <c r="CU39" i="55"/>
  <c r="CU30" i="55"/>
  <c r="CU47" i="55"/>
  <c r="BO24" i="55"/>
  <c r="BO46" i="55"/>
  <c r="BO21" i="55"/>
  <c r="BA43" i="55"/>
  <c r="BH42" i="55"/>
  <c r="AT34" i="55"/>
  <c r="BH23" i="55"/>
  <c r="BO44" i="55"/>
  <c r="BA37" i="55"/>
  <c r="BA30" i="55"/>
  <c r="BA29" i="55"/>
  <c r="BA26" i="55"/>
  <c r="AT45" i="55"/>
  <c r="BH38" i="55"/>
  <c r="BA44" i="55"/>
  <c r="BH37" i="55"/>
  <c r="AT47" i="55"/>
  <c r="BH36" i="55"/>
  <c r="CU41" i="55"/>
  <c r="CU34" i="55"/>
  <c r="CU27" i="55"/>
  <c r="BO42" i="55"/>
  <c r="BO39" i="55"/>
  <c r="BH24" i="55"/>
  <c r="BA35" i="55"/>
  <c r="AT26" i="55"/>
  <c r="AT44" i="55"/>
  <c r="AT41" i="55"/>
  <c r="BO43" i="55"/>
  <c r="BA49" i="55"/>
  <c r="BA36" i="55"/>
  <c r="BO26" i="55"/>
  <c r="BO32" i="55"/>
  <c r="CU32" i="55"/>
  <c r="BA41" i="55"/>
  <c r="BA39" i="55"/>
  <c r="BA38" i="55"/>
  <c r="BO35" i="55"/>
  <c r="BO23" i="55"/>
  <c r="BH34" i="55"/>
  <c r="CU49" i="55"/>
  <c r="CU33" i="55"/>
  <c r="CU25" i="55"/>
  <c r="AT40" i="55"/>
  <c r="BH33" i="55"/>
  <c r="BH48" i="55"/>
  <c r="BA28" i="55"/>
  <c r="BO31" i="55"/>
  <c r="AT37" i="55"/>
  <c r="AT24" i="55"/>
  <c r="AT36" i="55"/>
  <c r="CU38" i="55"/>
  <c r="CU42" i="55"/>
  <c r="AT43" i="55"/>
  <c r="AT28" i="55"/>
  <c r="BH44" i="55"/>
  <c r="BO45" i="55"/>
  <c r="AT48" i="55"/>
  <c r="AT39" i="55"/>
  <c r="AT25" i="55"/>
  <c r="BH35" i="55"/>
  <c r="CU21" i="55"/>
  <c r="CU48" i="55"/>
  <c r="CU40" i="55"/>
  <c r="CU31" i="55"/>
  <c r="BA24" i="55"/>
  <c r="BA46" i="55"/>
  <c r="BO27" i="55"/>
  <c r="BH28" i="55"/>
  <c r="BO37" i="55"/>
  <c r="BO33" i="55"/>
  <c r="AT22" i="55"/>
  <c r="BO49" i="55"/>
  <c r="AT35" i="55"/>
  <c r="CU24" i="55"/>
  <c r="CU29" i="55"/>
  <c r="EA19" i="5"/>
  <c r="FI19" i="5" s="1"/>
  <c r="FQ19" i="5" s="1"/>
  <c r="EA13" i="5"/>
  <c r="FI13" i="5" s="1"/>
  <c r="FQ13" i="5" s="1"/>
  <c r="EA28" i="5"/>
  <c r="FI28" i="5" s="1"/>
  <c r="FQ28" i="5" s="1"/>
  <c r="EA36" i="5"/>
  <c r="FI36" i="5" s="1"/>
  <c r="FQ36" i="5" s="1"/>
  <c r="EA11" i="5"/>
  <c r="FI11" i="5" s="1"/>
  <c r="FQ11" i="5" s="1"/>
  <c r="EA29" i="5"/>
  <c r="FI29" i="5" s="1"/>
  <c r="FQ29" i="5" s="1"/>
  <c r="EA24" i="5"/>
  <c r="FI24" i="5" s="1"/>
  <c r="FQ24" i="5" s="1"/>
  <c r="EA17" i="5"/>
  <c r="FI17" i="5" s="1"/>
  <c r="FQ17" i="5" s="1"/>
  <c r="EA33" i="5"/>
  <c r="FI33" i="5" s="1"/>
  <c r="FQ33" i="5" s="1"/>
  <c r="EA8" i="5"/>
  <c r="FI8" i="5" s="1"/>
  <c r="FQ8" i="5" s="1"/>
  <c r="EA31" i="5"/>
  <c r="FI31" i="5" s="1"/>
  <c r="FQ31" i="5" s="1"/>
  <c r="EA26" i="5"/>
  <c r="FI26" i="5" s="1"/>
  <c r="FQ26" i="5" s="1"/>
  <c r="CA79" i="55"/>
  <c r="CK79" i="55"/>
  <c r="AI35" i="14"/>
  <c r="AI40" i="14" s="1"/>
  <c r="FL9" i="5"/>
  <c r="E21" i="55" s="1"/>
  <c r="F21" i="55" s="1"/>
  <c r="FL22" i="5"/>
  <c r="E34" i="55" s="1"/>
  <c r="F34" i="55" s="1"/>
  <c r="FL32" i="5"/>
  <c r="E44" i="55" s="1"/>
  <c r="F44" i="55" s="1"/>
  <c r="O9" i="44"/>
  <c r="AJ68" i="44" s="1"/>
  <c r="FK67" i="5"/>
  <c r="HE67" i="5" s="1"/>
  <c r="HS67" i="5" s="1"/>
  <c r="DU59" i="5"/>
  <c r="AY71" i="55"/>
  <c r="CM69" i="55"/>
  <c r="AW57" i="44"/>
  <c r="AQ71" i="55"/>
  <c r="AR70" i="55"/>
  <c r="AR57" i="44"/>
  <c r="AJ58" i="5"/>
  <c r="AG49" i="14"/>
  <c r="AE35" i="55" l="1"/>
  <c r="AE41" i="55"/>
  <c r="AE43" i="55"/>
  <c r="AE49" i="55"/>
  <c r="AE32" i="55"/>
  <c r="AE40" i="55"/>
  <c r="AE46" i="55"/>
  <c r="AE45" i="55"/>
  <c r="AE27" i="55"/>
  <c r="AE28" i="55"/>
  <c r="AE48" i="55"/>
  <c r="AE36" i="55"/>
  <c r="AE37" i="55"/>
  <c r="AE29" i="55"/>
  <c r="AE34" i="55"/>
  <c r="AE44" i="55"/>
  <c r="AE47" i="55"/>
  <c r="AE33" i="55"/>
  <c r="AE39" i="55"/>
  <c r="AE42" i="55"/>
  <c r="AE38" i="55"/>
  <c r="AE30" i="55"/>
  <c r="FM9" i="5"/>
  <c r="FP9" i="5" s="1"/>
  <c r="FL8" i="5"/>
  <c r="E20" i="55" s="1"/>
  <c r="F20" i="55" s="1"/>
  <c r="AA31" i="55"/>
  <c r="AA21" i="55"/>
  <c r="AA26" i="55"/>
  <c r="AG68" i="44"/>
  <c r="H44" i="55"/>
  <c r="I44" i="55" s="1"/>
  <c r="H42" i="55"/>
  <c r="I42" i="55" s="1"/>
  <c r="H24" i="55"/>
  <c r="I24" i="55" s="1"/>
  <c r="H21" i="55"/>
  <c r="I21" i="55" s="1"/>
  <c r="H28" i="55"/>
  <c r="I28" i="55" s="1"/>
  <c r="H46" i="55"/>
  <c r="I46" i="55" s="1"/>
  <c r="H34" i="55"/>
  <c r="I34" i="55" s="1"/>
  <c r="H47" i="55"/>
  <c r="I47" i="55" s="1"/>
  <c r="H49" i="55"/>
  <c r="I49" i="55" s="1"/>
  <c r="H37" i="55"/>
  <c r="I37" i="55" s="1"/>
  <c r="H27" i="55"/>
  <c r="I27" i="55" s="1"/>
  <c r="H26" i="55"/>
  <c r="I26" i="55" s="1"/>
  <c r="H33" i="55"/>
  <c r="I33" i="55" s="1"/>
  <c r="H30" i="55"/>
  <c r="I30" i="55" s="1"/>
  <c r="H35" i="55"/>
  <c r="I35" i="55" s="1"/>
  <c r="H32" i="55"/>
  <c r="I32" i="55" s="1"/>
  <c r="CG22" i="5"/>
  <c r="G34" i="55" s="1"/>
  <c r="O45" i="55" s="1"/>
  <c r="FM15" i="5"/>
  <c r="FP15" i="5" s="1"/>
  <c r="FM16" i="5"/>
  <c r="FP16" i="5" s="1"/>
  <c r="FM28" i="5"/>
  <c r="FP28" i="5" s="1"/>
  <c r="FM17" i="5"/>
  <c r="FP17" i="5" s="1"/>
  <c r="FM29" i="5"/>
  <c r="FP29" i="5" s="1"/>
  <c r="FM22" i="5"/>
  <c r="FP22" i="5" s="1"/>
  <c r="FM35" i="5"/>
  <c r="FP35" i="5" s="1"/>
  <c r="FM18" i="5"/>
  <c r="FP18" i="5" s="1"/>
  <c r="FM30" i="5"/>
  <c r="FP30" i="5" s="1"/>
  <c r="FM19" i="5"/>
  <c r="FP19" i="5" s="1"/>
  <c r="FM31" i="5"/>
  <c r="FP31" i="5" s="1"/>
  <c r="FM10" i="5"/>
  <c r="FP10" i="5" s="1"/>
  <c r="FM11" i="5"/>
  <c r="FP11" i="5" s="1"/>
  <c r="FM12" i="5"/>
  <c r="FP12" i="5" s="1"/>
  <c r="FM20" i="5"/>
  <c r="FP20" i="5" s="1"/>
  <c r="FM32" i="5"/>
  <c r="FP32" i="5" s="1"/>
  <c r="FM8" i="5"/>
  <c r="FP8" i="5" s="1"/>
  <c r="FT8" i="5" s="1"/>
  <c r="FM23" i="5"/>
  <c r="FP23" i="5" s="1"/>
  <c r="FM24" i="5"/>
  <c r="FP24" i="5" s="1"/>
  <c r="FM21" i="5"/>
  <c r="FP21" i="5" s="1"/>
  <c r="FM33" i="5"/>
  <c r="FP33" i="5" s="1"/>
  <c r="FM34" i="5"/>
  <c r="FP34" i="5" s="1"/>
  <c r="FM36" i="5"/>
  <c r="FP36" i="5" s="1"/>
  <c r="FM13" i="5"/>
  <c r="FP13" i="5" s="1"/>
  <c r="FM25" i="5"/>
  <c r="FP25" i="5" s="1"/>
  <c r="FM37" i="5"/>
  <c r="FM14" i="5"/>
  <c r="FP14" i="5" s="1"/>
  <c r="FM26" i="5"/>
  <c r="FP26" i="5" s="1"/>
  <c r="FM27" i="5"/>
  <c r="FP27" i="5" s="1"/>
  <c r="O33" i="55"/>
  <c r="O27" i="55"/>
  <c r="O31" i="55"/>
  <c r="O26" i="55"/>
  <c r="O28" i="55"/>
  <c r="O30" i="55"/>
  <c r="P39" i="44"/>
  <c r="O32" i="55"/>
  <c r="P61" i="44"/>
  <c r="O29" i="55"/>
  <c r="GE10" i="5"/>
  <c r="HS10" i="5" s="1"/>
  <c r="X22" i="55" s="1"/>
  <c r="Y22" i="55" s="1"/>
  <c r="HQ58" i="5"/>
  <c r="GE23" i="5"/>
  <c r="HS23" i="5" s="1"/>
  <c r="X35" i="55" s="1"/>
  <c r="Y35" i="55" s="1"/>
  <c r="GE35" i="5"/>
  <c r="HS35" i="5" s="1"/>
  <c r="X47" i="55" s="1"/>
  <c r="Y47" i="55" s="1"/>
  <c r="GE16" i="5"/>
  <c r="HS16" i="5" s="1"/>
  <c r="X28" i="55" s="1"/>
  <c r="Y28" i="55" s="1"/>
  <c r="GE15" i="5"/>
  <c r="HS15" i="5" s="1"/>
  <c r="X27" i="55" s="1"/>
  <c r="Y27" i="55" s="1"/>
  <c r="GE21" i="5"/>
  <c r="HS21" i="5" s="1"/>
  <c r="X33" i="55" s="1"/>
  <c r="Y33" i="55" s="1"/>
  <c r="GE22" i="5"/>
  <c r="HS22" i="5" s="1"/>
  <c r="X34" i="55" s="1"/>
  <c r="Y34" i="55" s="1"/>
  <c r="FL20" i="5"/>
  <c r="E32" i="55" s="1"/>
  <c r="F32" i="55" s="1"/>
  <c r="E49" i="55"/>
  <c r="F49" i="55" s="1"/>
  <c r="FR27" i="5"/>
  <c r="FL25" i="5"/>
  <c r="E37" i="55" s="1"/>
  <c r="F37" i="55" s="1"/>
  <c r="FL34" i="5"/>
  <c r="E46" i="55" s="1"/>
  <c r="F46" i="55" s="1"/>
  <c r="FL21" i="5"/>
  <c r="E33" i="55" s="1"/>
  <c r="F33" i="55" s="1"/>
  <c r="FL16" i="5"/>
  <c r="E28" i="55" s="1"/>
  <c r="F28" i="55" s="1"/>
  <c r="FL35" i="5"/>
  <c r="E47" i="55" s="1"/>
  <c r="F47" i="55" s="1"/>
  <c r="HY19" i="5"/>
  <c r="AA37" i="55"/>
  <c r="AA46" i="55"/>
  <c r="AA42" i="55"/>
  <c r="AA45" i="55"/>
  <c r="AA40" i="55"/>
  <c r="AA39" i="55"/>
  <c r="AA35" i="55"/>
  <c r="AA24" i="55"/>
  <c r="AA25" i="55"/>
  <c r="AA47" i="55"/>
  <c r="AA36" i="55"/>
  <c r="AA48" i="55"/>
  <c r="AA41" i="55"/>
  <c r="AA32" i="55"/>
  <c r="AA44" i="55"/>
  <c r="AA27" i="55"/>
  <c r="AA22" i="55"/>
  <c r="AA43" i="55"/>
  <c r="AA33" i="55"/>
  <c r="AA30" i="55"/>
  <c r="AA28" i="55"/>
  <c r="AA49" i="55"/>
  <c r="AA29" i="55"/>
  <c r="AA38" i="55"/>
  <c r="AA23" i="55"/>
  <c r="AA34" i="55"/>
  <c r="HY23" i="5"/>
  <c r="FL18" i="5"/>
  <c r="E30" i="55" s="1"/>
  <c r="F30" i="55" s="1"/>
  <c r="FL30" i="5"/>
  <c r="E42" i="55" s="1"/>
  <c r="F42" i="55" s="1"/>
  <c r="FL14" i="5"/>
  <c r="E26" i="55" s="1"/>
  <c r="F26" i="55" s="1"/>
  <c r="HU30" i="5"/>
  <c r="HY36" i="5"/>
  <c r="HY27" i="5"/>
  <c r="HU35" i="5"/>
  <c r="HU28" i="5"/>
  <c r="HY37" i="5"/>
  <c r="HY33" i="5"/>
  <c r="HY17" i="5"/>
  <c r="HU29" i="5"/>
  <c r="HU16" i="5"/>
  <c r="HY26" i="5"/>
  <c r="HY35" i="5"/>
  <c r="HY21" i="5"/>
  <c r="HU23" i="5"/>
  <c r="HU25" i="5"/>
  <c r="HU21" i="5"/>
  <c r="HU14" i="5"/>
  <c r="HY30" i="5"/>
  <c r="HY24" i="5"/>
  <c r="HU34" i="5"/>
  <c r="HU36" i="5"/>
  <c r="HU19" i="5"/>
  <c r="HY15" i="5"/>
  <c r="HY28" i="5"/>
  <c r="HU18" i="5"/>
  <c r="HU20" i="5"/>
  <c r="HY16" i="5"/>
  <c r="HY29" i="5"/>
  <c r="HY31" i="5"/>
  <c r="HY25" i="5"/>
  <c r="HU33" i="5"/>
  <c r="HU37" i="5"/>
  <c r="HU24" i="5"/>
  <c r="HU27" i="5"/>
  <c r="HY18" i="5"/>
  <c r="HY22" i="5"/>
  <c r="HY32" i="5"/>
  <c r="HU15" i="5"/>
  <c r="HU22" i="5"/>
  <c r="HU17" i="5"/>
  <c r="HY20" i="5"/>
  <c r="HY34" i="5"/>
  <c r="HU31" i="5"/>
  <c r="HU32" i="5"/>
  <c r="HU26" i="5"/>
  <c r="HQ23" i="5"/>
  <c r="U35" i="55" s="1"/>
  <c r="V35" i="55" s="1"/>
  <c r="HQ10" i="5"/>
  <c r="U22" i="55" s="1"/>
  <c r="V22" i="55" s="1"/>
  <c r="HQ15" i="5"/>
  <c r="U27" i="55" s="1"/>
  <c r="V27" i="55" s="1"/>
  <c r="HQ14" i="5"/>
  <c r="U26" i="55" s="1"/>
  <c r="V26" i="55" s="1"/>
  <c r="HQ37" i="5"/>
  <c r="U49" i="55" s="1"/>
  <c r="V49" i="55" s="1"/>
  <c r="HQ20" i="5"/>
  <c r="U32" i="55" s="1"/>
  <c r="V32" i="55" s="1"/>
  <c r="HQ16" i="5"/>
  <c r="U28" i="55" s="1"/>
  <c r="V28" i="55" s="1"/>
  <c r="HQ21" i="5"/>
  <c r="U33" i="55" s="1"/>
  <c r="V33" i="55" s="1"/>
  <c r="HQ35" i="5"/>
  <c r="U47" i="55" s="1"/>
  <c r="V47" i="55" s="1"/>
  <c r="HQ27" i="5"/>
  <c r="U39" i="55" s="1"/>
  <c r="V39" i="55" s="1"/>
  <c r="HQ12" i="5"/>
  <c r="U24" i="55" s="1"/>
  <c r="V24" i="55" s="1"/>
  <c r="HQ34" i="5"/>
  <c r="U46" i="55" s="1"/>
  <c r="V46" i="55" s="1"/>
  <c r="HQ32" i="5"/>
  <c r="U44" i="55" s="1"/>
  <c r="V44" i="55" s="1"/>
  <c r="HQ9" i="5"/>
  <c r="U21" i="55" s="1"/>
  <c r="V21" i="55" s="1"/>
  <c r="HQ22" i="5"/>
  <c r="U34" i="55" s="1"/>
  <c r="V34" i="55" s="1"/>
  <c r="HQ25" i="5"/>
  <c r="U37" i="55" s="1"/>
  <c r="V37" i="55" s="1"/>
  <c r="HQ30" i="5"/>
  <c r="U42" i="55" s="1"/>
  <c r="V42" i="55" s="1"/>
  <c r="HO57" i="5"/>
  <c r="HQ18" i="5"/>
  <c r="U30" i="55" s="1"/>
  <c r="V30" i="55" s="1"/>
  <c r="FR10" i="5"/>
  <c r="FL15" i="5"/>
  <c r="E27" i="55" s="1"/>
  <c r="F27" i="55" s="1"/>
  <c r="FR29" i="5"/>
  <c r="FZ29" i="5"/>
  <c r="GD29" i="5" s="1"/>
  <c r="FR11" i="5"/>
  <c r="FZ11" i="5"/>
  <c r="GD11" i="5" s="1"/>
  <c r="GE11" i="5" s="1"/>
  <c r="HS11" i="5" s="1"/>
  <c r="X23" i="55" s="1"/>
  <c r="Y23" i="55" s="1"/>
  <c r="FR36" i="5"/>
  <c r="FZ36" i="5"/>
  <c r="GD36" i="5" s="1"/>
  <c r="GE36" i="5" s="1"/>
  <c r="HS36" i="5" s="1"/>
  <c r="X48" i="55" s="1"/>
  <c r="Y48" i="55" s="1"/>
  <c r="FZ28" i="5"/>
  <c r="GD28" i="5" s="1"/>
  <c r="GE28" i="5" s="1"/>
  <c r="HS28" i="5" s="1"/>
  <c r="X40" i="55" s="1"/>
  <c r="Y40" i="55" s="1"/>
  <c r="FR13" i="5"/>
  <c r="FZ13" i="5"/>
  <c r="GD13" i="5" s="1"/>
  <c r="GE13" i="5" s="1"/>
  <c r="HS13" i="5" s="1"/>
  <c r="X25" i="55" s="1"/>
  <c r="Y25" i="55" s="1"/>
  <c r="FR19" i="5"/>
  <c r="FZ19" i="5"/>
  <c r="GD19" i="5" s="1"/>
  <c r="GE19" i="5" s="1"/>
  <c r="HS19" i="5" s="1"/>
  <c r="X31" i="55" s="1"/>
  <c r="Y31" i="55" s="1"/>
  <c r="FR26" i="5"/>
  <c r="FZ26" i="5"/>
  <c r="GD26" i="5" s="1"/>
  <c r="GE26" i="5" s="1"/>
  <c r="HS26" i="5" s="1"/>
  <c r="X38" i="55" s="1"/>
  <c r="Y38" i="55" s="1"/>
  <c r="FR31" i="5"/>
  <c r="FZ31" i="5"/>
  <c r="GD31" i="5" s="1"/>
  <c r="GE31" i="5" s="1"/>
  <c r="HS31" i="5" s="1"/>
  <c r="X43" i="55" s="1"/>
  <c r="Y43" i="55" s="1"/>
  <c r="FR8" i="5"/>
  <c r="H20" i="55" s="1"/>
  <c r="FZ8" i="5"/>
  <c r="GD8" i="5" s="1"/>
  <c r="GE8" i="5" s="1"/>
  <c r="HS8" i="5" s="1"/>
  <c r="X20" i="55" s="1"/>
  <c r="FR33" i="5"/>
  <c r="FZ33" i="5"/>
  <c r="GD33" i="5" s="1"/>
  <c r="GE33" i="5" s="1"/>
  <c r="HS33" i="5" s="1"/>
  <c r="X45" i="55" s="1"/>
  <c r="Y45" i="55" s="1"/>
  <c r="FR24" i="5"/>
  <c r="FZ24" i="5"/>
  <c r="GD24" i="5" s="1"/>
  <c r="GE24" i="5" s="1"/>
  <c r="HS24" i="5" s="1"/>
  <c r="X36" i="55" s="1"/>
  <c r="Y36" i="55" s="1"/>
  <c r="FR17" i="5"/>
  <c r="FZ17" i="5"/>
  <c r="GD17" i="5" s="1"/>
  <c r="GE17" i="5" s="1"/>
  <c r="HS17" i="5" s="1"/>
  <c r="X29" i="55" s="1"/>
  <c r="Y29" i="55" s="1"/>
  <c r="GA15" i="5"/>
  <c r="BX27" i="55" s="1"/>
  <c r="GA35" i="5"/>
  <c r="BX47" i="55" s="1"/>
  <c r="GA37" i="5"/>
  <c r="BX49" i="55" s="1"/>
  <c r="GA30" i="5"/>
  <c r="BX42" i="55" s="1"/>
  <c r="GA34" i="5"/>
  <c r="BX46" i="55" s="1"/>
  <c r="GA12" i="5"/>
  <c r="BX24" i="55" s="1"/>
  <c r="GA27" i="5"/>
  <c r="BX39" i="55" s="1"/>
  <c r="GA18" i="5"/>
  <c r="BX30" i="55" s="1"/>
  <c r="GA9" i="5"/>
  <c r="BX21" i="55" s="1"/>
  <c r="GA14" i="5"/>
  <c r="BX26" i="55" s="1"/>
  <c r="GA32" i="5"/>
  <c r="BX44" i="55" s="1"/>
  <c r="GA10" i="5"/>
  <c r="BX22" i="55" s="1"/>
  <c r="GA21" i="5"/>
  <c r="BX33" i="55" s="1"/>
  <c r="GA16" i="5"/>
  <c r="BX28" i="55" s="1"/>
  <c r="BW69" i="55"/>
  <c r="GA25" i="5"/>
  <c r="BX37" i="55" s="1"/>
  <c r="GA22" i="5"/>
  <c r="BX34" i="55" s="1"/>
  <c r="GA23" i="5"/>
  <c r="BX35" i="55" s="1"/>
  <c r="GA20" i="5"/>
  <c r="BX32" i="55" s="1"/>
  <c r="FL58" i="5"/>
  <c r="FL23" i="5"/>
  <c r="E35" i="55" s="1"/>
  <c r="F35" i="55" s="1"/>
  <c r="FL12" i="5"/>
  <c r="E24" i="55" s="1"/>
  <c r="F24" i="55" s="1"/>
  <c r="FR28" i="5"/>
  <c r="CA57" i="5"/>
  <c r="CG57" i="5"/>
  <c r="P62" i="44"/>
  <c r="P45" i="44"/>
  <c r="FL28" i="5"/>
  <c r="E40" i="55" s="1"/>
  <c r="F40" i="55" s="1"/>
  <c r="CQ79" i="55"/>
  <c r="HF67" i="5"/>
  <c r="AG36" i="14"/>
  <c r="AG41" i="14" s="1"/>
  <c r="R54" i="44"/>
  <c r="R49" i="44"/>
  <c r="R67" i="44"/>
  <c r="R44" i="44"/>
  <c r="R66" i="44"/>
  <c r="AV68" i="44"/>
  <c r="BA68" i="44" s="1"/>
  <c r="AQ68" i="44"/>
  <c r="CT79" i="55"/>
  <c r="AK68" i="44"/>
  <c r="GA58" i="5"/>
  <c r="AX72" i="55"/>
  <c r="K16" i="44"/>
  <c r="AE61" i="44" s="1"/>
  <c r="CO72" i="55" s="1"/>
  <c r="DT60" i="5"/>
  <c r="L17" i="44"/>
  <c r="AF60" i="44" s="1"/>
  <c r="CP71" i="55" s="1"/>
  <c r="AZ71" i="55"/>
  <c r="EA59" i="5"/>
  <c r="FI59" i="5" s="1"/>
  <c r="FQ59" i="5" s="1"/>
  <c r="AS70" i="55"/>
  <c r="I18" i="44"/>
  <c r="AC59" i="44" s="1"/>
  <c r="AP58" i="5"/>
  <c r="BX58" i="5" s="1"/>
  <c r="CF58" i="5" s="1"/>
  <c r="H17" i="44"/>
  <c r="AB60" i="44" s="1"/>
  <c r="CL71" i="55" s="1"/>
  <c r="AI59" i="5"/>
  <c r="AG50" i="14"/>
  <c r="O41" i="55" l="1"/>
  <c r="O42" i="55"/>
  <c r="O38" i="55"/>
  <c r="O47" i="55"/>
  <c r="O36" i="55"/>
  <c r="O49" i="55"/>
  <c r="O34" i="55"/>
  <c r="O43" i="55"/>
  <c r="O39" i="55"/>
  <c r="AV33" i="44"/>
  <c r="AV34" i="44"/>
  <c r="AV32" i="44"/>
  <c r="AV31" i="44"/>
  <c r="AV30" i="44"/>
  <c r="AV29" i="44"/>
  <c r="AV37" i="44"/>
  <c r="AV36" i="44"/>
  <c r="AV35" i="44"/>
  <c r="AV28" i="44"/>
  <c r="AV27" i="44"/>
  <c r="AV25" i="44"/>
  <c r="AV26" i="44"/>
  <c r="AV24" i="44"/>
  <c r="AV23" i="44"/>
  <c r="AV22" i="44"/>
  <c r="AV21" i="44"/>
  <c r="AV20" i="44"/>
  <c r="AV19" i="44"/>
  <c r="AV18" i="44"/>
  <c r="AV17" i="44"/>
  <c r="AV16" i="44"/>
  <c r="AV15" i="44"/>
  <c r="AV14" i="44"/>
  <c r="AV13" i="44"/>
  <c r="AV12" i="44"/>
  <c r="Y20" i="55"/>
  <c r="AF20" i="55"/>
  <c r="AG20" i="55" s="1"/>
  <c r="R60" i="44"/>
  <c r="I20" i="55"/>
  <c r="Q20" i="55" s="1"/>
  <c r="H45" i="55"/>
  <c r="I45" i="55" s="1"/>
  <c r="H31" i="55"/>
  <c r="I31" i="55" s="1"/>
  <c r="H41" i="55"/>
  <c r="I41" i="55" s="1"/>
  <c r="H25" i="55"/>
  <c r="H22" i="55"/>
  <c r="I22" i="55" s="1"/>
  <c r="H39" i="55"/>
  <c r="I39" i="55" s="1"/>
  <c r="H40" i="55"/>
  <c r="I40" i="55" s="1"/>
  <c r="H43" i="55"/>
  <c r="H29" i="55"/>
  <c r="I29" i="55" s="1"/>
  <c r="H48" i="55"/>
  <c r="I48" i="55" s="1"/>
  <c r="H36" i="55"/>
  <c r="I36" i="55" s="1"/>
  <c r="H38" i="55"/>
  <c r="H23" i="55"/>
  <c r="I23" i="55" s="1"/>
  <c r="O37" i="55"/>
  <c r="O35" i="55"/>
  <c r="O44" i="55"/>
  <c r="O48" i="55"/>
  <c r="O40" i="55"/>
  <c r="O46" i="55"/>
  <c r="R51" i="44"/>
  <c r="R39" i="44"/>
  <c r="R42" i="44"/>
  <c r="AG28" i="14"/>
  <c r="AI28" i="14" s="1"/>
  <c r="FP37" i="5"/>
  <c r="R41" i="44"/>
  <c r="R46" i="44"/>
  <c r="R61" i="44"/>
  <c r="R56" i="44"/>
  <c r="R62" i="44"/>
  <c r="R55" i="44"/>
  <c r="P20" i="55"/>
  <c r="P21" i="55"/>
  <c r="R58" i="44"/>
  <c r="GE12" i="5"/>
  <c r="HS12" i="5" s="1"/>
  <c r="X24" i="55" s="1"/>
  <c r="Y24" i="55" s="1"/>
  <c r="GE34" i="5"/>
  <c r="HS34" i="5" s="1"/>
  <c r="X46" i="55" s="1"/>
  <c r="Y46" i="55" s="1"/>
  <c r="GE29" i="5"/>
  <c r="HS29" i="5" s="1"/>
  <c r="X41" i="55" s="1"/>
  <c r="Y41" i="55" s="1"/>
  <c r="GE14" i="5"/>
  <c r="HS14" i="5" s="1"/>
  <c r="X26" i="55" s="1"/>
  <c r="Y26" i="55" s="1"/>
  <c r="GE37" i="5"/>
  <c r="HS37" i="5" s="1"/>
  <c r="X49" i="55" s="1"/>
  <c r="Y49" i="55" s="1"/>
  <c r="GE32" i="5"/>
  <c r="HS32" i="5" s="1"/>
  <c r="X44" i="55" s="1"/>
  <c r="Y44" i="55" s="1"/>
  <c r="GE18" i="5"/>
  <c r="HS18" i="5" s="1"/>
  <c r="X30" i="55" s="1"/>
  <c r="Y30" i="55" s="1"/>
  <c r="GE20" i="5"/>
  <c r="HS20" i="5" s="1"/>
  <c r="X32" i="55" s="1"/>
  <c r="Y32" i="55" s="1"/>
  <c r="GE9" i="5"/>
  <c r="HS9" i="5" s="1"/>
  <c r="X21" i="55" s="1"/>
  <c r="Y21" i="55" s="1"/>
  <c r="GE30" i="5"/>
  <c r="HS30" i="5" s="1"/>
  <c r="X42" i="55" s="1"/>
  <c r="Y42" i="55" s="1"/>
  <c r="FZ59" i="5"/>
  <c r="GD59" i="5" s="1"/>
  <c r="FR59" i="5"/>
  <c r="GE27" i="5"/>
  <c r="HS27" i="5" s="1"/>
  <c r="X39" i="55" s="1"/>
  <c r="Y39" i="55" s="1"/>
  <c r="GE25" i="5"/>
  <c r="HS25" i="5" s="1"/>
  <c r="X37" i="55" s="1"/>
  <c r="Y37" i="55" s="1"/>
  <c r="FL33" i="5"/>
  <c r="E45" i="55" s="1"/>
  <c r="F45" i="55" s="1"/>
  <c r="HQ33" i="5"/>
  <c r="U45" i="55" s="1"/>
  <c r="V45" i="55" s="1"/>
  <c r="HQ28" i="5"/>
  <c r="U40" i="55" s="1"/>
  <c r="V40" i="55" s="1"/>
  <c r="HQ8" i="5"/>
  <c r="HQ36" i="5"/>
  <c r="U48" i="55" s="1"/>
  <c r="V48" i="55" s="1"/>
  <c r="HQ31" i="5"/>
  <c r="U43" i="55" s="1"/>
  <c r="V43" i="55" s="1"/>
  <c r="HQ11" i="5"/>
  <c r="U23" i="55" s="1"/>
  <c r="V23" i="55" s="1"/>
  <c r="HQ26" i="5"/>
  <c r="U38" i="55" s="1"/>
  <c r="V38" i="55" s="1"/>
  <c r="HQ29" i="5"/>
  <c r="U41" i="55" s="1"/>
  <c r="V41" i="55" s="1"/>
  <c r="HQ17" i="5"/>
  <c r="U29" i="55" s="1"/>
  <c r="V29" i="55" s="1"/>
  <c r="HQ19" i="5"/>
  <c r="U31" i="55" s="1"/>
  <c r="V31" i="55" s="1"/>
  <c r="HQ24" i="5"/>
  <c r="U36" i="55" s="1"/>
  <c r="V36" i="55" s="1"/>
  <c r="HQ13" i="5"/>
  <c r="U25" i="55" s="1"/>
  <c r="V25" i="55" s="1"/>
  <c r="FL24" i="5"/>
  <c r="E36" i="55" s="1"/>
  <c r="F36" i="55" s="1"/>
  <c r="R53" i="44"/>
  <c r="R18" i="44"/>
  <c r="FL17" i="5"/>
  <c r="E29" i="55" s="1"/>
  <c r="F29" i="55" s="1"/>
  <c r="FX58" i="5"/>
  <c r="GB58" i="5" s="1"/>
  <c r="GA24" i="5"/>
  <c r="BX36" i="55" s="1"/>
  <c r="GA31" i="5"/>
  <c r="BX43" i="55" s="1"/>
  <c r="GA17" i="5"/>
  <c r="BX29" i="55" s="1"/>
  <c r="GA13" i="5"/>
  <c r="BX25" i="55" s="1"/>
  <c r="GA26" i="5"/>
  <c r="BX38" i="55" s="1"/>
  <c r="GA33" i="5"/>
  <c r="BX45" i="55" s="1"/>
  <c r="GA29" i="5"/>
  <c r="BX41" i="55" s="1"/>
  <c r="GA8" i="5"/>
  <c r="GA19" i="5"/>
  <c r="BX31" i="55" s="1"/>
  <c r="GA11" i="5"/>
  <c r="BX23" i="55" s="1"/>
  <c r="GA36" i="5"/>
  <c r="BX48" i="55" s="1"/>
  <c r="GA28" i="5"/>
  <c r="BX40" i="55" s="1"/>
  <c r="R64" i="44"/>
  <c r="AC33" i="14"/>
  <c r="P19" i="44"/>
  <c r="AW58" i="44" s="1"/>
  <c r="FL36" i="5"/>
  <c r="E48" i="55" s="1"/>
  <c r="F48" i="55" s="1"/>
  <c r="FL26" i="5"/>
  <c r="E38" i="55" s="1"/>
  <c r="F38" i="55" s="1"/>
  <c r="FL11" i="5"/>
  <c r="E23" i="55" s="1"/>
  <c r="F23" i="55" s="1"/>
  <c r="FL31" i="5"/>
  <c r="E43" i="55" s="1"/>
  <c r="F43" i="55" s="1"/>
  <c r="DY60" i="5"/>
  <c r="DZ60" i="5" s="1"/>
  <c r="FL19" i="5"/>
  <c r="E31" i="55" s="1"/>
  <c r="F31" i="55" s="1"/>
  <c r="FL29" i="5"/>
  <c r="E41" i="55" s="1"/>
  <c r="F41" i="55" s="1"/>
  <c r="FL13" i="5"/>
  <c r="E25" i="55" s="1"/>
  <c r="F25" i="55" s="1"/>
  <c r="GI8" i="5"/>
  <c r="GJ8" i="5" s="1"/>
  <c r="GI9" i="5"/>
  <c r="GJ9" i="5" s="1"/>
  <c r="GI10" i="5"/>
  <c r="GJ10" i="5" s="1"/>
  <c r="GI11" i="5"/>
  <c r="GJ11" i="5" s="1"/>
  <c r="GI12" i="5"/>
  <c r="GJ12" i="5" s="1"/>
  <c r="GI13" i="5"/>
  <c r="GJ13" i="5" s="1"/>
  <c r="GI14" i="5"/>
  <c r="GJ14" i="5" s="1"/>
  <c r="GI15" i="5"/>
  <c r="GJ15" i="5" s="1"/>
  <c r="GI16" i="5"/>
  <c r="GJ16" i="5" s="1"/>
  <c r="GI17" i="5"/>
  <c r="GJ17" i="5" s="1"/>
  <c r="GI18" i="5"/>
  <c r="GJ18" i="5" s="1"/>
  <c r="GI19" i="5"/>
  <c r="GJ19" i="5" s="1"/>
  <c r="GI20" i="5"/>
  <c r="GJ20" i="5" s="1"/>
  <c r="GI21" i="5"/>
  <c r="GJ21" i="5" s="1"/>
  <c r="GI22" i="5"/>
  <c r="GJ22" i="5" s="1"/>
  <c r="GI23" i="5"/>
  <c r="GJ23" i="5" s="1"/>
  <c r="GI24" i="5"/>
  <c r="GJ24" i="5" s="1"/>
  <c r="GI25" i="5"/>
  <c r="GJ25" i="5" s="1"/>
  <c r="GI26" i="5"/>
  <c r="GJ26" i="5" s="1"/>
  <c r="GI27" i="5"/>
  <c r="GJ27" i="5" s="1"/>
  <c r="GI28" i="5"/>
  <c r="GJ28" i="5" s="1"/>
  <c r="GI29" i="5"/>
  <c r="GJ29" i="5" s="1"/>
  <c r="GI30" i="5"/>
  <c r="GJ30" i="5" s="1"/>
  <c r="GI31" i="5"/>
  <c r="GJ31" i="5" s="1"/>
  <c r="GI32" i="5"/>
  <c r="GJ32" i="5" s="1"/>
  <c r="GI33" i="5"/>
  <c r="GJ33" i="5" s="1"/>
  <c r="GI34" i="5"/>
  <c r="GJ34" i="5" s="1"/>
  <c r="GI35" i="5"/>
  <c r="GJ35" i="5" s="1"/>
  <c r="GI36" i="5"/>
  <c r="GJ36" i="5" s="1"/>
  <c r="GI37" i="5"/>
  <c r="GJ37" i="5" s="1"/>
  <c r="AN59" i="5"/>
  <c r="AO59" i="5" s="1"/>
  <c r="R48" i="44"/>
  <c r="AI36" i="14"/>
  <c r="AI41" i="14" s="1"/>
  <c r="AY59" i="44"/>
  <c r="AZ59" i="44" s="1"/>
  <c r="CY79" i="55"/>
  <c r="DU60" i="5"/>
  <c r="AY72" i="55"/>
  <c r="BX70" i="55"/>
  <c r="CM70" i="55"/>
  <c r="AQ72" i="55"/>
  <c r="AR71" i="55"/>
  <c r="AJ59" i="5"/>
  <c r="AR58" i="44"/>
  <c r="AV11" i="44" l="1"/>
  <c r="BA11" i="44" s="1"/>
  <c r="BA12" i="44" s="1"/>
  <c r="BA13" i="44" s="1"/>
  <c r="BA14" i="44" s="1"/>
  <c r="BA15" i="44" s="1"/>
  <c r="BA16" i="44" s="1"/>
  <c r="BA17" i="44" s="1"/>
  <c r="BA18" i="44" s="1"/>
  <c r="BA19" i="44" s="1"/>
  <c r="BA20" i="44" s="1"/>
  <c r="BA21" i="44" s="1"/>
  <c r="BA22" i="44" s="1"/>
  <c r="BA23" i="44" s="1"/>
  <c r="BA24" i="44" s="1"/>
  <c r="BA25" i="44" s="1"/>
  <c r="BA26" i="44" s="1"/>
  <c r="BA27" i="44" s="1"/>
  <c r="BA28" i="44" s="1"/>
  <c r="BA29" i="44" s="1"/>
  <c r="BA30" i="44" s="1"/>
  <c r="BA31" i="44" s="1"/>
  <c r="BA32" i="44" s="1"/>
  <c r="BA33" i="44" s="1"/>
  <c r="BA34" i="44" s="1"/>
  <c r="BA35" i="44" s="1"/>
  <c r="BA36" i="44" s="1"/>
  <c r="BA37" i="44" s="1"/>
  <c r="AQ11" i="44"/>
  <c r="AQ12" i="44" s="1"/>
  <c r="AQ13" i="44" s="1"/>
  <c r="AQ14" i="44" s="1"/>
  <c r="AQ15" i="44" s="1"/>
  <c r="AQ16" i="44" s="1"/>
  <c r="AQ17" i="44" s="1"/>
  <c r="AQ18" i="44" s="1"/>
  <c r="AQ19" i="44" s="1"/>
  <c r="AQ20" i="44" s="1"/>
  <c r="AQ21" i="44" s="1"/>
  <c r="AQ22" i="44" s="1"/>
  <c r="AQ23" i="44" s="1"/>
  <c r="AQ24" i="44" s="1"/>
  <c r="AQ25" i="44" s="1"/>
  <c r="AQ26" i="44" s="1"/>
  <c r="AQ27" i="44" s="1"/>
  <c r="AQ28" i="44" s="1"/>
  <c r="AQ29" i="44" s="1"/>
  <c r="AQ30" i="44" s="1"/>
  <c r="AQ31" i="44" s="1"/>
  <c r="AQ32" i="44" s="1"/>
  <c r="AQ33" i="44" s="1"/>
  <c r="AQ34" i="44" s="1"/>
  <c r="AQ35" i="44" s="1"/>
  <c r="AQ36" i="44" s="1"/>
  <c r="AQ37" i="44" s="1"/>
  <c r="AF42" i="55"/>
  <c r="AF40" i="55"/>
  <c r="AF46" i="55"/>
  <c r="AF34" i="55"/>
  <c r="AF32" i="55"/>
  <c r="AF38" i="55"/>
  <c r="AF26" i="55"/>
  <c r="AF24" i="55"/>
  <c r="AF30" i="55"/>
  <c r="AF28" i="55"/>
  <c r="AF49" i="55"/>
  <c r="AF47" i="55"/>
  <c r="AF22" i="55"/>
  <c r="AF43" i="55"/>
  <c r="AF41" i="55"/>
  <c r="AF39" i="55"/>
  <c r="AF45" i="55"/>
  <c r="AF35" i="55"/>
  <c r="AF33" i="55"/>
  <c r="AF31" i="55"/>
  <c r="AF37" i="55"/>
  <c r="AF27" i="55"/>
  <c r="AF25" i="55"/>
  <c r="AF23" i="55"/>
  <c r="AF29" i="55"/>
  <c r="AF36" i="55"/>
  <c r="AF48" i="55"/>
  <c r="AF44" i="55"/>
  <c r="AF21" i="55"/>
  <c r="AG21" i="55" s="1"/>
  <c r="P49" i="55"/>
  <c r="P40" i="55"/>
  <c r="P46" i="55"/>
  <c r="P43" i="55"/>
  <c r="P48" i="55"/>
  <c r="P45" i="55"/>
  <c r="P42" i="55"/>
  <c r="P39" i="55"/>
  <c r="P36" i="55"/>
  <c r="I38" i="55"/>
  <c r="I43" i="55"/>
  <c r="I25" i="55"/>
  <c r="Q34" i="55" s="1"/>
  <c r="P41" i="55"/>
  <c r="P38" i="55"/>
  <c r="P35" i="55"/>
  <c r="P32" i="55"/>
  <c r="P37" i="55"/>
  <c r="P34" i="55"/>
  <c r="P31" i="55"/>
  <c r="P28" i="55"/>
  <c r="P30" i="55"/>
  <c r="P33" i="55"/>
  <c r="P27" i="55"/>
  <c r="P29" i="55"/>
  <c r="P26" i="55"/>
  <c r="P23" i="55"/>
  <c r="P22" i="55"/>
  <c r="P25" i="55"/>
  <c r="P47" i="55"/>
  <c r="P24" i="55"/>
  <c r="P44" i="55"/>
  <c r="BX20" i="55"/>
  <c r="EA60" i="5"/>
  <c r="FI60" i="5" s="1"/>
  <c r="R43" i="44"/>
  <c r="R59" i="44"/>
  <c r="R45" i="44"/>
  <c r="Q23" i="55"/>
  <c r="Q22" i="55"/>
  <c r="Q24" i="55"/>
  <c r="Q21" i="55"/>
  <c r="M22" i="55"/>
  <c r="M26" i="55"/>
  <c r="M21" i="55"/>
  <c r="M25" i="55"/>
  <c r="M24" i="55"/>
  <c r="M28" i="55"/>
  <c r="M23" i="55"/>
  <c r="M27" i="55"/>
  <c r="M20" i="55"/>
  <c r="R52" i="44"/>
  <c r="AA34" i="14"/>
  <c r="AA39" i="14" s="1"/>
  <c r="HQ59" i="5"/>
  <c r="HZ13" i="5"/>
  <c r="HZ21" i="5"/>
  <c r="HZ29" i="5"/>
  <c r="HZ37" i="5"/>
  <c r="HZ14" i="5"/>
  <c r="HZ22" i="5"/>
  <c r="HZ30" i="5"/>
  <c r="HZ17" i="5"/>
  <c r="HZ25" i="5"/>
  <c r="HZ15" i="5"/>
  <c r="HZ23" i="5"/>
  <c r="HZ31" i="5"/>
  <c r="HZ16" i="5"/>
  <c r="HZ24" i="5"/>
  <c r="HZ32" i="5"/>
  <c r="HZ9" i="5"/>
  <c r="HZ33" i="5"/>
  <c r="HZ11" i="5"/>
  <c r="HZ19" i="5"/>
  <c r="HZ27" i="5"/>
  <c r="HZ35" i="5"/>
  <c r="HZ20" i="5"/>
  <c r="HZ28" i="5"/>
  <c r="HZ36" i="5"/>
  <c r="HZ12" i="5"/>
  <c r="HZ8" i="5"/>
  <c r="HZ10" i="5"/>
  <c r="HZ18" i="5"/>
  <c r="HZ26" i="5"/>
  <c r="HZ34" i="5"/>
  <c r="HW16" i="5"/>
  <c r="HW24" i="5"/>
  <c r="HW32" i="5"/>
  <c r="HW19" i="5"/>
  <c r="HW9" i="5"/>
  <c r="HW17" i="5"/>
  <c r="HW25" i="5"/>
  <c r="HW33" i="5"/>
  <c r="HW27" i="5"/>
  <c r="HW10" i="5"/>
  <c r="HW18" i="5"/>
  <c r="HW26" i="5"/>
  <c r="HW34" i="5"/>
  <c r="HW11" i="5"/>
  <c r="HW35" i="5"/>
  <c r="HW13" i="5"/>
  <c r="HW21" i="5"/>
  <c r="HW29" i="5"/>
  <c r="HW37" i="5"/>
  <c r="HW22" i="5"/>
  <c r="U20" i="55"/>
  <c r="AC25" i="55" s="1"/>
  <c r="HW14" i="5"/>
  <c r="HW30" i="5"/>
  <c r="HW12" i="5"/>
  <c r="HW15" i="5"/>
  <c r="HW36" i="5"/>
  <c r="HW20" i="5"/>
  <c r="HW23" i="5"/>
  <c r="HW28" i="5"/>
  <c r="HW31" i="5"/>
  <c r="HW8" i="5"/>
  <c r="HO58" i="5"/>
  <c r="FL59" i="5"/>
  <c r="R17" i="44" s="1"/>
  <c r="BW70" i="55"/>
  <c r="GL9" i="5"/>
  <c r="GM9" i="5" s="1"/>
  <c r="GL21" i="5"/>
  <c r="GM21" i="5" s="1"/>
  <c r="GL33" i="5"/>
  <c r="GM33" i="5" s="1"/>
  <c r="GL10" i="5"/>
  <c r="GM10" i="5" s="1"/>
  <c r="GL22" i="5"/>
  <c r="GM22" i="5" s="1"/>
  <c r="GL34" i="5"/>
  <c r="GM34" i="5" s="1"/>
  <c r="GL11" i="5"/>
  <c r="GM11" i="5" s="1"/>
  <c r="GL23" i="5"/>
  <c r="GM23" i="5" s="1"/>
  <c r="GL35" i="5"/>
  <c r="GM35" i="5" s="1"/>
  <c r="GL12" i="5"/>
  <c r="GM12" i="5" s="1"/>
  <c r="GL24" i="5"/>
  <c r="GM24" i="5" s="1"/>
  <c r="GL36" i="5"/>
  <c r="GM36" i="5" s="1"/>
  <c r="GL13" i="5"/>
  <c r="GM13" i="5" s="1"/>
  <c r="GL25" i="5"/>
  <c r="GM25" i="5" s="1"/>
  <c r="GL37" i="5"/>
  <c r="GM37" i="5" s="1"/>
  <c r="GL14" i="5"/>
  <c r="GM14" i="5" s="1"/>
  <c r="GL26" i="5"/>
  <c r="GM26" i="5" s="1"/>
  <c r="GL15" i="5"/>
  <c r="GM15" i="5" s="1"/>
  <c r="GL27" i="5"/>
  <c r="GM27" i="5" s="1"/>
  <c r="GL16" i="5"/>
  <c r="GM16" i="5" s="1"/>
  <c r="GL28" i="5"/>
  <c r="GM28" i="5" s="1"/>
  <c r="GL17" i="5"/>
  <c r="GM17" i="5" s="1"/>
  <c r="GL29" i="5"/>
  <c r="GM29" i="5" s="1"/>
  <c r="GL18" i="5"/>
  <c r="GM18" i="5" s="1"/>
  <c r="GL30" i="5"/>
  <c r="GM30" i="5" s="1"/>
  <c r="GL19" i="5"/>
  <c r="GM19" i="5" s="1"/>
  <c r="GL31" i="5"/>
  <c r="GM31" i="5" s="1"/>
  <c r="GL20" i="5"/>
  <c r="GM20" i="5" s="1"/>
  <c r="GL32" i="5"/>
  <c r="GM32" i="5" s="1"/>
  <c r="GL8" i="5"/>
  <c r="GM8" i="5" s="1"/>
  <c r="R63" i="44"/>
  <c r="FT11" i="5"/>
  <c r="FT28" i="5"/>
  <c r="R47" i="44"/>
  <c r="R57" i="44"/>
  <c r="R65" i="44"/>
  <c r="R50" i="44"/>
  <c r="R40" i="44"/>
  <c r="FT25" i="5"/>
  <c r="FT17" i="5"/>
  <c r="CG58" i="5"/>
  <c r="CA58" i="5"/>
  <c r="R68" i="44"/>
  <c r="AP59" i="44"/>
  <c r="AY40" i="44"/>
  <c r="AZ40" i="44" s="1"/>
  <c r="AP40" i="44"/>
  <c r="AY58" i="44"/>
  <c r="AZ58" i="44" s="1"/>
  <c r="AP58" i="44"/>
  <c r="AY50" i="44"/>
  <c r="AZ50" i="44" s="1"/>
  <c r="AP50" i="44"/>
  <c r="AY56" i="44"/>
  <c r="AZ56" i="44" s="1"/>
  <c r="AP56" i="44"/>
  <c r="AY43" i="44"/>
  <c r="AZ43" i="44" s="1"/>
  <c r="AP43" i="44"/>
  <c r="AP39" i="44"/>
  <c r="AY39" i="44"/>
  <c r="AZ39" i="44" s="1"/>
  <c r="AY54" i="44"/>
  <c r="AZ54" i="44" s="1"/>
  <c r="AP54" i="44"/>
  <c r="AY57" i="44"/>
  <c r="AZ57" i="44" s="1"/>
  <c r="AP57" i="44"/>
  <c r="AY45" i="44"/>
  <c r="AZ45" i="44" s="1"/>
  <c r="AP45" i="44"/>
  <c r="AP51" i="44"/>
  <c r="AY51" i="44"/>
  <c r="AZ51" i="44" s="1"/>
  <c r="AY44" i="44"/>
  <c r="AZ44" i="44" s="1"/>
  <c r="AP44" i="44"/>
  <c r="AY42" i="44"/>
  <c r="AZ42" i="44" s="1"/>
  <c r="AP42" i="44"/>
  <c r="AY49" i="44"/>
  <c r="AZ49" i="44" s="1"/>
  <c r="AP49" i="44"/>
  <c r="AP41" i="44"/>
  <c r="AY41" i="44"/>
  <c r="AZ41" i="44" s="1"/>
  <c r="AY53" i="44"/>
  <c r="AZ53" i="44" s="1"/>
  <c r="AP53" i="44"/>
  <c r="AY52" i="44"/>
  <c r="AZ52" i="44" s="1"/>
  <c r="AP52" i="44"/>
  <c r="AY55" i="44"/>
  <c r="AZ55" i="44" s="1"/>
  <c r="AP55" i="44"/>
  <c r="AY47" i="44"/>
  <c r="AZ47" i="44" s="1"/>
  <c r="AP47" i="44"/>
  <c r="AY48" i="44"/>
  <c r="AZ48" i="44" s="1"/>
  <c r="AP48" i="44"/>
  <c r="AY46" i="44"/>
  <c r="AZ46" i="44" s="1"/>
  <c r="AP46" i="44"/>
  <c r="GA59" i="5"/>
  <c r="AX73" i="55"/>
  <c r="K15" i="44"/>
  <c r="AE62" i="44" s="1"/>
  <c r="CO73" i="55" s="1"/>
  <c r="DT61" i="5"/>
  <c r="AZ72" i="55"/>
  <c r="L16" i="44"/>
  <c r="AF61" i="44" s="1"/>
  <c r="CP72" i="55" s="1"/>
  <c r="AS71" i="55"/>
  <c r="AP59" i="5"/>
  <c r="BX59" i="5" s="1"/>
  <c r="CF59" i="5" s="1"/>
  <c r="H16" i="44"/>
  <c r="AB61" i="44" s="1"/>
  <c r="CL72" i="55" s="1"/>
  <c r="AI60" i="5"/>
  <c r="I17" i="44"/>
  <c r="AC60" i="44" s="1"/>
  <c r="FQ60" i="5" l="1"/>
  <c r="FR60" i="5" s="1"/>
  <c r="AO17" i="44"/>
  <c r="AO24" i="44"/>
  <c r="AY24" i="44" s="1"/>
  <c r="AZ24" i="44" s="1"/>
  <c r="CY35" i="55" s="1"/>
  <c r="AO31" i="44"/>
  <c r="AP31" i="44" s="1"/>
  <c r="CV42" i="55" s="1"/>
  <c r="AO15" i="44"/>
  <c r="AO14" i="44"/>
  <c r="AY14" i="44" s="1"/>
  <c r="AZ14" i="44" s="1"/>
  <c r="CY25" i="55" s="1"/>
  <c r="AO18" i="44"/>
  <c r="AY18" i="44" s="1"/>
  <c r="AZ18" i="44" s="1"/>
  <c r="CY29" i="55" s="1"/>
  <c r="AO19" i="44"/>
  <c r="AP19" i="44" s="1"/>
  <c r="CV30" i="55" s="1"/>
  <c r="AO32" i="44"/>
  <c r="AO33" i="44"/>
  <c r="AY33" i="44" s="1"/>
  <c r="AZ33" i="44" s="1"/>
  <c r="CY44" i="55" s="1"/>
  <c r="AO13" i="44"/>
  <c r="AY13" i="44" s="1"/>
  <c r="AZ13" i="44" s="1"/>
  <c r="CY24" i="55" s="1"/>
  <c r="AO37" i="44"/>
  <c r="AY37" i="44" s="1"/>
  <c r="AZ37" i="44" s="1"/>
  <c r="CY48" i="55" s="1"/>
  <c r="AO25" i="44"/>
  <c r="AO34" i="44"/>
  <c r="AY34" i="44" s="1"/>
  <c r="AZ34" i="44" s="1"/>
  <c r="CY45" i="55" s="1"/>
  <c r="AO35" i="44"/>
  <c r="AO36" i="44"/>
  <c r="AY36" i="44" s="1"/>
  <c r="AZ36" i="44" s="1"/>
  <c r="CY47" i="55" s="1"/>
  <c r="AO27" i="44"/>
  <c r="AY27" i="44" s="1"/>
  <c r="AZ27" i="44" s="1"/>
  <c r="CY38" i="55" s="1"/>
  <c r="AO28" i="44"/>
  <c r="AY28" i="44" s="1"/>
  <c r="AZ28" i="44" s="1"/>
  <c r="CY39" i="55" s="1"/>
  <c r="AO16" i="44"/>
  <c r="AP16" i="44" s="1"/>
  <c r="CV27" i="55" s="1"/>
  <c r="AO22" i="44"/>
  <c r="AY22" i="44" s="1"/>
  <c r="AZ22" i="44" s="1"/>
  <c r="CY33" i="55" s="1"/>
  <c r="AO12" i="44"/>
  <c r="AY12" i="44" s="1"/>
  <c r="AZ12" i="44" s="1"/>
  <c r="CY23" i="55" s="1"/>
  <c r="AO26" i="44"/>
  <c r="AY26" i="44" s="1"/>
  <c r="AZ26" i="44" s="1"/>
  <c r="CY37" i="55" s="1"/>
  <c r="AO20" i="44"/>
  <c r="AP20" i="44" s="1"/>
  <c r="CV31" i="55" s="1"/>
  <c r="AO23" i="44"/>
  <c r="AP23" i="44" s="1"/>
  <c r="CV34" i="55" s="1"/>
  <c r="AO21" i="44"/>
  <c r="AY21" i="44" s="1"/>
  <c r="AZ21" i="44" s="1"/>
  <c r="CY32" i="55" s="1"/>
  <c r="AO9" i="44"/>
  <c r="AP9" i="44" s="1"/>
  <c r="CV20" i="55" s="1"/>
  <c r="AO10" i="44"/>
  <c r="AY10" i="44" s="1"/>
  <c r="AZ10" i="44" s="1"/>
  <c r="CY21" i="55" s="1"/>
  <c r="AO11" i="44"/>
  <c r="AY11" i="44" s="1"/>
  <c r="AZ11" i="44" s="1"/>
  <c r="CY22" i="55" s="1"/>
  <c r="AO30" i="44"/>
  <c r="AY30" i="44" s="1"/>
  <c r="AZ30" i="44" s="1"/>
  <c r="CY41" i="55" s="1"/>
  <c r="AO38" i="44"/>
  <c r="AP38" i="44" s="1"/>
  <c r="AO29" i="44"/>
  <c r="AP29" i="44" s="1"/>
  <c r="CV40" i="55" s="1"/>
  <c r="AC20" i="55"/>
  <c r="AD20" i="55" s="1"/>
  <c r="AC21" i="55"/>
  <c r="AD21" i="55" s="1"/>
  <c r="Q45" i="55"/>
  <c r="Q38" i="55"/>
  <c r="Q31" i="55"/>
  <c r="Q36" i="55"/>
  <c r="Q37" i="55"/>
  <c r="Q44" i="55"/>
  <c r="Q33" i="55"/>
  <c r="Q30" i="55"/>
  <c r="Q25" i="55"/>
  <c r="Q28" i="55"/>
  <c r="Q35" i="55"/>
  <c r="Q26" i="55"/>
  <c r="Q29" i="55"/>
  <c r="Q48" i="55"/>
  <c r="Q42" i="55"/>
  <c r="Q39" i="55"/>
  <c r="Q43" i="55"/>
  <c r="Q47" i="55"/>
  <c r="Q46" i="55"/>
  <c r="Q32" i="55"/>
  <c r="Q27" i="55"/>
  <c r="Q49" i="55"/>
  <c r="Q41" i="55"/>
  <c r="Q40" i="55"/>
  <c r="FZ60" i="5"/>
  <c r="GD60" i="5" s="1"/>
  <c r="M32" i="55"/>
  <c r="M33" i="55"/>
  <c r="M34" i="55"/>
  <c r="M35" i="55"/>
  <c r="M31" i="55"/>
  <c r="M29" i="55"/>
  <c r="M30" i="55"/>
  <c r="M37" i="55"/>
  <c r="M48" i="55"/>
  <c r="M44" i="55"/>
  <c r="M40" i="55"/>
  <c r="N20" i="55"/>
  <c r="N26" i="55"/>
  <c r="N31" i="55"/>
  <c r="N21" i="55"/>
  <c r="N38" i="55"/>
  <c r="N43" i="55"/>
  <c r="N33" i="55"/>
  <c r="N27" i="55"/>
  <c r="N32" i="55"/>
  <c r="N45" i="55"/>
  <c r="N39" i="55"/>
  <c r="N44" i="55"/>
  <c r="N34" i="55"/>
  <c r="N42" i="55"/>
  <c r="N35" i="55"/>
  <c r="N23" i="55"/>
  <c r="N49" i="55"/>
  <c r="N36" i="55"/>
  <c r="N22" i="55"/>
  <c r="N28" i="55"/>
  <c r="N46" i="55"/>
  <c r="N40" i="55"/>
  <c r="N47" i="55"/>
  <c r="N41" i="55"/>
  <c r="N29" i="55"/>
  <c r="N37" i="55"/>
  <c r="N30" i="55"/>
  <c r="N24" i="55"/>
  <c r="N48" i="55"/>
  <c r="N25" i="55"/>
  <c r="M36" i="55"/>
  <c r="M46" i="55"/>
  <c r="M47" i="55"/>
  <c r="M42" i="55"/>
  <c r="M38" i="55"/>
  <c r="M43" i="55"/>
  <c r="M39" i="55"/>
  <c r="M49" i="55"/>
  <c r="M45" i="55"/>
  <c r="M41" i="55"/>
  <c r="AC23" i="55"/>
  <c r="AD23" i="55" s="1"/>
  <c r="AC31" i="55"/>
  <c r="AD31" i="55" s="1"/>
  <c r="AC39" i="55"/>
  <c r="AD39" i="55" s="1"/>
  <c r="AC47" i="55"/>
  <c r="AD47" i="55" s="1"/>
  <c r="AC34" i="55"/>
  <c r="AD34" i="55" s="1"/>
  <c r="AC43" i="55"/>
  <c r="AD43" i="55" s="1"/>
  <c r="AC28" i="55"/>
  <c r="AD28" i="55" s="1"/>
  <c r="AC37" i="55"/>
  <c r="AD37" i="55" s="1"/>
  <c r="AC46" i="55"/>
  <c r="AD46" i="55" s="1"/>
  <c r="AC24" i="55"/>
  <c r="AD24" i="55" s="1"/>
  <c r="AC32" i="55"/>
  <c r="AD32" i="55" s="1"/>
  <c r="AC40" i="55"/>
  <c r="AD40" i="55" s="1"/>
  <c r="AC48" i="55"/>
  <c r="AD48" i="55" s="1"/>
  <c r="AC27" i="55"/>
  <c r="AD27" i="55" s="1"/>
  <c r="AC44" i="55"/>
  <c r="AD44" i="55" s="1"/>
  <c r="AC29" i="55"/>
  <c r="AD29" i="55" s="1"/>
  <c r="AC38" i="55"/>
  <c r="AD38" i="55" s="1"/>
  <c r="AD25" i="55"/>
  <c r="AC33" i="55"/>
  <c r="AD33" i="55" s="1"/>
  <c r="AC41" i="55"/>
  <c r="AD41" i="55" s="1"/>
  <c r="AC49" i="55"/>
  <c r="AD49" i="55" s="1"/>
  <c r="AC26" i="55"/>
  <c r="AD26" i="55" s="1"/>
  <c r="AC42" i="55"/>
  <c r="AD42" i="55" s="1"/>
  <c r="AC35" i="55"/>
  <c r="AD35" i="55" s="1"/>
  <c r="AC36" i="55"/>
  <c r="AD36" i="55" s="1"/>
  <c r="AC45" i="55"/>
  <c r="AD45" i="55" s="1"/>
  <c r="AC30" i="55"/>
  <c r="AD30" i="55" s="1"/>
  <c r="AC22" i="55"/>
  <c r="AD22" i="55" s="1"/>
  <c r="V20" i="55"/>
  <c r="FL60" i="5"/>
  <c r="IA17" i="5"/>
  <c r="HX15" i="5"/>
  <c r="HX21" i="5"/>
  <c r="HX27" i="5"/>
  <c r="HX16" i="5"/>
  <c r="IA28" i="5"/>
  <c r="IA32" i="5"/>
  <c r="IA30" i="5"/>
  <c r="HX29" i="5"/>
  <c r="HX12" i="5"/>
  <c r="HX13" i="5"/>
  <c r="HX33" i="5"/>
  <c r="IA34" i="5"/>
  <c r="IA20" i="5"/>
  <c r="IA24" i="5"/>
  <c r="IA22" i="5"/>
  <c r="HX10" i="5"/>
  <c r="HX8" i="5"/>
  <c r="HX30" i="5"/>
  <c r="HX35" i="5"/>
  <c r="HX25" i="5"/>
  <c r="IA26" i="5"/>
  <c r="IA35" i="5"/>
  <c r="IA16" i="5"/>
  <c r="IA14" i="5"/>
  <c r="IA9" i="5"/>
  <c r="HX31" i="5"/>
  <c r="HX14" i="5"/>
  <c r="HX11" i="5"/>
  <c r="HX17" i="5"/>
  <c r="IA18" i="5"/>
  <c r="IA27" i="5"/>
  <c r="IA31" i="5"/>
  <c r="IA37" i="5"/>
  <c r="IA36" i="5"/>
  <c r="HX28" i="5"/>
  <c r="HX34" i="5"/>
  <c r="HX9" i="5"/>
  <c r="IA10" i="5"/>
  <c r="IA19" i="5"/>
  <c r="IA23" i="5"/>
  <c r="IA29" i="5"/>
  <c r="HX24" i="5"/>
  <c r="HX23" i="5"/>
  <c r="HX22" i="5"/>
  <c r="HX26" i="5"/>
  <c r="HX19" i="5"/>
  <c r="IA8" i="5"/>
  <c r="IA11" i="5"/>
  <c r="IA15" i="5"/>
  <c r="IA21" i="5"/>
  <c r="HX36" i="5"/>
  <c r="HX20" i="5"/>
  <c r="HX37" i="5"/>
  <c r="HX18" i="5"/>
  <c r="HX32" i="5"/>
  <c r="IA12" i="5"/>
  <c r="IA33" i="5"/>
  <c r="IA25" i="5"/>
  <c r="IA13" i="5"/>
  <c r="FX59" i="5"/>
  <c r="GB59" i="5" s="1"/>
  <c r="P18" i="44"/>
  <c r="AW59" i="44" s="1"/>
  <c r="FT24" i="5"/>
  <c r="FT29" i="5"/>
  <c r="FT36" i="5"/>
  <c r="FT18" i="5"/>
  <c r="FT16" i="5"/>
  <c r="DY61" i="5"/>
  <c r="DZ61" i="5" s="1"/>
  <c r="FT27" i="5"/>
  <c r="FT10" i="5"/>
  <c r="FT35" i="5"/>
  <c r="FT14" i="5"/>
  <c r="FT30" i="5"/>
  <c r="FT15" i="5"/>
  <c r="FT20" i="5"/>
  <c r="FT13" i="5"/>
  <c r="FT37" i="5"/>
  <c r="AG27" i="14" s="1"/>
  <c r="AI27" i="14" s="1"/>
  <c r="FT12" i="5"/>
  <c r="FT19" i="5"/>
  <c r="FT9" i="5"/>
  <c r="FT34" i="5"/>
  <c r="FT32" i="5"/>
  <c r="FT21" i="5"/>
  <c r="FT31" i="5"/>
  <c r="FT23" i="5"/>
  <c r="FT22" i="5"/>
  <c r="FT33" i="5"/>
  <c r="FT26" i="5"/>
  <c r="AY25" i="44"/>
  <c r="AZ25" i="44" s="1"/>
  <c r="CY36" i="55" s="1"/>
  <c r="AY32" i="44"/>
  <c r="AZ32" i="44" s="1"/>
  <c r="CY43" i="55" s="1"/>
  <c r="AP15" i="44"/>
  <c r="CV26" i="55" s="1"/>
  <c r="AY17" i="44"/>
  <c r="AZ17" i="44" s="1"/>
  <c r="CY28" i="55" s="1"/>
  <c r="AN60" i="5"/>
  <c r="AO60" i="5" s="1"/>
  <c r="DU61" i="5"/>
  <c r="AY73" i="55"/>
  <c r="BX71" i="55"/>
  <c r="AY60" i="44"/>
  <c r="AP60" i="44"/>
  <c r="AT60" i="44"/>
  <c r="CM71" i="55"/>
  <c r="AQ73" i="55"/>
  <c r="AR72" i="55"/>
  <c r="AJ60" i="5"/>
  <c r="AR59" i="44"/>
  <c r="AY9" i="44" l="1"/>
  <c r="BD9" i="44" s="1"/>
  <c r="AU9" i="44"/>
  <c r="CX20" i="55" s="1"/>
  <c r="AT9" i="44"/>
  <c r="AT10" i="44" s="1"/>
  <c r="AT11" i="44" s="1"/>
  <c r="AT12" i="44" s="1"/>
  <c r="AT13" i="44" s="1"/>
  <c r="AT14" i="44" s="1"/>
  <c r="AT15" i="44" s="1"/>
  <c r="AT16" i="44" s="1"/>
  <c r="AT17" i="44" s="1"/>
  <c r="AT18" i="44" s="1"/>
  <c r="AT19" i="44" s="1"/>
  <c r="AT20" i="44" s="1"/>
  <c r="AT21" i="44" s="1"/>
  <c r="AT22" i="44" s="1"/>
  <c r="AT23" i="44" s="1"/>
  <c r="AT24" i="44" s="1"/>
  <c r="AT25" i="44" s="1"/>
  <c r="AT26" i="44" s="1"/>
  <c r="AT27" i="44" s="1"/>
  <c r="AT28" i="44" s="1"/>
  <c r="AT29" i="44" s="1"/>
  <c r="AT30" i="44" s="1"/>
  <c r="AT31" i="44" s="1"/>
  <c r="AT32" i="44" s="1"/>
  <c r="AT33" i="44" s="1"/>
  <c r="AT34" i="44" s="1"/>
  <c r="AT35" i="44" s="1"/>
  <c r="AT36" i="44" s="1"/>
  <c r="AT37" i="44" s="1"/>
  <c r="AT38" i="44" s="1"/>
  <c r="AT39" i="44" s="1"/>
  <c r="AT40" i="44" s="1"/>
  <c r="AT41" i="44" s="1"/>
  <c r="AT42" i="44" s="1"/>
  <c r="AT43" i="44" s="1"/>
  <c r="AT44" i="44" s="1"/>
  <c r="AT45" i="44" s="1"/>
  <c r="AT46" i="44" s="1"/>
  <c r="AT47" i="44" s="1"/>
  <c r="AT48" i="44" s="1"/>
  <c r="AT49" i="44" s="1"/>
  <c r="AT50" i="44" s="1"/>
  <c r="AT51" i="44" s="1"/>
  <c r="AT52" i="44" s="1"/>
  <c r="AT53" i="44" s="1"/>
  <c r="AT54" i="44" s="1"/>
  <c r="AT55" i="44" s="1"/>
  <c r="AT56" i="44" s="1"/>
  <c r="AT57" i="44" s="1"/>
  <c r="AT58" i="44" s="1"/>
  <c r="AT59" i="44" s="1"/>
  <c r="GA60" i="5"/>
  <c r="BX72" i="55" s="1"/>
  <c r="HQ60" i="5"/>
  <c r="R16" i="44"/>
  <c r="AY61" i="44" s="1"/>
  <c r="AG23" i="55"/>
  <c r="AG31" i="55"/>
  <c r="AG39" i="55"/>
  <c r="AG47" i="55"/>
  <c r="AG34" i="55"/>
  <c r="AG27" i="55"/>
  <c r="AG28" i="55"/>
  <c r="AG37" i="55"/>
  <c r="AG24" i="55"/>
  <c r="AG32" i="55"/>
  <c r="AG40" i="55"/>
  <c r="AG48" i="55"/>
  <c r="AG43" i="55"/>
  <c r="AG44" i="55"/>
  <c r="AG45" i="55"/>
  <c r="AG25" i="55"/>
  <c r="AG33" i="55"/>
  <c r="AG41" i="55"/>
  <c r="AG49" i="55"/>
  <c r="AG26" i="55"/>
  <c r="AG42" i="55"/>
  <c r="AG35" i="55"/>
  <c r="AG36" i="55"/>
  <c r="AG29" i="55"/>
  <c r="AG22" i="55"/>
  <c r="AG30" i="55"/>
  <c r="AG38" i="55"/>
  <c r="AG46" i="55"/>
  <c r="HO59" i="5"/>
  <c r="BW71" i="55"/>
  <c r="BD10" i="44"/>
  <c r="BD11" i="44" s="1"/>
  <c r="BD12" i="44" s="1"/>
  <c r="BD13" i="44" s="1"/>
  <c r="BD14" i="44" s="1"/>
  <c r="AY38" i="44"/>
  <c r="AZ38" i="44" s="1"/>
  <c r="AY31" i="44"/>
  <c r="AZ31" i="44" s="1"/>
  <c r="CY42" i="55" s="1"/>
  <c r="AP25" i="44"/>
  <c r="CV36" i="55" s="1"/>
  <c r="AP21" i="44"/>
  <c r="CV32" i="55" s="1"/>
  <c r="AP10" i="44"/>
  <c r="AP32" i="44"/>
  <c r="CV43" i="55" s="1"/>
  <c r="AY23" i="44"/>
  <c r="AZ23" i="44" s="1"/>
  <c r="CY34" i="55" s="1"/>
  <c r="AY15" i="44"/>
  <c r="AZ15" i="44" s="1"/>
  <c r="CY26" i="55" s="1"/>
  <c r="AP22" i="44"/>
  <c r="CV33" i="55" s="1"/>
  <c r="AP14" i="44"/>
  <c r="CV25" i="55" s="1"/>
  <c r="CG59" i="5"/>
  <c r="AP37" i="44"/>
  <c r="CV48" i="55" s="1"/>
  <c r="AP33" i="44"/>
  <c r="CV44" i="55" s="1"/>
  <c r="AY16" i="44"/>
  <c r="AZ16" i="44" s="1"/>
  <c r="CY27" i="55" s="1"/>
  <c r="AP12" i="44"/>
  <c r="CV23" i="55" s="1"/>
  <c r="AP18" i="44"/>
  <c r="CV29" i="55" s="1"/>
  <c r="AY20" i="44"/>
  <c r="AZ20" i="44" s="1"/>
  <c r="CY31" i="55" s="1"/>
  <c r="AP28" i="44"/>
  <c r="CV39" i="55" s="1"/>
  <c r="AP26" i="44"/>
  <c r="CV37" i="55" s="1"/>
  <c r="AP36" i="44"/>
  <c r="CV47" i="55" s="1"/>
  <c r="AP34" i="44"/>
  <c r="CV45" i="55" s="1"/>
  <c r="AP11" i="44"/>
  <c r="CV22" i="55" s="1"/>
  <c r="AP27" i="44"/>
  <c r="CV38" i="55" s="1"/>
  <c r="AZ9" i="44"/>
  <c r="CA59" i="5"/>
  <c r="P17" i="44" s="1"/>
  <c r="AY19" i="44"/>
  <c r="AZ19" i="44" s="1"/>
  <c r="CY30" i="55" s="1"/>
  <c r="AY35" i="44"/>
  <c r="AZ35" i="44" s="1"/>
  <c r="CY46" i="55" s="1"/>
  <c r="AP35" i="44"/>
  <c r="CV46" i="55" s="1"/>
  <c r="AP13" i="44"/>
  <c r="CV24" i="55" s="1"/>
  <c r="AP17" i="44"/>
  <c r="CV28" i="55" s="1"/>
  <c r="AP30" i="44"/>
  <c r="CV41" i="55" s="1"/>
  <c r="AP24" i="44"/>
  <c r="CV35" i="55" s="1"/>
  <c r="AY29" i="44"/>
  <c r="AZ29" i="44" s="1"/>
  <c r="CY40" i="55" s="1"/>
  <c r="AU60" i="44"/>
  <c r="AZ60" i="44"/>
  <c r="BD60" i="44"/>
  <c r="AX74" i="55"/>
  <c r="K14" i="44"/>
  <c r="AE63" i="44" s="1"/>
  <c r="CO74" i="55" s="1"/>
  <c r="DT62" i="5"/>
  <c r="AT61" i="44"/>
  <c r="EA61" i="5"/>
  <c r="FI61" i="5" s="1"/>
  <c r="FQ61" i="5" s="1"/>
  <c r="AZ73" i="55"/>
  <c r="L15" i="44"/>
  <c r="AF62" i="44" s="1"/>
  <c r="CP73" i="55" s="1"/>
  <c r="AS72" i="55"/>
  <c r="I16" i="44"/>
  <c r="AC61" i="44" s="1"/>
  <c r="AP60" i="5"/>
  <c r="BX60" i="5" s="1"/>
  <c r="CF60" i="5" s="1"/>
  <c r="AI61" i="5"/>
  <c r="H15" i="44"/>
  <c r="AB62" i="44" s="1"/>
  <c r="CL73" i="55" s="1"/>
  <c r="BE9" i="44" l="1"/>
  <c r="DA20" i="55" s="1"/>
  <c r="CY20" i="55"/>
  <c r="AU10" i="44"/>
  <c r="CV21" i="55"/>
  <c r="AP61" i="44"/>
  <c r="AU61" i="44" s="1"/>
  <c r="FZ61" i="5"/>
  <c r="GD61" i="5" s="1"/>
  <c r="FR61" i="5"/>
  <c r="BD15" i="44"/>
  <c r="BD16" i="44" s="1"/>
  <c r="BD17" i="44" s="1"/>
  <c r="BD18" i="44" s="1"/>
  <c r="BD19" i="44" s="1"/>
  <c r="BD20" i="44" s="1"/>
  <c r="BD21" i="44" s="1"/>
  <c r="BD22" i="44" s="1"/>
  <c r="BD23" i="44" s="1"/>
  <c r="BD24" i="44" s="1"/>
  <c r="BD25" i="44" s="1"/>
  <c r="BD26" i="44" s="1"/>
  <c r="BD27" i="44" s="1"/>
  <c r="BD28" i="44" s="1"/>
  <c r="BD29" i="44" s="1"/>
  <c r="BD30" i="44" s="1"/>
  <c r="BD31" i="44" s="1"/>
  <c r="BD32" i="44" s="1"/>
  <c r="BD33" i="44" s="1"/>
  <c r="BD34" i="44" s="1"/>
  <c r="BD35" i="44" s="1"/>
  <c r="BD36" i="44" s="1"/>
  <c r="BD37" i="44" s="1"/>
  <c r="BD38" i="44" s="1"/>
  <c r="BD39" i="44" s="1"/>
  <c r="BD40" i="44" s="1"/>
  <c r="BD41" i="44" s="1"/>
  <c r="BD42" i="44" s="1"/>
  <c r="BD43" i="44" s="1"/>
  <c r="BD44" i="44" s="1"/>
  <c r="BD45" i="44" s="1"/>
  <c r="BD46" i="44" s="1"/>
  <c r="BD47" i="44" s="1"/>
  <c r="BD48" i="44" s="1"/>
  <c r="BD49" i="44" s="1"/>
  <c r="BD50" i="44" s="1"/>
  <c r="BD51" i="44" s="1"/>
  <c r="BD52" i="44" s="1"/>
  <c r="BD53" i="44" s="1"/>
  <c r="BD54" i="44" s="1"/>
  <c r="BD55" i="44" s="1"/>
  <c r="BD56" i="44" s="1"/>
  <c r="BD57" i="44" s="1"/>
  <c r="BD58" i="44" s="1"/>
  <c r="BD59" i="44" s="1"/>
  <c r="FX60" i="5"/>
  <c r="GB60" i="5" s="1"/>
  <c r="DY62" i="5"/>
  <c r="DZ62" i="5" s="1"/>
  <c r="AN61" i="5"/>
  <c r="AO61" i="5" s="1"/>
  <c r="AZ61" i="44"/>
  <c r="BD61" i="44"/>
  <c r="AY74" i="55"/>
  <c r="DU62" i="5"/>
  <c r="CM72" i="55"/>
  <c r="AW60" i="44"/>
  <c r="AQ74" i="55"/>
  <c r="AR73" i="55"/>
  <c r="AJ61" i="5"/>
  <c r="AR60" i="44"/>
  <c r="CX21" i="55" l="1"/>
  <c r="BE10" i="44"/>
  <c r="DA21" i="55" s="1"/>
  <c r="AU11" i="44"/>
  <c r="AU12" i="44" s="1"/>
  <c r="HQ61" i="5"/>
  <c r="HO60" i="5"/>
  <c r="BW72" i="55"/>
  <c r="FL61" i="5"/>
  <c r="R15" i="44" s="1"/>
  <c r="CG60" i="5"/>
  <c r="CA60" i="5"/>
  <c r="AX75" i="55"/>
  <c r="K13" i="44"/>
  <c r="AE64" i="44" s="1"/>
  <c r="CO75" i="55" s="1"/>
  <c r="DT63" i="5"/>
  <c r="AZ74" i="55"/>
  <c r="L14" i="44"/>
  <c r="AF63" i="44" s="1"/>
  <c r="CP74" i="55" s="1"/>
  <c r="EA62" i="5"/>
  <c r="FI62" i="5" s="1"/>
  <c r="FQ62" i="5" s="1"/>
  <c r="GA61" i="5"/>
  <c r="AS73" i="55"/>
  <c r="I15" i="44"/>
  <c r="AC62" i="44" s="1"/>
  <c r="H14" i="44"/>
  <c r="AB63" i="44" s="1"/>
  <c r="CL74" i="55" s="1"/>
  <c r="AI62" i="5"/>
  <c r="AP61" i="5"/>
  <c r="BX61" i="5" s="1"/>
  <c r="CF61" i="5" s="1"/>
  <c r="AU13" i="44" l="1"/>
  <c r="CX24" i="55" s="1"/>
  <c r="CX22" i="55"/>
  <c r="BE11" i="44"/>
  <c r="BE12" i="44" s="1"/>
  <c r="DA23" i="55" s="1"/>
  <c r="FZ62" i="5"/>
  <c r="GD62" i="5" s="1"/>
  <c r="FX61" i="5"/>
  <c r="GB61" i="5" s="1"/>
  <c r="P16" i="44"/>
  <c r="AW61" i="44" s="1"/>
  <c r="CX23" i="55"/>
  <c r="FR62" i="5"/>
  <c r="DY63" i="5"/>
  <c r="DZ63" i="5" s="1"/>
  <c r="AN62" i="5"/>
  <c r="AO62" i="5" s="1"/>
  <c r="BX73" i="55"/>
  <c r="AT62" i="44"/>
  <c r="AY62" i="44"/>
  <c r="AP62" i="44"/>
  <c r="AU62" i="44" s="1"/>
  <c r="DU63" i="5"/>
  <c r="AY75" i="55"/>
  <c r="CM73" i="55"/>
  <c r="AQ75" i="55"/>
  <c r="AR74" i="55"/>
  <c r="AR61" i="44"/>
  <c r="AJ62" i="5"/>
  <c r="AU14" i="44" l="1"/>
  <c r="DA22" i="55"/>
  <c r="BE13" i="44"/>
  <c r="DA24" i="55" s="1"/>
  <c r="HQ62" i="5"/>
  <c r="HO61" i="5"/>
  <c r="BW73" i="55"/>
  <c r="AP62" i="5"/>
  <c r="BX62" i="5" s="1"/>
  <c r="CF62" i="5" s="1"/>
  <c r="FL62" i="5"/>
  <c r="R14" i="44" s="1"/>
  <c r="CG61" i="5"/>
  <c r="CA61" i="5"/>
  <c r="P15" i="44" s="1"/>
  <c r="L13" i="44"/>
  <c r="AF64" i="44" s="1"/>
  <c r="CP75" i="55" s="1"/>
  <c r="AZ75" i="55"/>
  <c r="DT64" i="5"/>
  <c r="AX76" i="55"/>
  <c r="K12" i="44"/>
  <c r="AE65" i="44" s="1"/>
  <c r="CO76" i="55" s="1"/>
  <c r="GA62" i="5"/>
  <c r="AZ62" i="44"/>
  <c r="BD62" i="44"/>
  <c r="EA63" i="5"/>
  <c r="FI63" i="5" s="1"/>
  <c r="FQ63" i="5" s="1"/>
  <c r="AS74" i="55"/>
  <c r="I14" i="44"/>
  <c r="AC63" i="44" s="1"/>
  <c r="H13" i="44"/>
  <c r="AB64" i="44" s="1"/>
  <c r="CL75" i="55" s="1"/>
  <c r="AI63" i="5"/>
  <c r="BE14" i="44" l="1"/>
  <c r="BE15" i="44" s="1"/>
  <c r="DA26" i="55" s="1"/>
  <c r="AU15" i="44"/>
  <c r="CX25" i="55"/>
  <c r="FZ63" i="5"/>
  <c r="GD63" i="5" s="1"/>
  <c r="CA62" i="5"/>
  <c r="FX62" i="5"/>
  <c r="GB62" i="5" s="1"/>
  <c r="BW74" i="55"/>
  <c r="FR63" i="5"/>
  <c r="DY64" i="5"/>
  <c r="DZ64" i="5" s="1"/>
  <c r="AN63" i="5"/>
  <c r="AO63" i="5" s="1"/>
  <c r="BX74" i="55"/>
  <c r="AY63" i="44"/>
  <c r="AP63" i="44"/>
  <c r="AU63" i="44" s="1"/>
  <c r="AY76" i="55"/>
  <c r="DU64" i="5"/>
  <c r="AT63" i="44"/>
  <c r="CM74" i="55"/>
  <c r="AW62" i="44"/>
  <c r="AQ76" i="55"/>
  <c r="AR75" i="55"/>
  <c r="AJ63" i="5"/>
  <c r="P14" i="44"/>
  <c r="AR62" i="44"/>
  <c r="DA25" i="55" l="1"/>
  <c r="BE16" i="44"/>
  <c r="BE17" i="44" s="1"/>
  <c r="AU16" i="44"/>
  <c r="CX26" i="55"/>
  <c r="HQ63" i="5"/>
  <c r="CG62" i="5"/>
  <c r="HO62" i="5"/>
  <c r="FL63" i="5"/>
  <c r="R13" i="44" s="1"/>
  <c r="DT65" i="5"/>
  <c r="AX77" i="55"/>
  <c r="K11" i="44"/>
  <c r="AE66" i="44" s="1"/>
  <c r="CO77" i="55" s="1"/>
  <c r="AZ76" i="55"/>
  <c r="L12" i="44"/>
  <c r="AF65" i="44" s="1"/>
  <c r="CP76" i="55" s="1"/>
  <c r="GA63" i="5"/>
  <c r="AZ63" i="44"/>
  <c r="BD63" i="44"/>
  <c r="EA64" i="5"/>
  <c r="FI64" i="5" s="1"/>
  <c r="FQ64" i="5" s="1"/>
  <c r="AW63" i="44"/>
  <c r="AS75" i="55"/>
  <c r="AP63" i="5"/>
  <c r="BX63" i="5" s="1"/>
  <c r="CF63" i="5" s="1"/>
  <c r="AI64" i="5"/>
  <c r="H12" i="44"/>
  <c r="AB65" i="44" s="1"/>
  <c r="CL76" i="55" s="1"/>
  <c r="I13" i="44"/>
  <c r="AC64" i="44" s="1"/>
  <c r="AR63" i="44"/>
  <c r="DA27" i="55" l="1"/>
  <c r="CX27" i="55"/>
  <c r="AU17" i="44"/>
  <c r="FZ64" i="5"/>
  <c r="GD64" i="5" s="1"/>
  <c r="FR64" i="5"/>
  <c r="FX63" i="5"/>
  <c r="GB63" i="5" s="1"/>
  <c r="DY65" i="5"/>
  <c r="DZ65" i="5" s="1"/>
  <c r="AN64" i="5"/>
  <c r="AO64" i="5" s="1"/>
  <c r="DA28" i="55"/>
  <c r="BE18" i="44"/>
  <c r="BX75" i="55"/>
  <c r="AY64" i="44"/>
  <c r="AP64" i="44"/>
  <c r="AU64" i="44" s="1"/>
  <c r="AT64" i="44"/>
  <c r="AY77" i="55"/>
  <c r="DU65" i="5"/>
  <c r="CM75" i="55"/>
  <c r="AQ77" i="55"/>
  <c r="AR76" i="55"/>
  <c r="AJ64" i="5"/>
  <c r="AU18" i="44" l="1"/>
  <c r="CX28" i="55"/>
  <c r="HQ64" i="5"/>
  <c r="FL64" i="5"/>
  <c r="R12" i="44" s="1"/>
  <c r="AT65" i="44" s="1"/>
  <c r="HO63" i="5"/>
  <c r="BW75" i="55"/>
  <c r="CG63" i="5"/>
  <c r="CA63" i="5"/>
  <c r="P13" i="44" s="1"/>
  <c r="DA29" i="55"/>
  <c r="BE19" i="44"/>
  <c r="AZ77" i="55"/>
  <c r="L11" i="44"/>
  <c r="AF66" i="44" s="1"/>
  <c r="CP77" i="55" s="1"/>
  <c r="GA64" i="5"/>
  <c r="AZ64" i="44"/>
  <c r="BD64" i="44"/>
  <c r="EA65" i="5"/>
  <c r="FI65" i="5" s="1"/>
  <c r="FQ65" i="5" s="1"/>
  <c r="AX78" i="55"/>
  <c r="K10" i="44"/>
  <c r="AE67" i="44" s="1"/>
  <c r="CO78" i="55" s="1"/>
  <c r="DT66" i="5"/>
  <c r="AS76" i="55"/>
  <c r="AP64" i="5"/>
  <c r="BX64" i="5" s="1"/>
  <c r="CF64" i="5" s="1"/>
  <c r="I12" i="44"/>
  <c r="AC65" i="44" s="1"/>
  <c r="AI65" i="5"/>
  <c r="H11" i="44"/>
  <c r="AB66" i="44" s="1"/>
  <c r="CL77" i="55" s="1"/>
  <c r="AU19" i="44" l="1"/>
  <c r="CX29" i="55"/>
  <c r="FZ65" i="5"/>
  <c r="GD65" i="5" s="1"/>
  <c r="FR65" i="5"/>
  <c r="FX64" i="5"/>
  <c r="GB64" i="5" s="1"/>
  <c r="DY66" i="5"/>
  <c r="DZ66" i="5" s="1"/>
  <c r="AN65" i="5"/>
  <c r="AO65" i="5" s="1"/>
  <c r="DA30" i="55"/>
  <c r="BE20" i="44"/>
  <c r="BX76" i="55"/>
  <c r="DU66" i="5"/>
  <c r="AY78" i="55"/>
  <c r="AY65" i="44"/>
  <c r="AP65" i="44"/>
  <c r="AU65" i="44" s="1"/>
  <c r="CM76" i="55"/>
  <c r="AW64" i="44"/>
  <c r="AQ78" i="55"/>
  <c r="AR77" i="55"/>
  <c r="AR64" i="44"/>
  <c r="AJ65" i="5"/>
  <c r="AU20" i="44" l="1"/>
  <c r="CX30" i="55"/>
  <c r="HQ65" i="5"/>
  <c r="HO64" i="5"/>
  <c r="FL65" i="5"/>
  <c r="R11" i="44" s="1"/>
  <c r="BW76" i="55"/>
  <c r="EA66" i="5"/>
  <c r="FI66" i="5" s="1"/>
  <c r="FQ66" i="5" s="1"/>
  <c r="CG64" i="5"/>
  <c r="CA64" i="5"/>
  <c r="P12" i="44" s="1"/>
  <c r="DA31" i="55"/>
  <c r="BE21" i="44"/>
  <c r="AZ65" i="44"/>
  <c r="BD65" i="44"/>
  <c r="AX79" i="55"/>
  <c r="DT67" i="5"/>
  <c r="K9" i="44"/>
  <c r="AE68" i="44" s="1"/>
  <c r="CO79" i="55" s="1"/>
  <c r="AZ78" i="55"/>
  <c r="L10" i="44"/>
  <c r="AF67" i="44" s="1"/>
  <c r="CP78" i="55" s="1"/>
  <c r="GA65" i="5"/>
  <c r="AS77" i="55"/>
  <c r="H10" i="44"/>
  <c r="AB67" i="44" s="1"/>
  <c r="CL78" i="55" s="1"/>
  <c r="AI66" i="5"/>
  <c r="AP65" i="5"/>
  <c r="BX65" i="5" s="1"/>
  <c r="CF65" i="5" s="1"/>
  <c r="I11" i="44"/>
  <c r="AC66" i="44" s="1"/>
  <c r="AU21" i="44" l="1"/>
  <c r="CX31" i="55"/>
  <c r="CA65" i="5"/>
  <c r="FX65" i="5"/>
  <c r="GB65" i="5" s="1"/>
  <c r="FZ66" i="5"/>
  <c r="GD66" i="5" s="1"/>
  <c r="DY67" i="5"/>
  <c r="DZ67" i="5" s="1"/>
  <c r="AN66" i="5"/>
  <c r="AO66" i="5" s="1"/>
  <c r="DA32" i="55"/>
  <c r="BE22" i="44"/>
  <c r="AY66" i="44"/>
  <c r="AP66" i="44"/>
  <c r="AU66" i="44" s="1"/>
  <c r="AT66" i="44"/>
  <c r="DU67" i="5"/>
  <c r="AY79" i="55"/>
  <c r="BX77" i="55"/>
  <c r="CM77" i="55"/>
  <c r="AW65" i="44"/>
  <c r="AQ79" i="55"/>
  <c r="AR78" i="55"/>
  <c r="AJ66" i="5"/>
  <c r="AR65" i="44"/>
  <c r="AU22" i="44" l="1"/>
  <c r="CX32" i="55"/>
  <c r="HQ66" i="5"/>
  <c r="HO65" i="5"/>
  <c r="FR66" i="5"/>
  <c r="FL66" i="5"/>
  <c r="BW77" i="55"/>
  <c r="GA66" i="5"/>
  <c r="BX78" i="55" s="1"/>
  <c r="CG65" i="5"/>
  <c r="DA33" i="55"/>
  <c r="BE23" i="44"/>
  <c r="AT67" i="44"/>
  <c r="L9" i="44"/>
  <c r="AF68" i="44" s="1"/>
  <c r="AZ79" i="55"/>
  <c r="EA67" i="5"/>
  <c r="FI67" i="5" s="1"/>
  <c r="FQ67" i="5" s="1"/>
  <c r="AZ66" i="44"/>
  <c r="BD66" i="44"/>
  <c r="BD67" i="44" s="1"/>
  <c r="AS78" i="55"/>
  <c r="I10" i="44"/>
  <c r="AC67" i="44" s="1"/>
  <c r="P11" i="44"/>
  <c r="H9" i="44"/>
  <c r="AB68" i="44" s="1"/>
  <c r="CL79" i="55" s="1"/>
  <c r="AI67" i="5"/>
  <c r="AP66" i="5"/>
  <c r="BX66" i="5" s="1"/>
  <c r="CF66" i="5" s="1"/>
  <c r="AU23" i="44" l="1"/>
  <c r="CX33" i="55"/>
  <c r="FZ67" i="5"/>
  <c r="GD67" i="5" s="1"/>
  <c r="R10" i="44"/>
  <c r="CA66" i="5"/>
  <c r="FX66" i="5"/>
  <c r="GB66" i="5" s="1"/>
  <c r="FR67" i="5"/>
  <c r="AN67" i="5"/>
  <c r="AO67" i="5" s="1"/>
  <c r="DA34" i="55"/>
  <c r="BE24" i="44"/>
  <c r="CP79" i="55"/>
  <c r="CM78" i="55"/>
  <c r="AW66" i="44"/>
  <c r="AR79" i="55"/>
  <c r="AJ67" i="5"/>
  <c r="AR66" i="44"/>
  <c r="AU24" i="44" l="1"/>
  <c r="CX34" i="55"/>
  <c r="HQ67" i="5"/>
  <c r="HO66" i="5"/>
  <c r="AY67" i="44"/>
  <c r="AZ67" i="44" s="1"/>
  <c r="AP67" i="44"/>
  <c r="AU67" i="44" s="1"/>
  <c r="BW78" i="55"/>
  <c r="FL67" i="5"/>
  <c r="R9" i="44" s="1"/>
  <c r="CG66" i="5"/>
  <c r="DA35" i="55"/>
  <c r="BE25" i="44"/>
  <c r="GA67" i="5"/>
  <c r="AS79" i="55"/>
  <c r="AP67" i="5"/>
  <c r="BX67" i="5" s="1"/>
  <c r="CF67" i="5" s="1"/>
  <c r="I9" i="44"/>
  <c r="AC68" i="44" s="1"/>
  <c r="P10" i="44"/>
  <c r="AU25" i="44" l="1"/>
  <c r="CX35" i="55"/>
  <c r="FX67" i="5"/>
  <c r="GB67" i="5" s="1"/>
  <c r="DA36" i="55"/>
  <c r="BE26" i="44"/>
  <c r="BX79" i="55"/>
  <c r="AP68" i="44"/>
  <c r="AU68" i="44" s="1"/>
  <c r="AT68" i="44"/>
  <c r="AY68" i="44"/>
  <c r="CM79" i="55"/>
  <c r="AW67" i="44"/>
  <c r="CA67" i="5"/>
  <c r="P9" i="44" s="1"/>
  <c r="AR67" i="44"/>
  <c r="AU26" i="44" l="1"/>
  <c r="CX36" i="55"/>
  <c r="HO67" i="5"/>
  <c r="BW79" i="55"/>
  <c r="CG67" i="5"/>
  <c r="DA37" i="55"/>
  <c r="BE27" i="44"/>
  <c r="AZ68" i="44"/>
  <c r="BD68" i="44"/>
  <c r="AG19" i="14" s="1"/>
  <c r="CX37" i="55" l="1"/>
  <c r="AU27" i="44"/>
  <c r="GB73" i="5"/>
  <c r="DA38" i="55"/>
  <c r="BE28" i="44"/>
  <c r="AI23" i="14"/>
  <c r="AW68" i="44"/>
  <c r="AI50" i="14"/>
  <c r="AR68" i="44"/>
  <c r="AU28" i="44" l="1"/>
  <c r="CX38" i="55"/>
  <c r="DA39" i="55"/>
  <c r="BE29" i="44"/>
  <c r="AU29" i="44" l="1"/>
  <c r="CX39" i="55"/>
  <c r="DA40" i="55"/>
  <c r="BE30" i="44"/>
  <c r="AU30" i="44" l="1"/>
  <c r="CX40" i="55"/>
  <c r="DA41" i="55"/>
  <c r="BE31" i="44"/>
  <c r="AU31" i="44" l="1"/>
  <c r="CX41" i="55"/>
  <c r="AR39" i="44"/>
  <c r="AR40" i="44" s="1"/>
  <c r="AR41" i="44" s="1"/>
  <c r="AR42" i="44" s="1"/>
  <c r="AR43" i="44" s="1"/>
  <c r="AR44" i="44" s="1"/>
  <c r="AR45" i="44" s="1"/>
  <c r="AR46" i="44" s="1"/>
  <c r="AR47" i="44" s="1"/>
  <c r="AR48" i="44" s="1"/>
  <c r="AR49" i="44" s="1"/>
  <c r="AR50" i="44" s="1"/>
  <c r="AR51" i="44" s="1"/>
  <c r="AR52" i="44" s="1"/>
  <c r="AR53" i="44" s="1"/>
  <c r="AR54" i="44" s="1"/>
  <c r="AR55" i="44" s="1"/>
  <c r="AR56" i="44" s="1"/>
  <c r="DA42" i="55"/>
  <c r="BE32" i="44"/>
  <c r="AU32" i="44" l="1"/>
  <c r="CX42" i="55"/>
  <c r="DA43" i="55"/>
  <c r="BE33" i="44"/>
  <c r="BB39" i="44"/>
  <c r="CZ50" i="55" s="1"/>
  <c r="AU33" i="44" l="1"/>
  <c r="CX43" i="55"/>
  <c r="DA44" i="55"/>
  <c r="BE34" i="44"/>
  <c r="BB40" i="44"/>
  <c r="CZ51" i="55" s="1"/>
  <c r="AU34" i="44" l="1"/>
  <c r="CX44" i="55"/>
  <c r="DA45" i="55"/>
  <c r="BE35" i="44"/>
  <c r="BB41" i="44"/>
  <c r="CZ52" i="55" s="1"/>
  <c r="AU35" i="44" l="1"/>
  <c r="CX45" i="55"/>
  <c r="DA46" i="55"/>
  <c r="BE36" i="44"/>
  <c r="BB42" i="44"/>
  <c r="CZ53" i="55" s="1"/>
  <c r="CX46" i="55" l="1"/>
  <c r="AU36" i="44"/>
  <c r="DA47" i="55"/>
  <c r="BE37" i="44"/>
  <c r="BB43" i="44"/>
  <c r="CZ54" i="55" s="1"/>
  <c r="AU37" i="44" l="1"/>
  <c r="CX47" i="55"/>
  <c r="AU39" i="44"/>
  <c r="AU40" i="44" s="1"/>
  <c r="AU41" i="44" s="1"/>
  <c r="AU42" i="44" s="1"/>
  <c r="AU43" i="44" s="1"/>
  <c r="AU44" i="44" s="1"/>
  <c r="AU45" i="44" s="1"/>
  <c r="AU46" i="44" s="1"/>
  <c r="AU47" i="44" s="1"/>
  <c r="AU48" i="44" s="1"/>
  <c r="AU49" i="44" s="1"/>
  <c r="AU50" i="44" s="1"/>
  <c r="AU51" i="44" s="1"/>
  <c r="AU52" i="44" s="1"/>
  <c r="AU53" i="44" s="1"/>
  <c r="AU54" i="44" s="1"/>
  <c r="AU55" i="44" s="1"/>
  <c r="AU56" i="44" s="1"/>
  <c r="AU57" i="44" s="1"/>
  <c r="AU58" i="44" s="1"/>
  <c r="AU59" i="44" s="1"/>
  <c r="DA48" i="55"/>
  <c r="BE38" i="44"/>
  <c r="BB44" i="44"/>
  <c r="CZ55" i="55" s="1"/>
  <c r="AU38" i="44" l="1"/>
  <c r="CX48" i="55"/>
  <c r="DA49" i="55"/>
  <c r="BE39" i="44"/>
  <c r="BB45" i="44"/>
  <c r="CZ56" i="55" s="1"/>
  <c r="CX49" i="55" l="1"/>
  <c r="DA50" i="55"/>
  <c r="BE40" i="44"/>
  <c r="BB46" i="44"/>
  <c r="CZ57" i="55" s="1"/>
  <c r="DA51" i="55" l="1"/>
  <c r="BE41" i="44"/>
  <c r="BB47" i="44"/>
  <c r="CZ58" i="55" s="1"/>
  <c r="DA52" i="55" l="1"/>
  <c r="BE42" i="44"/>
  <c r="BB48" i="44"/>
  <c r="CZ59" i="55" s="1"/>
  <c r="DA53" i="55" l="1"/>
  <c r="BE43" i="44"/>
  <c r="BB49" i="44"/>
  <c r="CZ60" i="55" s="1"/>
  <c r="DA54" i="55" l="1"/>
  <c r="BE44" i="44"/>
  <c r="BB50" i="44"/>
  <c r="CZ61" i="55" s="1"/>
  <c r="DA55" i="55" l="1"/>
  <c r="BE45" i="44"/>
  <c r="BB51" i="44"/>
  <c r="CZ62" i="55" s="1"/>
  <c r="DA56" i="55" l="1"/>
  <c r="BE46" i="44"/>
  <c r="BB52" i="44"/>
  <c r="CZ63" i="55" s="1"/>
  <c r="DA57" i="55" l="1"/>
  <c r="BE47" i="44"/>
  <c r="BB53" i="44"/>
  <c r="CZ64" i="55" s="1"/>
  <c r="DA58" i="55" l="1"/>
  <c r="BE48" i="44"/>
  <c r="BB54" i="44"/>
  <c r="CZ65" i="55" s="1"/>
  <c r="DA59" i="55" l="1"/>
  <c r="BE49" i="44"/>
  <c r="BB55" i="44"/>
  <c r="CZ66" i="55" s="1"/>
  <c r="DA60" i="55" l="1"/>
  <c r="BE50" i="44"/>
  <c r="BB56" i="44"/>
  <c r="CZ67" i="55" s="1"/>
  <c r="DA61" i="55" l="1"/>
  <c r="BE51" i="44"/>
  <c r="BB57" i="44"/>
  <c r="CZ68" i="55" s="1"/>
  <c r="DA62" i="55" l="1"/>
  <c r="BE52" i="44"/>
  <c r="BB58" i="44"/>
  <c r="CZ69" i="55" s="1"/>
  <c r="DA63" i="55" l="1"/>
  <c r="BE53" i="44"/>
  <c r="BB59" i="44"/>
  <c r="CZ70" i="55" s="1"/>
  <c r="DA64" i="55" l="1"/>
  <c r="BE54" i="44"/>
  <c r="BB60" i="44"/>
  <c r="CZ71" i="55" s="1"/>
  <c r="DA65" i="55" l="1"/>
  <c r="BE55" i="44"/>
  <c r="BB61" i="44"/>
  <c r="CZ72" i="55" s="1"/>
  <c r="DA66" i="55" l="1"/>
  <c r="BE56" i="44"/>
  <c r="BB62" i="44"/>
  <c r="CZ73" i="55" s="1"/>
  <c r="DA67" i="55" l="1"/>
  <c r="BE57" i="44"/>
  <c r="BB63" i="44"/>
  <c r="CZ74" i="55" s="1"/>
  <c r="DA68" i="55" l="1"/>
  <c r="BE58" i="44"/>
  <c r="BB64" i="44"/>
  <c r="CZ75" i="55" s="1"/>
  <c r="DA69" i="55" l="1"/>
  <c r="BE59" i="44"/>
  <c r="BB65" i="44"/>
  <c r="CZ76" i="55" s="1"/>
  <c r="DA70" i="55" l="1"/>
  <c r="BE60" i="44"/>
  <c r="BB66" i="44"/>
  <c r="CZ77" i="55" s="1"/>
  <c r="DA71" i="55" l="1"/>
  <c r="BE61" i="44"/>
  <c r="BB67" i="44"/>
  <c r="CZ78" i="55" s="1"/>
  <c r="DA72" i="55" l="1"/>
  <c r="BE62" i="44"/>
  <c r="BB68" i="44"/>
  <c r="DA73" i="55" l="1"/>
  <c r="BE63" i="44"/>
  <c r="CZ79" i="55"/>
  <c r="DA74" i="55" l="1"/>
  <c r="BE64" i="44"/>
  <c r="DA75" i="55" l="1"/>
  <c r="BE65" i="44"/>
  <c r="DA76" i="55" l="1"/>
  <c r="BE66" i="44"/>
  <c r="DA77" i="55" l="1"/>
  <c r="BE67" i="44"/>
  <c r="DA78" i="55" l="1"/>
  <c r="BE68" i="44"/>
  <c r="DA79" i="55" s="1"/>
  <c r="CA8" i="5" l="1"/>
  <c r="C20" i="55" s="1"/>
  <c r="K39" i="55" l="1"/>
  <c r="K43" i="55"/>
  <c r="K20" i="55"/>
  <c r="K47" i="55"/>
  <c r="K22" i="55"/>
  <c r="K26" i="55"/>
  <c r="K30" i="55"/>
  <c r="K34" i="55"/>
  <c r="K38" i="55"/>
  <c r="K42" i="55"/>
  <c r="K46" i="55"/>
  <c r="K21" i="55"/>
  <c r="K25" i="55"/>
  <c r="K29" i="55"/>
  <c r="K33" i="55"/>
  <c r="K37" i="55"/>
  <c r="K41" i="55"/>
  <c r="K45" i="55"/>
  <c r="K49" i="55"/>
  <c r="K24" i="55"/>
  <c r="K28" i="55"/>
  <c r="K32" i="55"/>
  <c r="K36" i="55"/>
  <c r="K40" i="55"/>
  <c r="K44" i="55"/>
  <c r="K48" i="55"/>
  <c r="K23" i="55"/>
  <c r="K27" i="55"/>
  <c r="K31" i="55"/>
  <c r="K35" i="55"/>
  <c r="CI8" i="5"/>
  <c r="P68" i="44"/>
  <c r="BW20" i="55"/>
  <c r="AM9" i="44" l="1"/>
  <c r="AM11" i="44"/>
  <c r="AM14" i="44"/>
  <c r="AW14" i="44" s="1"/>
  <c r="AM30" i="44"/>
  <c r="AW30" i="44" s="1"/>
  <c r="AM26" i="44"/>
  <c r="AW26" i="44" s="1"/>
  <c r="AM13" i="44"/>
  <c r="AW13" i="44" s="1"/>
  <c r="AM10" i="44"/>
  <c r="AW10" i="44" s="1"/>
  <c r="AM12" i="44"/>
  <c r="AW12" i="44" s="1"/>
  <c r="AM25" i="44"/>
  <c r="AM16" i="44"/>
  <c r="AW16" i="44" s="1"/>
  <c r="AM32" i="44"/>
  <c r="AW32" i="44" s="1"/>
  <c r="AM34" i="44"/>
  <c r="AW34" i="44" s="1"/>
  <c r="AM15" i="44"/>
  <c r="AW15" i="44" s="1"/>
  <c r="AM18" i="44"/>
  <c r="AM33" i="44"/>
  <c r="AW33" i="44" s="1"/>
  <c r="AM38" i="44"/>
  <c r="AW38" i="44" s="1"/>
  <c r="AM21" i="44"/>
  <c r="AW21" i="44" s="1"/>
  <c r="AM17" i="44"/>
  <c r="AW17" i="44" s="1"/>
  <c r="AM29" i="44"/>
  <c r="AM37" i="44"/>
  <c r="AW37" i="44" s="1"/>
  <c r="AM23" i="44"/>
  <c r="AW23" i="44" s="1"/>
  <c r="AM20" i="44"/>
  <c r="AW20" i="44" s="1"/>
  <c r="AM27" i="44"/>
  <c r="AW27" i="44" s="1"/>
  <c r="AM19" i="44"/>
  <c r="AW19" i="44" s="1"/>
  <c r="AM35" i="44"/>
  <c r="AW35" i="44" s="1"/>
  <c r="AM31" i="44"/>
  <c r="AW31" i="44" s="1"/>
  <c r="AM22" i="44"/>
  <c r="AW22" i="44" s="1"/>
  <c r="AM28" i="44"/>
  <c r="AW28" i="44" s="1"/>
  <c r="AM24" i="44"/>
  <c r="AW24" i="44" s="1"/>
  <c r="AM36" i="44"/>
  <c r="AW36" i="44" s="1"/>
  <c r="GG8" i="5"/>
  <c r="GK8" i="5" s="1"/>
  <c r="GG9" i="5"/>
  <c r="GK9" i="5" s="1"/>
  <c r="GG10" i="5"/>
  <c r="GK10" i="5" s="1"/>
  <c r="GG11" i="5"/>
  <c r="GK11" i="5" s="1"/>
  <c r="GG12" i="5"/>
  <c r="GK12" i="5" s="1"/>
  <c r="GG13" i="5"/>
  <c r="GK13" i="5" s="1"/>
  <c r="GG14" i="5"/>
  <c r="GK14" i="5" s="1"/>
  <c r="GG15" i="5"/>
  <c r="GK15" i="5" s="1"/>
  <c r="GG16" i="5"/>
  <c r="GK16" i="5" s="1"/>
  <c r="GG17" i="5"/>
  <c r="GK17" i="5" s="1"/>
  <c r="GG18" i="5"/>
  <c r="GK18" i="5" s="1"/>
  <c r="GG19" i="5"/>
  <c r="GK19" i="5" s="1"/>
  <c r="GG20" i="5"/>
  <c r="GK20" i="5" s="1"/>
  <c r="GG21" i="5"/>
  <c r="GK21" i="5" s="1"/>
  <c r="GG22" i="5"/>
  <c r="GK22" i="5" s="1"/>
  <c r="GG23" i="5"/>
  <c r="GK23" i="5" s="1"/>
  <c r="GG24" i="5"/>
  <c r="GK24" i="5" s="1"/>
  <c r="GG25" i="5"/>
  <c r="GK25" i="5" s="1"/>
  <c r="GG26" i="5"/>
  <c r="GK26" i="5" s="1"/>
  <c r="GG27" i="5"/>
  <c r="GK27" i="5" s="1"/>
  <c r="GG28" i="5"/>
  <c r="GK28" i="5" s="1"/>
  <c r="GG29" i="5"/>
  <c r="GK29" i="5" s="1"/>
  <c r="GG30" i="5"/>
  <c r="GK30" i="5" s="1"/>
  <c r="GG31" i="5"/>
  <c r="GK31" i="5" s="1"/>
  <c r="GG32" i="5"/>
  <c r="GK32" i="5" s="1"/>
  <c r="GG33" i="5"/>
  <c r="GK33" i="5" s="1"/>
  <c r="GG34" i="5"/>
  <c r="GK34" i="5" s="1"/>
  <c r="GG35" i="5"/>
  <c r="GK35" i="5" s="1"/>
  <c r="GG36" i="5"/>
  <c r="GK36" i="5" s="1"/>
  <c r="GG37" i="5"/>
  <c r="CI13" i="5"/>
  <c r="CI10" i="5"/>
  <c r="CI29" i="5"/>
  <c r="CI34" i="5"/>
  <c r="CI31" i="5"/>
  <c r="CI18" i="5"/>
  <c r="CI17" i="5"/>
  <c r="CI15" i="5"/>
  <c r="CI27" i="5"/>
  <c r="CI19" i="5"/>
  <c r="CI26" i="5"/>
  <c r="CI36" i="5"/>
  <c r="CI20" i="5"/>
  <c r="CI14" i="5"/>
  <c r="CI30" i="5"/>
  <c r="CI35" i="5"/>
  <c r="CI9" i="5"/>
  <c r="CI37" i="5"/>
  <c r="AC27" i="14" s="1"/>
  <c r="CI21" i="5"/>
  <c r="CI11" i="5"/>
  <c r="CI23" i="5"/>
  <c r="CI24" i="5"/>
  <c r="CI25" i="5"/>
  <c r="CI32" i="5"/>
  <c r="CI22" i="5"/>
  <c r="CI12" i="5"/>
  <c r="CI16" i="5"/>
  <c r="CI33" i="5"/>
  <c r="CI28" i="5"/>
  <c r="AW11" i="44"/>
  <c r="AW29" i="44"/>
  <c r="AW25" i="44"/>
  <c r="AW18" i="44"/>
  <c r="AE34" i="14" l="1"/>
  <c r="AE39" i="14" s="1"/>
  <c r="GK37" i="5"/>
  <c r="AC34" i="14"/>
  <c r="AC39" i="14" s="1"/>
  <c r="AG34" i="14"/>
  <c r="AW9" i="44"/>
  <c r="BB9" i="44" s="1"/>
  <c r="CZ20" i="55" s="1"/>
  <c r="AR9" i="44"/>
  <c r="AG39" i="14" l="1"/>
  <c r="AI34" i="14"/>
  <c r="BB10" i="44"/>
  <c r="CW20" i="55"/>
  <c r="AR10" i="44"/>
  <c r="AI39" i="14" l="1"/>
  <c r="CW21" i="55"/>
  <c r="AR11" i="44"/>
  <c r="CZ21" i="55"/>
  <c r="BB11" i="44"/>
  <c r="CZ22" i="55" l="1"/>
  <c r="BB12" i="44"/>
  <c r="AR12" i="44"/>
  <c r="CW22" i="55"/>
  <c r="AR13" i="44" l="1"/>
  <c r="CW23" i="55"/>
  <c r="CZ23" i="55"/>
  <c r="BB13" i="44"/>
  <c r="CZ24" i="55" l="1"/>
  <c r="BB14" i="44"/>
  <c r="AR14" i="44"/>
  <c r="CW24" i="55"/>
  <c r="CW25" i="55" l="1"/>
  <c r="AR15" i="44"/>
  <c r="CZ25" i="55"/>
  <c r="BB15" i="44"/>
  <c r="AR16" i="44" l="1"/>
  <c r="CW26" i="55"/>
  <c r="CZ26" i="55"/>
  <c r="BB16" i="44"/>
  <c r="AR17" i="44" l="1"/>
  <c r="CW27" i="55"/>
  <c r="CZ27" i="55"/>
  <c r="BB17" i="44"/>
  <c r="CZ28" i="55" l="1"/>
  <c r="BB18" i="44"/>
  <c r="CW28" i="55"/>
  <c r="AR18" i="44"/>
  <c r="CZ29" i="55" l="1"/>
  <c r="BB19" i="44"/>
  <c r="CW29" i="55"/>
  <c r="AR19" i="44"/>
  <c r="CZ30" i="55" l="1"/>
  <c r="BB20" i="44"/>
  <c r="CW30" i="55"/>
  <c r="AR20" i="44"/>
  <c r="AR21" i="44" l="1"/>
  <c r="CW31" i="55"/>
  <c r="CZ31" i="55"/>
  <c r="BB21" i="44"/>
  <c r="CZ32" i="55" l="1"/>
  <c r="BB22" i="44"/>
  <c r="AR22" i="44"/>
  <c r="CW32" i="55"/>
  <c r="CW33" i="55" l="1"/>
  <c r="AR23" i="44"/>
  <c r="CZ33" i="55"/>
  <c r="BB23" i="44"/>
  <c r="CZ34" i="55" l="1"/>
  <c r="BB24" i="44"/>
  <c r="CW34" i="55"/>
  <c r="AR24" i="44"/>
  <c r="AR25" i="44" l="1"/>
  <c r="CW35" i="55"/>
  <c r="CZ35" i="55"/>
  <c r="BB25" i="44"/>
  <c r="AR26" i="44" l="1"/>
  <c r="CW36" i="55"/>
  <c r="CZ36" i="55"/>
  <c r="BB26" i="44"/>
  <c r="CZ37" i="55" l="1"/>
  <c r="BB27" i="44"/>
  <c r="CW37" i="55"/>
  <c r="AR27" i="44"/>
  <c r="CZ38" i="55" l="1"/>
  <c r="BB28" i="44"/>
  <c r="AR28" i="44"/>
  <c r="CW38" i="55"/>
  <c r="CZ39" i="55" l="1"/>
  <c r="BB29" i="44"/>
  <c r="AR29" i="44"/>
  <c r="CW39" i="55"/>
  <c r="AR30" i="44" l="1"/>
  <c r="CW40" i="55"/>
  <c r="CZ40" i="55"/>
  <c r="BB30" i="44"/>
  <c r="CZ41" i="55" l="1"/>
  <c r="BB31" i="44"/>
  <c r="CW41" i="55"/>
  <c r="AR31" i="44"/>
  <c r="CW42" i="55" l="1"/>
  <c r="AR32" i="44"/>
  <c r="CW43" i="55" s="1"/>
  <c r="CZ42" i="55"/>
  <c r="BB32" i="44"/>
  <c r="CZ43" i="55" l="1"/>
  <c r="BB33" i="44"/>
  <c r="AR33" i="44"/>
  <c r="CW44" i="55" l="1"/>
  <c r="AR34" i="44"/>
  <c r="CZ44" i="55"/>
  <c r="BB34" i="44"/>
  <c r="CZ45" i="55" l="1"/>
  <c r="BB35" i="44"/>
  <c r="AR35" i="44"/>
  <c r="CW45" i="55"/>
  <c r="CZ46" i="55" l="1"/>
  <c r="BB36" i="44"/>
  <c r="AR36" i="44"/>
  <c r="CW46" i="55"/>
  <c r="AG33" i="14" l="1"/>
  <c r="AG38" i="14" s="1"/>
  <c r="AE33" i="14"/>
  <c r="CZ47" i="55"/>
  <c r="BB37" i="44"/>
  <c r="AC38" i="14"/>
  <c r="CW47" i="55"/>
  <c r="AR37" i="44"/>
  <c r="AE38" i="14" l="1"/>
  <c r="AI33" i="14"/>
  <c r="AI38" i="14" s="1"/>
  <c r="CZ48" i="55"/>
  <c r="BB38" i="44"/>
  <c r="AE19" i="14" s="1"/>
  <c r="AI19" i="14" s="1"/>
  <c r="AR38" i="44"/>
  <c r="CW49" i="55" s="1"/>
  <c r="CW48" i="55"/>
  <c r="CZ49" i="55" l="1"/>
  <c r="AC19" i="14"/>
  <c r="AQ39" i="44"/>
  <c r="AQ38" i="44" s="1"/>
  <c r="CV49" i="55" s="1"/>
  <c r="AV38" i="44" l="1"/>
  <c r="BA38" i="44" s="1"/>
  <c r="CY49" i="55" l="1"/>
  <c r="AA19"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Cranfield University</author>
    <author>Anil Graves</author>
  </authors>
  <commentList>
    <comment ref="X4" authorId="0" shapeId="0" xr:uid="{00000000-0006-0000-0C00-000001000000}">
      <text>
        <r>
          <rPr>
            <b/>
            <sz val="8"/>
            <color indexed="81"/>
            <rFont val="Tahoma"/>
            <family val="2"/>
          </rPr>
          <t>Cranfield University:</t>
        </r>
        <r>
          <rPr>
            <sz val="8"/>
            <color indexed="81"/>
            <rFont val="Tahoma"/>
            <family val="2"/>
          </rPr>
          <t xml:space="preserve">
If pruning height here is &gt; height specified in Options and Results, this can give negative labour.</t>
        </r>
      </text>
    </comment>
    <comment ref="AF5" authorId="1" shapeId="0" xr:uid="{00000000-0006-0000-0C00-000002000000}">
      <text>
        <r>
          <rPr>
            <b/>
            <sz val="8"/>
            <color indexed="81"/>
            <rFont val="Tahoma"/>
            <family val="2"/>
          </rPr>
          <t>Anil Graves:</t>
        </r>
        <r>
          <rPr>
            <sz val="8"/>
            <color indexed="81"/>
            <rFont val="Tahoma"/>
            <family val="2"/>
          </rPr>
          <t xml:space="preserve">
Check whether this should be in min tree or m3</t>
        </r>
      </text>
    </comment>
    <comment ref="AH5" authorId="1" shapeId="0" xr:uid="{00000000-0006-0000-0C00-000003000000}">
      <text>
        <r>
          <rPr>
            <b/>
            <sz val="8"/>
            <color indexed="81"/>
            <rFont val="Tahoma"/>
            <family val="2"/>
          </rPr>
          <t>Anil Graves:</t>
        </r>
        <r>
          <rPr>
            <sz val="8"/>
            <color indexed="81"/>
            <rFont val="Tahoma"/>
            <family val="2"/>
          </rPr>
          <t xml:space="preserve">
Check whether this should be in min m3 or min tree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<sst xmlns="http://schemas.openxmlformats.org/spreadsheetml/2006/main" count="3114" uniqueCount="681">
  <si>
    <t/>
  </si>
  <si>
    <t>Crop name</t>
  </si>
  <si>
    <t>Select if no arable system is to be modelled</t>
  </si>
  <si>
    <t>Select if no forestry system is to be modelled</t>
  </si>
  <si>
    <t>Select if no arable agroforestry is to be modelled</t>
  </si>
  <si>
    <t>Crops and crop by-products</t>
  </si>
  <si>
    <t>Tree and tree products</t>
  </si>
  <si>
    <t>Arable crop yield</t>
  </si>
  <si>
    <t>Silvoarable crop yield</t>
  </si>
  <si>
    <t>Plot 1</t>
  </si>
  <si>
    <t>Crop</t>
  </si>
  <si>
    <t>Grain price</t>
  </si>
  <si>
    <t>By-product 1</t>
  </si>
  <si>
    <t>Area payment</t>
  </si>
  <si>
    <t>Seed price</t>
  </si>
  <si>
    <t>Seed rate</t>
  </si>
  <si>
    <t>Fertiliser price</t>
  </si>
  <si>
    <t>Fertiliser rate</t>
  </si>
  <si>
    <t>Spray price</t>
  </si>
  <si>
    <t>Spray rate</t>
  </si>
  <si>
    <t>Other price</t>
  </si>
  <si>
    <t>Other rate</t>
  </si>
  <si>
    <t>Fuel and repairs</t>
  </si>
  <si>
    <t>Labour</t>
  </si>
  <si>
    <t>Other 1</t>
  </si>
  <si>
    <t>Other 2</t>
  </si>
  <si>
    <t>(year)</t>
  </si>
  <si>
    <t>(hr/ha)</t>
  </si>
  <si>
    <t>Average tree size</t>
  </si>
  <si>
    <t>Unit 1</t>
  </si>
  <si>
    <t>Production rates</t>
  </si>
  <si>
    <t>Forestry revenue</t>
  </si>
  <si>
    <t>Forestry costs</t>
  </si>
  <si>
    <t>Year</t>
  </si>
  <si>
    <t>Area</t>
  </si>
  <si>
    <t>(t/ha)</t>
  </si>
  <si>
    <t>(tree/ha)</t>
  </si>
  <si>
    <t>(%)</t>
  </si>
  <si>
    <t>(trees/ha)</t>
  </si>
  <si>
    <t>(m)</t>
  </si>
  <si>
    <t>(h/ha)</t>
  </si>
  <si>
    <t>Forestry</t>
  </si>
  <si>
    <t>Silvoarable (crop)</t>
  </si>
  <si>
    <t>Silvoarable (tree)</t>
  </si>
  <si>
    <t>Silvoarable (combined)</t>
  </si>
  <si>
    <t>Region</t>
  </si>
  <si>
    <t>Country</t>
  </si>
  <si>
    <t>(ha)</t>
  </si>
  <si>
    <t>(years)</t>
  </si>
  <si>
    <t>Labour cost</t>
  </si>
  <si>
    <t>Arable</t>
  </si>
  <si>
    <t>Search code</t>
  </si>
  <si>
    <t>System</t>
  </si>
  <si>
    <t>Crop system</t>
  </si>
  <si>
    <t>Farm</t>
  </si>
  <si>
    <t>Pricing system</t>
  </si>
  <si>
    <t>Species</t>
  </si>
  <si>
    <t>No</t>
  </si>
  <si>
    <t>Arable system</t>
  </si>
  <si>
    <t>crop species</t>
  </si>
  <si>
    <t>name</t>
  </si>
  <si>
    <t>area</t>
  </si>
  <si>
    <t>crop yield</t>
  </si>
  <si>
    <t>by-product 1</t>
  </si>
  <si>
    <t>trees planted</t>
  </si>
  <si>
    <t>trees harvested</t>
  </si>
  <si>
    <t>tree height</t>
  </si>
  <si>
    <t>Yield class</t>
  </si>
  <si>
    <t>maximum bole (m)</t>
  </si>
  <si>
    <t>Location</t>
  </si>
  <si>
    <t>Firewood value</t>
  </si>
  <si>
    <t>Planting calender</t>
  </si>
  <si>
    <t>Area under forestry</t>
  </si>
  <si>
    <t>Arable area planted</t>
  </si>
  <si>
    <t>Area under arable</t>
  </si>
  <si>
    <t>Area under agroforestry (tree)</t>
  </si>
  <si>
    <t>Forestry area planted</t>
  </si>
  <si>
    <t>Agroforestry area planted</t>
  </si>
  <si>
    <t>Inverted plot scale values for farm scale analysis in sum product calculations</t>
  </si>
  <si>
    <t>Silvoarable (standing trees)</t>
  </si>
  <si>
    <t>Forestry (standing trees)</t>
  </si>
  <si>
    <t>Agroforestry timber (standing trees)</t>
  </si>
  <si>
    <t>Forestry (harvested trees)</t>
  </si>
  <si>
    <t>Agroforestry (harvested trees)</t>
  </si>
  <si>
    <t>Silvoarable (harvested trees)</t>
  </si>
  <si>
    <t>(units/ha)</t>
  </si>
  <si>
    <t>Total variable costs</t>
  </si>
  <si>
    <t>Total fixed costs (excluding labour)</t>
  </si>
  <si>
    <t>Aggregate variable cost if no breakdown</t>
  </si>
  <si>
    <t>full</t>
  </si>
  <si>
    <t>Aggregate fixed cost if no breakdown (excluding labour)</t>
  </si>
  <si>
    <t>Cost of plant</t>
  </si>
  <si>
    <t>Cost of individual tree protection</t>
  </si>
  <si>
    <t>Annual labour for weeding</t>
  </si>
  <si>
    <t>Height at last prune</t>
  </si>
  <si>
    <t>Removal of prunings</t>
  </si>
  <si>
    <t>Administrative cost of forestry</t>
  </si>
  <si>
    <t>Insurance management</t>
  </si>
  <si>
    <t>Removal of tree</t>
  </si>
  <si>
    <t>Record number</t>
  </si>
  <si>
    <t>Region number</t>
  </si>
  <si>
    <t>Year of planting grant supplement</t>
  </si>
  <si>
    <t>Year of second planting grant</t>
  </si>
  <si>
    <t>Initial year of receipt</t>
  </si>
  <si>
    <t>Final year of receipt</t>
  </si>
  <si>
    <t>Amount</t>
  </si>
  <si>
    <t>Grant system</t>
  </si>
  <si>
    <t>Value of planting grant supplement</t>
  </si>
  <si>
    <t>Value of second planting grant</t>
  </si>
  <si>
    <t>Cumulative net margin</t>
  </si>
  <si>
    <t>Annual net margins</t>
  </si>
  <si>
    <t>Labour requirements</t>
  </si>
  <si>
    <t>Production (main products)</t>
  </si>
  <si>
    <t>Area under each enterprise</t>
  </si>
  <si>
    <t>Net margins</t>
  </si>
  <si>
    <t>Discounted annual net margins</t>
  </si>
  <si>
    <t>Discounted cumulative net margins</t>
  </si>
  <si>
    <t>Calculated data</t>
  </si>
  <si>
    <t>Crop yield</t>
  </si>
  <si>
    <t>Crop revenue</t>
  </si>
  <si>
    <t>Crop subsidy</t>
  </si>
  <si>
    <t>Total arable revenue</t>
  </si>
  <si>
    <t>Gross margin</t>
  </si>
  <si>
    <t>Fixed costs</t>
  </si>
  <si>
    <t>Labour costs</t>
  </si>
  <si>
    <t>Labour hours</t>
  </si>
  <si>
    <t>Net margin</t>
  </si>
  <si>
    <t>Forestry model</t>
  </si>
  <si>
    <t>Tree planting</t>
  </si>
  <si>
    <t>Beating up</t>
  </si>
  <si>
    <t>Tree mortality</t>
  </si>
  <si>
    <t>Tree thinned</t>
  </si>
  <si>
    <t>Tree felled</t>
  </si>
  <si>
    <t>Height of trees</t>
  </si>
  <si>
    <t>Max. height of bole</t>
  </si>
  <si>
    <t>Height of bole</t>
  </si>
  <si>
    <t>Total volume of stand</t>
  </si>
  <si>
    <t>Mean volume of tree</t>
  </si>
  <si>
    <t>Harvested volume of timber</t>
  </si>
  <si>
    <t>Standing value</t>
  </si>
  <si>
    <t>Planting grant</t>
  </si>
  <si>
    <t>Compensation grant</t>
  </si>
  <si>
    <t>Establishment cost</t>
  </si>
  <si>
    <t>Weeding cost</t>
  </si>
  <si>
    <t>Pruning cost</t>
  </si>
  <si>
    <t>Thinning cost</t>
  </si>
  <si>
    <t>Clear fell cost</t>
  </si>
  <si>
    <t>Weeding labour</t>
  </si>
  <si>
    <t>Pruning labour</t>
  </si>
  <si>
    <t>Clear fell labour</t>
  </si>
  <si>
    <t>Total labour</t>
  </si>
  <si>
    <t>Total cost</t>
  </si>
  <si>
    <t>Area planted</t>
  </si>
  <si>
    <t>Crop component pricing system</t>
  </si>
  <si>
    <t>Crop component production</t>
  </si>
  <si>
    <t>Tree component pricing system</t>
  </si>
  <si>
    <t>Tree component production rates</t>
  </si>
  <si>
    <t>Tree component revenue</t>
  </si>
  <si>
    <t>Tree component costs</t>
  </si>
  <si>
    <t>(hr/unit)</t>
  </si>
  <si>
    <t>Labour for ground preparation</t>
  </si>
  <si>
    <t>Labour for planting trees</t>
  </si>
  <si>
    <t>Labour for tree protection</t>
  </si>
  <si>
    <t>Labour for localised weeding</t>
  </si>
  <si>
    <t>Fallow</t>
  </si>
  <si>
    <t>(t/unit)</t>
  </si>
  <si>
    <t>Timber value</t>
  </si>
  <si>
    <t>Year of first planting grant</t>
  </si>
  <si>
    <t>Value of first planting grant</t>
  </si>
  <si>
    <t>Unit scale results</t>
  </si>
  <si>
    <t>B1. Metadata</t>
  </si>
  <si>
    <t>B2. Production data</t>
  </si>
  <si>
    <t>year</t>
  </si>
  <si>
    <t>C1. Metadata</t>
  </si>
  <si>
    <t>C2. Production data</t>
  </si>
  <si>
    <t>D1.  Metadata</t>
  </si>
  <si>
    <t>D2. Revenue</t>
  </si>
  <si>
    <t>D3. Variable costs</t>
  </si>
  <si>
    <t>D3. Fixed costs</t>
  </si>
  <si>
    <t>Table B. Rotation and yield data for arable systems</t>
  </si>
  <si>
    <t>Table C. Physical data for tree systems</t>
  </si>
  <si>
    <t>Table E. Tree cost data</t>
  </si>
  <si>
    <t>Height at first prune</t>
  </si>
  <si>
    <t>F. Tree value data</t>
  </si>
  <si>
    <t>By-product 1 value</t>
  </si>
  <si>
    <t>F1.  Metadata</t>
  </si>
  <si>
    <t>F2.  Prices</t>
  </si>
  <si>
    <t>G. Tree grant data</t>
  </si>
  <si>
    <t>G1. Metadata</t>
  </si>
  <si>
    <t>G2. Establishment payment</t>
  </si>
  <si>
    <t>G3. Compensation payment</t>
  </si>
  <si>
    <t>Marking up &amp; labour</t>
  </si>
  <si>
    <t>Wheat</t>
  </si>
  <si>
    <t>(min/tree)</t>
  </si>
  <si>
    <t>Total revenue</t>
  </si>
  <si>
    <t>First year of cost</t>
  </si>
  <si>
    <t>Last year of cost</t>
  </si>
  <si>
    <t>E8. Other costs</t>
  </si>
  <si>
    <t>Admin. and insurance and other cost</t>
  </si>
  <si>
    <t>Value of firewood</t>
  </si>
  <si>
    <t>(Incl. Stand)</t>
  </si>
  <si>
    <t>Summary (excl. stand)</t>
  </si>
  <si>
    <t>(incl. stand)</t>
  </si>
  <si>
    <t>E1. Metadata (from Treesystem)</t>
  </si>
  <si>
    <t>E2. Establishment costs</t>
  </si>
  <si>
    <t>E4. Pruning</t>
  </si>
  <si>
    <t>E6. Thinning</t>
  </si>
  <si>
    <t>E7. Clear felling</t>
  </si>
  <si>
    <t>Net margin (no production)</t>
  </si>
  <si>
    <t>Labour for marking out</t>
  </si>
  <si>
    <t>no</t>
  </si>
  <si>
    <t>Note: For LTS put records for 113 trees in LU5-8</t>
  </si>
  <si>
    <t>poplar</t>
  </si>
  <si>
    <t>(kg N/ha)</t>
  </si>
  <si>
    <t>(app/ha)</t>
  </si>
  <si>
    <t>E3. Maintenance costs</t>
  </si>
  <si>
    <t>E5. Administration</t>
  </si>
  <si>
    <t>(T)</t>
  </si>
  <si>
    <t>Admin. and insurance</t>
  </si>
  <si>
    <t>Labour for grass sward establishment</t>
  </si>
  <si>
    <t>Materials for grass sward establishment</t>
  </si>
  <si>
    <t>Materials for annual grass sward maintenance</t>
  </si>
  <si>
    <t>Labour for annual grass sward maintenance</t>
  </si>
  <si>
    <t>Sward costs</t>
  </si>
  <si>
    <t>Minutes per tree at last prune</t>
  </si>
  <si>
    <t>Minutes per tree at first prune</t>
  </si>
  <si>
    <t>Epicormics labour</t>
  </si>
  <si>
    <t>Epicormics costs</t>
  </si>
  <si>
    <t>Final year of grass sward</t>
  </si>
  <si>
    <t>Establishment of grass sward</t>
  </si>
  <si>
    <t>Year of first weeding</t>
  </si>
  <si>
    <t>Year of last weeding</t>
  </si>
  <si>
    <t>Annual cost of herbicide for weeding</t>
  </si>
  <si>
    <t>Year of first removal of epicormics</t>
  </si>
  <si>
    <t>Year of last removal of epicormics</t>
  </si>
  <si>
    <t>Labour for removal of epicormics</t>
  </si>
  <si>
    <t>(hr/ha grass)</t>
  </si>
  <si>
    <t>Labour matrix</t>
  </si>
  <si>
    <t>Ground preparation</t>
  </si>
  <si>
    <t>Full weeding</t>
  </si>
  <si>
    <t>Planting</t>
  </si>
  <si>
    <t>Protection</t>
  </si>
  <si>
    <t>Silvicultural operation</t>
  </si>
  <si>
    <t>Localised weeding</t>
  </si>
  <si>
    <t>Labour for full weeding</t>
  </si>
  <si>
    <t>Maintenance weeding</t>
  </si>
  <si>
    <t>Sward maintenance</t>
  </si>
  <si>
    <t>Epicormics</t>
  </si>
  <si>
    <t>Pruning</t>
  </si>
  <si>
    <t>Clear felling</t>
  </si>
  <si>
    <t>Labour for planting</t>
  </si>
  <si>
    <t>Labour for protection</t>
  </si>
  <si>
    <t>Labour for individual weedking</t>
  </si>
  <si>
    <t>Sward establishment labour</t>
  </si>
  <si>
    <t>Agroforestry</t>
  </si>
  <si>
    <t>Sward maintenance labour</t>
  </si>
  <si>
    <t>Removal of pruning</t>
  </si>
  <si>
    <t>Table D1. Financial data for arable systems</t>
  </si>
  <si>
    <t>(MJ/LU)</t>
  </si>
  <si>
    <t>(MJ/t DM)</t>
  </si>
  <si>
    <t>(h/LU)</t>
  </si>
  <si>
    <t>Table D2. Financial data for calculating potential livestock carrying capacity from crop biomass production</t>
  </si>
  <si>
    <t>LU annual energy requirement</t>
  </si>
  <si>
    <t>Crop energy</t>
  </si>
  <si>
    <t>By-product energy</t>
  </si>
  <si>
    <t>Sward establishment</t>
  </si>
  <si>
    <t>Record No</t>
  </si>
  <si>
    <t>None</t>
  </si>
  <si>
    <t>Production</t>
  </si>
  <si>
    <t>Costs</t>
  </si>
  <si>
    <t>Silvaorable (comibined)</t>
  </si>
  <si>
    <t>Grant revenue</t>
  </si>
  <si>
    <t>Discounted grant revenue</t>
  </si>
  <si>
    <t>Cumulative discounted grant revenue</t>
  </si>
  <si>
    <t>Discounted costs</t>
  </si>
  <si>
    <t>Cumulative discounted costs</t>
  </si>
  <si>
    <t>Table B. Rotation and yield data for agroforestry systems</t>
  </si>
  <si>
    <t>Tree component</t>
  </si>
  <si>
    <t>Crop component</t>
  </si>
  <si>
    <t>Max. bole</t>
  </si>
  <si>
    <t>crop by-product</t>
  </si>
  <si>
    <t>tree by-product</t>
  </si>
  <si>
    <t>Tree by-product</t>
  </si>
  <si>
    <t>Crop by-product</t>
  </si>
  <si>
    <t>Value of tree by-product</t>
  </si>
  <si>
    <t>Country and region</t>
  </si>
  <si>
    <t>none</t>
  </si>
  <si>
    <t>Crop yield per hectare cropped area</t>
  </si>
  <si>
    <t>D1. Metadata</t>
  </si>
  <si>
    <t>D2. Production data</t>
  </si>
  <si>
    <t>Agroforestry model (crop component 1)</t>
  </si>
  <si>
    <t>Multicrop?</t>
  </si>
  <si>
    <t>Silvoarable crop 1</t>
  </si>
  <si>
    <t>Standing trees</t>
  </si>
  <si>
    <t>Crop by-product yield per hectare cropped area</t>
  </si>
  <si>
    <t>Simultaneous?</t>
  </si>
  <si>
    <t>Canopy area</t>
  </si>
  <si>
    <t>Maintenance payment</t>
  </si>
  <si>
    <t>G3. Maintenance payment period 2</t>
  </si>
  <si>
    <t>G3. Maintenance payment period 1</t>
  </si>
  <si>
    <t>(name)</t>
  </si>
  <si>
    <t>Marking up and thinning labour</t>
  </si>
  <si>
    <t>Marking out</t>
  </si>
  <si>
    <t>Removal of thinned tree</t>
  </si>
  <si>
    <t>Marking-up &amp; thinning</t>
  </si>
  <si>
    <t>prune height</t>
  </si>
  <si>
    <t>For percentage payments based on costs, use inputs in "Options and results"</t>
  </si>
  <si>
    <t>Percentage total cost payments</t>
  </si>
  <si>
    <t>Graphical results</t>
  </si>
  <si>
    <t>Oilseed</t>
  </si>
  <si>
    <t>Removal of clear fell trees</t>
  </si>
  <si>
    <t>Removal of thinned trees</t>
  </si>
  <si>
    <t>Barley</t>
  </si>
  <si>
    <t>Forestry systems</t>
  </si>
  <si>
    <t>Economic optimisation</t>
  </si>
  <si>
    <t>Biophysical optimisation</t>
  </si>
  <si>
    <t>Years for new code</t>
  </si>
  <si>
    <t>New codes</t>
  </si>
  <si>
    <t>Annual yield</t>
  </si>
  <si>
    <t>Threshold value (t ha-1)</t>
  </si>
  <si>
    <t>Threshhold value (E/ha/yr)</t>
  </si>
  <si>
    <t>Interval assessment (yr)</t>
  </si>
  <si>
    <t>Year to change crop</t>
  </si>
  <si>
    <t>Crop code</t>
  </si>
  <si>
    <t>Threshold value (t/ha/yr)</t>
  </si>
  <si>
    <t>Optimisation function for Agroforestry rotations</t>
  </si>
  <si>
    <t>Automatic</t>
  </si>
  <si>
    <t>Economic (1) or Biophysical (2) optimisation</t>
  </si>
  <si>
    <t>Selected code</t>
  </si>
  <si>
    <t>Fine</t>
  </si>
  <si>
    <t>Subsidy by 1=area, 2 = headage</t>
  </si>
  <si>
    <t>(kg/ha)</t>
  </si>
  <si>
    <t xml:space="preserve">Tree selection code                                                               </t>
  </si>
  <si>
    <t>(a)</t>
  </si>
  <si>
    <t>Operation</t>
  </si>
  <si>
    <t>Silvoarable 1 &amp; 2 area summary</t>
  </si>
  <si>
    <t>9. Unit scale analysis</t>
  </si>
  <si>
    <t>Livestock</t>
  </si>
  <si>
    <t>Energy balance</t>
  </si>
  <si>
    <t>Livestock output</t>
  </si>
  <si>
    <t>Livestock variable costs</t>
  </si>
  <si>
    <t>Livestock labour costs</t>
  </si>
  <si>
    <t>Headage payment</t>
  </si>
  <si>
    <t>Livestock fixed costs (excluding labour)</t>
  </si>
  <si>
    <t>(LU/ha)</t>
  </si>
  <si>
    <t>(ha/unit)</t>
  </si>
  <si>
    <t>Harvested volume of Firewood</t>
  </si>
  <si>
    <t>harvested firewood</t>
  </si>
  <si>
    <t>standing timber</t>
  </si>
  <si>
    <t>Crop selection code</t>
  </si>
  <si>
    <t>8. Calculations for Plot 1</t>
  </si>
  <si>
    <t>Tree selection code</t>
  </si>
  <si>
    <t>standing firewood</t>
  </si>
  <si>
    <t>Simultaneous ?</t>
  </si>
  <si>
    <t>Forestry standing trees</t>
  </si>
  <si>
    <t>Forestry total stand volume</t>
  </si>
  <si>
    <t>Forestry mean tree volume</t>
  </si>
  <si>
    <t>Forestry tree by-product</t>
  </si>
  <si>
    <t>Silvoarable standing trees</t>
  </si>
  <si>
    <t>Silvoarable total stand volume</t>
  </si>
  <si>
    <t>Silvoarable mean tree volume</t>
  </si>
  <si>
    <t>Silvoarable tree by-product</t>
  </si>
  <si>
    <t>Silvoarable</t>
  </si>
  <si>
    <t>(hr/ha/a)</t>
  </si>
  <si>
    <t>Forestry labour</t>
  </si>
  <si>
    <t>Silvoarable tree labour</t>
  </si>
  <si>
    <t>Silvoarable labour</t>
  </si>
  <si>
    <t>Silvoarable breakdown</t>
  </si>
  <si>
    <t>Establishment labour</t>
  </si>
  <si>
    <t>Sward labour</t>
  </si>
  <si>
    <t>Non grant revenue</t>
  </si>
  <si>
    <t>Arable non-grant revenue</t>
  </si>
  <si>
    <t>Arable grant revenue</t>
  </si>
  <si>
    <t>Arable costs</t>
  </si>
  <si>
    <t>Forestry non-grant revenue</t>
  </si>
  <si>
    <t>Silvoarable non-grant revenue</t>
  </si>
  <si>
    <t>Forestry grant revenue</t>
  </si>
  <si>
    <t>Silvoarable grant revenue</t>
  </si>
  <si>
    <t>Silvoarable costs</t>
  </si>
  <si>
    <t xml:space="preserve">(For full list see system list)  </t>
  </si>
  <si>
    <t xml:space="preserve">Crop rotation length </t>
  </si>
  <si>
    <t xml:space="preserve">Select arable financial data </t>
  </si>
  <si>
    <t xml:space="preserve"> years</t>
  </si>
  <si>
    <t xml:space="preserve"> (1+)</t>
  </si>
  <si>
    <t xml:space="preserve">Rotation length </t>
  </si>
  <si>
    <t>Tree</t>
  </si>
  <si>
    <r>
      <t xml:space="preserve">If </t>
    </r>
    <r>
      <rPr>
        <b/>
        <i/>
        <sz val="11"/>
        <rFont val="Calibri"/>
        <family val="2"/>
      </rPr>
      <t>cost based grant</t>
    </r>
    <r>
      <rPr>
        <i/>
        <sz val="11"/>
        <rFont val="Calibri"/>
        <family val="2"/>
      </rPr>
      <t>, period of payment and percentage of total costs are required</t>
    </r>
  </si>
  <si>
    <t xml:space="preserve">Compensation payment </t>
  </si>
  <si>
    <t xml:space="preserve">Maintenance payment - Period 1 </t>
  </si>
  <si>
    <t xml:space="preserve"> % of total cost</t>
  </si>
  <si>
    <t xml:space="preserve">Select system (1-20) ("None" for no system) </t>
  </si>
  <si>
    <t xml:space="preserve">Arable crop rotation length </t>
  </si>
  <si>
    <t xml:space="preserve">Tree component rotation length </t>
  </si>
  <si>
    <t xml:space="preserve">Intercrop </t>
  </si>
  <si>
    <t xml:space="preserve">Select costs </t>
  </si>
  <si>
    <t xml:space="preserve">Select values </t>
  </si>
  <si>
    <t xml:space="preserve">Select grants </t>
  </si>
  <si>
    <t xml:space="preserve">Ground preparation </t>
  </si>
  <si>
    <t xml:space="preserve">Full weeding </t>
  </si>
  <si>
    <t xml:space="preserve">Marking out </t>
  </si>
  <si>
    <t xml:space="preserve">Planting </t>
  </si>
  <si>
    <t xml:space="preserve">Protection </t>
  </si>
  <si>
    <t xml:space="preserve">Localised weeding </t>
  </si>
  <si>
    <t xml:space="preserve">Weeding </t>
  </si>
  <si>
    <t xml:space="preserve">Pruning </t>
  </si>
  <si>
    <t xml:space="preserve">Removal of prunings </t>
  </si>
  <si>
    <t xml:space="preserve">Sward establishment </t>
  </si>
  <si>
    <t xml:space="preserve">Sward maintenance </t>
  </si>
  <si>
    <t xml:space="preserve">Epicormics </t>
  </si>
  <si>
    <t xml:space="preserve">Marking-up and thinning </t>
  </si>
  <si>
    <t xml:space="preserve">Removal of thinned trees </t>
  </si>
  <si>
    <t xml:space="preserve">Labour </t>
  </si>
  <si>
    <t xml:space="preserve">Removal of clear felled trees </t>
  </si>
  <si>
    <r>
      <t xml:space="preserve">  £ h</t>
    </r>
    <r>
      <rPr>
        <b/>
        <vertAlign val="superscript"/>
        <sz val="11"/>
        <rFont val="Calibri"/>
        <family val="2"/>
      </rPr>
      <t>-1</t>
    </r>
  </si>
  <si>
    <t xml:space="preserve"> %</t>
  </si>
  <si>
    <t xml:space="preserve">Minimum area to maintain in arable </t>
  </si>
  <si>
    <t xml:space="preserve"> ha</t>
  </si>
  <si>
    <t xml:space="preserve">Lot 1 </t>
  </si>
  <si>
    <t xml:space="preserve">Lot 2 </t>
  </si>
  <si>
    <t xml:space="preserve">Lot 3 </t>
  </si>
  <si>
    <t xml:space="preserve">Lot 4 </t>
  </si>
  <si>
    <t xml:space="preserve">Lot 5 </t>
  </si>
  <si>
    <t xml:space="preserve">Start </t>
  </si>
  <si>
    <t xml:space="preserve">End </t>
  </si>
  <si>
    <t xml:space="preserve">Interval </t>
  </si>
  <si>
    <t xml:space="preserve">Area planted each year </t>
  </si>
  <si>
    <t xml:space="preserve"> year</t>
  </si>
  <si>
    <t xml:space="preserve">Year of manual overide </t>
  </si>
  <si>
    <t xml:space="preserve"> "None" for no overide</t>
  </si>
  <si>
    <t xml:space="preserve"> year ( "None" for no manual overide)</t>
  </si>
  <si>
    <t xml:space="preserve">Beating-up </t>
  </si>
  <si>
    <t xml:space="preserve">Period of beating-up </t>
  </si>
  <si>
    <t xml:space="preserve">Minimum prune height of bole </t>
  </si>
  <si>
    <t xml:space="preserve">Bole height increment at each prune </t>
  </si>
  <si>
    <t xml:space="preserve">Max. bole height </t>
  </si>
  <si>
    <t xml:space="preserve">Autoprune? </t>
  </si>
  <si>
    <t xml:space="preserve">Prunes undertaken </t>
  </si>
  <si>
    <t xml:space="preserve"> m</t>
  </si>
  <si>
    <t xml:space="preserve"> % of tree height</t>
  </si>
  <si>
    <t xml:space="preserve"> yes/no</t>
  </si>
  <si>
    <r>
      <t xml:space="preserve">  £ ha</t>
    </r>
    <r>
      <rPr>
        <b/>
        <vertAlign val="superscript"/>
        <sz val="11"/>
        <rFont val="Calibri"/>
        <family val="2"/>
      </rPr>
      <t>-1</t>
    </r>
  </si>
  <si>
    <t xml:space="preserve">Discounted grant revenue </t>
  </si>
  <si>
    <t xml:space="preserve">Discounted costs </t>
  </si>
  <si>
    <r>
      <t xml:space="preserve">  t ha</t>
    </r>
    <r>
      <rPr>
        <b/>
        <vertAlign val="superscript"/>
        <sz val="11"/>
        <rFont val="Calibri"/>
        <family val="2"/>
      </rPr>
      <t>-1</t>
    </r>
  </si>
  <si>
    <t xml:space="preserve">Crop main product </t>
  </si>
  <si>
    <t xml:space="preserve">Crop by-products </t>
  </si>
  <si>
    <t xml:space="preserve">Timber </t>
  </si>
  <si>
    <t xml:space="preserve">Firewood </t>
  </si>
  <si>
    <r>
      <t xml:space="preserve">  m</t>
    </r>
    <r>
      <rPr>
        <b/>
        <vertAlign val="superscript"/>
        <sz val="11"/>
        <rFont val="Calibri"/>
        <family val="2"/>
      </rPr>
      <t>3</t>
    </r>
    <r>
      <rPr>
        <b/>
        <sz val="11"/>
        <rFont val="Calibri"/>
        <family val="2"/>
      </rPr>
      <t xml:space="preserve"> ha</t>
    </r>
    <r>
      <rPr>
        <b/>
        <vertAlign val="superscript"/>
        <sz val="11"/>
        <rFont val="Calibri"/>
        <family val="2"/>
      </rPr>
      <t>-1</t>
    </r>
  </si>
  <si>
    <t xml:space="preserve">Tree by-products </t>
  </si>
  <si>
    <r>
      <t xml:space="preserve">  h ha</t>
    </r>
    <r>
      <rPr>
        <b/>
        <vertAlign val="superscript"/>
        <sz val="11"/>
        <rFont val="Calibri"/>
        <family val="2"/>
      </rPr>
      <t>-1</t>
    </r>
  </si>
  <si>
    <r>
      <t xml:space="preserve"> £ unit</t>
    </r>
    <r>
      <rPr>
        <b/>
        <vertAlign val="superscript"/>
        <sz val="11"/>
        <rFont val="Calibri"/>
        <family val="2"/>
      </rPr>
      <t>-1</t>
    </r>
  </si>
  <si>
    <r>
      <t xml:space="preserve"> t unit</t>
    </r>
    <r>
      <rPr>
        <b/>
        <vertAlign val="superscript"/>
        <sz val="11"/>
        <rFont val="Calibri"/>
        <family val="2"/>
      </rPr>
      <t>-1</t>
    </r>
  </si>
  <si>
    <r>
      <t xml:space="preserve"> m</t>
    </r>
    <r>
      <rPr>
        <b/>
        <vertAlign val="superscript"/>
        <sz val="11"/>
        <rFont val="Calibri"/>
        <family val="2"/>
      </rPr>
      <t>3</t>
    </r>
    <r>
      <rPr>
        <b/>
        <sz val="11"/>
        <rFont val="Calibri"/>
        <family val="2"/>
      </rPr>
      <t xml:space="preserve"> unit</t>
    </r>
    <r>
      <rPr>
        <b/>
        <vertAlign val="superscript"/>
        <sz val="11"/>
        <rFont val="Calibri"/>
        <family val="2"/>
      </rPr>
      <t>-1</t>
    </r>
  </si>
  <si>
    <r>
      <t xml:space="preserve"> h unit</t>
    </r>
    <r>
      <rPr>
        <b/>
        <vertAlign val="superscript"/>
        <sz val="11"/>
        <rFont val="Calibri"/>
        <family val="2"/>
      </rPr>
      <t>-1</t>
    </r>
  </si>
  <si>
    <t>Arable crop</t>
  </si>
  <si>
    <t>Silvoarable crop</t>
  </si>
  <si>
    <t>Arable labour</t>
  </si>
  <si>
    <t>Labour for individual weeding</t>
  </si>
  <si>
    <t>Area under agroforestry (crops)</t>
  </si>
  <si>
    <t>(£/ha)</t>
  </si>
  <si>
    <t>(£/unit)</t>
  </si>
  <si>
    <r>
      <t>(m</t>
    </r>
    <r>
      <rPr>
        <vertAlign val="superscript"/>
        <sz val="11"/>
        <color rgb="FF000000"/>
        <rFont val="Calibri"/>
        <family val="2"/>
        <scheme val="minor"/>
      </rPr>
      <t>3</t>
    </r>
    <r>
      <rPr>
        <sz val="11"/>
        <color indexed="8"/>
        <rFont val="Calibri"/>
        <family val="2"/>
        <scheme val="minor"/>
      </rPr>
      <t>/ha)</t>
    </r>
  </si>
  <si>
    <r>
      <t>(m</t>
    </r>
    <r>
      <rPr>
        <vertAlign val="superscript"/>
        <sz val="11"/>
        <color rgb="FF000000"/>
        <rFont val="Calibri"/>
        <family val="2"/>
        <scheme val="minor"/>
      </rPr>
      <t>3</t>
    </r>
    <r>
      <rPr>
        <sz val="11"/>
        <color indexed="8"/>
        <rFont val="Calibri"/>
        <family val="2"/>
        <scheme val="minor"/>
      </rPr>
      <t>/tree)</t>
    </r>
  </si>
  <si>
    <r>
      <t>(m</t>
    </r>
    <r>
      <rPr>
        <vertAlign val="superscript"/>
        <sz val="11"/>
        <color rgb="FF000000"/>
        <rFont val="Calibri"/>
        <family val="2"/>
        <scheme val="minor"/>
      </rPr>
      <t>3</t>
    </r>
    <r>
      <rPr>
        <sz val="11"/>
        <color indexed="8"/>
        <rFont val="Calibri"/>
        <family val="2"/>
        <scheme val="minor"/>
      </rPr>
      <t>/unit)</t>
    </r>
  </si>
  <si>
    <t>Combined</t>
  </si>
  <si>
    <t>Net present value (NPV)</t>
  </si>
  <si>
    <t>Crop production</t>
  </si>
  <si>
    <t>Tree production</t>
  </si>
  <si>
    <t>Economic analysis results (per hectare)</t>
  </si>
  <si>
    <t>Arable model</t>
  </si>
  <si>
    <t>Agroforestry model (crop)</t>
  </si>
  <si>
    <t>Agroforestry model (tree)</t>
  </si>
  <si>
    <t>Area under agroforestry (crop)</t>
  </si>
  <si>
    <t>Annual net margin (£ ha-1)</t>
  </si>
  <si>
    <t>Threshold value (£ ha-1)</t>
  </si>
  <si>
    <t>(£/hr)</t>
  </si>
  <si>
    <t>(£/m3)</t>
  </si>
  <si>
    <t xml:space="preserve">Arable system </t>
  </si>
  <si>
    <t xml:space="preserve">Forestry system </t>
  </si>
  <si>
    <t xml:space="preserve">Agroforestry system </t>
  </si>
  <si>
    <t>Revenue and costs</t>
  </si>
  <si>
    <t>Plot scale results</t>
  </si>
  <si>
    <t>Results</t>
  </si>
  <si>
    <t>Beating-up</t>
  </si>
  <si>
    <t xml:space="preserve"> "full" or manual overide (% per ha forest) </t>
  </si>
  <si>
    <t xml:space="preserve">"area", "cost" or % defined grant  </t>
  </si>
  <si>
    <t xml:space="preserve"> "area", % per ha or % canopy area per ha</t>
  </si>
  <si>
    <t xml:space="preserve"> "area" or % per ha</t>
  </si>
  <si>
    <t xml:space="preserve">Period 2 </t>
  </si>
  <si>
    <t xml:space="preserve"> Establishment</t>
  </si>
  <si>
    <t xml:space="preserve"> Maintenance</t>
  </si>
  <si>
    <t xml:space="preserve"> Clear felling</t>
  </si>
  <si>
    <t xml:space="preserve">Labour cost </t>
  </si>
  <si>
    <t xml:space="preserve">  Discrete planting</t>
  </si>
  <si>
    <t xml:space="preserve">  Continuous planting</t>
  </si>
  <si>
    <t xml:space="preserve">   Planting scheme</t>
  </si>
  <si>
    <t xml:space="preserve">   Continuous planting</t>
  </si>
  <si>
    <t xml:space="preserve">   Discrete planting</t>
  </si>
  <si>
    <t>Timber</t>
  </si>
  <si>
    <t xml:space="preserve">Prices  </t>
  </si>
  <si>
    <t xml:space="preserve">Labour costs  </t>
  </si>
  <si>
    <t xml:space="preserve">Other costs  </t>
  </si>
  <si>
    <t xml:space="preserve">Grant revenue  </t>
  </si>
  <si>
    <t xml:space="preserve"> from year </t>
  </si>
  <si>
    <t xml:space="preserve">Production </t>
  </si>
  <si>
    <t xml:space="preserve">Non-grant revenue </t>
  </si>
  <si>
    <t xml:space="preserve">Grants </t>
  </si>
  <si>
    <t xml:space="preserve">Labour hours </t>
  </si>
  <si>
    <t xml:space="preserve">All costs </t>
  </si>
  <si>
    <t>Arable crop moving average</t>
  </si>
  <si>
    <t>Silvoarable crop moving average</t>
  </si>
  <si>
    <t>Silvoarable total timber</t>
  </si>
  <si>
    <t>Forestry total timber</t>
  </si>
  <si>
    <r>
      <rPr>
        <b/>
        <sz val="11"/>
        <color theme="1"/>
        <rFont val="Calibri"/>
        <family val="2"/>
        <scheme val="minor"/>
      </rPr>
      <t>Disclaimer:</t>
    </r>
    <r>
      <rPr>
        <sz val="11"/>
        <rFont val="Calibri"/>
        <family val="2"/>
        <scheme val="minor"/>
      </rPr>
      <t xml:space="preserve"> use of Farm-SAFE is entirely at the risk of the user. No responsibility is taken by the developers, authors or funders for errors remaining within Farm-SAFE, or for actions or consequences of actions arising from use of Farm-SAFE.</t>
    </r>
  </si>
  <si>
    <r>
      <rPr>
        <b/>
        <sz val="11"/>
        <color theme="1"/>
        <rFont val="Calibri"/>
        <family val="2"/>
        <scheme val="minor"/>
      </rPr>
      <t>Contact details for authors:</t>
    </r>
    <r>
      <rPr>
        <sz val="11"/>
        <rFont val="Calibri"/>
        <family val="2"/>
        <scheme val="minor"/>
      </rPr>
      <t xml:space="preserve"> a.graves@cranfield.ac.uk; p.burgess@cranfield.ac.uk</t>
    </r>
  </si>
  <si>
    <t xml:space="preserve"> Labour costs</t>
  </si>
  <si>
    <t xml:space="preserve"> % of total cost for planting grant</t>
  </si>
  <si>
    <t xml:space="preserve"> % of total cost for planting grant supplement</t>
  </si>
  <si>
    <t xml:space="preserve">Establishment grant  </t>
  </si>
  <si>
    <t xml:space="preserve"> (0-30)</t>
  </si>
  <si>
    <t xml:space="preserve"> (0-20)</t>
  </si>
  <si>
    <t xml:space="preserve">Select values  </t>
  </si>
  <si>
    <t xml:space="preserve">Select grants  </t>
  </si>
  <si>
    <t xml:space="preserve">Select system  </t>
  </si>
  <si>
    <t xml:space="preserve"> (1-30) ("None" for no system) </t>
  </si>
  <si>
    <t xml:space="preserve">Select system </t>
  </si>
  <si>
    <t>ID</t>
  </si>
  <si>
    <t>UK</t>
  </si>
  <si>
    <t>England standard</t>
  </si>
  <si>
    <t>Cereals</t>
  </si>
  <si>
    <t>UK - Agriculture (BPS: from 2015)</t>
  </si>
  <si>
    <t>Agroforestry Fallow</t>
  </si>
  <si>
    <r>
      <t xml:space="preserve">  £ hr</t>
    </r>
    <r>
      <rPr>
        <b/>
        <vertAlign val="superscript"/>
        <sz val="11"/>
        <rFont val="Calibri"/>
        <family val="2"/>
      </rPr>
      <t>-1</t>
    </r>
  </si>
  <si>
    <t>Silsoe</t>
  </si>
  <si>
    <t>Silsoe_02</t>
  </si>
  <si>
    <t>WWBO</t>
  </si>
  <si>
    <t>.</t>
  </si>
  <si>
    <t>Poplar 156 trees/ha</t>
  </si>
  <si>
    <t>UK Poplar Agroforestry England standard EU</t>
  </si>
  <si>
    <t>UK Poplar Forestry England standard EU</t>
  </si>
  <si>
    <t>(£/tree)</t>
  </si>
  <si>
    <t>(£/ha grass)</t>
  </si>
  <si>
    <t>UK poplar</t>
  </si>
  <si>
    <t>UK poplar agroforestry</t>
  </si>
  <si>
    <t xml:space="preserve">% of total cost for planting grant </t>
  </si>
  <si>
    <t xml:space="preserve">% of total cost for planting grant supplement </t>
  </si>
  <si>
    <t xml:space="preserve">Period of payment </t>
  </si>
  <si>
    <r>
      <t xml:space="preserve">Establishment grant (If </t>
    </r>
    <r>
      <rPr>
        <b/>
        <sz val="11"/>
        <color rgb="FF000000"/>
        <rFont val="Calibri"/>
        <family val="2"/>
        <scheme val="minor"/>
      </rPr>
      <t>cost</t>
    </r>
    <r>
      <rPr>
        <sz val="11"/>
        <color indexed="8"/>
        <rFont val="Calibri"/>
        <family val="2"/>
        <scheme val="minor"/>
      </rPr>
      <t xml:space="preserve"> based grant, period of payment and percentage of total costs are required)</t>
    </r>
  </si>
  <si>
    <t xml:space="preserve">Tree-area based compensation payment </t>
  </si>
  <si>
    <t xml:space="preserve">Tree-area based maintenance payment - Period 1 </t>
  </si>
  <si>
    <t>Agroforestry fallow</t>
  </si>
  <si>
    <t>(£/t)</t>
  </si>
  <si>
    <t>(£/kg)</t>
  </si>
  <si>
    <t>(£/kg N)</t>
  </si>
  <si>
    <t>(£/application)</t>
  </si>
  <si>
    <t>(£/LU)</t>
  </si>
  <si>
    <r>
      <t>(m</t>
    </r>
    <r>
      <rPr>
        <b/>
        <vertAlign val="superscript"/>
        <sz val="11"/>
        <rFont val="Calibri"/>
        <family val="2"/>
        <scheme val="minor"/>
      </rPr>
      <t>3</t>
    </r>
    <r>
      <rPr>
        <b/>
        <sz val="11"/>
        <rFont val="Calibri"/>
        <family val="2"/>
        <scheme val="minor"/>
      </rPr>
      <t>)</t>
    </r>
  </si>
  <si>
    <r>
      <t>(£/m</t>
    </r>
    <r>
      <rPr>
        <b/>
        <vertAlign val="superscript"/>
        <sz val="11"/>
        <color rgb="FFFFFF00"/>
        <rFont val="Calibri"/>
        <family val="2"/>
        <scheme val="minor"/>
      </rPr>
      <t>3</t>
    </r>
    <r>
      <rPr>
        <b/>
        <sz val="11"/>
        <color indexed="13"/>
        <rFont val="Calibri"/>
        <family val="2"/>
        <scheme val="minor"/>
      </rPr>
      <t>)</t>
    </r>
  </si>
  <si>
    <r>
      <t>(£ m</t>
    </r>
    <r>
      <rPr>
        <b/>
        <vertAlign val="superscript"/>
        <sz val="11"/>
        <rFont val="Calibri"/>
        <family val="2"/>
        <scheme val="minor"/>
      </rPr>
      <t>-3</t>
    </r>
    <r>
      <rPr>
        <b/>
        <sz val="11"/>
        <rFont val="Calibri"/>
        <family val="2"/>
        <scheme val="minor"/>
      </rPr>
      <t>)</t>
    </r>
  </si>
  <si>
    <r>
      <t>(£ t</t>
    </r>
    <r>
      <rPr>
        <b/>
        <vertAlign val="superscript"/>
        <sz val="11"/>
        <rFont val="Calibri"/>
        <family val="2"/>
        <scheme val="minor"/>
      </rPr>
      <t>-1</t>
    </r>
    <r>
      <rPr>
        <b/>
        <sz val="11"/>
        <rFont val="Calibri"/>
        <family val="2"/>
        <scheme val="minor"/>
      </rPr>
      <t>)</t>
    </r>
  </si>
  <si>
    <r>
      <t>(t ha</t>
    </r>
    <r>
      <rPr>
        <vertAlign val="superscript"/>
        <sz val="11"/>
        <rFont val="Calibri"/>
        <family val="2"/>
        <scheme val="minor"/>
      </rPr>
      <t>-1</t>
    </r>
    <r>
      <rPr>
        <sz val="11"/>
        <rFont val="Calibri"/>
        <family val="2"/>
        <scheme val="minor"/>
      </rPr>
      <t>)</t>
    </r>
  </si>
  <si>
    <r>
      <t>(trees ha</t>
    </r>
    <r>
      <rPr>
        <vertAlign val="superscript"/>
        <sz val="11"/>
        <rFont val="Calibri"/>
        <family val="2"/>
        <scheme val="minor"/>
      </rPr>
      <t>-1</t>
    </r>
    <r>
      <rPr>
        <sz val="11"/>
        <rFont val="Calibri"/>
        <family val="2"/>
        <scheme val="minor"/>
      </rPr>
      <t>)</t>
    </r>
  </si>
  <si>
    <r>
      <t>(m</t>
    </r>
    <r>
      <rPr>
        <vertAlign val="superscript"/>
        <sz val="11"/>
        <rFont val="Calibri"/>
        <family val="2"/>
        <scheme val="minor"/>
      </rPr>
      <t>3</t>
    </r>
    <r>
      <rPr>
        <sz val="11"/>
        <rFont val="Calibri"/>
        <family val="2"/>
        <scheme val="minor"/>
      </rPr>
      <t xml:space="preserve"> ha</t>
    </r>
    <r>
      <rPr>
        <vertAlign val="superscript"/>
        <sz val="11"/>
        <rFont val="Calibri"/>
        <family val="2"/>
        <scheme val="minor"/>
      </rPr>
      <t>-1</t>
    </r>
    <r>
      <rPr>
        <sz val="11"/>
        <rFont val="Calibri"/>
        <family val="2"/>
        <scheme val="minor"/>
      </rPr>
      <t>)</t>
    </r>
  </si>
  <si>
    <t xml:space="preserve"> Search code</t>
  </si>
  <si>
    <r>
      <t>(m</t>
    </r>
    <r>
      <rPr>
        <vertAlign val="superscript"/>
        <sz val="11"/>
        <rFont val="Calibri"/>
        <family val="2"/>
        <scheme val="minor"/>
      </rPr>
      <t>3</t>
    </r>
    <r>
      <rPr>
        <sz val="11"/>
        <rFont val="Calibri"/>
        <family val="2"/>
        <scheme val="minor"/>
      </rPr>
      <t>/ha)</t>
    </r>
  </si>
  <si>
    <r>
      <t>(m</t>
    </r>
    <r>
      <rPr>
        <vertAlign val="superscript"/>
        <sz val="11"/>
        <rFont val="Calibri"/>
        <family val="2"/>
        <scheme val="minor"/>
      </rPr>
      <t>3</t>
    </r>
    <r>
      <rPr>
        <sz val="11"/>
        <rFont val="Calibri"/>
        <family val="2"/>
        <scheme val="minor"/>
      </rPr>
      <t>/unit)</t>
    </r>
  </si>
  <si>
    <r>
      <t>(£/m</t>
    </r>
    <r>
      <rPr>
        <vertAlign val="superscript"/>
        <sz val="11"/>
        <color rgb="FF000000"/>
        <rFont val="Calibri"/>
        <family val="2"/>
        <scheme val="minor"/>
      </rPr>
      <t>3</t>
    </r>
    <r>
      <rPr>
        <sz val="11"/>
        <color indexed="8"/>
        <rFont val="Calibri"/>
        <family val="2"/>
        <scheme val="minor"/>
      </rPr>
      <t>)</t>
    </r>
  </si>
  <si>
    <t>Cumulative net margins</t>
  </si>
  <si>
    <t xml:space="preserve">Plotting period </t>
  </si>
  <si>
    <t xml:space="preserve">Default plotting period </t>
  </si>
  <si>
    <t>Manual override</t>
  </si>
  <si>
    <t>Plot level results</t>
  </si>
  <si>
    <t>Unit level results</t>
  </si>
  <si>
    <t>More plot level results</t>
  </si>
  <si>
    <t>Forestry harvested firewood</t>
  </si>
  <si>
    <t>Silvoarable harvested firewood</t>
  </si>
  <si>
    <t>Silvoarable crop labour</t>
  </si>
  <si>
    <t>Selected Arable System</t>
  </si>
  <si>
    <t>Mean crop yield</t>
  </si>
  <si>
    <t>Mean by-product yield</t>
  </si>
  <si>
    <t>Selected Forestry System</t>
  </si>
  <si>
    <t>Max standing timber volume</t>
  </si>
  <si>
    <t>Max standing firewood</t>
  </si>
  <si>
    <t>Max harvested firewood</t>
  </si>
  <si>
    <t>Max by-product 1</t>
  </si>
  <si>
    <t>Standing timber</t>
  </si>
  <si>
    <t>Yields</t>
  </si>
  <si>
    <r>
      <t>(m</t>
    </r>
    <r>
      <rPr>
        <b/>
        <vertAlign val="superscript"/>
        <sz val="11"/>
        <rFont val="Calibri"/>
        <family val="2"/>
        <scheme val="minor"/>
      </rPr>
      <t>3</t>
    </r>
    <r>
      <rPr>
        <b/>
        <sz val="11"/>
        <rFont val="Calibri"/>
        <family val="2"/>
        <scheme val="minor"/>
      </rPr>
      <t xml:space="preserve"> ha</t>
    </r>
    <r>
      <rPr>
        <b/>
        <vertAlign val="superscript"/>
        <sz val="11"/>
        <rFont val="Calibri"/>
        <family val="2"/>
        <scheme val="minor"/>
      </rPr>
      <t>-1</t>
    </r>
    <r>
      <rPr>
        <b/>
        <sz val="11"/>
        <rFont val="Calibri"/>
        <family val="2"/>
        <scheme val="minor"/>
      </rPr>
      <t>)</t>
    </r>
  </si>
  <si>
    <r>
      <t>(t ha</t>
    </r>
    <r>
      <rPr>
        <b/>
        <vertAlign val="superscript"/>
        <sz val="11"/>
        <rFont val="Calibri"/>
        <family val="2"/>
        <scheme val="minor"/>
      </rPr>
      <t>-1</t>
    </r>
    <r>
      <rPr>
        <b/>
        <sz val="11"/>
        <rFont val="Calibri"/>
        <family val="2"/>
        <scheme val="minor"/>
      </rPr>
      <t>)</t>
    </r>
  </si>
  <si>
    <t>Standing firewood</t>
  </si>
  <si>
    <t>Selected Agroforestry system</t>
  </si>
  <si>
    <t>Poplar 100 trees/ha wwbo 30yr 80%</t>
  </si>
  <si>
    <t>Average crop yield</t>
  </si>
  <si>
    <t>Average crop by-product yield</t>
  </si>
  <si>
    <t xml:space="preserve">Unit area  </t>
  </si>
  <si>
    <t xml:space="preserve">Maximum simulation period  </t>
  </si>
  <si>
    <t xml:space="preserve">Base discount rate  </t>
  </si>
  <si>
    <t xml:space="preserve">  ha</t>
  </si>
  <si>
    <t xml:space="preserve">Time period for analysis  </t>
  </si>
  <si>
    <t>net margin (incl. stand)</t>
  </si>
  <si>
    <t>Cumulative net margin (incl. stand)</t>
  </si>
  <si>
    <t>felling cost</t>
  </si>
  <si>
    <t>Total value increase per year (incl. stand)</t>
  </si>
  <si>
    <t>Net margins (excl. stand)</t>
  </si>
  <si>
    <t>Poplar 100 trees/ha wwbo 14yr 99%</t>
  </si>
  <si>
    <r>
      <rPr>
        <b/>
        <sz val="11"/>
        <color theme="1"/>
        <rFont val="Calibri"/>
        <family val="2"/>
        <scheme val="minor"/>
      </rPr>
      <t>Acknowledgements</t>
    </r>
    <r>
      <rPr>
        <sz val="11"/>
        <rFont val="Calibri"/>
        <family val="2"/>
        <scheme val="minor"/>
      </rPr>
      <t>: The original Farm-SAFE model was developed as part of the SAFE project funded by the EU under its Quality of Life programme (2001-2005) contract number QLF5-CT-2001-00560.</t>
    </r>
  </si>
  <si>
    <t>1. Arable system</t>
  </si>
  <si>
    <t>2. Forestry system</t>
  </si>
  <si>
    <t>3. Agroforestry system</t>
  </si>
  <si>
    <t>4. Sensitivity analysis and one-off changes</t>
  </si>
  <si>
    <t>5. Price and cost trends</t>
  </si>
  <si>
    <t xml:space="preserve">If reducing due to grant reform, percentage to reduce to: </t>
  </si>
  <si>
    <t>6. Results per unit and per hectare</t>
  </si>
  <si>
    <t>Cumulative net margins (excluding stand)</t>
  </si>
  <si>
    <t>Cumulative net margins (excl. stand)</t>
  </si>
  <si>
    <t>Cum. disc. non-grant revenue (excl. stand)</t>
  </si>
  <si>
    <t>(including stand)</t>
  </si>
  <si>
    <t>Standing timber value</t>
  </si>
  <si>
    <t>Value of harvested timber</t>
  </si>
  <si>
    <r>
      <t>Value of timber per m</t>
    </r>
    <r>
      <rPr>
        <vertAlign val="superscript"/>
        <sz val="11"/>
        <rFont val="Calibri"/>
        <family val="2"/>
        <scheme val="minor"/>
      </rPr>
      <t>3</t>
    </r>
  </si>
  <si>
    <t>Standing firewood value</t>
  </si>
  <si>
    <t>Standing volume of firewood</t>
  </si>
  <si>
    <t>Value of harvested firewood</t>
  </si>
  <si>
    <t>Standing value of timber</t>
  </si>
  <si>
    <t>Standing value of firewood</t>
  </si>
  <si>
    <r>
      <t>Value of time per m</t>
    </r>
    <r>
      <rPr>
        <vertAlign val="superscript"/>
        <sz val="11"/>
        <rFont val="Calibri"/>
        <family val="2"/>
        <scheme val="minor"/>
      </rPr>
      <t>3</t>
    </r>
  </si>
  <si>
    <t>Disc. non-grant revenue (excl stand)</t>
  </si>
  <si>
    <t>(£/ha/y)</t>
  </si>
  <si>
    <t>Revenue (excluding grants)</t>
  </si>
  <si>
    <t>Discounted net margins</t>
  </si>
  <si>
    <t>Net margins (excluding stand)</t>
  </si>
  <si>
    <t>Discounted cumulative net margins (excluding stand)</t>
  </si>
  <si>
    <t>Discounted net margin</t>
  </si>
  <si>
    <t>Forestry: standing value of timber and firewood</t>
  </si>
  <si>
    <t>Forestry: incremental value</t>
  </si>
  <si>
    <t>Silvoarable (tree): stranding value of timber and firewood</t>
  </si>
  <si>
    <t>Silvoarable (tree): increment value</t>
  </si>
  <si>
    <t>Stand values</t>
  </si>
  <si>
    <t>Stand</t>
  </si>
  <si>
    <t>Discounted net margins (excluding stand)</t>
  </si>
  <si>
    <t>(£/ha/yr)</t>
  </si>
  <si>
    <t>Including stand</t>
  </si>
  <si>
    <t>Undiscounted financial analysis</t>
  </si>
  <si>
    <t>Discounted financial analysis</t>
  </si>
  <si>
    <t>Undiscounted net margin</t>
  </si>
  <si>
    <t xml:space="preserve">Undiscounted product revenue </t>
  </si>
  <si>
    <t xml:space="preserve">Undiscounted grant revenue </t>
  </si>
  <si>
    <t xml:space="preserve">Undiscounted costs </t>
  </si>
  <si>
    <t>Cumulative product revenue</t>
  </si>
  <si>
    <t>Cumulative grants</t>
  </si>
  <si>
    <t>Cumulative costs</t>
  </si>
  <si>
    <t>Fixed costs (excluding labour)</t>
  </si>
  <si>
    <t>Total costs</t>
  </si>
  <si>
    <t>Annual total cost</t>
  </si>
  <si>
    <t>Annual net margin</t>
  </si>
  <si>
    <t>Annual total revenue (excl. grants)</t>
  </si>
  <si>
    <t>Annual grant</t>
  </si>
  <si>
    <t>Cumulative revenue (excl. grants)</t>
  </si>
  <si>
    <t>Cumulative grant</t>
  </si>
  <si>
    <t>Cumulative revenue (excl. grant)</t>
  </si>
  <si>
    <t>Total grant</t>
  </si>
  <si>
    <t>Cumulative revenue (excl grants)</t>
  </si>
  <si>
    <t xml:space="preserve">Farm-SAFE v3 </t>
  </si>
  <si>
    <t>Equivalent annual value of net margin</t>
  </si>
  <si>
    <t>Equivalent annual value of revenue (excl. grants)</t>
  </si>
  <si>
    <t xml:space="preserve">Equivalent annual value of grant revenue </t>
  </si>
  <si>
    <r>
      <t xml:space="preserve">  £ ha</t>
    </r>
    <r>
      <rPr>
        <b/>
        <vertAlign val="superscript"/>
        <sz val="11"/>
        <rFont val="Calibri"/>
        <family val="2"/>
      </rPr>
      <t>-1</t>
    </r>
    <r>
      <rPr>
        <b/>
        <sz val="11"/>
        <rFont val="Calibri"/>
        <family val="2"/>
        <scheme val="minor"/>
      </rPr>
      <t xml:space="preserve"> a</t>
    </r>
    <r>
      <rPr>
        <b/>
        <vertAlign val="superscript"/>
        <sz val="11"/>
        <rFont val="Calibri"/>
        <family val="2"/>
        <scheme val="minor"/>
      </rPr>
      <t>-1</t>
    </r>
  </si>
  <si>
    <t>Discounted revenue (excluding grants)</t>
  </si>
  <si>
    <t>Equivalent annual value of costs</t>
  </si>
  <si>
    <t>Production and labour</t>
  </si>
  <si>
    <t>Farm-SAFE v3 can be used to compare the financial impact of agricultural, forestry and agroforestry systems. This version is a single "land unit" model derived from Farm-SAFE_v1 (Graves et al., 2011) and the Farm-SAFE_Mar2017 model (Graves et al., 2017).</t>
  </si>
  <si>
    <t>A report describing this model is available (Graves et al. 2024). Everyone is welcome to use this economic model, however by using Farm-SAFE, the user agrees to the disclaimer below.</t>
  </si>
  <si>
    <t>The Farm-SAFE_Mar2017 model was further developed as part of the AGFORWARD project (2014-2018) funded by the EU. Farm-SAFE v3 was developed as part of the BioForce project in 2023 using funding from the UK Department for Energy Security and Net Zero</t>
  </si>
  <si>
    <t xml:space="preserve">References: </t>
  </si>
  <si>
    <t>Graves, A., Palma, J., Garcia de Jalon, S., Crous-Duran, J., Liagre, F., Burgess, P.J. (2017). Deliverable 9.27(9.3) Web-application of the Yield-SAFE and Farm-SAFE Model: Farm-SAFE_March17. Microsoft Excel worksheet model developed as part of the AGFORWARD project. 31 MB. March 2017.  https://www.agforward.eu/web-application-of-yield-safe-and-farm-safe-models.html</t>
  </si>
  <si>
    <t>Graves, A.R., Burgess, P.J., Liagre, F., Terreaux, J-P., Borrel, T, Dupraz, C., Palma, J., Herzog, F. (2011).  Farm-SAFE: the process of developing a plot- and farm-scale model of arable, forestry and silvoarable economics.  Agroforestry Systems 81: 93-108. https://doi.org/10.1007/s10457-010-9363-2</t>
  </si>
  <si>
    <r>
      <rPr>
        <b/>
        <sz val="11"/>
        <color theme="1"/>
        <rFont val="Calibri"/>
        <family val="2"/>
        <scheme val="minor"/>
      </rPr>
      <t>Copyright:</t>
    </r>
    <r>
      <rPr>
        <sz val="11"/>
        <rFont val="Calibri"/>
        <family val="2"/>
        <scheme val="minor"/>
      </rPr>
      <t xml:space="preserve"> The authors are happy for the model to be used and modified for research and educational purposes. However, persons seeking to use the model for commericial gain should contact the authors.</t>
    </r>
  </si>
  <si>
    <t>Agroforestry systems</t>
  </si>
  <si>
    <t>Select crop code for manual overide of specified crop rotation</t>
  </si>
  <si>
    <r>
      <rPr>
        <b/>
        <sz val="11"/>
        <color theme="1"/>
        <rFont val="Calibri"/>
        <family val="2"/>
        <scheme val="minor"/>
      </rPr>
      <t>Suggested reference for Farm-SAFE v3:</t>
    </r>
    <r>
      <rPr>
        <sz val="11"/>
        <rFont val="Calibri"/>
        <family val="2"/>
        <scheme val="minor"/>
      </rPr>
      <t xml:space="preserve"> Graves, A.R., Burgess, P.J., Wiltshire, C., Giannitsopoulos, M., Herzog, F., Palma, J. (2024). Farm-SAFE v3 model in Excel. Bedfordshire: Cranfield University.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</si>
</sst>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_)"/>
    <numFmt numFmtId="165" formatCode="0_)"/>
    <numFmt numFmtId="166" formatCode="0.0_)"/>
    <numFmt numFmtId="167" formatCode="0.000_)"/>
    <numFmt numFmtId="168" formatCode="0.000"/>
    <numFmt numFmtId="169" formatCode="0.0"/>
    <numFmt numFmtId="170" formatCode="###0;[Red]\-###0"/>
    <numFmt numFmtId="171" formatCode="0.0%"/>
    <numFmt numFmtId="172" formatCode="_-[$€-2]* #,##0.00_-;\-[$€-2]* #,##0.00_-;_-[$€-2]* &quot;-&quot;??_-"/>
    <numFmt numFmtId="173" formatCode="0.0000"/>
    <numFmt numFmtId="174" formatCode="0;\-0;;@"/>
    <numFmt numFmtId="175" formatCode="0.00;\-0.00;;@"/>
  </numFmts>
  <fonts count="34" x14ac:knownFonts="1">
    <font>
      <sz val="10"/>
      <name val="Arial"/>
    </font>
    <font>
      <sz val="10"/>
      <name val="Arial"/>
      <family val="2"/>
    </font>
    <font>
      <sz val="8"/>
      <color indexed="81"/>
      <name val="Tahoma"/>
      <family val="2"/>
    </font>
    <font>
      <b/>
      <sz val="8"/>
      <color indexed="81"/>
      <name val="Tahoma"/>
      <family val="2"/>
    </font>
    <font>
      <sz val="8"/>
      <name val="Arial"/>
      <family val="2"/>
    </font>
    <font>
      <b/>
      <sz val="11"/>
      <name val="Calibri"/>
      <family val="2"/>
      <scheme val="minor"/>
    </font>
    <font>
      <sz val="11"/>
      <name val="Calibri"/>
      <family val="2"/>
      <scheme val="minor"/>
    </font>
    <font>
      <b/>
      <sz val="11"/>
      <color indexed="8"/>
      <name val="Calibri"/>
      <family val="2"/>
      <scheme val="minor"/>
    </font>
    <font>
      <sz val="11"/>
      <color indexed="8"/>
      <name val="Calibri"/>
      <family val="2"/>
      <scheme val="minor"/>
    </font>
    <font>
      <b/>
      <u/>
      <sz val="11"/>
      <name val="Calibri"/>
      <family val="2"/>
      <scheme val="minor"/>
    </font>
    <font>
      <i/>
      <sz val="11"/>
      <name val="Calibri"/>
      <family val="2"/>
      <scheme val="minor"/>
    </font>
    <font>
      <sz val="11"/>
      <color indexed="13"/>
      <name val="Calibri"/>
      <family val="2"/>
      <scheme val="minor"/>
    </font>
    <font>
      <b/>
      <sz val="11"/>
      <color indexed="10"/>
      <name val="Calibri"/>
      <family val="2"/>
      <scheme val="minor"/>
    </font>
    <font>
      <b/>
      <sz val="11"/>
      <color indexed="13"/>
      <name val="Calibri"/>
      <family val="2"/>
      <scheme val="minor"/>
    </font>
    <font>
      <b/>
      <i/>
      <sz val="11"/>
      <name val="Calibri"/>
      <family val="2"/>
    </font>
    <font>
      <i/>
      <sz val="11"/>
      <name val="Calibri"/>
      <family val="2"/>
    </font>
    <font>
      <b/>
      <vertAlign val="superscript"/>
      <sz val="11"/>
      <name val="Calibri"/>
      <family val="2"/>
    </font>
    <font>
      <b/>
      <sz val="11"/>
      <name val="Calibri"/>
      <family val="2"/>
    </font>
    <font>
      <vertAlign val="superscript"/>
      <sz val="11"/>
      <color rgb="FF000000"/>
      <name val="Calibri"/>
      <family val="2"/>
      <scheme val="minor"/>
    </font>
    <font>
      <b/>
      <sz val="16"/>
      <color theme="1"/>
      <name val="Calibri"/>
      <family val="2"/>
      <scheme val="minor"/>
    </font>
    <font>
      <b/>
      <sz val="11"/>
      <color theme="1"/>
      <name val="Calibri"/>
      <family val="2"/>
      <scheme val="minor"/>
    </font>
    <font>
      <u/>
      <sz val="11"/>
      <color theme="10"/>
      <name val="Calibri"/>
      <family val="2"/>
      <scheme val="minor"/>
    </font>
    <font>
      <sz val="10"/>
      <name val="Arial"/>
      <family val="2"/>
    </font>
    <font>
      <strike/>
      <sz val="11"/>
      <name val="Calibri"/>
      <family val="2"/>
      <scheme val="minor"/>
    </font>
    <font>
      <b/>
      <sz val="11"/>
      <color rgb="FF000000"/>
      <name val="Calibri"/>
      <family val="2"/>
      <scheme val="minor"/>
    </font>
    <font>
      <b/>
      <vertAlign val="superscript"/>
      <sz val="11"/>
      <name val="Calibri"/>
      <family val="2"/>
      <scheme val="minor"/>
    </font>
    <font>
      <b/>
      <vertAlign val="superscript"/>
      <sz val="11"/>
      <color rgb="FFFFFF00"/>
      <name val="Calibri"/>
      <family val="2"/>
      <scheme val="minor"/>
    </font>
    <font>
      <sz val="11"/>
      <color indexed="51"/>
      <name val="Calibri"/>
      <family val="2"/>
      <scheme val="minor"/>
    </font>
    <font>
      <vertAlign val="superscript"/>
      <sz val="11"/>
      <name val="Calibri"/>
      <family val="2"/>
      <scheme val="minor"/>
    </font>
    <font>
      <b/>
      <sz val="11"/>
      <color indexed="63"/>
      <name val="Calibri"/>
      <family val="2"/>
      <scheme val="minor"/>
    </font>
    <font>
      <b/>
      <sz val="11"/>
      <color theme="0"/>
      <name val="Calibri"/>
      <family val="2"/>
      <scheme val="minor"/>
    </font>
    <font>
      <sz val="11"/>
      <color theme="0"/>
      <name val="Calibri"/>
      <family val="2"/>
      <scheme val="minor"/>
    </font>
    <font>
      <sz val="12"/>
      <color rgb="FF000000"/>
      <name val="Calibri"/>
      <family val="2"/>
    </font>
    <font>
      <b/>
      <sz val="11"/>
      <color theme="0"/>
      <name val="Arial"/>
      <family val="2"/>
    </font>
  </fonts>
  <fills count="4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51"/>
        <bgColor indexed="64"/>
      </patternFill>
    </fill>
    <fill>
      <patternFill patternType="solid">
        <fgColor indexed="41"/>
        <bgColor indexed="64"/>
      </patternFill>
    </fill>
    <fill>
      <patternFill patternType="solid">
        <fgColor indexed="42"/>
        <bgColor indexed="64"/>
      </patternFill>
    </fill>
    <fill>
      <patternFill patternType="solid">
        <fgColor indexed="50"/>
        <bgColor indexed="64"/>
      </patternFill>
    </fill>
    <fill>
      <patternFill patternType="solid">
        <fgColor indexed="55"/>
        <bgColor indexed="64"/>
      </patternFill>
    </fill>
    <fill>
      <patternFill patternType="solid">
        <fgColor indexed="13"/>
        <bgColor indexed="64"/>
      </patternFill>
    </fill>
    <fill>
      <patternFill patternType="lightUp">
        <bgColor indexed="13"/>
      </patternFill>
    </fill>
    <fill>
      <patternFill patternType="lightUp">
        <fgColor indexed="13"/>
        <bgColor indexed="50"/>
      </patternFill>
    </fill>
    <fill>
      <patternFill patternType="solid">
        <fgColor indexed="12"/>
        <bgColor indexed="64"/>
      </patternFill>
    </fill>
    <fill>
      <patternFill patternType="solid">
        <fgColor indexed="19"/>
        <bgColor indexed="64"/>
      </patternFill>
    </fill>
    <fill>
      <patternFill patternType="solid">
        <fgColor indexed="23"/>
        <bgColor indexed="64"/>
      </patternFill>
    </fill>
    <fill>
      <patternFill patternType="solid">
        <fgColor indexed="54"/>
        <bgColor indexed="64"/>
      </patternFill>
    </fill>
    <fill>
      <patternFill patternType="solid">
        <fgColor indexed="52"/>
        <bgColor indexed="64"/>
      </patternFill>
    </fill>
    <fill>
      <patternFill patternType="solid">
        <fgColor indexed="48"/>
        <bgColor indexed="64"/>
      </patternFill>
    </fill>
    <fill>
      <patternFill patternType="solid">
        <fgColor indexed="60"/>
        <bgColor indexed="64"/>
      </patternFill>
    </fill>
    <fill>
      <patternFill patternType="solid">
        <fgColor indexed="40"/>
        <bgColor indexed="64"/>
      </patternFill>
    </fill>
    <fill>
      <patternFill patternType="solid">
        <fgColor indexed="13"/>
        <bgColor indexed="13"/>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FF66"/>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A5A5A5"/>
      </patternFill>
    </fill>
    <fill>
      <patternFill patternType="solid">
        <fgColor rgb="FF92D050"/>
        <bgColor indexed="64"/>
      </patternFill>
    </fill>
    <fill>
      <patternFill patternType="solid">
        <fgColor rgb="FFCCFF99"/>
        <bgColor indexed="64"/>
      </patternFill>
    </fill>
    <fill>
      <patternFill patternType="solid">
        <fgColor rgb="FFFFC0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tint="-4.9989318521683403E-2"/>
        <bgColor indexed="64"/>
      </patternFill>
    </fill>
  </fills>
  <borders count="67">
    <border>
      <left/>
      <right/>
      <top/>
      <bottom/>
      <diagonal/>
    </border>
    <border>
      <left style="thin">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rgb="FF3F3F3F"/>
      </right>
      <top style="medium">
        <color indexed="64"/>
      </top>
      <bottom style="double">
        <color rgb="FF3F3F3F"/>
      </bottom>
      <diagonal/>
    </border>
  </borders>
  <cellStyleXfs count="4">
    <xf numFmtId="0" fontId="0" fillId="0" borderId="0"/>
    <xf numFmtId="9" fontId="1" fillId="0" borderId="0" applyFont="0" applyFill="0" applyBorder="0" applyAlignment="0" applyProtection="0"/>
    <xf numFmtId="0" fontId="21" fillId="0" borderId="0" applyNumberFormat="0" applyFill="0" applyBorder="0" applyAlignment="0" applyProtection="0"/>
    <xf numFmtId="0" fontId="33" fillId="33" borderId="65" applyNumberFormat="0" applyAlignment="0" applyProtection="0"/>
  </cellStyleXfs>
  <cellXfs count="1514">
    <xf numFmtId="0" fontId="0" fillId="0" borderId="0" xfId="0"/>
    <xf numFmtId="0" fontId="6" fillId="0" borderId="0" xfId="0" applyFont="1"/>
    <xf numFmtId="0" fontId="7" fillId="3" borderId="16" xfId="0" applyFont="1" applyFill="1" applyBorder="1"/>
    <xf numFmtId="0" fontId="8" fillId="3" borderId="6" xfId="0" applyFont="1" applyFill="1" applyBorder="1"/>
    <xf numFmtId="0" fontId="6" fillId="2" borderId="13" xfId="0" applyFont="1" applyFill="1" applyBorder="1"/>
    <xf numFmtId="169" fontId="6" fillId="0" borderId="0" xfId="0" applyNumberFormat="1" applyFont="1"/>
    <xf numFmtId="0" fontId="6" fillId="2" borderId="0" xfId="0" applyFont="1" applyFill="1"/>
    <xf numFmtId="0" fontId="6" fillId="2" borderId="36" xfId="0" applyFont="1" applyFill="1" applyBorder="1"/>
    <xf numFmtId="0" fontId="8" fillId="0" borderId="0" xfId="0" applyFont="1"/>
    <xf numFmtId="9" fontId="6" fillId="0" borderId="0" xfId="1" applyFont="1" applyFill="1" applyBorder="1" applyAlignment="1">
      <alignment horizontal="center"/>
    </xf>
    <xf numFmtId="1" fontId="6" fillId="0" borderId="0" xfId="0" applyNumberFormat="1" applyFont="1"/>
    <xf numFmtId="0" fontId="6" fillId="2" borderId="14" xfId="0" applyFont="1" applyFill="1" applyBorder="1"/>
    <xf numFmtId="1" fontId="5" fillId="8" borderId="31" xfId="1" applyNumberFormat="1" applyFont="1" applyFill="1" applyBorder="1" applyAlignment="1" applyProtection="1">
      <alignment horizontal="center"/>
      <protection locked="0"/>
    </xf>
    <xf numFmtId="9" fontId="5" fillId="8" borderId="62" xfId="1" applyFont="1" applyFill="1" applyBorder="1" applyAlignment="1" applyProtection="1">
      <alignment horizontal="center"/>
      <protection locked="0"/>
    </xf>
    <xf numFmtId="9" fontId="7" fillId="8" borderId="62" xfId="1" applyFont="1" applyFill="1" applyBorder="1" applyAlignment="1" applyProtection="1">
      <alignment horizontal="center"/>
      <protection locked="0"/>
    </xf>
    <xf numFmtId="9" fontId="7" fillId="8" borderId="31" xfId="1" applyFont="1" applyFill="1" applyBorder="1" applyAlignment="1" applyProtection="1">
      <alignment horizontal="center"/>
      <protection locked="0"/>
    </xf>
    <xf numFmtId="9" fontId="7" fillId="8" borderId="32" xfId="1" applyFont="1" applyFill="1" applyBorder="1" applyAlignment="1" applyProtection="1">
      <alignment horizontal="center"/>
      <protection locked="0"/>
    </xf>
    <xf numFmtId="169" fontId="7" fillId="8" borderId="25" xfId="0" applyNumberFormat="1" applyFont="1" applyFill="1" applyBorder="1" applyAlignment="1" applyProtection="1">
      <alignment horizontal="center"/>
      <protection locked="0"/>
    </xf>
    <xf numFmtId="169" fontId="7" fillId="8" borderId="12" xfId="0" applyNumberFormat="1" applyFont="1" applyFill="1" applyBorder="1" applyAlignment="1" applyProtection="1">
      <alignment horizontal="center"/>
      <protection locked="0"/>
    </xf>
    <xf numFmtId="169" fontId="7" fillId="8" borderId="30" xfId="0" applyNumberFormat="1" applyFont="1" applyFill="1" applyBorder="1" applyAlignment="1" applyProtection="1">
      <alignment horizontal="center"/>
      <protection locked="0"/>
    </xf>
    <xf numFmtId="0" fontId="7" fillId="10" borderId="23" xfId="0" applyFont="1" applyFill="1" applyBorder="1" applyAlignment="1" applyProtection="1">
      <alignment horizontal="center"/>
      <protection locked="0"/>
    </xf>
    <xf numFmtId="0" fontId="7" fillId="8" borderId="25" xfId="0" applyFont="1" applyFill="1" applyBorder="1" applyAlignment="1" applyProtection="1">
      <alignment horizontal="center"/>
      <protection locked="0"/>
    </xf>
    <xf numFmtId="0" fontId="7" fillId="8" borderId="30" xfId="0" applyFont="1" applyFill="1" applyBorder="1" applyAlignment="1" applyProtection="1">
      <alignment horizontal="center"/>
      <protection locked="0"/>
    </xf>
    <xf numFmtId="0" fontId="7" fillId="8" borderId="12" xfId="0" applyFont="1" applyFill="1" applyBorder="1" applyAlignment="1" applyProtection="1">
      <alignment horizontal="center"/>
      <protection locked="0"/>
    </xf>
    <xf numFmtId="0" fontId="5" fillId="8" borderId="25" xfId="0" applyFont="1" applyFill="1" applyBorder="1" applyAlignment="1" applyProtection="1">
      <alignment horizontal="center"/>
      <protection locked="0"/>
    </xf>
    <xf numFmtId="0" fontId="5" fillId="8" borderId="30" xfId="0" applyFont="1" applyFill="1" applyBorder="1" applyAlignment="1" applyProtection="1">
      <alignment horizontal="center"/>
      <protection locked="0"/>
    </xf>
    <xf numFmtId="9" fontId="7" fillId="8" borderId="25" xfId="1" applyFont="1" applyFill="1" applyBorder="1" applyAlignment="1" applyProtection="1">
      <alignment horizontal="center"/>
      <protection locked="0"/>
    </xf>
    <xf numFmtId="1" fontId="7" fillId="8" borderId="30" xfId="1" applyNumberFormat="1" applyFont="1" applyFill="1" applyBorder="1" applyAlignment="1" applyProtection="1">
      <alignment horizontal="center"/>
      <protection locked="0"/>
    </xf>
    <xf numFmtId="169" fontId="7" fillId="8" borderId="25" xfId="1" applyNumberFormat="1" applyFont="1" applyFill="1" applyBorder="1" applyAlignment="1" applyProtection="1">
      <alignment horizontal="center"/>
      <protection locked="0"/>
    </xf>
    <xf numFmtId="0" fontId="5" fillId="8" borderId="12" xfId="0" applyFont="1" applyFill="1" applyBorder="1" applyAlignment="1" applyProtection="1">
      <alignment horizontal="center"/>
      <protection locked="0"/>
    </xf>
    <xf numFmtId="9" fontId="7" fillId="8" borderId="12" xfId="1" applyFont="1" applyFill="1" applyBorder="1" applyAlignment="1" applyProtection="1">
      <alignment horizontal="center" vertical="center" wrapText="1"/>
      <protection locked="0"/>
    </xf>
    <xf numFmtId="0" fontId="6" fillId="2" borderId="2" xfId="0" applyFont="1" applyFill="1" applyBorder="1"/>
    <xf numFmtId="0" fontId="6" fillId="2" borderId="22" xfId="0" applyFont="1" applyFill="1" applyBorder="1"/>
    <xf numFmtId="0" fontId="5" fillId="0" borderId="0" xfId="0" applyFont="1"/>
    <xf numFmtId="0" fontId="6" fillId="2" borderId="15" xfId="0" applyFont="1" applyFill="1" applyBorder="1" applyAlignment="1">
      <alignment horizontal="center" vertical="top" wrapText="1"/>
    </xf>
    <xf numFmtId="0" fontId="6" fillId="0" borderId="0" xfId="0" applyFont="1" applyAlignment="1">
      <alignment horizontal="center"/>
    </xf>
    <xf numFmtId="1" fontId="6" fillId="0" borderId="13" xfId="0" applyNumberFormat="1" applyFont="1" applyBorder="1"/>
    <xf numFmtId="0" fontId="6" fillId="2" borderId="1" xfId="0" applyFont="1" applyFill="1" applyBorder="1" applyAlignment="1">
      <alignment horizontal="center" vertical="top" wrapText="1"/>
    </xf>
    <xf numFmtId="0" fontId="6" fillId="2" borderId="13" xfId="0" applyFont="1" applyFill="1" applyBorder="1" applyAlignment="1">
      <alignment horizontal="center" vertical="top" wrapText="1"/>
    </xf>
    <xf numFmtId="0" fontId="6" fillId="2" borderId="0" xfId="0" applyFont="1" applyFill="1" applyAlignment="1">
      <alignment horizontal="center" vertical="top" wrapText="1"/>
    </xf>
    <xf numFmtId="0" fontId="6" fillId="2" borderId="2" xfId="0" applyFont="1" applyFill="1" applyBorder="1" applyAlignment="1">
      <alignment horizontal="center" vertical="top" wrapText="1"/>
    </xf>
    <xf numFmtId="164" fontId="8" fillId="2" borderId="0" xfId="0" applyNumberFormat="1" applyFont="1" applyFill="1" applyAlignment="1">
      <alignment horizontal="center" vertical="top" wrapText="1"/>
    </xf>
    <xf numFmtId="2" fontId="6" fillId="0" borderId="0" xfId="0" applyNumberFormat="1" applyFont="1"/>
    <xf numFmtId="0" fontId="7" fillId="0" borderId="0" xfId="0" applyFont="1"/>
    <xf numFmtId="0" fontId="6" fillId="2" borderId="16" xfId="0" applyFont="1" applyFill="1" applyBorder="1" applyAlignment="1">
      <alignment horizontal="center"/>
    </xf>
    <xf numFmtId="1" fontId="6" fillId="0" borderId="5" xfId="0" applyNumberFormat="1" applyFont="1" applyBorder="1"/>
    <xf numFmtId="2" fontId="6" fillId="0" borderId="5" xfId="0" applyNumberFormat="1" applyFont="1" applyBorder="1"/>
    <xf numFmtId="0" fontId="6" fillId="0" borderId="5" xfId="0" applyFont="1" applyBorder="1"/>
    <xf numFmtId="1" fontId="6" fillId="0" borderId="14" xfId="0" applyNumberFormat="1" applyFont="1" applyBorder="1"/>
    <xf numFmtId="0" fontId="5" fillId="24" borderId="27" xfId="0" applyFont="1" applyFill="1" applyBorder="1" applyAlignment="1">
      <alignment horizontal="left" vertical="top"/>
    </xf>
    <xf numFmtId="0" fontId="6" fillId="2" borderId="17" xfId="0" applyFont="1" applyFill="1" applyBorder="1" applyAlignment="1">
      <alignment horizontal="center" vertical="top" wrapText="1"/>
    </xf>
    <xf numFmtId="0" fontId="6" fillId="2" borderId="28" xfId="0" applyFont="1" applyFill="1" applyBorder="1" applyAlignment="1">
      <alignment horizontal="center" vertical="top" wrapText="1"/>
    </xf>
    <xf numFmtId="1" fontId="6" fillId="0" borderId="21" xfId="0" applyNumberFormat="1" applyFont="1" applyBorder="1"/>
    <xf numFmtId="2" fontId="6" fillId="0" borderId="21" xfId="0" applyNumberFormat="1" applyFont="1" applyBorder="1"/>
    <xf numFmtId="0" fontId="6" fillId="0" borderId="21" xfId="0" applyFont="1" applyBorder="1"/>
    <xf numFmtId="169" fontId="6" fillId="0" borderId="21" xfId="0" applyNumberFormat="1" applyFont="1" applyBorder="1"/>
    <xf numFmtId="1" fontId="6" fillId="0" borderId="15" xfId="0" applyNumberFormat="1" applyFont="1" applyBorder="1"/>
    <xf numFmtId="0" fontId="6" fillId="2" borderId="14" xfId="0" applyFont="1" applyFill="1" applyBorder="1" applyAlignment="1">
      <alignment horizontal="center" vertical="top" wrapText="1"/>
    </xf>
    <xf numFmtId="0" fontId="7" fillId="23" borderId="13" xfId="0" applyFont="1" applyFill="1" applyBorder="1" applyAlignment="1" applyProtection="1">
      <alignment vertical="center"/>
      <protection locked="0"/>
    </xf>
    <xf numFmtId="0" fontId="7" fillId="6" borderId="2" xfId="0" applyFont="1" applyFill="1" applyBorder="1" applyAlignment="1" applyProtection="1">
      <alignment horizontal="left" vertical="center"/>
      <protection locked="0"/>
    </xf>
    <xf numFmtId="0" fontId="6" fillId="23" borderId="13" xfId="0" applyFont="1" applyFill="1" applyBorder="1"/>
    <xf numFmtId="0" fontId="7" fillId="6" borderId="13" xfId="0" applyFont="1" applyFill="1" applyBorder="1" applyAlignment="1" applyProtection="1">
      <alignment horizontal="left" vertical="center"/>
      <protection locked="0"/>
    </xf>
    <xf numFmtId="0" fontId="7" fillId="6" borderId="5" xfId="0" applyFont="1" applyFill="1" applyBorder="1" applyAlignment="1" applyProtection="1">
      <alignment horizontal="left" vertical="center"/>
      <protection locked="0"/>
    </xf>
    <xf numFmtId="0" fontId="7" fillId="6" borderId="19" xfId="0" applyFont="1" applyFill="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5" fillId="27" borderId="8" xfId="0" applyFont="1" applyFill="1" applyBorder="1"/>
    <xf numFmtId="0" fontId="5" fillId="27" borderId="10" xfId="0" applyFont="1" applyFill="1" applyBorder="1"/>
    <xf numFmtId="0" fontId="5" fillId="27" borderId="11" xfId="0" applyFont="1" applyFill="1" applyBorder="1"/>
    <xf numFmtId="0" fontId="5" fillId="5" borderId="8" xfId="0" applyFont="1" applyFill="1" applyBorder="1"/>
    <xf numFmtId="0" fontId="5" fillId="5" borderId="10" xfId="0" applyFont="1" applyFill="1" applyBorder="1"/>
    <xf numFmtId="0" fontId="5" fillId="5" borderId="11" xfId="0" applyFont="1" applyFill="1" applyBorder="1"/>
    <xf numFmtId="0" fontId="5" fillId="24" borderId="14" xfId="0" applyFont="1" applyFill="1" applyBorder="1"/>
    <xf numFmtId="0" fontId="5" fillId="24" borderId="5" xfId="0" applyFont="1" applyFill="1" applyBorder="1"/>
    <xf numFmtId="0" fontId="5" fillId="24" borderId="5" xfId="0" applyFont="1" applyFill="1" applyBorder="1" applyAlignment="1">
      <alignment horizontal="center" vertical="top" wrapText="1"/>
    </xf>
    <xf numFmtId="0" fontId="5" fillId="24" borderId="19" xfId="0" applyFont="1" applyFill="1" applyBorder="1" applyAlignment="1">
      <alignment horizontal="center" vertical="top" wrapText="1"/>
    </xf>
    <xf numFmtId="0" fontId="6" fillId="2" borderId="21" xfId="0" applyFont="1" applyFill="1" applyBorder="1" applyAlignment="1">
      <alignment horizontal="center"/>
    </xf>
    <xf numFmtId="0" fontId="6" fillId="2" borderId="22" xfId="0" applyFont="1" applyFill="1" applyBorder="1" applyAlignment="1">
      <alignment horizontal="center"/>
    </xf>
    <xf numFmtId="0" fontId="6" fillId="2" borderId="15" xfId="0" applyFont="1" applyFill="1" applyBorder="1" applyAlignment="1">
      <alignment horizontal="center"/>
    </xf>
    <xf numFmtId="164" fontId="8" fillId="2" borderId="21" xfId="0" applyNumberFormat="1" applyFont="1" applyFill="1" applyBorder="1" applyAlignment="1">
      <alignment horizontal="center"/>
    </xf>
    <xf numFmtId="0" fontId="8" fillId="2" borderId="15" xfId="0" applyFont="1" applyFill="1" applyBorder="1" applyAlignment="1">
      <alignment horizontal="center"/>
    </xf>
    <xf numFmtId="0" fontId="8" fillId="2" borderId="21" xfId="0" applyFont="1" applyFill="1" applyBorder="1" applyAlignment="1">
      <alignment horizontal="center"/>
    </xf>
    <xf numFmtId="0" fontId="8" fillId="2" borderId="22" xfId="0" applyFont="1" applyFill="1" applyBorder="1" applyAlignment="1">
      <alignment horizontal="center"/>
    </xf>
    <xf numFmtId="164" fontId="8" fillId="2" borderId="26" xfId="0" applyNumberFormat="1" applyFont="1" applyFill="1" applyBorder="1" applyAlignment="1">
      <alignment horizontal="center"/>
    </xf>
    <xf numFmtId="0" fontId="6" fillId="2" borderId="26" xfId="0" applyFont="1" applyFill="1" applyBorder="1" applyAlignment="1">
      <alignment horizontal="center"/>
    </xf>
    <xf numFmtId="0" fontId="6" fillId="2" borderId="56" xfId="0" applyFont="1" applyFill="1" applyBorder="1" applyAlignment="1">
      <alignment horizontal="center"/>
    </xf>
    <xf numFmtId="0" fontId="8" fillId="2" borderId="26" xfId="0" applyFont="1" applyFill="1" applyBorder="1" applyAlignment="1">
      <alignment horizontal="center"/>
    </xf>
    <xf numFmtId="0" fontId="5" fillId="22" borderId="23" xfId="0" applyFont="1" applyFill="1" applyBorder="1" applyAlignment="1" applyProtection="1">
      <alignment horizontal="center"/>
      <protection locked="0"/>
    </xf>
    <xf numFmtId="0" fontId="5" fillId="28" borderId="0" xfId="0" applyFont="1" applyFill="1" applyAlignment="1">
      <alignment horizontal="center"/>
    </xf>
    <xf numFmtId="0" fontId="5" fillId="30" borderId="0" xfId="0" applyFont="1" applyFill="1" applyAlignment="1">
      <alignment horizontal="center"/>
    </xf>
    <xf numFmtId="170" fontId="6" fillId="29" borderId="23" xfId="0" applyNumberFormat="1" applyFont="1" applyFill="1" applyBorder="1" applyAlignment="1">
      <alignment horizontal="center"/>
    </xf>
    <xf numFmtId="0" fontId="5" fillId="28" borderId="5" xfId="0" applyFont="1" applyFill="1" applyBorder="1" applyAlignment="1">
      <alignment horizontal="center"/>
    </xf>
    <xf numFmtId="0" fontId="5" fillId="30" borderId="5" xfId="0" applyFont="1" applyFill="1" applyBorder="1" applyAlignment="1">
      <alignment horizontal="center"/>
    </xf>
    <xf numFmtId="0" fontId="5"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8" fillId="3" borderId="20" xfId="0" applyFont="1" applyFill="1" applyBorder="1"/>
    <xf numFmtId="9" fontId="5" fillId="22" borderId="23" xfId="0" applyNumberFormat="1" applyFont="1" applyFill="1" applyBorder="1" applyAlignment="1">
      <alignment horizontal="center" vertical="center"/>
    </xf>
    <xf numFmtId="170" fontId="5" fillId="22" borderId="23" xfId="0" applyNumberFormat="1" applyFont="1" applyFill="1" applyBorder="1" applyAlignment="1">
      <alignment horizontal="center" vertical="center"/>
    </xf>
    <xf numFmtId="0" fontId="5" fillId="2" borderId="15" xfId="0" applyFont="1" applyFill="1" applyBorder="1"/>
    <xf numFmtId="0" fontId="6" fillId="9" borderId="23" xfId="0" applyFont="1" applyFill="1" applyBorder="1"/>
    <xf numFmtId="0" fontId="6" fillId="6" borderId="23" xfId="0" applyFont="1" applyFill="1" applyBorder="1" applyAlignment="1" applyProtection="1">
      <alignment horizontal="left"/>
      <protection locked="0"/>
    </xf>
    <xf numFmtId="0" fontId="6" fillId="9" borderId="30" xfId="0" applyFont="1" applyFill="1" applyBorder="1"/>
    <xf numFmtId="0" fontId="6" fillId="2" borderId="2" xfId="0" applyFont="1" applyFill="1" applyBorder="1" applyAlignment="1">
      <alignment horizontal="left"/>
    </xf>
    <xf numFmtId="1" fontId="11" fillId="14" borderId="16" xfId="0" applyNumberFormat="1" applyFont="1" applyFill="1" applyBorder="1" applyProtection="1">
      <protection locked="0"/>
    </xf>
    <xf numFmtId="0" fontId="11" fillId="14" borderId="23" xfId="0" applyFont="1" applyFill="1" applyBorder="1" applyAlignment="1">
      <alignment horizontal="left"/>
    </xf>
    <xf numFmtId="0" fontId="11" fillId="0" borderId="0" xfId="0" applyFont="1"/>
    <xf numFmtId="1" fontId="6" fillId="9" borderId="15" xfId="0" applyNumberFormat="1" applyFont="1" applyFill="1" applyBorder="1" applyProtection="1">
      <protection locked="0"/>
    </xf>
    <xf numFmtId="1" fontId="6" fillId="6" borderId="34" xfId="0" applyNumberFormat="1" applyFont="1" applyFill="1" applyBorder="1" applyAlignment="1" applyProtection="1">
      <alignment horizontal="left"/>
      <protection locked="0"/>
    </xf>
    <xf numFmtId="1" fontId="6" fillId="0" borderId="0" xfId="0" applyNumberFormat="1" applyFont="1" applyProtection="1">
      <protection locked="0"/>
    </xf>
    <xf numFmtId="1" fontId="6" fillId="9" borderId="13" xfId="0" applyNumberFormat="1" applyFont="1" applyFill="1" applyBorder="1" applyProtection="1">
      <protection locked="0"/>
    </xf>
    <xf numFmtId="1" fontId="6" fillId="6" borderId="31" xfId="0" applyNumberFormat="1" applyFont="1" applyFill="1" applyBorder="1" applyAlignment="1" applyProtection="1">
      <alignment horizontal="left"/>
      <protection locked="0"/>
    </xf>
    <xf numFmtId="1" fontId="11" fillId="19" borderId="31" xfId="0" applyNumberFormat="1" applyFont="1" applyFill="1" applyBorder="1" applyAlignment="1">
      <alignment horizontal="left"/>
    </xf>
    <xf numFmtId="1" fontId="11" fillId="0" borderId="0" xfId="0" applyNumberFormat="1" applyFont="1" applyAlignment="1">
      <alignment horizontal="center"/>
    </xf>
    <xf numFmtId="0" fontId="6" fillId="6" borderId="31" xfId="0" applyFont="1" applyFill="1" applyBorder="1" applyAlignment="1" applyProtection="1">
      <alignment horizontal="left"/>
      <protection locked="0"/>
    </xf>
    <xf numFmtId="0" fontId="6" fillId="0" borderId="0" xfId="0" applyFont="1" applyProtection="1">
      <protection locked="0"/>
    </xf>
    <xf numFmtId="1" fontId="6" fillId="9" borderId="14" xfId="0" applyNumberFormat="1" applyFont="1" applyFill="1" applyBorder="1" applyProtection="1">
      <protection locked="0"/>
    </xf>
    <xf numFmtId="1" fontId="11" fillId="19" borderId="32" xfId="0" applyNumberFormat="1" applyFont="1" applyFill="1" applyBorder="1" applyAlignment="1">
      <alignment horizontal="left" wrapText="1"/>
    </xf>
    <xf numFmtId="1" fontId="11" fillId="0" borderId="0" xfId="0" applyNumberFormat="1" applyFont="1" applyAlignment="1">
      <alignment horizontal="center" wrapText="1"/>
    </xf>
    <xf numFmtId="1" fontId="6" fillId="2" borderId="2" xfId="0" applyNumberFormat="1" applyFont="1" applyFill="1" applyBorder="1" applyAlignment="1" applyProtection="1">
      <alignment horizontal="left"/>
      <protection locked="0"/>
    </xf>
    <xf numFmtId="1" fontId="11" fillId="14" borderId="23" xfId="0" applyNumberFormat="1" applyFont="1" applyFill="1" applyBorder="1" applyProtection="1">
      <protection locked="0"/>
    </xf>
    <xf numFmtId="1" fontId="6" fillId="6" borderId="31" xfId="0" applyNumberFormat="1" applyFont="1" applyFill="1" applyBorder="1" applyAlignment="1">
      <alignment horizontal="left"/>
    </xf>
    <xf numFmtId="0" fontId="5" fillId="9" borderId="16" xfId="0" applyFont="1" applyFill="1" applyBorder="1"/>
    <xf numFmtId="0" fontId="5" fillId="9" borderId="6" xfId="0" applyFont="1" applyFill="1" applyBorder="1"/>
    <xf numFmtId="0" fontId="6" fillId="9" borderId="37" xfId="0" applyFont="1" applyFill="1" applyBorder="1" applyAlignment="1">
      <alignment horizontal="center" vertical="top"/>
    </xf>
    <xf numFmtId="0" fontId="6" fillId="9" borderId="16" xfId="0" applyFont="1" applyFill="1" applyBorder="1"/>
    <xf numFmtId="0" fontId="6" fillId="9" borderId="6" xfId="0" applyFont="1" applyFill="1" applyBorder="1"/>
    <xf numFmtId="0" fontId="6" fillId="9" borderId="20" xfId="0" applyFont="1" applyFill="1" applyBorder="1"/>
    <xf numFmtId="0" fontId="5" fillId="14" borderId="16" xfId="0" applyFont="1" applyFill="1" applyBorder="1" applyAlignment="1">
      <alignment vertical="top"/>
    </xf>
    <xf numFmtId="0" fontId="5" fillId="14" borderId="6" xfId="0" applyFont="1" applyFill="1" applyBorder="1" applyAlignment="1">
      <alignment vertical="top" wrapText="1"/>
    </xf>
    <xf numFmtId="0" fontId="5" fillId="14" borderId="6" xfId="0" applyFont="1" applyFill="1" applyBorder="1" applyAlignment="1">
      <alignment horizontal="center" vertical="top" wrapText="1"/>
    </xf>
    <xf numFmtId="0" fontId="5" fillId="14" borderId="20" xfId="0" applyFont="1" applyFill="1" applyBorder="1" applyAlignment="1">
      <alignment horizontal="center" vertical="top" wrapText="1"/>
    </xf>
    <xf numFmtId="0" fontId="6" fillId="14" borderId="16" xfId="0" applyFont="1" applyFill="1" applyBorder="1"/>
    <xf numFmtId="0" fontId="6" fillId="14" borderId="6" xfId="0" applyFont="1" applyFill="1" applyBorder="1"/>
    <xf numFmtId="0" fontId="6" fillId="14" borderId="20" xfId="0" applyFont="1" applyFill="1" applyBorder="1"/>
    <xf numFmtId="0" fontId="6" fillId="14" borderId="23" xfId="0" applyFont="1" applyFill="1" applyBorder="1"/>
    <xf numFmtId="0" fontId="5" fillId="2" borderId="48" xfId="0" applyFont="1" applyFill="1" applyBorder="1" applyAlignment="1">
      <alignment horizontal="left" vertical="top"/>
    </xf>
    <xf numFmtId="0" fontId="5" fillId="2" borderId="49" xfId="0" applyFont="1" applyFill="1" applyBorder="1" applyAlignment="1">
      <alignment vertical="top"/>
    </xf>
    <xf numFmtId="0" fontId="5" fillId="2" borderId="50" xfId="0" applyFont="1" applyFill="1" applyBorder="1" applyAlignment="1">
      <alignment horizontal="left" vertical="top"/>
    </xf>
    <xf numFmtId="0" fontId="6" fillId="2" borderId="50" xfId="0" applyFont="1" applyFill="1" applyBorder="1" applyAlignment="1">
      <alignment horizontal="center" vertical="top"/>
    </xf>
    <xf numFmtId="0" fontId="6" fillId="2" borderId="37" xfId="0" applyFont="1" applyFill="1" applyBorder="1" applyAlignment="1">
      <alignment horizontal="center" vertical="top"/>
    </xf>
    <xf numFmtId="0" fontId="6" fillId="2" borderId="48" xfId="0" applyFont="1" applyFill="1" applyBorder="1"/>
    <xf numFmtId="0" fontId="6" fillId="2" borderId="50" xfId="0" applyFont="1" applyFill="1" applyBorder="1"/>
    <xf numFmtId="0" fontId="6" fillId="2" borderId="37" xfId="0" applyFont="1" applyFill="1" applyBorder="1"/>
    <xf numFmtId="0" fontId="6" fillId="2" borderId="34" xfId="0" applyFont="1" applyFill="1" applyBorder="1"/>
    <xf numFmtId="0" fontId="5" fillId="2" borderId="8" xfId="0" applyFont="1" applyFill="1" applyBorder="1" applyAlignment="1">
      <alignment horizontal="left" vertical="top"/>
    </xf>
    <xf numFmtId="0" fontId="5" fillId="2" borderId="9" xfId="0" applyFont="1" applyFill="1" applyBorder="1" applyAlignment="1">
      <alignment vertical="top"/>
    </xf>
    <xf numFmtId="0" fontId="5" fillId="2" borderId="9" xfId="0" applyFont="1" applyFill="1" applyBorder="1" applyAlignment="1">
      <alignment horizontal="left" vertical="top"/>
    </xf>
    <xf numFmtId="0" fontId="5" fillId="2" borderId="10" xfId="0" applyFont="1" applyFill="1" applyBorder="1" applyAlignment="1">
      <alignment horizontal="left" vertical="top"/>
    </xf>
    <xf numFmtId="0" fontId="5" fillId="2" borderId="11" xfId="0" applyFont="1" applyFill="1" applyBorder="1" applyAlignment="1">
      <alignment horizontal="left" vertical="top"/>
    </xf>
    <xf numFmtId="0" fontId="6" fillId="2" borderId="59" xfId="0" applyFont="1" applyFill="1" applyBorder="1"/>
    <xf numFmtId="0" fontId="6" fillId="2" borderId="35" xfId="0" applyFont="1" applyFill="1" applyBorder="1"/>
    <xf numFmtId="0" fontId="6" fillId="2" borderId="62" xfId="0" applyFont="1" applyFill="1" applyBorder="1"/>
    <xf numFmtId="1" fontId="6" fillId="6" borderId="13" xfId="0" applyNumberFormat="1" applyFont="1" applyFill="1" applyBorder="1" applyAlignment="1">
      <alignment horizontal="center" vertical="top" textRotation="180" wrapText="1"/>
    </xf>
    <xf numFmtId="0" fontId="6" fillId="6" borderId="1" xfId="0" applyFont="1" applyFill="1" applyBorder="1" applyAlignment="1">
      <alignment vertical="top" textRotation="180" wrapText="1"/>
    </xf>
    <xf numFmtId="0" fontId="6" fillId="6" borderId="1" xfId="0" applyFont="1" applyFill="1" applyBorder="1" applyAlignment="1">
      <alignment horizontal="center" vertical="top" textRotation="180" wrapText="1"/>
    </xf>
    <xf numFmtId="0" fontId="6" fillId="6" borderId="0" xfId="0" applyFont="1" applyFill="1" applyAlignment="1">
      <alignment horizontal="center" vertical="top" textRotation="180" wrapText="1"/>
    </xf>
    <xf numFmtId="0" fontId="6" fillId="6" borderId="28" xfId="0" applyFont="1" applyFill="1" applyBorder="1" applyAlignment="1">
      <alignment horizontal="center" vertical="top" textRotation="180" wrapText="1"/>
    </xf>
    <xf numFmtId="0" fontId="6" fillId="20" borderId="59" xfId="0" applyFont="1" applyFill="1" applyBorder="1" applyAlignment="1">
      <alignment horizontal="center" vertical="top" textRotation="180" wrapText="1"/>
    </xf>
    <xf numFmtId="0" fontId="6" fillId="20" borderId="36" xfId="0" applyFont="1" applyFill="1" applyBorder="1" applyAlignment="1">
      <alignment horizontal="center" vertical="top" textRotation="180" wrapText="1"/>
    </xf>
    <xf numFmtId="0" fontId="6" fillId="8" borderId="59" xfId="0" applyFont="1" applyFill="1" applyBorder="1" applyAlignment="1">
      <alignment horizontal="center" vertical="top" textRotation="180" wrapText="1"/>
    </xf>
    <xf numFmtId="0" fontId="6" fillId="8" borderId="36" xfId="0" applyFont="1" applyFill="1" applyBorder="1" applyAlignment="1">
      <alignment horizontal="center" vertical="top" textRotation="180" wrapText="1"/>
    </xf>
    <xf numFmtId="0" fontId="6" fillId="8" borderId="35" xfId="0" applyFont="1" applyFill="1" applyBorder="1" applyAlignment="1">
      <alignment horizontal="center" vertical="top" textRotation="180" wrapText="1"/>
    </xf>
    <xf numFmtId="0" fontId="6" fillId="17" borderId="62" xfId="0" applyFont="1" applyFill="1" applyBorder="1" applyAlignment="1">
      <alignment horizontal="center" vertical="top" textRotation="180" wrapText="1"/>
    </xf>
    <xf numFmtId="0" fontId="6" fillId="2" borderId="7" xfId="0" applyFont="1" applyFill="1" applyBorder="1"/>
    <xf numFmtId="0" fontId="6" fillId="2" borderId="3" xfId="0" applyFont="1" applyFill="1" applyBorder="1"/>
    <xf numFmtId="0" fontId="6" fillId="2" borderId="3" xfId="0" applyFont="1" applyFill="1" applyBorder="1" applyAlignment="1">
      <alignment horizontal="center"/>
    </xf>
    <xf numFmtId="0" fontId="6" fillId="2" borderId="4" xfId="0" applyFont="1" applyFill="1" applyBorder="1" applyAlignment="1">
      <alignment horizontal="center"/>
    </xf>
    <xf numFmtId="0" fontId="8" fillId="2" borderId="3" xfId="0" applyFont="1" applyFill="1" applyBorder="1" applyAlignment="1">
      <alignment horizontal="center"/>
    </xf>
    <xf numFmtId="0" fontId="8" fillId="2" borderId="4" xfId="0" applyFont="1" applyFill="1" applyBorder="1" applyAlignment="1">
      <alignment horizontal="center"/>
    </xf>
    <xf numFmtId="0" fontId="6" fillId="2" borderId="39" xfId="0" applyFont="1" applyFill="1" applyBorder="1"/>
    <xf numFmtId="1" fontId="6" fillId="2" borderId="0" xfId="0" applyNumberFormat="1" applyFont="1" applyFill="1" applyProtection="1">
      <protection locked="0"/>
    </xf>
    <xf numFmtId="1" fontId="6" fillId="2" borderId="13" xfId="0" applyNumberFormat="1" applyFont="1" applyFill="1" applyBorder="1" applyProtection="1">
      <protection locked="0"/>
    </xf>
    <xf numFmtId="1" fontId="6" fillId="2" borderId="2" xfId="0" applyNumberFormat="1" applyFont="1" applyFill="1" applyBorder="1" applyProtection="1">
      <protection locked="0"/>
    </xf>
    <xf numFmtId="0" fontId="6" fillId="2" borderId="12" xfId="0" applyFont="1" applyFill="1" applyBorder="1"/>
    <xf numFmtId="0" fontId="6" fillId="14" borderId="46" xfId="0" applyFont="1" applyFill="1" applyBorder="1"/>
    <xf numFmtId="0" fontId="6" fillId="14" borderId="46" xfId="0" applyFont="1" applyFill="1" applyBorder="1" applyAlignment="1">
      <alignment horizontal="center"/>
    </xf>
    <xf numFmtId="2" fontId="6" fillId="14" borderId="46" xfId="0" applyNumberFormat="1" applyFont="1" applyFill="1" applyBorder="1" applyAlignment="1">
      <alignment horizontal="center"/>
    </xf>
    <xf numFmtId="0" fontId="6" fillId="14" borderId="6" xfId="0" applyFont="1" applyFill="1" applyBorder="1" applyAlignment="1">
      <alignment horizontal="center"/>
    </xf>
    <xf numFmtId="9" fontId="6" fillId="14" borderId="6" xfId="0" applyNumberFormat="1" applyFont="1" applyFill="1" applyBorder="1" applyAlignment="1">
      <alignment horizontal="center"/>
    </xf>
    <xf numFmtId="1" fontId="6" fillId="14" borderId="6" xfId="0" applyNumberFormat="1" applyFont="1" applyFill="1" applyBorder="1" applyAlignment="1">
      <alignment horizontal="center"/>
    </xf>
    <xf numFmtId="0" fontId="6" fillId="14" borderId="47" xfId="0" applyFont="1" applyFill="1" applyBorder="1"/>
    <xf numFmtId="1" fontId="6" fillId="14" borderId="16" xfId="0" applyNumberFormat="1" applyFont="1" applyFill="1" applyBorder="1" applyProtection="1">
      <protection locked="0"/>
    </xf>
    <xf numFmtId="1" fontId="6" fillId="14" borderId="6" xfId="0" applyNumberFormat="1" applyFont="1" applyFill="1" applyBorder="1" applyProtection="1">
      <protection locked="0"/>
    </xf>
    <xf numFmtId="1" fontId="6" fillId="14" borderId="20" xfId="0" applyNumberFormat="1" applyFont="1" applyFill="1" applyBorder="1" applyProtection="1">
      <protection locked="0"/>
    </xf>
    <xf numFmtId="1" fontId="6" fillId="14" borderId="23" xfId="0" applyNumberFormat="1" applyFont="1" applyFill="1" applyBorder="1" applyProtection="1">
      <protection locked="0"/>
    </xf>
    <xf numFmtId="165" fontId="6" fillId="0" borderId="15" xfId="0" applyNumberFormat="1" applyFont="1" applyBorder="1"/>
    <xf numFmtId="0" fontId="6" fillId="0" borderId="26" xfId="0" applyFont="1" applyBorder="1"/>
    <xf numFmtId="2" fontId="6" fillId="0" borderId="26" xfId="0" applyNumberFormat="1" applyFont="1" applyBorder="1" applyAlignment="1">
      <alignment horizontal="center"/>
    </xf>
    <xf numFmtId="2" fontId="6" fillId="0" borderId="26" xfId="0" applyNumberFormat="1" applyFont="1" applyBorder="1"/>
    <xf numFmtId="1" fontId="6" fillId="0" borderId="26" xfId="0" applyNumberFormat="1" applyFont="1" applyBorder="1"/>
    <xf numFmtId="1" fontId="6" fillId="0" borderId="41" xfId="0" applyNumberFormat="1" applyFont="1" applyBorder="1"/>
    <xf numFmtId="1" fontId="6" fillId="0" borderId="21" xfId="0" applyNumberFormat="1" applyFont="1" applyBorder="1" applyProtection="1">
      <protection locked="0"/>
    </xf>
    <xf numFmtId="2" fontId="6" fillId="0" borderId="15" xfId="0" applyNumberFormat="1" applyFont="1" applyBorder="1"/>
    <xf numFmtId="2" fontId="6" fillId="0" borderId="21" xfId="0" applyNumberFormat="1" applyFont="1" applyBorder="1" applyProtection="1">
      <protection locked="0"/>
    </xf>
    <xf numFmtId="0" fontId="6" fillId="0" borderId="22" xfId="0" applyFont="1" applyBorder="1"/>
    <xf numFmtId="0" fontId="6" fillId="0" borderId="25" xfId="0" applyFont="1" applyBorder="1"/>
    <xf numFmtId="165" fontId="6" fillId="0" borderId="13" xfId="0" applyNumberFormat="1" applyFont="1" applyBorder="1"/>
    <xf numFmtId="0" fontId="6" fillId="0" borderId="1" xfId="0" applyFont="1" applyBorder="1"/>
    <xf numFmtId="2" fontId="6" fillId="0" borderId="1" xfId="0" applyNumberFormat="1" applyFont="1" applyBorder="1" applyAlignment="1">
      <alignment horizontal="center"/>
    </xf>
    <xf numFmtId="2" fontId="6" fillId="0" borderId="1" xfId="0" applyNumberFormat="1" applyFont="1" applyBorder="1"/>
    <xf numFmtId="1" fontId="6" fillId="0" borderId="1" xfId="0" applyNumberFormat="1" applyFont="1" applyBorder="1"/>
    <xf numFmtId="1" fontId="6" fillId="0" borderId="28" xfId="0" applyNumberFormat="1" applyFont="1" applyBorder="1"/>
    <xf numFmtId="2" fontId="6" fillId="0" borderId="13" xfId="0" applyNumberFormat="1" applyFont="1" applyBorder="1"/>
    <xf numFmtId="2" fontId="6" fillId="0" borderId="0" xfId="0" applyNumberFormat="1" applyFont="1" applyProtection="1">
      <protection locked="0"/>
    </xf>
    <xf numFmtId="0" fontId="6" fillId="0" borderId="2" xfId="0" applyFont="1" applyBorder="1"/>
    <xf numFmtId="0" fontId="6" fillId="0" borderId="12" xfId="0" applyFont="1" applyBorder="1"/>
    <xf numFmtId="165" fontId="6" fillId="0" borderId="14" xfId="0" applyNumberFormat="1" applyFont="1" applyBorder="1"/>
    <xf numFmtId="0" fontId="6" fillId="0" borderId="27" xfId="0" applyFont="1" applyBorder="1"/>
    <xf numFmtId="2" fontId="6" fillId="0" borderId="27" xfId="0" applyNumberFormat="1" applyFont="1" applyBorder="1" applyAlignment="1">
      <alignment horizontal="center"/>
    </xf>
    <xf numFmtId="2" fontId="6" fillId="0" borderId="27" xfId="0" applyNumberFormat="1" applyFont="1" applyBorder="1"/>
    <xf numFmtId="1" fontId="6" fillId="0" borderId="27" xfId="0" applyNumberFormat="1" applyFont="1" applyBorder="1"/>
    <xf numFmtId="1" fontId="6" fillId="0" borderId="29" xfId="0" applyNumberFormat="1" applyFont="1" applyBorder="1"/>
    <xf numFmtId="1" fontId="6" fillId="0" borderId="5" xfId="0" applyNumberFormat="1" applyFont="1" applyBorder="1" applyProtection="1">
      <protection locked="0"/>
    </xf>
    <xf numFmtId="2" fontId="6" fillId="0" borderId="14" xfId="0" applyNumberFormat="1" applyFont="1" applyBorder="1"/>
    <xf numFmtId="2" fontId="6" fillId="0" borderId="5" xfId="0" applyNumberFormat="1" applyFont="1" applyBorder="1" applyProtection="1">
      <protection locked="0"/>
    </xf>
    <xf numFmtId="0" fontId="6" fillId="0" borderId="19" xfId="0" applyFont="1" applyBorder="1"/>
    <xf numFmtId="0" fontId="6" fillId="0" borderId="30" xfId="0" applyFont="1" applyBorder="1"/>
    <xf numFmtId="0" fontId="6" fillId="14" borderId="5" xfId="0" applyFont="1" applyFill="1" applyBorder="1"/>
    <xf numFmtId="0" fontId="6" fillId="2" borderId="20" xfId="0" applyFont="1" applyFill="1" applyBorder="1"/>
    <xf numFmtId="0" fontId="7" fillId="6" borderId="15" xfId="0" applyFont="1" applyFill="1" applyBorder="1" applyAlignment="1" applyProtection="1">
      <alignment horizontal="left" vertical="center"/>
      <protection locked="0"/>
    </xf>
    <xf numFmtId="0" fontId="7" fillId="6" borderId="21" xfId="0" applyFont="1" applyFill="1" applyBorder="1" applyAlignment="1" applyProtection="1">
      <alignment horizontal="left" vertical="center"/>
      <protection locked="0"/>
    </xf>
    <xf numFmtId="0" fontId="7" fillId="6" borderId="22" xfId="0" applyFont="1" applyFill="1" applyBorder="1" applyAlignment="1" applyProtection="1">
      <alignment horizontal="left" vertical="center"/>
      <protection locked="0"/>
    </xf>
    <xf numFmtId="0" fontId="7" fillId="6" borderId="14" xfId="0" applyFont="1" applyFill="1" applyBorder="1" applyAlignment="1" applyProtection="1">
      <alignment horizontal="left" vertical="center"/>
      <protection locked="0"/>
    </xf>
    <xf numFmtId="0" fontId="5" fillId="28" borderId="16" xfId="0" applyFont="1" applyFill="1" applyBorder="1"/>
    <xf numFmtId="0" fontId="6" fillId="0" borderId="0" xfId="0" applyFont="1" applyAlignment="1">
      <alignment horizontal="center" vertical="top" wrapText="1"/>
    </xf>
    <xf numFmtId="0" fontId="5" fillId="5" borderId="51" xfId="0" applyFont="1" applyFill="1" applyBorder="1"/>
    <xf numFmtId="0" fontId="5" fillId="5" borderId="52" xfId="0" applyFont="1" applyFill="1" applyBorder="1"/>
    <xf numFmtId="0" fontId="6" fillId="2" borderId="16" xfId="0" applyFont="1" applyFill="1" applyBorder="1" applyAlignment="1">
      <alignment horizontal="center" vertical="top" wrapText="1"/>
    </xf>
    <xf numFmtId="0" fontId="6" fillId="2" borderId="6" xfId="0" applyFont="1" applyFill="1" applyBorder="1" applyAlignment="1">
      <alignment horizontal="center" vertical="top" wrapText="1"/>
    </xf>
    <xf numFmtId="0" fontId="6" fillId="2" borderId="20" xfId="0" applyFont="1" applyFill="1" applyBorder="1" applyAlignment="1">
      <alignment horizontal="center" vertical="top" wrapText="1"/>
    </xf>
    <xf numFmtId="0" fontId="5" fillId="5" borderId="63" xfId="0" applyFont="1" applyFill="1" applyBorder="1"/>
    <xf numFmtId="0" fontId="5" fillId="24" borderId="59" xfId="0" applyFont="1" applyFill="1" applyBorder="1"/>
    <xf numFmtId="0" fontId="5" fillId="24" borderId="36" xfId="0" applyFont="1" applyFill="1" applyBorder="1"/>
    <xf numFmtId="0" fontId="5" fillId="24" borderId="35" xfId="0" applyFont="1" applyFill="1" applyBorder="1"/>
    <xf numFmtId="0" fontId="5" fillId="27" borderId="59" xfId="0" applyFont="1" applyFill="1" applyBorder="1"/>
    <xf numFmtId="0" fontId="5" fillId="27" borderId="36" xfId="0" applyFont="1" applyFill="1" applyBorder="1"/>
    <xf numFmtId="0" fontId="5" fillId="27" borderId="35" xfId="0" applyFont="1" applyFill="1" applyBorder="1"/>
    <xf numFmtId="0" fontId="5" fillId="28" borderId="20" xfId="0" applyFont="1" applyFill="1" applyBorder="1"/>
    <xf numFmtId="0" fontId="7" fillId="28" borderId="16" xfId="0" applyFont="1" applyFill="1" applyBorder="1"/>
    <xf numFmtId="0" fontId="7" fillId="28" borderId="6" xfId="0" applyFont="1" applyFill="1" applyBorder="1"/>
    <xf numFmtId="0" fontId="5" fillId="5" borderId="59" xfId="0" applyFont="1" applyFill="1" applyBorder="1"/>
    <xf numFmtId="0" fontId="5" fillId="5" borderId="36" xfId="0" applyFont="1" applyFill="1" applyBorder="1"/>
    <xf numFmtId="0" fontId="5" fillId="5" borderId="35" xfId="0" applyFont="1" applyFill="1" applyBorder="1"/>
    <xf numFmtId="0" fontId="7" fillId="22" borderId="23" xfId="0" applyFont="1" applyFill="1" applyBorder="1" applyAlignment="1" applyProtection="1">
      <alignment horizontal="center" vertical="center"/>
      <protection locked="0"/>
    </xf>
    <xf numFmtId="0" fontId="5" fillId="10" borderId="23" xfId="0" applyFont="1" applyFill="1" applyBorder="1" applyAlignment="1" applyProtection="1">
      <alignment horizontal="center"/>
      <protection locked="0"/>
    </xf>
    <xf numFmtId="0" fontId="7" fillId="8" borderId="23" xfId="0" applyFont="1" applyFill="1" applyBorder="1" applyAlignment="1" applyProtection="1">
      <alignment horizontal="center" vertical="top" wrapText="1"/>
      <protection locked="0"/>
    </xf>
    <xf numFmtId="1" fontId="7" fillId="8" borderId="23" xfId="1" applyNumberFormat="1" applyFont="1" applyFill="1" applyBorder="1" applyAlignment="1" applyProtection="1">
      <alignment horizontal="center"/>
      <protection locked="0"/>
    </xf>
    <xf numFmtId="0" fontId="5" fillId="8" borderId="23" xfId="0" applyFont="1" applyFill="1" applyBorder="1" applyAlignment="1" applyProtection="1">
      <alignment horizontal="center"/>
      <protection locked="0"/>
    </xf>
    <xf numFmtId="9" fontId="5" fillId="8" borderId="23" xfId="1" applyFont="1" applyFill="1" applyBorder="1" applyAlignment="1" applyProtection="1">
      <alignment horizontal="center"/>
      <protection locked="0"/>
    </xf>
    <xf numFmtId="9" fontId="7" fillId="8" borderId="23" xfId="1" applyFont="1" applyFill="1" applyBorder="1" applyAlignment="1" applyProtection="1">
      <alignment horizontal="center"/>
      <protection locked="0"/>
    </xf>
    <xf numFmtId="9" fontId="5" fillId="8" borderId="30" xfId="1" applyFont="1" applyFill="1" applyBorder="1" applyAlignment="1" applyProtection="1">
      <alignment horizontal="center"/>
      <protection locked="0"/>
    </xf>
    <xf numFmtId="0" fontId="7" fillId="8" borderId="23" xfId="0" applyFont="1" applyFill="1" applyBorder="1" applyAlignment="1" applyProtection="1">
      <alignment horizontal="center" wrapText="1"/>
      <protection locked="0"/>
    </xf>
    <xf numFmtId="164" fontId="7" fillId="8" borderId="12" xfId="0" applyNumberFormat="1" applyFont="1" applyFill="1" applyBorder="1" applyAlignment="1" applyProtection="1">
      <alignment horizontal="center" vertical="top" wrapText="1"/>
      <protection locked="0"/>
    </xf>
    <xf numFmtId="0" fontId="5" fillId="2" borderId="5" xfId="0" applyFont="1" applyFill="1" applyBorder="1"/>
    <xf numFmtId="9" fontId="7" fillId="10" borderId="30" xfId="1" applyFont="1" applyFill="1" applyBorder="1" applyAlignment="1" applyProtection="1">
      <alignment horizontal="center"/>
      <protection locked="0"/>
    </xf>
    <xf numFmtId="9" fontId="5" fillId="22" borderId="23" xfId="1" applyFont="1" applyFill="1" applyBorder="1" applyAlignment="1" applyProtection="1">
      <alignment horizontal="center"/>
      <protection locked="0"/>
    </xf>
    <xf numFmtId="0" fontId="5" fillId="21" borderId="23" xfId="0" applyFont="1" applyFill="1" applyBorder="1" applyAlignment="1" applyProtection="1">
      <alignment horizontal="center"/>
      <protection locked="0"/>
    </xf>
    <xf numFmtId="0" fontId="5" fillId="0" borderId="0" xfId="0" applyFont="1" applyAlignment="1">
      <alignment vertical="center"/>
    </xf>
    <xf numFmtId="0" fontId="6" fillId="0" borderId="0" xfId="0" applyFont="1" applyAlignment="1">
      <alignment horizontal="right"/>
    </xf>
    <xf numFmtId="0" fontId="5" fillId="26" borderId="0" xfId="0" applyFont="1" applyFill="1" applyAlignment="1">
      <alignment horizontal="center"/>
    </xf>
    <xf numFmtId="0" fontId="8" fillId="31" borderId="13" xfId="0" applyFont="1" applyFill="1" applyBorder="1"/>
    <xf numFmtId="0" fontId="6" fillId="31" borderId="13" xfId="0" applyFont="1" applyFill="1" applyBorder="1"/>
    <xf numFmtId="0" fontId="6" fillId="31" borderId="14" xfId="0" applyFont="1" applyFill="1" applyBorder="1"/>
    <xf numFmtId="0" fontId="7" fillId="31" borderId="0" xfId="0" applyFont="1" applyFill="1"/>
    <xf numFmtId="0" fontId="6" fillId="31" borderId="0" xfId="0" applyFont="1" applyFill="1"/>
    <xf numFmtId="0" fontId="6" fillId="31" borderId="0" xfId="0" applyFont="1" applyFill="1" applyAlignment="1">
      <alignment horizontal="center"/>
    </xf>
    <xf numFmtId="0" fontId="5" fillId="31" borderId="0" xfId="0" applyFont="1" applyFill="1"/>
    <xf numFmtId="0" fontId="5" fillId="31" borderId="0" xfId="0" applyFont="1" applyFill="1" applyAlignment="1">
      <alignment horizontal="center"/>
    </xf>
    <xf numFmtId="0" fontId="5" fillId="31" borderId="0" xfId="0" applyFont="1" applyFill="1" applyAlignment="1">
      <alignment horizontal="left"/>
    </xf>
    <xf numFmtId="0" fontId="6" fillId="31" borderId="5" xfId="0" applyFont="1" applyFill="1" applyBorder="1" applyAlignment="1">
      <alignment horizontal="center"/>
    </xf>
    <xf numFmtId="0" fontId="6" fillId="31" borderId="5" xfId="0" applyFont="1" applyFill="1" applyBorder="1"/>
    <xf numFmtId="0" fontId="5" fillId="31" borderId="21" xfId="0" applyFont="1" applyFill="1" applyBorder="1" applyAlignment="1">
      <alignment horizontal="center"/>
    </xf>
    <xf numFmtId="1" fontId="6" fillId="31" borderId="0" xfId="1" applyNumberFormat="1" applyFont="1" applyFill="1" applyBorder="1" applyAlignment="1">
      <alignment horizontal="center"/>
    </xf>
    <xf numFmtId="0" fontId="5" fillId="31" borderId="5" xfId="0" applyFont="1" applyFill="1" applyBorder="1" applyAlignment="1">
      <alignment horizontal="center"/>
    </xf>
    <xf numFmtId="0" fontId="6" fillId="31" borderId="2" xfId="0" applyFont="1" applyFill="1" applyBorder="1"/>
    <xf numFmtId="0" fontId="5" fillId="31" borderId="2" xfId="0" applyFont="1" applyFill="1" applyBorder="1"/>
    <xf numFmtId="0" fontId="8" fillId="31" borderId="2" xfId="0" applyFont="1" applyFill="1" applyBorder="1"/>
    <xf numFmtId="0" fontId="5" fillId="31" borderId="19" xfId="0" applyFont="1" applyFill="1" applyBorder="1"/>
    <xf numFmtId="0" fontId="6" fillId="31" borderId="21" xfId="0" applyFont="1" applyFill="1" applyBorder="1" applyAlignment="1">
      <alignment horizontal="center"/>
    </xf>
    <xf numFmtId="0" fontId="6" fillId="31" borderId="15" xfId="0" applyFont="1" applyFill="1" applyBorder="1"/>
    <xf numFmtId="0" fontId="5" fillId="31" borderId="13" xfId="0" applyFont="1" applyFill="1" applyBorder="1"/>
    <xf numFmtId="0" fontId="6" fillId="31" borderId="13" xfId="0" applyFont="1" applyFill="1" applyBorder="1" applyAlignment="1">
      <alignment horizontal="right"/>
    </xf>
    <xf numFmtId="0" fontId="6" fillId="31" borderId="0" xfId="0" applyFont="1" applyFill="1" applyAlignment="1">
      <alignment horizontal="right"/>
    </xf>
    <xf numFmtId="0" fontId="6" fillId="31" borderId="21" xfId="0" applyFont="1" applyFill="1" applyBorder="1"/>
    <xf numFmtId="0" fontId="5" fillId="31" borderId="22" xfId="0" applyFont="1" applyFill="1" applyBorder="1"/>
    <xf numFmtId="0" fontId="6" fillId="31" borderId="2" xfId="0" applyFont="1" applyFill="1" applyBorder="1" applyAlignment="1">
      <alignment horizontal="right"/>
    </xf>
    <xf numFmtId="0" fontId="7" fillId="29" borderId="0" xfId="0" applyFont="1" applyFill="1"/>
    <xf numFmtId="0" fontId="6" fillId="29" borderId="0" xfId="0" applyFont="1" applyFill="1"/>
    <xf numFmtId="0" fontId="8" fillId="29" borderId="0" xfId="0" applyFont="1" applyFill="1"/>
    <xf numFmtId="0" fontId="5" fillId="29" borderId="0" xfId="0" applyFont="1" applyFill="1"/>
    <xf numFmtId="0" fontId="0" fillId="29" borderId="0" xfId="0" applyFill="1"/>
    <xf numFmtId="0" fontId="22" fillId="29" borderId="0" xfId="2" applyFont="1" applyFill="1" applyAlignment="1">
      <alignment vertical="center"/>
    </xf>
    <xf numFmtId="0" fontId="0" fillId="29" borderId="0" xfId="0" applyFill="1" applyAlignment="1">
      <alignment vertical="top" wrapText="1"/>
    </xf>
    <xf numFmtId="0" fontId="0" fillId="29" borderId="0" xfId="0" applyFill="1" applyAlignment="1">
      <alignment horizontal="right"/>
    </xf>
    <xf numFmtId="0" fontId="6" fillId="29" borderId="0" xfId="0" applyFont="1" applyFill="1" applyAlignment="1">
      <alignment horizontal="center"/>
    </xf>
    <xf numFmtId="0" fontId="7" fillId="29" borderId="0" xfId="0" applyFont="1" applyFill="1" applyAlignment="1">
      <alignment horizontal="center"/>
    </xf>
    <xf numFmtId="0" fontId="5" fillId="29" borderId="0" xfId="0" applyFont="1" applyFill="1" applyAlignment="1">
      <alignment vertical="center"/>
    </xf>
    <xf numFmtId="0" fontId="7" fillId="31" borderId="13" xfId="0" applyFont="1" applyFill="1" applyBorder="1"/>
    <xf numFmtId="0" fontId="8" fillId="31" borderId="0" xfId="0" applyFont="1" applyFill="1"/>
    <xf numFmtId="0" fontId="6" fillId="31" borderId="22" xfId="0" applyFont="1" applyFill="1" applyBorder="1"/>
    <xf numFmtId="0" fontId="7" fillId="31" borderId="0" xfId="0" applyFont="1" applyFill="1" applyAlignment="1">
      <alignment horizontal="center"/>
    </xf>
    <xf numFmtId="0" fontId="19" fillId="29" borderId="0" xfId="0" applyFont="1" applyFill="1"/>
    <xf numFmtId="0" fontId="6" fillId="29" borderId="0" xfId="0" applyFont="1" applyFill="1" applyAlignment="1">
      <alignment horizontal="right"/>
    </xf>
    <xf numFmtId="169" fontId="6" fillId="29" borderId="0" xfId="0" applyNumberFormat="1" applyFont="1" applyFill="1"/>
    <xf numFmtId="0" fontId="6" fillId="29" borderId="0" xfId="2" applyFont="1" applyFill="1" applyBorder="1" applyAlignment="1">
      <alignment vertical="center"/>
    </xf>
    <xf numFmtId="0" fontId="6" fillId="29" borderId="0" xfId="0" applyFont="1" applyFill="1" applyAlignment="1">
      <alignment vertical="top" wrapText="1"/>
    </xf>
    <xf numFmtId="0" fontId="7" fillId="31" borderId="0" xfId="0" applyFont="1" applyFill="1" applyAlignment="1">
      <alignment horizontal="right"/>
    </xf>
    <xf numFmtId="0" fontId="7" fillId="8" borderId="23" xfId="0" applyFont="1" applyFill="1" applyBorder="1" applyAlignment="1" applyProtection="1">
      <alignment horizontal="center"/>
      <protection locked="0"/>
    </xf>
    <xf numFmtId="0" fontId="5" fillId="22" borderId="30" xfId="0" applyFont="1" applyFill="1" applyBorder="1" applyAlignment="1" applyProtection="1">
      <alignment horizontal="center" vertical="center"/>
      <protection locked="0"/>
    </xf>
    <xf numFmtId="0" fontId="7" fillId="22" borderId="25" xfId="0" applyFont="1" applyFill="1" applyBorder="1" applyAlignment="1" applyProtection="1">
      <alignment horizontal="center" vertical="center"/>
      <protection locked="0"/>
    </xf>
    <xf numFmtId="0" fontId="6" fillId="0" borderId="0" xfId="0" applyFont="1" applyAlignment="1">
      <alignment horizontal="left"/>
    </xf>
    <xf numFmtId="0" fontId="6" fillId="0" borderId="13" xfId="0" applyFont="1" applyBorder="1" applyAlignment="1">
      <alignment horizontal="left"/>
    </xf>
    <xf numFmtId="0" fontId="6" fillId="0" borderId="2" xfId="0" applyFont="1" applyBorder="1" applyAlignment="1">
      <alignment horizontal="left" shrinkToFit="1"/>
    </xf>
    <xf numFmtId="0" fontId="6" fillId="0" borderId="2" xfId="0" applyFont="1" applyBorder="1" applyAlignment="1">
      <alignment horizontal="left" wrapText="1" shrinkToFit="1"/>
    </xf>
    <xf numFmtId="0" fontId="6" fillId="0" borderId="2" xfId="0" applyFont="1" applyBorder="1" applyAlignment="1">
      <alignment horizontal="left"/>
    </xf>
    <xf numFmtId="0" fontId="6" fillId="0" borderId="14" xfId="0" applyFont="1" applyBorder="1" applyAlignment="1">
      <alignment horizontal="left"/>
    </xf>
    <xf numFmtId="0" fontId="6" fillId="0" borderId="19" xfId="0" applyFont="1" applyBorder="1" applyAlignment="1">
      <alignment horizontal="left"/>
    </xf>
    <xf numFmtId="0" fontId="5" fillId="26" borderId="20" xfId="0" applyFont="1" applyFill="1" applyBorder="1"/>
    <xf numFmtId="0" fontId="6" fillId="0" borderId="2" xfId="0" applyFont="1" applyBorder="1" applyAlignment="1">
      <alignment horizontal="left" wrapText="1"/>
    </xf>
    <xf numFmtId="0" fontId="6" fillId="0" borderId="19" xfId="0" applyFont="1" applyBorder="1" applyAlignment="1">
      <alignment horizontal="left" wrapText="1"/>
    </xf>
    <xf numFmtId="0" fontId="5" fillId="25" borderId="16" xfId="0" applyFont="1" applyFill="1" applyBorder="1"/>
    <xf numFmtId="0" fontId="5" fillId="25" borderId="20" xfId="0" applyFont="1" applyFill="1" applyBorder="1"/>
    <xf numFmtId="164" fontId="7" fillId="18" borderId="15" xfId="0" applyNumberFormat="1" applyFont="1" applyFill="1" applyBorder="1"/>
    <xf numFmtId="164" fontId="7" fillId="18" borderId="21" xfId="0" applyNumberFormat="1" applyFont="1" applyFill="1" applyBorder="1"/>
    <xf numFmtId="0" fontId="6" fillId="18" borderId="21" xfId="0" applyFont="1" applyFill="1" applyBorder="1"/>
    <xf numFmtId="0" fontId="6" fillId="18" borderId="22" xfId="0" applyFont="1" applyFill="1" applyBorder="1"/>
    <xf numFmtId="0" fontId="6" fillId="16" borderId="25" xfId="0" applyFont="1" applyFill="1" applyBorder="1"/>
    <xf numFmtId="0" fontId="5" fillId="14" borderId="6" xfId="0" applyFont="1" applyFill="1" applyBorder="1"/>
    <xf numFmtId="1" fontId="7" fillId="14" borderId="6" xfId="0" applyNumberFormat="1" applyFont="1" applyFill="1" applyBorder="1" applyAlignment="1">
      <alignment horizontal="center"/>
    </xf>
    <xf numFmtId="1" fontId="5" fillId="14" borderId="6" xfId="0" applyNumberFormat="1" applyFont="1" applyFill="1" applyBorder="1" applyAlignment="1">
      <alignment horizontal="center"/>
    </xf>
    <xf numFmtId="1" fontId="5" fillId="14" borderId="20" xfId="0" applyNumberFormat="1" applyFont="1" applyFill="1" applyBorder="1" applyAlignment="1">
      <alignment horizontal="center"/>
    </xf>
    <xf numFmtId="1" fontId="5" fillId="14" borderId="16" xfId="0" applyNumberFormat="1" applyFont="1" applyFill="1" applyBorder="1" applyAlignment="1">
      <alignment horizontal="center"/>
    </xf>
    <xf numFmtId="1" fontId="5" fillId="16" borderId="12" xfId="0" applyNumberFormat="1" applyFont="1" applyFill="1" applyBorder="1" applyAlignment="1">
      <alignment horizontal="center"/>
    </xf>
    <xf numFmtId="1" fontId="5" fillId="0" borderId="0" xfId="0" applyNumberFormat="1" applyFont="1" applyAlignment="1">
      <alignment horizontal="center"/>
    </xf>
    <xf numFmtId="0" fontId="6" fillId="15" borderId="6" xfId="0" applyFont="1" applyFill="1" applyBorder="1"/>
    <xf numFmtId="0" fontId="5" fillId="15" borderId="16" xfId="0" applyFont="1" applyFill="1" applyBorder="1"/>
    <xf numFmtId="0" fontId="5" fillId="15" borderId="6" xfId="0" applyFont="1" applyFill="1" applyBorder="1"/>
    <xf numFmtId="0" fontId="5" fillId="15" borderId="57" xfId="0" applyFont="1" applyFill="1" applyBorder="1"/>
    <xf numFmtId="164" fontId="7" fillId="15" borderId="6" xfId="0" applyNumberFormat="1" applyFont="1" applyFill="1" applyBorder="1"/>
    <xf numFmtId="164" fontId="7" fillId="15" borderId="46" xfId="0" applyNumberFormat="1" applyFont="1" applyFill="1" applyBorder="1"/>
    <xf numFmtId="0" fontId="6" fillId="15" borderId="46" xfId="0" applyFont="1" applyFill="1" applyBorder="1"/>
    <xf numFmtId="0" fontId="6" fillId="15" borderId="57" xfId="0" applyFont="1" applyFill="1" applyBorder="1"/>
    <xf numFmtId="0" fontId="6" fillId="15" borderId="47" xfId="0" applyFont="1" applyFill="1" applyBorder="1"/>
    <xf numFmtId="0" fontId="6" fillId="15" borderId="16" xfId="0" applyFont="1" applyFill="1" applyBorder="1"/>
    <xf numFmtId="164" fontId="7" fillId="15" borderId="16" xfId="0" applyNumberFormat="1" applyFont="1" applyFill="1" applyBorder="1"/>
    <xf numFmtId="164" fontId="7" fillId="15" borderId="47" xfId="0" applyNumberFormat="1" applyFont="1" applyFill="1" applyBorder="1"/>
    <xf numFmtId="0" fontId="6" fillId="16" borderId="12" xfId="0" applyFont="1" applyFill="1" applyBorder="1"/>
    <xf numFmtId="2" fontId="5" fillId="2" borderId="16" xfId="0" applyNumberFormat="1" applyFont="1" applyFill="1" applyBorder="1" applyAlignment="1">
      <alignment horizontal="center" vertical="top" wrapText="1"/>
    </xf>
    <xf numFmtId="2" fontId="5" fillId="2" borderId="14" xfId="0" applyNumberFormat="1" applyFont="1" applyFill="1" applyBorder="1" applyAlignment="1">
      <alignment horizontal="center" vertical="top" wrapText="1"/>
    </xf>
    <xf numFmtId="0" fontId="5" fillId="2" borderId="27" xfId="0" applyFont="1" applyFill="1" applyBorder="1" applyAlignment="1">
      <alignment horizontal="center" vertical="top"/>
    </xf>
    <xf numFmtId="0" fontId="5" fillId="2" borderId="57" xfId="0" applyFont="1" applyFill="1" applyBorder="1" applyAlignment="1">
      <alignment horizontal="center" vertical="top"/>
    </xf>
    <xf numFmtId="164" fontId="7" fillId="2" borderId="46" xfId="0" applyNumberFormat="1" applyFont="1" applyFill="1" applyBorder="1" applyAlignment="1">
      <alignment horizontal="center" vertical="top" wrapText="1"/>
    </xf>
    <xf numFmtId="0" fontId="5" fillId="2" borderId="6" xfId="0" applyFont="1" applyFill="1" applyBorder="1" applyAlignment="1">
      <alignment horizontal="center" vertical="top" wrapText="1"/>
    </xf>
    <xf numFmtId="164" fontId="7" fillId="2" borderId="6" xfId="0" applyNumberFormat="1" applyFont="1" applyFill="1" applyBorder="1" applyAlignment="1">
      <alignment horizontal="center" vertical="top" wrapText="1"/>
    </xf>
    <xf numFmtId="164" fontId="7" fillId="2" borderId="57" xfId="0" applyNumberFormat="1" applyFont="1" applyFill="1" applyBorder="1" applyAlignment="1">
      <alignment horizontal="center" vertical="top" wrapText="1"/>
    </xf>
    <xf numFmtId="0" fontId="5" fillId="2" borderId="46" xfId="0" applyFont="1" applyFill="1" applyBorder="1" applyAlignment="1">
      <alignment horizontal="center" vertical="top" wrapText="1"/>
    </xf>
    <xf numFmtId="164" fontId="7" fillId="2" borderId="47" xfId="0" applyNumberFormat="1"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0" xfId="0" applyFont="1" applyFill="1" applyAlignment="1">
      <alignment horizontal="center" vertical="top" wrapText="1"/>
    </xf>
    <xf numFmtId="0" fontId="5" fillId="2" borderId="1" xfId="0" applyFont="1" applyFill="1" applyBorder="1" applyAlignment="1">
      <alignment horizontal="center" vertical="top" wrapText="1"/>
    </xf>
    <xf numFmtId="0" fontId="5" fillId="2" borderId="41" xfId="0" applyFont="1" applyFill="1" applyBorder="1" applyAlignment="1">
      <alignment horizontal="center" vertical="top" wrapText="1"/>
    </xf>
    <xf numFmtId="0" fontId="5" fillId="16" borderId="12" xfId="0" applyFont="1" applyFill="1" applyBorder="1" applyAlignment="1">
      <alignment horizontal="center" vertical="top" wrapText="1"/>
    </xf>
    <xf numFmtId="164" fontId="7" fillId="0" borderId="0" xfId="0" applyNumberFormat="1" applyFont="1" applyAlignment="1">
      <alignment horizontal="center" vertical="top" wrapText="1"/>
    </xf>
    <xf numFmtId="0" fontId="5" fillId="0" borderId="0" xfId="0" applyFont="1" applyAlignment="1">
      <alignment vertical="top" wrapText="1"/>
    </xf>
    <xf numFmtId="0" fontId="5" fillId="2" borderId="16" xfId="0" applyFont="1" applyFill="1" applyBorder="1"/>
    <xf numFmtId="0" fontId="5" fillId="2" borderId="46" xfId="0" applyFont="1" applyFill="1" applyBorder="1"/>
    <xf numFmtId="0" fontId="5" fillId="2" borderId="46" xfId="0" applyFont="1" applyFill="1" applyBorder="1" applyAlignment="1">
      <alignment horizontal="center"/>
    </xf>
    <xf numFmtId="0" fontId="5" fillId="2" borderId="6" xfId="0" applyFont="1" applyFill="1" applyBorder="1" applyAlignment="1">
      <alignment horizontal="center"/>
    </xf>
    <xf numFmtId="0" fontId="5" fillId="2" borderId="57" xfId="0" applyFont="1" applyFill="1" applyBorder="1" applyAlignment="1">
      <alignment horizontal="center"/>
    </xf>
    <xf numFmtId="0" fontId="5" fillId="2" borderId="47" xfId="0" applyFont="1" applyFill="1" applyBorder="1" applyAlignment="1">
      <alignment horizontal="center"/>
    </xf>
    <xf numFmtId="0" fontId="5" fillId="2" borderId="16" xfId="0" applyFont="1" applyFill="1" applyBorder="1" applyAlignment="1">
      <alignment horizontal="center"/>
    </xf>
    <xf numFmtId="0" fontId="5" fillId="16" borderId="2" xfId="0" applyFont="1" applyFill="1" applyBorder="1" applyAlignment="1">
      <alignment horizontal="center"/>
    </xf>
    <xf numFmtId="165" fontId="8" fillId="3" borderId="13" xfId="0" applyNumberFormat="1" applyFont="1" applyFill="1" applyBorder="1" applyProtection="1">
      <protection locked="0"/>
    </xf>
    <xf numFmtId="164" fontId="8" fillId="3" borderId="1" xfId="0" applyNumberFormat="1" applyFont="1" applyFill="1" applyBorder="1" applyProtection="1">
      <protection locked="0"/>
    </xf>
    <xf numFmtId="0" fontId="6" fillId="3" borderId="17" xfId="0" applyFont="1" applyFill="1" applyBorder="1" applyAlignment="1" applyProtection="1">
      <alignment horizontal="left"/>
      <protection locked="0"/>
    </xf>
    <xf numFmtId="2" fontId="8" fillId="3" borderId="1" xfId="0" applyNumberFormat="1" applyFont="1" applyFill="1" applyBorder="1" applyProtection="1">
      <protection locked="0"/>
    </xf>
    <xf numFmtId="2" fontId="8" fillId="3" borderId="0" xfId="0" applyNumberFormat="1" applyFont="1" applyFill="1" applyProtection="1">
      <protection locked="0"/>
    </xf>
    <xf numFmtId="2" fontId="6" fillId="3" borderId="0" xfId="0" applyNumberFormat="1" applyFont="1" applyFill="1" applyProtection="1">
      <protection locked="0"/>
    </xf>
    <xf numFmtId="165" fontId="11" fillId="19" borderId="1" xfId="0" applyNumberFormat="1" applyFont="1" applyFill="1" applyBorder="1"/>
    <xf numFmtId="1" fontId="11" fillId="19" borderId="28" xfId="0" applyNumberFormat="1" applyFont="1" applyFill="1" applyBorder="1"/>
    <xf numFmtId="0" fontId="6" fillId="7" borderId="13" xfId="0" applyFont="1" applyFill="1" applyBorder="1"/>
    <xf numFmtId="0" fontId="6" fillId="7" borderId="0" xfId="0" applyFont="1" applyFill="1"/>
    <xf numFmtId="169" fontId="6" fillId="7" borderId="1" xfId="0" applyNumberFormat="1" applyFont="1" applyFill="1" applyBorder="1"/>
    <xf numFmtId="169" fontId="6" fillId="7" borderId="0" xfId="0" applyNumberFormat="1" applyFont="1" applyFill="1"/>
    <xf numFmtId="169" fontId="6" fillId="7" borderId="28" xfId="0" applyNumberFormat="1" applyFont="1" applyFill="1" applyBorder="1"/>
    <xf numFmtId="164" fontId="8" fillId="3" borderId="17" xfId="0" applyNumberFormat="1" applyFont="1" applyFill="1" applyBorder="1" applyProtection="1">
      <protection locked="0"/>
    </xf>
    <xf numFmtId="2" fontId="8" fillId="3" borderId="1" xfId="0" applyNumberFormat="1" applyFont="1" applyFill="1" applyBorder="1" applyAlignment="1" applyProtection="1">
      <alignment horizontal="right"/>
      <protection locked="0"/>
    </xf>
    <xf numFmtId="0" fontId="6" fillId="3" borderId="1" xfId="0" applyFont="1" applyFill="1" applyBorder="1" applyAlignment="1" applyProtection="1">
      <alignment horizontal="left"/>
      <protection locked="0"/>
    </xf>
    <xf numFmtId="165" fontId="8" fillId="3" borderId="17" xfId="0" applyNumberFormat="1" applyFont="1" applyFill="1" applyBorder="1" applyProtection="1">
      <protection locked="0"/>
    </xf>
    <xf numFmtId="1" fontId="11" fillId="19" borderId="30" xfId="0" applyNumberFormat="1" applyFont="1" applyFill="1" applyBorder="1"/>
    <xf numFmtId="0" fontId="6" fillId="7" borderId="14" xfId="0" applyFont="1" applyFill="1" applyBorder="1"/>
    <xf numFmtId="0" fontId="6" fillId="7" borderId="5" xfId="0" applyFont="1" applyFill="1" applyBorder="1"/>
    <xf numFmtId="169" fontId="6" fillId="7" borderId="27" xfId="0" applyNumberFormat="1" applyFont="1" applyFill="1" applyBorder="1"/>
    <xf numFmtId="169" fontId="6" fillId="7" borderId="5" xfId="0" applyNumberFormat="1" applyFont="1" applyFill="1" applyBorder="1"/>
    <xf numFmtId="169" fontId="6" fillId="7" borderId="29" xfId="0" applyNumberFormat="1" applyFont="1" applyFill="1" applyBorder="1"/>
    <xf numFmtId="0" fontId="5" fillId="16" borderId="15" xfId="0" applyFont="1" applyFill="1" applyBorder="1"/>
    <xf numFmtId="0" fontId="5" fillId="16" borderId="21" xfId="0" applyFont="1" applyFill="1" applyBorder="1"/>
    <xf numFmtId="1" fontId="7" fillId="16" borderId="21" xfId="0" applyNumberFormat="1" applyFont="1" applyFill="1" applyBorder="1" applyAlignment="1">
      <alignment horizontal="center"/>
    </xf>
    <xf numFmtId="1" fontId="5" fillId="16" borderId="21" xfId="0" applyNumberFormat="1" applyFont="1" applyFill="1" applyBorder="1" applyAlignment="1">
      <alignment horizontal="center"/>
    </xf>
    <xf numFmtId="1" fontId="5" fillId="16" borderId="0" xfId="0" applyNumberFormat="1" applyFont="1" applyFill="1" applyAlignment="1">
      <alignment horizontal="center"/>
    </xf>
    <xf numFmtId="0" fontId="6" fillId="16" borderId="21" xfId="0" applyFont="1" applyFill="1" applyBorder="1"/>
    <xf numFmtId="0" fontId="6" fillId="16" borderId="2" xfId="0" applyFont="1" applyFill="1" applyBorder="1"/>
    <xf numFmtId="0" fontId="6" fillId="16" borderId="13" xfId="0" applyFont="1" applyFill="1" applyBorder="1"/>
    <xf numFmtId="0" fontId="5" fillId="16" borderId="0" xfId="0" applyFont="1" applyFill="1"/>
    <xf numFmtId="164" fontId="7" fillId="16" borderId="0" xfId="0" applyNumberFormat="1" applyFont="1" applyFill="1"/>
    <xf numFmtId="0" fontId="6" fillId="16" borderId="0" xfId="0" applyFont="1" applyFill="1"/>
    <xf numFmtId="2" fontId="5" fillId="16" borderId="13" xfId="0" applyNumberFormat="1" applyFont="1" applyFill="1" applyBorder="1" applyAlignment="1">
      <alignment horizontal="center" vertical="top" wrapText="1"/>
    </xf>
    <xf numFmtId="2" fontId="5" fillId="16" borderId="0" xfId="0" applyNumberFormat="1" applyFont="1" applyFill="1" applyAlignment="1">
      <alignment horizontal="center" vertical="top" wrapText="1"/>
    </xf>
    <xf numFmtId="0" fontId="5" fillId="16" borderId="0" xfId="0" applyFont="1" applyFill="1" applyAlignment="1">
      <alignment horizontal="center" vertical="top"/>
    </xf>
    <xf numFmtId="164" fontId="7" fillId="16" borderId="0" xfId="0" applyNumberFormat="1" applyFont="1" applyFill="1" applyAlignment="1">
      <alignment horizontal="center" vertical="top" wrapText="1"/>
    </xf>
    <xf numFmtId="0" fontId="5" fillId="16" borderId="0" xfId="0" applyFont="1" applyFill="1" applyAlignment="1">
      <alignment horizontal="center" vertical="top" wrapText="1"/>
    </xf>
    <xf numFmtId="0" fontId="6" fillId="16" borderId="14" xfId="0" applyFont="1" applyFill="1" applyBorder="1"/>
    <xf numFmtId="0" fontId="5" fillId="16" borderId="5" xfId="0" applyFont="1" applyFill="1" applyBorder="1"/>
    <xf numFmtId="0" fontId="5" fillId="16" borderId="5" xfId="0" applyFont="1" applyFill="1" applyBorder="1" applyAlignment="1">
      <alignment horizontal="center"/>
    </xf>
    <xf numFmtId="0" fontId="6" fillId="16" borderId="5" xfId="0" applyFont="1" applyFill="1" applyBorder="1"/>
    <xf numFmtId="0" fontId="6" fillId="16" borderId="19" xfId="0" applyFont="1" applyFill="1" applyBorder="1"/>
    <xf numFmtId="165" fontId="8" fillId="0" borderId="0" xfId="0" applyNumberFormat="1" applyFont="1"/>
    <xf numFmtId="164" fontId="8" fillId="0" borderId="0" xfId="0" applyNumberFormat="1" applyFont="1"/>
    <xf numFmtId="2" fontId="8" fillId="0" borderId="0" xfId="0" applyNumberFormat="1" applyFont="1"/>
    <xf numFmtId="2" fontId="8" fillId="0" borderId="0" xfId="0" applyNumberFormat="1" applyFont="1" applyAlignment="1">
      <alignment horizontal="right"/>
    </xf>
    <xf numFmtId="0" fontId="6" fillId="0" borderId="0" xfId="0" applyFont="1" applyAlignment="1">
      <alignment horizontal="justify" vertical="top" wrapText="1"/>
    </xf>
    <xf numFmtId="0" fontId="6" fillId="0" borderId="0" xfId="0" applyFont="1" applyAlignment="1">
      <alignment horizontal="left" vertical="top" wrapText="1"/>
    </xf>
    <xf numFmtId="0" fontId="5" fillId="0" borderId="0" xfId="0" applyFont="1" applyAlignment="1">
      <alignment horizontal="justify" vertical="top" wrapText="1"/>
    </xf>
    <xf numFmtId="0" fontId="5" fillId="2" borderId="16" xfId="0" applyFont="1" applyFill="1" applyBorder="1" applyAlignment="1">
      <alignment horizontal="center" vertical="top" wrapText="1"/>
    </xf>
    <xf numFmtId="9" fontId="5" fillId="8" borderId="25" xfId="1" applyFont="1" applyFill="1" applyBorder="1" applyAlignment="1" applyProtection="1">
      <alignment horizontal="center"/>
      <protection locked="0"/>
    </xf>
    <xf numFmtId="0" fontId="6" fillId="26" borderId="0" xfId="0" applyFont="1" applyFill="1" applyAlignment="1">
      <alignment horizontal="center"/>
    </xf>
    <xf numFmtId="0" fontId="6" fillId="28" borderId="0" xfId="0" applyFont="1" applyFill="1" applyAlignment="1">
      <alignment horizontal="center"/>
    </xf>
    <xf numFmtId="0" fontId="6" fillId="30" borderId="0" xfId="0" applyFont="1" applyFill="1" applyAlignment="1">
      <alignment horizontal="center"/>
    </xf>
    <xf numFmtId="0" fontId="5" fillId="26" borderId="5" xfId="0" applyFont="1" applyFill="1" applyBorder="1" applyAlignment="1">
      <alignment horizontal="center"/>
    </xf>
    <xf numFmtId="164" fontId="7" fillId="13" borderId="15" xfId="0" applyNumberFormat="1" applyFont="1" applyFill="1" applyBorder="1"/>
    <xf numFmtId="164" fontId="7" fillId="13" borderId="21" xfId="0" applyNumberFormat="1" applyFont="1" applyFill="1" applyBorder="1"/>
    <xf numFmtId="0" fontId="6" fillId="13" borderId="21" xfId="0" applyFont="1" applyFill="1" applyBorder="1"/>
    <xf numFmtId="0" fontId="5" fillId="14" borderId="16" xfId="0" applyFont="1" applyFill="1" applyBorder="1"/>
    <xf numFmtId="164" fontId="7" fillId="2" borderId="30" xfId="0" applyNumberFormat="1" applyFont="1" applyFill="1" applyBorder="1"/>
    <xf numFmtId="164" fontId="7" fillId="2" borderId="14" xfId="0" applyNumberFormat="1" applyFont="1" applyFill="1" applyBorder="1"/>
    <xf numFmtId="164" fontId="7" fillId="2" borderId="5" xfId="0" quotePrefix="1" applyNumberFormat="1" applyFont="1" applyFill="1" applyBorder="1"/>
    <xf numFmtId="164" fontId="7" fillId="2" borderId="5" xfId="0" applyNumberFormat="1" applyFont="1" applyFill="1" applyBorder="1"/>
    <xf numFmtId="0" fontId="5" fillId="2" borderId="14" xfId="0" applyFont="1" applyFill="1" applyBorder="1"/>
    <xf numFmtId="0" fontId="5" fillId="2" borderId="19" xfId="0" applyFont="1" applyFill="1" applyBorder="1"/>
    <xf numFmtId="0" fontId="5" fillId="2" borderId="27" xfId="0" applyFont="1" applyFill="1" applyBorder="1"/>
    <xf numFmtId="164" fontId="7" fillId="2" borderId="23" xfId="0" applyNumberFormat="1" applyFont="1" applyFill="1" applyBorder="1" applyAlignment="1">
      <alignment horizontal="center" vertical="top"/>
    </xf>
    <xf numFmtId="164" fontId="7" fillId="2" borderId="54" xfId="0" applyNumberFormat="1" applyFont="1" applyFill="1" applyBorder="1" applyAlignment="1">
      <alignment horizontal="center" vertical="top" wrapText="1"/>
    </xf>
    <xf numFmtId="164" fontId="7" fillId="2" borderId="20" xfId="0" applyNumberFormat="1" applyFont="1" applyFill="1" applyBorder="1" applyAlignment="1">
      <alignment horizontal="center" vertical="top" wrapText="1"/>
    </xf>
    <xf numFmtId="164" fontId="7" fillId="2" borderId="5" xfId="0" applyNumberFormat="1" applyFont="1" applyFill="1" applyBorder="1" applyAlignment="1">
      <alignment horizontal="center" vertical="top" wrapText="1"/>
    </xf>
    <xf numFmtId="0" fontId="5" fillId="2" borderId="20" xfId="0" applyFont="1" applyFill="1" applyBorder="1" applyAlignment="1">
      <alignment horizontal="center" vertical="top" wrapText="1"/>
    </xf>
    <xf numFmtId="0" fontId="6" fillId="16" borderId="12" xfId="0" applyFont="1" applyFill="1" applyBorder="1" applyAlignment="1">
      <alignment horizontal="left" vertical="top" wrapText="1"/>
    </xf>
    <xf numFmtId="0" fontId="5" fillId="2" borderId="23" xfId="0" applyFont="1" applyFill="1" applyBorder="1"/>
    <xf numFmtId="0" fontId="7" fillId="2" borderId="54" xfId="0" applyFont="1" applyFill="1" applyBorder="1" applyAlignment="1">
      <alignment horizontal="center"/>
    </xf>
    <xf numFmtId="0" fontId="7" fillId="2" borderId="20" xfId="0" applyFont="1" applyFill="1" applyBorder="1" applyAlignment="1">
      <alignment horizontal="center"/>
    </xf>
    <xf numFmtId="0" fontId="8" fillId="2" borderId="23" xfId="0" applyFont="1" applyFill="1" applyBorder="1" applyAlignment="1" applyProtection="1">
      <alignment horizontal="center" vertical="top" wrapText="1"/>
      <protection locked="0"/>
    </xf>
    <xf numFmtId="0" fontId="7" fillId="2" borderId="6" xfId="0" applyFont="1" applyFill="1" applyBorder="1" applyAlignment="1">
      <alignment horizontal="center"/>
    </xf>
    <xf numFmtId="0" fontId="6" fillId="2" borderId="13" xfId="0" applyFont="1" applyFill="1" applyBorder="1" applyAlignment="1">
      <alignment horizontal="center"/>
    </xf>
    <xf numFmtId="0" fontId="8" fillId="7" borderId="12" xfId="0" applyFont="1" applyFill="1" applyBorder="1" applyAlignment="1" applyProtection="1">
      <alignment horizontal="left"/>
      <protection locked="0"/>
    </xf>
    <xf numFmtId="1" fontId="8" fillId="7" borderId="13" xfId="0" applyNumberFormat="1" applyFont="1" applyFill="1" applyBorder="1" applyAlignment="1" applyProtection="1">
      <alignment horizontal="center"/>
      <protection locked="0"/>
    </xf>
    <xf numFmtId="169" fontId="8" fillId="7" borderId="0" xfId="0" applyNumberFormat="1" applyFont="1" applyFill="1" applyAlignment="1" applyProtection="1">
      <alignment horizontal="center"/>
      <protection locked="0"/>
    </xf>
    <xf numFmtId="1" fontId="8" fillId="7" borderId="1" xfId="0" applyNumberFormat="1" applyFont="1" applyFill="1" applyBorder="1" applyAlignment="1" applyProtection="1">
      <alignment horizontal="center"/>
      <protection locked="0"/>
    </xf>
    <xf numFmtId="169" fontId="8" fillId="7" borderId="2" xfId="0" applyNumberFormat="1" applyFont="1" applyFill="1" applyBorder="1" applyAlignment="1" applyProtection="1">
      <alignment horizontal="center"/>
      <protection locked="0"/>
    </xf>
    <xf numFmtId="0" fontId="6" fillId="4" borderId="12" xfId="0" applyFont="1" applyFill="1" applyBorder="1" applyProtection="1">
      <protection locked="0"/>
    </xf>
    <xf numFmtId="1" fontId="8" fillId="7" borderId="0" xfId="0" applyNumberFormat="1" applyFont="1" applyFill="1" applyAlignment="1" applyProtection="1">
      <alignment horizontal="center"/>
      <protection locked="0"/>
    </xf>
    <xf numFmtId="169" fontId="8" fillId="7" borderId="40" xfId="0" applyNumberFormat="1" applyFont="1" applyFill="1" applyBorder="1" applyAlignment="1" applyProtection="1">
      <alignment horizontal="center"/>
      <protection locked="0"/>
    </xf>
    <xf numFmtId="169" fontId="8" fillId="7" borderId="19" xfId="0" applyNumberFormat="1" applyFont="1" applyFill="1" applyBorder="1" applyAlignment="1" applyProtection="1">
      <alignment horizontal="center"/>
      <protection locked="0"/>
    </xf>
    <xf numFmtId="0" fontId="6" fillId="16" borderId="15" xfId="0" applyFont="1" applyFill="1" applyBorder="1"/>
    <xf numFmtId="0" fontId="8" fillId="16" borderId="5" xfId="0" applyFont="1" applyFill="1" applyBorder="1" applyAlignment="1" applyProtection="1">
      <alignment horizontal="left"/>
      <protection locked="0"/>
    </xf>
    <xf numFmtId="1" fontId="8" fillId="16" borderId="5" xfId="0" applyNumberFormat="1" applyFont="1" applyFill="1" applyBorder="1" applyAlignment="1" applyProtection="1">
      <alignment horizontal="center"/>
      <protection locked="0"/>
    </xf>
    <xf numFmtId="169" fontId="8" fillId="16" borderId="5" xfId="0" applyNumberFormat="1" applyFont="1" applyFill="1" applyBorder="1" applyAlignment="1" applyProtection="1">
      <alignment horizontal="center"/>
      <protection locked="0"/>
    </xf>
    <xf numFmtId="1" fontId="8" fillId="16" borderId="19" xfId="0" applyNumberFormat="1" applyFont="1" applyFill="1" applyBorder="1" applyAlignment="1" applyProtection="1">
      <alignment horizontal="center"/>
      <protection locked="0"/>
    </xf>
    <xf numFmtId="0" fontId="8" fillId="0" borderId="0" xfId="0" applyFont="1" applyAlignment="1" applyProtection="1">
      <alignment horizontal="left"/>
      <protection locked="0"/>
    </xf>
    <xf numFmtId="1" fontId="8" fillId="0" borderId="0" xfId="0" applyNumberFormat="1" applyFont="1" applyAlignment="1" applyProtection="1">
      <alignment horizontal="center"/>
      <protection locked="0"/>
    </xf>
    <xf numFmtId="169" fontId="8" fillId="0" borderId="0" xfId="0" applyNumberFormat="1" applyFont="1" applyAlignment="1" applyProtection="1">
      <alignment horizontal="center"/>
      <protection locked="0"/>
    </xf>
    <xf numFmtId="164" fontId="8" fillId="18" borderId="21" xfId="0" applyNumberFormat="1" applyFont="1" applyFill="1" applyBorder="1"/>
    <xf numFmtId="164" fontId="7" fillId="18" borderId="16" xfId="0" applyNumberFormat="1" applyFont="1" applyFill="1" applyBorder="1"/>
    <xf numFmtId="164" fontId="7" fillId="18" borderId="6" xfId="0" applyNumberFormat="1" applyFont="1" applyFill="1" applyBorder="1"/>
    <xf numFmtId="0" fontId="6" fillId="18" borderId="6" xfId="0" applyFont="1" applyFill="1" applyBorder="1"/>
    <xf numFmtId="0" fontId="6" fillId="18" borderId="20" xfId="0" applyFont="1" applyFill="1" applyBorder="1"/>
    <xf numFmtId="0" fontId="6" fillId="15" borderId="14" xfId="0" applyFont="1" applyFill="1" applyBorder="1"/>
    <xf numFmtId="164" fontId="7" fillId="15" borderId="30" xfId="0" applyNumberFormat="1" applyFont="1" applyFill="1" applyBorder="1"/>
    <xf numFmtId="164" fontId="7" fillId="15" borderId="14" xfId="0" applyNumberFormat="1" applyFont="1" applyFill="1" applyBorder="1"/>
    <xf numFmtId="0" fontId="5" fillId="15" borderId="5" xfId="0" applyFont="1" applyFill="1" applyBorder="1"/>
    <xf numFmtId="0" fontId="5" fillId="15" borderId="19" xfId="0" applyFont="1" applyFill="1" applyBorder="1"/>
    <xf numFmtId="0" fontId="5" fillId="15" borderId="14" xfId="0" applyFont="1" applyFill="1" applyBorder="1"/>
    <xf numFmtId="164" fontId="7" fillId="15" borderId="5" xfId="0" quotePrefix="1" applyNumberFormat="1" applyFont="1" applyFill="1" applyBorder="1"/>
    <xf numFmtId="164" fontId="7" fillId="15" borderId="27" xfId="0" quotePrefix="1" applyNumberFormat="1" applyFont="1" applyFill="1" applyBorder="1"/>
    <xf numFmtId="164" fontId="7" fillId="15" borderId="19" xfId="0" quotePrefix="1" applyNumberFormat="1" applyFont="1" applyFill="1" applyBorder="1"/>
    <xf numFmtId="164" fontId="7" fillId="15" borderId="19" xfId="0" applyNumberFormat="1" applyFont="1" applyFill="1" applyBorder="1"/>
    <xf numFmtId="0" fontId="5" fillId="15" borderId="19" xfId="0" applyFont="1" applyFill="1" applyBorder="1" applyAlignment="1">
      <alignment horizontal="left"/>
    </xf>
    <xf numFmtId="164" fontId="7" fillId="15" borderId="5" xfId="0" applyNumberFormat="1" applyFont="1" applyFill="1" applyBorder="1"/>
    <xf numFmtId="0" fontId="5" fillId="15" borderId="2" xfId="0" applyFont="1" applyFill="1" applyBorder="1" applyAlignment="1">
      <alignment horizontal="left"/>
    </xf>
    <xf numFmtId="0" fontId="5" fillId="2" borderId="16" xfId="0" applyFont="1" applyFill="1" applyBorder="1" applyAlignment="1">
      <alignment vertical="top" wrapText="1"/>
    </xf>
    <xf numFmtId="164" fontId="7" fillId="2" borderId="30" xfId="0" applyNumberFormat="1" applyFont="1" applyFill="1" applyBorder="1" applyAlignment="1">
      <alignment vertical="top"/>
    </xf>
    <xf numFmtId="164" fontId="7" fillId="2" borderId="24" xfId="0" applyNumberFormat="1" applyFont="1" applyFill="1" applyBorder="1" applyAlignment="1">
      <alignment horizontal="center" vertical="top" wrapText="1"/>
    </xf>
    <xf numFmtId="0" fontId="5" fillId="2" borderId="57" xfId="0" applyFont="1" applyFill="1" applyBorder="1" applyAlignment="1">
      <alignment horizontal="center" vertical="top" wrapText="1"/>
    </xf>
    <xf numFmtId="0" fontId="5" fillId="2" borderId="47" xfId="0" applyFont="1" applyFill="1" applyBorder="1" applyAlignment="1">
      <alignment horizontal="center" vertical="top" wrapText="1"/>
    </xf>
    <xf numFmtId="0" fontId="7" fillId="2" borderId="24" xfId="0" applyFont="1" applyFill="1" applyBorder="1" applyAlignment="1">
      <alignment horizontal="center" vertical="top" wrapText="1"/>
    </xf>
    <xf numFmtId="0" fontId="7" fillId="2" borderId="57" xfId="0" applyFont="1" applyFill="1" applyBorder="1" applyAlignment="1">
      <alignment horizontal="center" vertical="top" wrapText="1"/>
    </xf>
    <xf numFmtId="0" fontId="7" fillId="2" borderId="54" xfId="0" applyFont="1" applyFill="1" applyBorder="1" applyAlignment="1">
      <alignment horizontal="center" vertical="top" wrapText="1"/>
    </xf>
    <xf numFmtId="0" fontId="7" fillId="2" borderId="46" xfId="0" applyFont="1" applyFill="1" applyBorder="1" applyAlignment="1">
      <alignment horizontal="center" vertical="top" wrapText="1"/>
    </xf>
    <xf numFmtId="0" fontId="7" fillId="2" borderId="6" xfId="0" applyFont="1" applyFill="1" applyBorder="1" applyAlignment="1">
      <alignment horizontal="center" vertical="top" wrapText="1"/>
    </xf>
    <xf numFmtId="0" fontId="5" fillId="2" borderId="55" xfId="0" applyFont="1" applyFill="1" applyBorder="1" applyAlignment="1">
      <alignment horizontal="center" vertical="top" wrapText="1"/>
    </xf>
    <xf numFmtId="0" fontId="5" fillId="2" borderId="56" xfId="0" applyFont="1" applyFill="1" applyBorder="1" applyAlignment="1">
      <alignment horizontal="center" vertical="top" wrapText="1"/>
    </xf>
    <xf numFmtId="0" fontId="7" fillId="2" borderId="24" xfId="0" applyFont="1" applyFill="1" applyBorder="1" applyAlignment="1">
      <alignment horizontal="center"/>
    </xf>
    <xf numFmtId="0" fontId="7" fillId="2" borderId="57" xfId="0" applyFont="1" applyFill="1" applyBorder="1" applyAlignment="1">
      <alignment horizontal="center"/>
    </xf>
    <xf numFmtId="0" fontId="5" fillId="2" borderId="24" xfId="0" applyFont="1" applyFill="1" applyBorder="1" applyAlignment="1">
      <alignment horizontal="center"/>
    </xf>
    <xf numFmtId="0" fontId="7" fillId="2" borderId="46" xfId="0" applyFont="1" applyFill="1" applyBorder="1" applyAlignment="1">
      <alignment horizontal="center"/>
    </xf>
    <xf numFmtId="0" fontId="7" fillId="2" borderId="47" xfId="0" applyFont="1" applyFill="1" applyBorder="1" applyAlignment="1">
      <alignment horizontal="center"/>
    </xf>
    <xf numFmtId="0" fontId="7" fillId="2" borderId="23" xfId="0" applyFont="1" applyFill="1" applyBorder="1" applyAlignment="1">
      <alignment horizontal="center"/>
    </xf>
    <xf numFmtId="0" fontId="5" fillId="2" borderId="54" xfId="0" applyFont="1" applyFill="1" applyBorder="1" applyAlignment="1">
      <alignment horizontal="center"/>
    </xf>
    <xf numFmtId="0" fontId="7" fillId="16" borderId="0" xfId="0" applyFont="1" applyFill="1" applyAlignment="1">
      <alignment horizontal="center"/>
    </xf>
    <xf numFmtId="164" fontId="8" fillId="7" borderId="60" xfId="0" applyNumberFormat="1" applyFont="1" applyFill="1" applyBorder="1" applyProtection="1">
      <protection locked="0"/>
    </xf>
    <xf numFmtId="164" fontId="8" fillId="7" borderId="17" xfId="0" applyNumberFormat="1" applyFont="1" applyFill="1" applyBorder="1" applyProtection="1">
      <protection locked="0"/>
    </xf>
    <xf numFmtId="166" fontId="8" fillId="7" borderId="17" xfId="0" applyNumberFormat="1" applyFont="1" applyFill="1" applyBorder="1" applyProtection="1">
      <protection locked="0"/>
    </xf>
    <xf numFmtId="167" fontId="8" fillId="7" borderId="17" xfId="0" applyNumberFormat="1" applyFont="1" applyFill="1" applyBorder="1" applyProtection="1">
      <protection locked="0"/>
    </xf>
    <xf numFmtId="168" fontId="8" fillId="7" borderId="17" xfId="0" applyNumberFormat="1" applyFont="1" applyFill="1" applyBorder="1" applyProtection="1">
      <protection locked="0"/>
    </xf>
    <xf numFmtId="164" fontId="8" fillId="7" borderId="28" xfId="0" applyNumberFormat="1" applyFont="1" applyFill="1" applyBorder="1" applyProtection="1">
      <protection locked="0"/>
    </xf>
    <xf numFmtId="165" fontId="8" fillId="7" borderId="60" xfId="0" applyNumberFormat="1" applyFont="1" applyFill="1" applyBorder="1" applyAlignment="1" applyProtection="1">
      <alignment horizontal="right"/>
      <protection locked="0"/>
    </xf>
    <xf numFmtId="165" fontId="8" fillId="7" borderId="17" xfId="0" applyNumberFormat="1" applyFont="1" applyFill="1" applyBorder="1" applyAlignment="1" applyProtection="1">
      <alignment horizontal="right"/>
      <protection locked="0"/>
    </xf>
    <xf numFmtId="164" fontId="8" fillId="7" borderId="17" xfId="0" applyNumberFormat="1" applyFont="1" applyFill="1" applyBorder="1" applyAlignment="1" applyProtection="1">
      <alignment horizontal="right"/>
      <protection locked="0"/>
    </xf>
    <xf numFmtId="1" fontId="8" fillId="7" borderId="17" xfId="0" applyNumberFormat="1" applyFont="1" applyFill="1" applyBorder="1" applyAlignment="1" applyProtection="1">
      <alignment horizontal="right"/>
      <protection locked="0"/>
    </xf>
    <xf numFmtId="169" fontId="8" fillId="7" borderId="17" xfId="0" applyNumberFormat="1" applyFont="1" applyFill="1" applyBorder="1" applyAlignment="1" applyProtection="1">
      <alignment horizontal="right"/>
      <protection locked="0"/>
    </xf>
    <xf numFmtId="2" fontId="8" fillId="7" borderId="28" xfId="0" applyNumberFormat="1" applyFont="1" applyFill="1" applyBorder="1" applyAlignment="1" applyProtection="1">
      <alignment horizontal="right"/>
      <protection locked="0"/>
    </xf>
    <xf numFmtId="166" fontId="8" fillId="7" borderId="40" xfId="0" applyNumberFormat="1" applyFont="1" applyFill="1" applyBorder="1" applyAlignment="1" applyProtection="1">
      <alignment horizontal="right"/>
      <protection locked="0"/>
    </xf>
    <xf numFmtId="166" fontId="8" fillId="7" borderId="17" xfId="0" applyNumberFormat="1" applyFont="1" applyFill="1" applyBorder="1" applyAlignment="1" applyProtection="1">
      <alignment horizontal="right"/>
      <protection locked="0"/>
    </xf>
    <xf numFmtId="164" fontId="8" fillId="7" borderId="1" xfId="0" applyNumberFormat="1" applyFont="1" applyFill="1" applyBorder="1" applyAlignment="1" applyProtection="1">
      <alignment horizontal="right"/>
      <protection locked="0"/>
    </xf>
    <xf numFmtId="169" fontId="6" fillId="7" borderId="60" xfId="0" applyNumberFormat="1" applyFont="1" applyFill="1" applyBorder="1" applyAlignment="1" applyProtection="1">
      <alignment horizontal="right"/>
      <protection locked="0"/>
    </xf>
    <xf numFmtId="169" fontId="8" fillId="7" borderId="28" xfId="0" applyNumberFormat="1" applyFont="1" applyFill="1" applyBorder="1" applyAlignment="1" applyProtection="1">
      <alignment horizontal="right"/>
      <protection locked="0"/>
    </xf>
    <xf numFmtId="164" fontId="8" fillId="7" borderId="0" xfId="0" applyNumberFormat="1" applyFont="1" applyFill="1" applyAlignment="1" applyProtection="1">
      <alignment horizontal="right"/>
      <protection locked="0"/>
    </xf>
    <xf numFmtId="164" fontId="6" fillId="7" borderId="1" xfId="0" applyNumberFormat="1" applyFont="1" applyFill="1" applyBorder="1" applyAlignment="1" applyProtection="1">
      <alignment horizontal="right"/>
      <protection locked="0"/>
    </xf>
    <xf numFmtId="164" fontId="6" fillId="7" borderId="60" xfId="0" applyNumberFormat="1" applyFont="1" applyFill="1" applyBorder="1" applyAlignment="1" applyProtection="1">
      <alignment horizontal="right"/>
      <protection locked="0"/>
    </xf>
    <xf numFmtId="164" fontId="6" fillId="7" borderId="28" xfId="0" applyNumberFormat="1" applyFont="1" applyFill="1" applyBorder="1" applyAlignment="1" applyProtection="1">
      <alignment horizontal="right"/>
      <protection locked="0"/>
    </xf>
    <xf numFmtId="0" fontId="6" fillId="7" borderId="40" xfId="0" applyFont="1" applyFill="1" applyBorder="1" applyAlignment="1" applyProtection="1">
      <alignment horizontal="right"/>
      <protection locked="0"/>
    </xf>
    <xf numFmtId="0" fontId="6" fillId="7" borderId="17" xfId="0" applyFont="1" applyFill="1" applyBorder="1" applyAlignment="1" applyProtection="1">
      <alignment horizontal="right"/>
      <protection locked="0"/>
    </xf>
    <xf numFmtId="169" fontId="6" fillId="7" borderId="28" xfId="0" applyNumberFormat="1" applyFont="1" applyFill="1" applyBorder="1" applyAlignment="1" applyProtection="1">
      <alignment horizontal="right"/>
      <protection locked="0"/>
    </xf>
    <xf numFmtId="169" fontId="7" fillId="0" borderId="0" xfId="0" applyNumberFormat="1" applyFont="1" applyAlignment="1" applyProtection="1">
      <alignment horizontal="center"/>
      <protection locked="0"/>
    </xf>
    <xf numFmtId="0" fontId="6" fillId="2" borderId="14" xfId="0" applyFont="1" applyFill="1" applyBorder="1" applyAlignment="1">
      <alignment horizontal="center"/>
    </xf>
    <xf numFmtId="0" fontId="8" fillId="7" borderId="30" xfId="0" applyFont="1" applyFill="1" applyBorder="1" applyAlignment="1" applyProtection="1">
      <alignment horizontal="left"/>
      <protection locked="0"/>
    </xf>
    <xf numFmtId="164" fontId="8" fillId="7" borderId="61" xfId="0" applyNumberFormat="1" applyFont="1" applyFill="1" applyBorder="1" applyProtection="1">
      <protection locked="0"/>
    </xf>
    <xf numFmtId="164" fontId="8" fillId="7" borderId="18" xfId="0" applyNumberFormat="1" applyFont="1" applyFill="1" applyBorder="1" applyProtection="1">
      <protection locked="0"/>
    </xf>
    <xf numFmtId="166" fontId="8" fillId="7" borderId="18" xfId="0" applyNumberFormat="1" applyFont="1" applyFill="1" applyBorder="1" applyProtection="1">
      <protection locked="0"/>
    </xf>
    <xf numFmtId="167" fontId="8" fillId="7" borderId="18" xfId="0" applyNumberFormat="1" applyFont="1" applyFill="1" applyBorder="1" applyProtection="1">
      <protection locked="0"/>
    </xf>
    <xf numFmtId="168" fontId="8" fillId="7" borderId="18" xfId="0" applyNumberFormat="1" applyFont="1" applyFill="1" applyBorder="1" applyProtection="1">
      <protection locked="0"/>
    </xf>
    <xf numFmtId="164" fontId="8" fillId="7" borderId="29" xfId="0" applyNumberFormat="1" applyFont="1" applyFill="1" applyBorder="1" applyProtection="1">
      <protection locked="0"/>
    </xf>
    <xf numFmtId="165" fontId="8" fillId="7" borderId="61" xfId="0" applyNumberFormat="1" applyFont="1" applyFill="1" applyBorder="1" applyAlignment="1" applyProtection="1">
      <alignment horizontal="right"/>
      <protection locked="0"/>
    </xf>
    <xf numFmtId="165" fontId="8" fillId="7" borderId="18" xfId="0" applyNumberFormat="1" applyFont="1" applyFill="1" applyBorder="1" applyAlignment="1" applyProtection="1">
      <alignment horizontal="right"/>
      <protection locked="0"/>
    </xf>
    <xf numFmtId="164" fontId="8" fillId="7" borderId="18" xfId="0" applyNumberFormat="1" applyFont="1" applyFill="1" applyBorder="1" applyAlignment="1" applyProtection="1">
      <alignment horizontal="right"/>
      <protection locked="0"/>
    </xf>
    <xf numFmtId="1" fontId="8" fillId="7" borderId="18" xfId="0" applyNumberFormat="1" applyFont="1" applyFill="1" applyBorder="1" applyAlignment="1" applyProtection="1">
      <alignment horizontal="right"/>
      <protection locked="0"/>
    </xf>
    <xf numFmtId="169" fontId="8" fillId="7" borderId="18" xfId="0" applyNumberFormat="1" applyFont="1" applyFill="1" applyBorder="1" applyAlignment="1" applyProtection="1">
      <alignment horizontal="right"/>
      <protection locked="0"/>
    </xf>
    <xf numFmtId="2" fontId="8" fillId="7" borderId="29" xfId="0" applyNumberFormat="1" applyFont="1" applyFill="1" applyBorder="1" applyAlignment="1" applyProtection="1">
      <alignment horizontal="right"/>
      <protection locked="0"/>
    </xf>
    <xf numFmtId="166" fontId="8" fillId="7" borderId="53" xfId="0" applyNumberFormat="1" applyFont="1" applyFill="1" applyBorder="1" applyAlignment="1" applyProtection="1">
      <alignment horizontal="right"/>
      <protection locked="0"/>
    </xf>
    <xf numFmtId="166" fontId="8" fillId="7" borderId="18" xfId="0" applyNumberFormat="1" applyFont="1" applyFill="1" applyBorder="1" applyAlignment="1" applyProtection="1">
      <alignment horizontal="right"/>
      <protection locked="0"/>
    </xf>
    <xf numFmtId="164" fontId="8" fillId="7" borderId="27" xfId="0" applyNumberFormat="1" applyFont="1" applyFill="1" applyBorder="1" applyAlignment="1" applyProtection="1">
      <alignment horizontal="right"/>
      <protection locked="0"/>
    </xf>
    <xf numFmtId="169" fontId="6" fillId="7" borderId="61" xfId="0" applyNumberFormat="1" applyFont="1" applyFill="1" applyBorder="1" applyAlignment="1" applyProtection="1">
      <alignment horizontal="right"/>
      <protection locked="0"/>
    </xf>
    <xf numFmtId="169" fontId="8" fillId="7" borderId="29" xfId="0" applyNumberFormat="1" applyFont="1" applyFill="1" applyBorder="1" applyAlignment="1" applyProtection="1">
      <alignment horizontal="right"/>
      <protection locked="0"/>
    </xf>
    <xf numFmtId="164" fontId="8" fillId="7" borderId="5" xfId="0" applyNumberFormat="1" applyFont="1" applyFill="1" applyBorder="1" applyAlignment="1" applyProtection="1">
      <alignment horizontal="right"/>
      <protection locked="0"/>
    </xf>
    <xf numFmtId="164" fontId="6" fillId="7" borderId="27" xfId="0" applyNumberFormat="1" applyFont="1" applyFill="1" applyBorder="1" applyAlignment="1" applyProtection="1">
      <alignment horizontal="right"/>
      <protection locked="0"/>
    </xf>
    <xf numFmtId="164" fontId="6" fillId="7" borderId="61" xfId="0" applyNumberFormat="1" applyFont="1" applyFill="1" applyBorder="1" applyAlignment="1" applyProtection="1">
      <alignment horizontal="right"/>
      <protection locked="0"/>
    </xf>
    <xf numFmtId="164" fontId="6" fillId="7" borderId="29" xfId="0" applyNumberFormat="1" applyFont="1" applyFill="1" applyBorder="1" applyAlignment="1" applyProtection="1">
      <alignment horizontal="right"/>
      <protection locked="0"/>
    </xf>
    <xf numFmtId="0" fontId="6" fillId="7" borderId="53" xfId="0" applyFont="1" applyFill="1" applyBorder="1" applyAlignment="1" applyProtection="1">
      <alignment horizontal="right"/>
      <protection locked="0"/>
    </xf>
    <xf numFmtId="0" fontId="6" fillId="7" borderId="18" xfId="0" applyFont="1" applyFill="1" applyBorder="1" applyAlignment="1" applyProtection="1">
      <alignment horizontal="right"/>
      <protection locked="0"/>
    </xf>
    <xf numFmtId="169" fontId="6" fillId="7" borderId="29" xfId="0" applyNumberFormat="1" applyFont="1" applyFill="1" applyBorder="1" applyAlignment="1" applyProtection="1">
      <alignment horizontal="right"/>
      <protection locked="0"/>
    </xf>
    <xf numFmtId="0" fontId="8" fillId="16" borderId="21" xfId="0" applyFont="1" applyFill="1" applyBorder="1" applyAlignment="1">
      <alignment horizontal="left"/>
    </xf>
    <xf numFmtId="164" fontId="7" fillId="16" borderId="21" xfId="0" applyNumberFormat="1" applyFont="1" applyFill="1" applyBorder="1"/>
    <xf numFmtId="167" fontId="7" fillId="16" borderId="21" xfId="0" applyNumberFormat="1" applyFont="1" applyFill="1" applyBorder="1"/>
    <xf numFmtId="168" fontId="7" fillId="16" borderId="21" xfId="0" applyNumberFormat="1" applyFont="1" applyFill="1" applyBorder="1"/>
    <xf numFmtId="165" fontId="7" fillId="16" borderId="21" xfId="0" applyNumberFormat="1" applyFont="1" applyFill="1" applyBorder="1" applyAlignment="1">
      <alignment horizontal="center"/>
    </xf>
    <xf numFmtId="167" fontId="7" fillId="16" borderId="21" xfId="0" applyNumberFormat="1" applyFont="1" applyFill="1" applyBorder="1" applyAlignment="1">
      <alignment horizontal="center"/>
    </xf>
    <xf numFmtId="164" fontId="7" fillId="16" borderId="21" xfId="0" applyNumberFormat="1" applyFont="1" applyFill="1" applyBorder="1" applyAlignment="1">
      <alignment horizontal="center"/>
    </xf>
    <xf numFmtId="0" fontId="8" fillId="16" borderId="0" xfId="0" applyFont="1" applyFill="1" applyAlignment="1">
      <alignment horizontal="left"/>
    </xf>
    <xf numFmtId="167" fontId="7" fillId="16" borderId="0" xfId="0" applyNumberFormat="1" applyFont="1" applyFill="1"/>
    <xf numFmtId="168" fontId="7" fillId="16" borderId="0" xfId="0" applyNumberFormat="1" applyFont="1" applyFill="1"/>
    <xf numFmtId="165" fontId="7" fillId="16" borderId="0" xfId="0" applyNumberFormat="1" applyFont="1" applyFill="1" applyAlignment="1">
      <alignment horizontal="center"/>
    </xf>
    <xf numFmtId="167" fontId="7" fillId="16" borderId="0" xfId="0" applyNumberFormat="1" applyFont="1" applyFill="1" applyAlignment="1">
      <alignment horizontal="center"/>
    </xf>
    <xf numFmtId="164" fontId="7" fillId="16" borderId="0" xfId="0" applyNumberFormat="1" applyFont="1" applyFill="1" applyAlignment="1">
      <alignment horizontal="center"/>
    </xf>
    <xf numFmtId="0" fontId="8" fillId="16" borderId="5" xfId="0" applyFont="1" applyFill="1" applyBorder="1" applyAlignment="1">
      <alignment horizontal="left"/>
    </xf>
    <xf numFmtId="164" fontId="7" fillId="16" borderId="5" xfId="0" applyNumberFormat="1" applyFont="1" applyFill="1" applyBorder="1"/>
    <xf numFmtId="167" fontId="7" fillId="16" borderId="5" xfId="0" applyNumberFormat="1" applyFont="1" applyFill="1" applyBorder="1"/>
    <xf numFmtId="168" fontId="7" fillId="16" borderId="5" xfId="0" applyNumberFormat="1" applyFont="1" applyFill="1" applyBorder="1"/>
    <xf numFmtId="165" fontId="7" fillId="16" borderId="5" xfId="0" applyNumberFormat="1" applyFont="1" applyFill="1" applyBorder="1" applyAlignment="1">
      <alignment horizontal="center"/>
    </xf>
    <xf numFmtId="167" fontId="7" fillId="16" borderId="5" xfId="0" applyNumberFormat="1" applyFont="1" applyFill="1" applyBorder="1" applyAlignment="1">
      <alignment horizontal="center"/>
    </xf>
    <xf numFmtId="164" fontId="7" fillId="16" borderId="5" xfId="0" applyNumberFormat="1" applyFont="1" applyFill="1" applyBorder="1" applyAlignment="1">
      <alignment horizontal="center"/>
    </xf>
    <xf numFmtId="0" fontId="8" fillId="0" borderId="0" xfId="0" applyFont="1" applyAlignment="1">
      <alignment horizontal="left"/>
    </xf>
    <xf numFmtId="164" fontId="7" fillId="0" borderId="0" xfId="0" applyNumberFormat="1" applyFont="1"/>
    <xf numFmtId="167" fontId="7" fillId="0" borderId="0" xfId="0" applyNumberFormat="1" applyFont="1"/>
    <xf numFmtId="168" fontId="7" fillId="0" borderId="0" xfId="0" applyNumberFormat="1" applyFont="1"/>
    <xf numFmtId="165" fontId="7" fillId="0" borderId="0" xfId="0" applyNumberFormat="1" applyFont="1" applyAlignment="1">
      <alignment horizontal="center"/>
    </xf>
    <xf numFmtId="167" fontId="7" fillId="0" borderId="0" xfId="0" applyNumberFormat="1" applyFont="1" applyAlignment="1">
      <alignment horizontal="center"/>
    </xf>
    <xf numFmtId="164" fontId="7" fillId="0" borderId="0" xfId="0" applyNumberFormat="1" applyFont="1" applyAlignment="1">
      <alignment horizontal="center"/>
    </xf>
    <xf numFmtId="0" fontId="6" fillId="13" borderId="22" xfId="0" applyFont="1" applyFill="1" applyBorder="1"/>
    <xf numFmtId="164" fontId="7" fillId="14" borderId="16" xfId="0" applyNumberFormat="1" applyFont="1" applyFill="1" applyBorder="1"/>
    <xf numFmtId="0" fontId="5" fillId="2" borderId="14" xfId="0" applyFont="1" applyFill="1" applyBorder="1" applyAlignment="1">
      <alignment horizontal="center" vertical="top"/>
    </xf>
    <xf numFmtId="0" fontId="5" fillId="2" borderId="18" xfId="0" applyFont="1" applyFill="1" applyBorder="1" applyAlignment="1">
      <alignment horizontal="center" vertical="top"/>
    </xf>
    <xf numFmtId="0" fontId="6" fillId="2" borderId="46" xfId="0" applyFont="1" applyFill="1" applyBorder="1" applyAlignment="1">
      <alignment horizontal="center"/>
    </xf>
    <xf numFmtId="0" fontId="6" fillId="2" borderId="57" xfId="0" applyFont="1" applyFill="1" applyBorder="1" applyAlignment="1">
      <alignment horizontal="center"/>
    </xf>
    <xf numFmtId="0" fontId="5" fillId="2" borderId="27" xfId="0" applyFont="1" applyFill="1" applyBorder="1" applyAlignment="1">
      <alignment horizontal="center"/>
    </xf>
    <xf numFmtId="2" fontId="5" fillId="2" borderId="6" xfId="0" applyNumberFormat="1" applyFont="1" applyFill="1" applyBorder="1" applyAlignment="1">
      <alignment horizontal="center"/>
    </xf>
    <xf numFmtId="0" fontId="5" fillId="2" borderId="20" xfId="0" applyFont="1" applyFill="1" applyBorder="1" applyAlignment="1">
      <alignment horizontal="center"/>
    </xf>
    <xf numFmtId="2" fontId="7" fillId="0" borderId="0" xfId="0" applyNumberFormat="1" applyFont="1" applyProtection="1">
      <protection locked="0"/>
    </xf>
    <xf numFmtId="0" fontId="6" fillId="2" borderId="15" xfId="0" applyFont="1" applyFill="1" applyBorder="1" applyAlignment="1" applyProtection="1">
      <alignment horizontal="center"/>
      <protection locked="0"/>
    </xf>
    <xf numFmtId="0" fontId="6" fillId="7" borderId="26" xfId="0" applyFont="1" applyFill="1" applyBorder="1" applyAlignment="1" applyProtection="1">
      <alignment horizontal="left"/>
      <protection locked="0"/>
    </xf>
    <xf numFmtId="0" fontId="11" fillId="19" borderId="17" xfId="0" applyFont="1" applyFill="1" applyBorder="1" applyAlignment="1">
      <alignment horizontal="left"/>
    </xf>
    <xf numFmtId="0" fontId="6" fillId="7" borderId="26" xfId="0" applyFont="1" applyFill="1" applyBorder="1" applyAlignment="1" applyProtection="1">
      <alignment horizontal="center"/>
      <protection locked="0"/>
    </xf>
    <xf numFmtId="1" fontId="6" fillId="7" borderId="56" xfId="0" applyNumberFormat="1" applyFont="1" applyFill="1" applyBorder="1" applyAlignment="1" applyProtection="1">
      <alignment horizontal="center"/>
      <protection locked="0"/>
    </xf>
    <xf numFmtId="0" fontId="13" fillId="19" borderId="25" xfId="0" applyFont="1" applyFill="1" applyBorder="1" applyAlignment="1">
      <alignment horizontal="center"/>
    </xf>
    <xf numFmtId="0" fontId="6" fillId="7" borderId="21" xfId="0" applyFont="1" applyFill="1" applyBorder="1" applyAlignment="1" applyProtection="1">
      <alignment horizontal="right"/>
      <protection locked="0"/>
    </xf>
    <xf numFmtId="0" fontId="6" fillId="7" borderId="22" xfId="0" applyFont="1" applyFill="1" applyBorder="1" applyAlignment="1" applyProtection="1">
      <alignment horizontal="right"/>
      <protection locked="0"/>
    </xf>
    <xf numFmtId="0" fontId="6" fillId="2" borderId="13" xfId="0" applyFont="1" applyFill="1" applyBorder="1" applyAlignment="1" applyProtection="1">
      <alignment horizontal="center"/>
      <protection locked="0"/>
    </xf>
    <xf numFmtId="0" fontId="6" fillId="7" borderId="1" xfId="0" applyFont="1" applyFill="1" applyBorder="1" applyAlignment="1" applyProtection="1">
      <alignment horizontal="left"/>
      <protection locked="0"/>
    </xf>
    <xf numFmtId="0" fontId="6" fillId="7" borderId="1" xfId="0" applyFont="1" applyFill="1" applyBorder="1" applyAlignment="1" applyProtection="1">
      <alignment horizontal="center"/>
      <protection locked="0"/>
    </xf>
    <xf numFmtId="1" fontId="6" fillId="7" borderId="17" xfId="0" applyNumberFormat="1" applyFont="1" applyFill="1" applyBorder="1" applyAlignment="1" applyProtection="1">
      <alignment horizontal="center"/>
      <protection locked="0"/>
    </xf>
    <xf numFmtId="0" fontId="13" fillId="19" borderId="12" xfId="0" applyFont="1" applyFill="1" applyBorder="1" applyAlignment="1">
      <alignment horizontal="center"/>
    </xf>
    <xf numFmtId="0" fontId="6" fillId="7" borderId="0" xfId="0" applyFont="1" applyFill="1" applyAlignment="1" applyProtection="1">
      <alignment horizontal="right"/>
      <protection locked="0"/>
    </xf>
    <xf numFmtId="0" fontId="6" fillId="7" borderId="2" xfId="0" applyFont="1" applyFill="1" applyBorder="1" applyAlignment="1" applyProtection="1">
      <alignment horizontal="right"/>
      <protection locked="0"/>
    </xf>
    <xf numFmtId="0" fontId="6" fillId="7" borderId="17" xfId="0" applyFont="1" applyFill="1" applyBorder="1" applyAlignment="1" applyProtection="1">
      <alignment horizontal="center"/>
      <protection locked="0"/>
    </xf>
    <xf numFmtId="169" fontId="6" fillId="7" borderId="0" xfId="0" applyNumberFormat="1" applyFont="1" applyFill="1" applyAlignment="1" applyProtection="1">
      <alignment horizontal="right"/>
      <protection locked="0"/>
    </xf>
    <xf numFmtId="169" fontId="6" fillId="7" borderId="2" xfId="0" applyNumberFormat="1" applyFont="1" applyFill="1" applyBorder="1" applyAlignment="1" applyProtection="1">
      <alignment horizontal="right"/>
      <protection locked="0"/>
    </xf>
    <xf numFmtId="172" fontId="6" fillId="0" borderId="0" xfId="0" applyNumberFormat="1" applyFont="1"/>
    <xf numFmtId="0" fontId="6" fillId="13" borderId="21" xfId="0" applyFont="1" applyFill="1" applyBorder="1" applyAlignment="1">
      <alignment horizontal="center"/>
    </xf>
    <xf numFmtId="0" fontId="13" fillId="19" borderId="26" xfId="0" applyFont="1" applyFill="1" applyBorder="1" applyAlignment="1">
      <alignment horizontal="center"/>
    </xf>
    <xf numFmtId="0" fontId="13" fillId="19" borderId="1" xfId="0" applyFont="1" applyFill="1" applyBorder="1" applyAlignment="1">
      <alignment horizontal="center"/>
    </xf>
    <xf numFmtId="0" fontId="6" fillId="16" borderId="21" xfId="0" applyFont="1" applyFill="1" applyBorder="1" applyAlignment="1">
      <alignment horizontal="center"/>
    </xf>
    <xf numFmtId="0" fontId="6" fillId="16" borderId="0" xfId="0" applyFont="1" applyFill="1" applyAlignment="1">
      <alignment horizontal="center"/>
    </xf>
    <xf numFmtId="0" fontId="6" fillId="16" borderId="5" xfId="0" applyFont="1" applyFill="1" applyBorder="1" applyAlignment="1">
      <alignment horizontal="center"/>
    </xf>
    <xf numFmtId="0" fontId="5" fillId="2" borderId="46" xfId="0" applyFont="1" applyFill="1" applyBorder="1" applyAlignment="1">
      <alignment horizontal="right" vertical="top"/>
    </xf>
    <xf numFmtId="0" fontId="5" fillId="2" borderId="27" xfId="0" applyFont="1" applyFill="1" applyBorder="1" applyAlignment="1">
      <alignment horizontal="center" vertical="top" wrapText="1"/>
    </xf>
    <xf numFmtId="0" fontId="5" fillId="2" borderId="18" xfId="0" applyFont="1" applyFill="1" applyBorder="1" applyAlignment="1">
      <alignment horizontal="center" vertical="top" wrapText="1"/>
    </xf>
    <xf numFmtId="1" fontId="5" fillId="2" borderId="27" xfId="0" applyNumberFormat="1" applyFont="1" applyFill="1" applyBorder="1" applyAlignment="1">
      <alignment horizontal="center" vertical="top" wrapText="1"/>
    </xf>
    <xf numFmtId="1" fontId="5" fillId="2" borderId="5" xfId="0" applyNumberFormat="1" applyFont="1" applyFill="1" applyBorder="1" applyAlignment="1">
      <alignment horizontal="center" vertical="top" wrapText="1"/>
    </xf>
    <xf numFmtId="1" fontId="5" fillId="2" borderId="5" xfId="0" applyNumberFormat="1" applyFont="1" applyFill="1" applyBorder="1" applyAlignment="1">
      <alignment horizontal="center" vertical="top"/>
    </xf>
    <xf numFmtId="1" fontId="5" fillId="2" borderId="19" xfId="0" applyNumberFormat="1" applyFont="1" applyFill="1" applyBorder="1" applyAlignment="1">
      <alignment horizontal="center" vertical="top"/>
    </xf>
    <xf numFmtId="0" fontId="5" fillId="16" borderId="12" xfId="0" applyFont="1" applyFill="1" applyBorder="1" applyAlignment="1">
      <alignment vertical="top"/>
    </xf>
    <xf numFmtId="0" fontId="5" fillId="0" borderId="0" xfId="0" applyFont="1" applyAlignment="1">
      <alignment vertical="top"/>
    </xf>
    <xf numFmtId="0" fontId="6" fillId="14" borderId="0" xfId="0" applyFont="1" applyFill="1"/>
    <xf numFmtId="169" fontId="6" fillId="14" borderId="0" xfId="0" applyNumberFormat="1" applyFont="1" applyFill="1"/>
    <xf numFmtId="1" fontId="6" fillId="14" borderId="0" xfId="0" applyNumberFormat="1" applyFont="1" applyFill="1"/>
    <xf numFmtId="0" fontId="5" fillId="18" borderId="23" xfId="0" applyFont="1" applyFill="1" applyBorder="1"/>
    <xf numFmtId="0" fontId="6" fillId="2" borderId="23"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21" xfId="0" applyFont="1" applyFill="1" applyBorder="1" applyAlignment="1" applyProtection="1">
      <alignment horizontal="center" vertical="center"/>
      <protection locked="0"/>
    </xf>
    <xf numFmtId="1" fontId="6" fillId="2" borderId="6" xfId="0" applyNumberFormat="1" applyFont="1" applyFill="1" applyBorder="1" applyAlignment="1" applyProtection="1">
      <alignment vertical="top"/>
      <protection locked="0"/>
    </xf>
    <xf numFmtId="169" fontId="6" fillId="2" borderId="6" xfId="0" applyNumberFormat="1" applyFont="1" applyFill="1" applyBorder="1" applyAlignment="1" applyProtection="1">
      <alignment vertical="top"/>
      <protection locked="0"/>
    </xf>
    <xf numFmtId="1" fontId="6" fillId="2" borderId="20" xfId="0" applyNumberFormat="1" applyFont="1" applyFill="1" applyBorder="1" applyAlignment="1" applyProtection="1">
      <alignment vertical="top"/>
      <protection locked="0"/>
    </xf>
    <xf numFmtId="1" fontId="6" fillId="2" borderId="21" xfId="0" applyNumberFormat="1" applyFont="1" applyFill="1" applyBorder="1" applyAlignment="1" applyProtection="1">
      <alignment vertical="top"/>
      <protection locked="0"/>
    </xf>
    <xf numFmtId="0" fontId="6" fillId="2" borderId="16" xfId="0" applyFont="1" applyFill="1" applyBorder="1" applyAlignment="1" applyProtection="1">
      <alignment horizontal="center" vertical="center"/>
      <protection locked="0"/>
    </xf>
    <xf numFmtId="0" fontId="6" fillId="15" borderId="0" xfId="0" applyFont="1" applyFill="1"/>
    <xf numFmtId="0" fontId="6" fillId="3" borderId="16" xfId="0" applyFont="1" applyFill="1" applyBorder="1" applyAlignment="1" applyProtection="1">
      <alignment horizontal="left" vertical="center"/>
      <protection locked="0"/>
    </xf>
    <xf numFmtId="0" fontId="6" fillId="3" borderId="6" xfId="0" applyFont="1" applyFill="1" applyBorder="1" applyAlignment="1" applyProtection="1">
      <alignment horizontal="center" vertical="center"/>
      <protection locked="0"/>
    </xf>
    <xf numFmtId="1" fontId="6" fillId="7" borderId="6" xfId="0" applyNumberFormat="1" applyFont="1" applyFill="1" applyBorder="1" applyAlignment="1" applyProtection="1">
      <alignment vertical="top"/>
      <protection locked="0"/>
    </xf>
    <xf numFmtId="1" fontId="6" fillId="7" borderId="23" xfId="0" applyNumberFormat="1" applyFont="1" applyFill="1" applyBorder="1" applyAlignment="1" applyProtection="1">
      <alignment horizontal="left" vertical="top"/>
      <protection locked="0"/>
    </xf>
    <xf numFmtId="169" fontId="6" fillId="7" borderId="6" xfId="0" applyNumberFormat="1" applyFont="1" applyFill="1" applyBorder="1" applyAlignment="1" applyProtection="1">
      <alignment vertical="top"/>
      <protection locked="0"/>
    </xf>
    <xf numFmtId="1" fontId="6" fillId="7" borderId="20" xfId="0" applyNumberFormat="1" applyFont="1" applyFill="1" applyBorder="1" applyAlignment="1" applyProtection="1">
      <alignment vertical="top"/>
      <protection locked="0"/>
    </xf>
    <xf numFmtId="0" fontId="6" fillId="3" borderId="6" xfId="0" applyFont="1" applyFill="1" applyBorder="1" applyAlignment="1" applyProtection="1">
      <alignment horizontal="left" vertical="center"/>
      <protection locked="0"/>
    </xf>
    <xf numFmtId="0" fontId="6" fillId="3" borderId="5" xfId="0" applyFont="1" applyFill="1" applyBorder="1" applyAlignment="1" applyProtection="1">
      <alignment horizontal="left" vertical="center"/>
      <protection locked="0"/>
    </xf>
    <xf numFmtId="0" fontId="6" fillId="3" borderId="5" xfId="0" applyFont="1" applyFill="1" applyBorder="1" applyAlignment="1" applyProtection="1">
      <alignment horizontal="center" vertical="center"/>
      <protection locked="0"/>
    </xf>
    <xf numFmtId="0" fontId="6" fillId="15" borderId="0" xfId="0" applyFont="1" applyFill="1" applyAlignment="1">
      <alignment vertical="center"/>
    </xf>
    <xf numFmtId="1" fontId="6" fillId="7" borderId="6" xfId="0" applyNumberFormat="1" applyFont="1" applyFill="1" applyBorder="1" applyAlignment="1">
      <alignment vertical="top"/>
    </xf>
    <xf numFmtId="0" fontId="27" fillId="19" borderId="16" xfId="0" applyFont="1" applyFill="1" applyBorder="1" applyAlignment="1">
      <alignment horizontal="left" vertical="center"/>
    </xf>
    <xf numFmtId="0" fontId="27" fillId="19" borderId="6" xfId="0" applyFont="1" applyFill="1" applyBorder="1" applyAlignment="1">
      <alignment horizontal="center" vertical="center"/>
    </xf>
    <xf numFmtId="1" fontId="27" fillId="19" borderId="6" xfId="0" applyNumberFormat="1" applyFont="1" applyFill="1" applyBorder="1" applyAlignment="1">
      <alignment vertical="top"/>
    </xf>
    <xf numFmtId="169" fontId="27" fillId="19" borderId="6" xfId="0" applyNumberFormat="1" applyFont="1" applyFill="1" applyBorder="1" applyAlignment="1">
      <alignment vertical="top"/>
    </xf>
    <xf numFmtId="1" fontId="27" fillId="19" borderId="20" xfId="0" applyNumberFormat="1" applyFont="1" applyFill="1" applyBorder="1" applyAlignment="1">
      <alignment vertical="top"/>
    </xf>
    <xf numFmtId="0" fontId="27" fillId="19" borderId="6" xfId="0" applyFont="1" applyFill="1" applyBorder="1" applyAlignment="1">
      <alignment horizontal="left" vertical="center"/>
    </xf>
    <xf numFmtId="0" fontId="27" fillId="19" borderId="21" xfId="0" applyFont="1" applyFill="1" applyBorder="1" applyAlignment="1">
      <alignment horizontal="center" vertical="center"/>
    </xf>
    <xf numFmtId="1" fontId="27" fillId="19" borderId="21" xfId="0" applyNumberFormat="1" applyFont="1" applyFill="1" applyBorder="1" applyAlignment="1">
      <alignment vertical="top"/>
    </xf>
    <xf numFmtId="0" fontId="6" fillId="15" borderId="5" xfId="0" applyFont="1" applyFill="1" applyBorder="1" applyAlignment="1">
      <alignment vertical="center"/>
    </xf>
    <xf numFmtId="0" fontId="6" fillId="2" borderId="16" xfId="0" applyFont="1" applyFill="1" applyBorder="1" applyAlignment="1">
      <alignment horizontal="left" vertical="top" textRotation="180"/>
    </xf>
    <xf numFmtId="0" fontId="6" fillId="2" borderId="6" xfId="0" applyFont="1" applyFill="1" applyBorder="1" applyAlignment="1">
      <alignment horizontal="left" vertical="top" textRotation="180"/>
    </xf>
    <xf numFmtId="1" fontId="6" fillId="2" borderId="27" xfId="0" applyNumberFormat="1" applyFont="1" applyFill="1" applyBorder="1" applyAlignment="1">
      <alignment vertical="top" textRotation="180"/>
    </xf>
    <xf numFmtId="1" fontId="6" fillId="2" borderId="6" xfId="0" applyNumberFormat="1" applyFont="1" applyFill="1" applyBorder="1" applyAlignment="1">
      <alignment vertical="top" textRotation="180"/>
    </xf>
    <xf numFmtId="169" fontId="6" fillId="2" borderId="6" xfId="0" applyNumberFormat="1" applyFont="1" applyFill="1" applyBorder="1" applyAlignment="1">
      <alignment vertical="top" textRotation="180"/>
    </xf>
    <xf numFmtId="1" fontId="6" fillId="2" borderId="20" xfId="0" applyNumberFormat="1" applyFont="1" applyFill="1" applyBorder="1" applyAlignment="1">
      <alignment vertical="top" textRotation="180"/>
    </xf>
    <xf numFmtId="0" fontId="5" fillId="18" borderId="30" xfId="0" applyFont="1" applyFill="1" applyBorder="1" applyAlignment="1">
      <alignment vertical="center" wrapText="1"/>
    </xf>
    <xf numFmtId="0" fontId="6" fillId="2" borderId="15" xfId="0" applyFont="1" applyFill="1" applyBorder="1" applyAlignment="1">
      <alignment horizontal="left" vertical="top" textRotation="180"/>
    </xf>
    <xf numFmtId="0" fontId="6" fillId="2" borderId="21" xfId="0" applyFont="1" applyFill="1" applyBorder="1" applyAlignment="1">
      <alignment horizontal="left" vertical="top" textRotation="180"/>
    </xf>
    <xf numFmtId="1" fontId="6" fillId="2" borderId="5" xfId="0" applyNumberFormat="1" applyFont="1" applyFill="1" applyBorder="1" applyAlignment="1">
      <alignment vertical="top" textRotation="180"/>
    </xf>
    <xf numFmtId="169" fontId="6" fillId="2" borderId="5" xfId="0" applyNumberFormat="1" applyFont="1" applyFill="1" applyBorder="1" applyAlignment="1">
      <alignment vertical="top" textRotation="180"/>
    </xf>
    <xf numFmtId="1" fontId="6" fillId="2" borderId="19" xfId="0" applyNumberFormat="1" applyFont="1" applyFill="1" applyBorder="1" applyAlignment="1">
      <alignment vertical="top" textRotation="180"/>
    </xf>
    <xf numFmtId="0" fontId="6" fillId="2" borderId="57" xfId="0" applyFont="1" applyFill="1" applyBorder="1" applyAlignment="1">
      <alignment horizontal="center" vertical="top"/>
    </xf>
    <xf numFmtId="1" fontId="6" fillId="2" borderId="57" xfId="0" applyNumberFormat="1" applyFont="1" applyFill="1" applyBorder="1" applyAlignment="1">
      <alignment horizontal="center" vertical="top"/>
    </xf>
    <xf numFmtId="1" fontId="6" fillId="2" borderId="6" xfId="0" applyNumberFormat="1" applyFont="1" applyFill="1" applyBorder="1" applyAlignment="1">
      <alignment horizontal="center" vertical="top"/>
    </xf>
    <xf numFmtId="1" fontId="6" fillId="2" borderId="20" xfId="0" applyNumberFormat="1" applyFont="1" applyFill="1" applyBorder="1" applyAlignment="1">
      <alignment horizontal="center" vertical="top"/>
    </xf>
    <xf numFmtId="165" fontId="6" fillId="15" borderId="25" xfId="0" applyNumberFormat="1" applyFont="1" applyFill="1" applyBorder="1" applyAlignment="1">
      <alignment horizontal="right"/>
    </xf>
    <xf numFmtId="0" fontId="6" fillId="9" borderId="16" xfId="0" applyFont="1" applyFill="1" applyBorder="1" applyAlignment="1" applyProtection="1">
      <alignment horizontal="left"/>
      <protection locked="0"/>
    </xf>
    <xf numFmtId="0" fontId="6" fillId="9" borderId="57" xfId="0" applyFont="1" applyFill="1" applyBorder="1" applyAlignment="1" applyProtection="1">
      <alignment horizontal="left"/>
      <protection locked="0"/>
    </xf>
    <xf numFmtId="2" fontId="6" fillId="9" borderId="6" xfId="0" applyNumberFormat="1" applyFont="1" applyFill="1" applyBorder="1" applyProtection="1">
      <protection locked="0"/>
    </xf>
    <xf numFmtId="169" fontId="6" fillId="9" borderId="57" xfId="0" applyNumberFormat="1" applyFont="1" applyFill="1" applyBorder="1" applyAlignment="1" applyProtection="1">
      <alignment horizontal="center" vertical="top" wrapText="1"/>
      <protection locked="0"/>
    </xf>
    <xf numFmtId="169" fontId="6" fillId="9" borderId="20" xfId="0" applyNumberFormat="1" applyFont="1" applyFill="1" applyBorder="1" applyProtection="1">
      <protection locked="0"/>
    </xf>
    <xf numFmtId="1" fontId="6" fillId="7" borderId="26" xfId="0" applyNumberFormat="1" applyFont="1" applyFill="1" applyBorder="1" applyProtection="1">
      <protection locked="0"/>
    </xf>
    <xf numFmtId="1" fontId="6" fillId="7" borderId="56" xfId="0" applyNumberFormat="1" applyFont="1" applyFill="1" applyBorder="1" applyAlignment="1" applyProtection="1">
      <alignment vertical="top"/>
      <protection locked="0"/>
    </xf>
    <xf numFmtId="2" fontId="6" fillId="7" borderId="21" xfId="0" applyNumberFormat="1" applyFont="1" applyFill="1" applyBorder="1" applyAlignment="1" applyProtection="1">
      <alignment horizontal="right" vertical="top"/>
      <protection locked="0"/>
    </xf>
    <xf numFmtId="2" fontId="6" fillId="7" borderId="56" xfId="0" applyNumberFormat="1" applyFont="1" applyFill="1" applyBorder="1" applyAlignment="1" applyProtection="1">
      <alignment horizontal="right" vertical="top"/>
      <protection locked="0"/>
    </xf>
    <xf numFmtId="2" fontId="6" fillId="7" borderId="21" xfId="0" applyNumberFormat="1" applyFont="1" applyFill="1" applyBorder="1" applyAlignment="1" applyProtection="1">
      <alignment horizontal="right"/>
      <protection locked="0"/>
    </xf>
    <xf numFmtId="2" fontId="6" fillId="7" borderId="56" xfId="0" applyNumberFormat="1" applyFont="1" applyFill="1" applyBorder="1" applyAlignment="1" applyProtection="1">
      <alignment horizontal="right"/>
      <protection locked="0"/>
    </xf>
    <xf numFmtId="2" fontId="6" fillId="7" borderId="22" xfId="0" applyNumberFormat="1" applyFont="1" applyFill="1" applyBorder="1" applyAlignment="1" applyProtection="1">
      <alignment horizontal="right"/>
      <protection locked="0"/>
    </xf>
    <xf numFmtId="2" fontId="6" fillId="9" borderId="46" xfId="0" applyNumberFormat="1" applyFont="1" applyFill="1" applyBorder="1" applyProtection="1">
      <protection locked="0"/>
    </xf>
    <xf numFmtId="165" fontId="6" fillId="15" borderId="12" xfId="0" applyNumberFormat="1" applyFont="1" applyFill="1" applyBorder="1" applyAlignment="1">
      <alignment horizontal="right"/>
    </xf>
    <xf numFmtId="0" fontId="6" fillId="3" borderId="13" xfId="0" applyFont="1" applyFill="1" applyBorder="1" applyAlignment="1" applyProtection="1">
      <alignment horizontal="left"/>
      <protection locked="0"/>
    </xf>
    <xf numFmtId="0" fontId="6" fillId="3" borderId="17" xfId="0" applyFont="1" applyFill="1" applyBorder="1" applyAlignment="1" applyProtection="1">
      <alignment horizontal="center"/>
      <protection locked="0"/>
    </xf>
    <xf numFmtId="2" fontId="6" fillId="3" borderId="0" xfId="0" applyNumberFormat="1" applyFont="1" applyFill="1" applyAlignment="1" applyProtection="1">
      <alignment horizontal="center"/>
      <protection locked="0"/>
    </xf>
    <xf numFmtId="2" fontId="6" fillId="3" borderId="17" xfId="0" applyNumberFormat="1" applyFont="1" applyFill="1" applyBorder="1" applyAlignment="1" applyProtection="1">
      <alignment horizontal="right" vertical="top" wrapText="1"/>
      <protection locked="0"/>
    </xf>
    <xf numFmtId="2" fontId="6" fillId="3" borderId="0" xfId="0" applyNumberFormat="1" applyFont="1" applyFill="1" applyAlignment="1" applyProtection="1">
      <alignment horizontal="right"/>
      <protection locked="0"/>
    </xf>
    <xf numFmtId="1" fontId="6" fillId="7" borderId="1" xfId="0" applyNumberFormat="1" applyFont="1" applyFill="1" applyBorder="1" applyProtection="1">
      <protection locked="0"/>
    </xf>
    <xf numFmtId="1" fontId="6" fillId="7" borderId="17" xfId="0" applyNumberFormat="1" applyFont="1" applyFill="1" applyBorder="1" applyProtection="1">
      <protection locked="0"/>
    </xf>
    <xf numFmtId="2" fontId="6" fillId="7" borderId="0" xfId="0" applyNumberFormat="1" applyFont="1" applyFill="1" applyAlignment="1" applyProtection="1">
      <alignment horizontal="right"/>
      <protection locked="0"/>
    </xf>
    <xf numFmtId="2" fontId="6" fillId="7" borderId="17" xfId="0" applyNumberFormat="1" applyFont="1" applyFill="1" applyBorder="1" applyAlignment="1" applyProtection="1">
      <alignment horizontal="right"/>
      <protection locked="0"/>
    </xf>
    <xf numFmtId="2" fontId="6" fillId="7" borderId="2" xfId="0" applyNumberFormat="1" applyFont="1" applyFill="1" applyBorder="1" applyAlignment="1" applyProtection="1">
      <alignment horizontal="right"/>
      <protection locked="0"/>
    </xf>
    <xf numFmtId="0" fontId="6" fillId="3" borderId="15" xfId="0" applyFont="1" applyFill="1" applyBorder="1" applyAlignment="1" applyProtection="1">
      <alignment horizontal="left"/>
      <protection locked="0"/>
    </xf>
    <xf numFmtId="2" fontId="6" fillId="3" borderId="1" xfId="0" applyNumberFormat="1" applyFont="1" applyFill="1" applyBorder="1" applyAlignment="1" applyProtection="1">
      <alignment horizontal="center"/>
      <protection locked="0"/>
    </xf>
    <xf numFmtId="0" fontId="6" fillId="3" borderId="13" xfId="0" applyFont="1" applyFill="1" applyBorder="1" applyProtection="1">
      <protection locked="0"/>
    </xf>
    <xf numFmtId="165" fontId="6" fillId="15" borderId="30" xfId="0" applyNumberFormat="1" applyFont="1" applyFill="1" applyBorder="1" applyAlignment="1">
      <alignment horizontal="right"/>
    </xf>
    <xf numFmtId="0" fontId="6" fillId="3" borderId="14" xfId="0" applyFont="1" applyFill="1" applyBorder="1" applyAlignment="1" applyProtection="1">
      <alignment horizontal="left"/>
      <protection locked="0"/>
    </xf>
    <xf numFmtId="0" fontId="6" fillId="3" borderId="18" xfId="0" applyFont="1" applyFill="1" applyBorder="1" applyAlignment="1" applyProtection="1">
      <alignment horizontal="center"/>
      <protection locked="0"/>
    </xf>
    <xf numFmtId="2" fontId="6" fillId="3" borderId="5" xfId="0" applyNumberFormat="1" applyFont="1" applyFill="1" applyBorder="1" applyAlignment="1" applyProtection="1">
      <alignment horizontal="center"/>
      <protection locked="0"/>
    </xf>
    <xf numFmtId="2" fontId="6" fillId="3" borderId="18" xfId="0" applyNumberFormat="1" applyFont="1" applyFill="1" applyBorder="1" applyAlignment="1" applyProtection="1">
      <alignment horizontal="right" vertical="top" wrapText="1"/>
      <protection locked="0"/>
    </xf>
    <xf numFmtId="2" fontId="6" fillId="3" borderId="5" xfId="0" applyNumberFormat="1" applyFont="1" applyFill="1" applyBorder="1" applyAlignment="1" applyProtection="1">
      <alignment horizontal="right"/>
      <protection locked="0"/>
    </xf>
    <xf numFmtId="1" fontId="6" fillId="7" borderId="27" xfId="0" applyNumberFormat="1" applyFont="1" applyFill="1" applyBorder="1" applyProtection="1">
      <protection locked="0"/>
    </xf>
    <xf numFmtId="1" fontId="6" fillId="7" borderId="18" xfId="0" applyNumberFormat="1" applyFont="1" applyFill="1" applyBorder="1" applyProtection="1">
      <protection locked="0"/>
    </xf>
    <xf numFmtId="2" fontId="6" fillId="7" borderId="5" xfId="0" applyNumberFormat="1" applyFont="1" applyFill="1" applyBorder="1" applyAlignment="1" applyProtection="1">
      <alignment horizontal="right"/>
      <protection locked="0"/>
    </xf>
    <xf numFmtId="2" fontId="6" fillId="7" borderId="18" xfId="0" applyNumberFormat="1" applyFont="1" applyFill="1" applyBorder="1" applyAlignment="1" applyProtection="1">
      <alignment horizontal="right"/>
      <protection locked="0"/>
    </xf>
    <xf numFmtId="2" fontId="6" fillId="7" borderId="19" xfId="0" applyNumberFormat="1" applyFont="1" applyFill="1" applyBorder="1" applyAlignment="1" applyProtection="1">
      <alignment horizontal="right"/>
      <protection locked="0"/>
    </xf>
    <xf numFmtId="0" fontId="6" fillId="3" borderId="14" xfId="0" applyFont="1" applyFill="1" applyBorder="1" applyProtection="1">
      <protection locked="0"/>
    </xf>
    <xf numFmtId="2" fontId="6" fillId="3" borderId="27" xfId="0" applyNumberFormat="1" applyFont="1" applyFill="1" applyBorder="1" applyAlignment="1" applyProtection="1">
      <alignment horizontal="center"/>
      <protection locked="0"/>
    </xf>
    <xf numFmtId="0" fontId="6" fillId="16" borderId="0" xfId="0" applyFont="1" applyFill="1" applyProtection="1">
      <protection locked="0"/>
    </xf>
    <xf numFmtId="2" fontId="6" fillId="16" borderId="0" xfId="0" applyNumberFormat="1" applyFont="1" applyFill="1" applyProtection="1">
      <protection locked="0"/>
    </xf>
    <xf numFmtId="0" fontId="6" fillId="16" borderId="5" xfId="0" applyFont="1" applyFill="1" applyBorder="1" applyProtection="1">
      <protection locked="0"/>
    </xf>
    <xf numFmtId="0" fontId="6" fillId="15" borderId="30"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6" xfId="0" applyFont="1" applyFill="1" applyBorder="1" applyAlignment="1">
      <alignment horizontal="center" vertical="center"/>
    </xf>
    <xf numFmtId="1" fontId="6" fillId="2" borderId="46" xfId="0" applyNumberFormat="1" applyFont="1" applyFill="1" applyBorder="1" applyAlignment="1">
      <alignment horizontal="center" vertical="center"/>
    </xf>
    <xf numFmtId="1" fontId="6" fillId="2" borderId="57" xfId="0" applyNumberFormat="1" applyFont="1" applyFill="1" applyBorder="1" applyAlignment="1">
      <alignment horizontal="center" vertical="center"/>
    </xf>
    <xf numFmtId="1" fontId="6" fillId="2" borderId="6" xfId="0" applyNumberFormat="1" applyFont="1" applyFill="1" applyBorder="1" applyAlignment="1">
      <alignment horizontal="center" vertical="center"/>
    </xf>
    <xf numFmtId="169" fontId="6" fillId="2" borderId="57" xfId="0" applyNumberFormat="1" applyFont="1" applyFill="1" applyBorder="1" applyAlignment="1">
      <alignment horizontal="center" vertical="center"/>
    </xf>
    <xf numFmtId="1" fontId="6" fillId="2" borderId="20" xfId="0" applyNumberFormat="1" applyFont="1" applyFill="1" applyBorder="1" applyAlignment="1">
      <alignment horizontal="center" vertical="center"/>
    </xf>
    <xf numFmtId="0" fontId="6" fillId="2" borderId="46" xfId="0" applyFont="1" applyFill="1" applyBorder="1" applyAlignment="1">
      <alignment horizontal="center" vertical="center"/>
    </xf>
    <xf numFmtId="0" fontId="6" fillId="16" borderId="12" xfId="0" applyFont="1" applyFill="1" applyBorder="1" applyAlignment="1">
      <alignment vertical="center"/>
    </xf>
    <xf numFmtId="0" fontId="6" fillId="0" borderId="0" xfId="0" applyFont="1" applyAlignment="1">
      <alignment vertical="center"/>
    </xf>
    <xf numFmtId="1" fontId="6" fillId="16" borderId="25" xfId="0" applyNumberFormat="1" applyFont="1" applyFill="1" applyBorder="1"/>
    <xf numFmtId="1" fontId="5" fillId="18" borderId="16" xfId="0" applyNumberFormat="1" applyFont="1" applyFill="1" applyBorder="1" applyAlignment="1">
      <alignment vertical="top"/>
    </xf>
    <xf numFmtId="1" fontId="6" fillId="2" borderId="23" xfId="0" applyNumberFormat="1" applyFont="1" applyFill="1" applyBorder="1" applyAlignment="1" applyProtection="1">
      <alignment horizontal="center" vertical="top"/>
      <protection locked="0"/>
    </xf>
    <xf numFmtId="1" fontId="6" fillId="2" borderId="6" xfId="0" applyNumberFormat="1" applyFont="1" applyFill="1" applyBorder="1" applyAlignment="1" applyProtection="1">
      <alignment horizontal="center" vertical="top"/>
      <protection locked="0"/>
    </xf>
    <xf numFmtId="1" fontId="6" fillId="2" borderId="20" xfId="0" applyNumberFormat="1" applyFont="1" applyFill="1" applyBorder="1" applyAlignment="1" applyProtection="1">
      <alignment horizontal="center" vertical="top"/>
      <protection locked="0"/>
    </xf>
    <xf numFmtId="1" fontId="6" fillId="16" borderId="12" xfId="0" applyNumberFormat="1" applyFont="1" applyFill="1" applyBorder="1"/>
    <xf numFmtId="1" fontId="6" fillId="4" borderId="0" xfId="0" applyNumberFormat="1" applyFont="1" applyFill="1"/>
    <xf numFmtId="1" fontId="6" fillId="15" borderId="16" xfId="0" applyNumberFormat="1" applyFont="1" applyFill="1" applyBorder="1" applyAlignment="1">
      <alignment vertical="top"/>
    </xf>
    <xf numFmtId="1" fontId="6" fillId="7" borderId="16" xfId="0" applyNumberFormat="1" applyFont="1" applyFill="1" applyBorder="1" applyAlignment="1" applyProtection="1">
      <alignment vertical="top"/>
      <protection locked="0"/>
    </xf>
    <xf numFmtId="1" fontId="6" fillId="16" borderId="12" xfId="0" applyNumberFormat="1" applyFont="1" applyFill="1" applyBorder="1" applyAlignment="1">
      <alignment textRotation="90"/>
    </xf>
    <xf numFmtId="1" fontId="6" fillId="0" borderId="0" xfId="0" applyNumberFormat="1" applyFont="1" applyAlignment="1">
      <alignment textRotation="90"/>
    </xf>
    <xf numFmtId="1" fontId="6" fillId="7" borderId="15" xfId="0" applyNumberFormat="1" applyFont="1" applyFill="1" applyBorder="1" applyAlignment="1" applyProtection="1">
      <alignment horizontal="left" vertical="top"/>
      <protection locked="0"/>
    </xf>
    <xf numFmtId="1" fontId="6" fillId="16" borderId="12" xfId="0" applyNumberFormat="1" applyFont="1" applyFill="1" applyBorder="1" applyAlignment="1">
      <alignment vertical="center" textRotation="90"/>
    </xf>
    <xf numFmtId="1" fontId="6" fillId="7" borderId="21" xfId="0" applyNumberFormat="1" applyFont="1" applyFill="1" applyBorder="1" applyAlignment="1" applyProtection="1">
      <alignment vertical="top"/>
      <protection locked="0"/>
    </xf>
    <xf numFmtId="1" fontId="6" fillId="7" borderId="22" xfId="0" applyNumberFormat="1" applyFont="1" applyFill="1" applyBorder="1" applyAlignment="1" applyProtection="1">
      <alignment vertical="top"/>
      <protection locked="0"/>
    </xf>
    <xf numFmtId="1" fontId="6" fillId="7" borderId="16" xfId="0" applyNumberFormat="1" applyFont="1" applyFill="1" applyBorder="1" applyAlignment="1" applyProtection="1">
      <alignment horizontal="left" vertical="top"/>
      <protection locked="0"/>
    </xf>
    <xf numFmtId="1" fontId="6" fillId="7" borderId="6" xfId="0" applyNumberFormat="1" applyFont="1" applyFill="1" applyBorder="1" applyAlignment="1" applyProtection="1">
      <alignment horizontal="left" vertical="top"/>
      <protection locked="0"/>
    </xf>
    <xf numFmtId="1" fontId="6" fillId="15" borderId="16" xfId="0" applyNumberFormat="1" applyFont="1" applyFill="1" applyBorder="1" applyAlignment="1">
      <alignment horizontal="left" vertical="top"/>
    </xf>
    <xf numFmtId="1" fontId="6" fillId="2" borderId="16" xfId="0" applyNumberFormat="1" applyFont="1" applyFill="1" applyBorder="1" applyAlignment="1">
      <alignment vertical="top" textRotation="180"/>
    </xf>
    <xf numFmtId="1" fontId="5" fillId="18" borderId="16" xfId="0" applyNumberFormat="1" applyFont="1" applyFill="1" applyBorder="1" applyAlignment="1">
      <alignment vertical="top" wrapText="1"/>
    </xf>
    <xf numFmtId="1" fontId="6" fillId="2" borderId="14" xfId="0" applyNumberFormat="1" applyFont="1" applyFill="1" applyBorder="1" applyAlignment="1">
      <alignment vertical="top" textRotation="180"/>
    </xf>
    <xf numFmtId="1" fontId="6" fillId="0" borderId="0" xfId="0" applyNumberFormat="1" applyFont="1" applyAlignment="1">
      <alignment vertical="center" textRotation="90"/>
    </xf>
    <xf numFmtId="1" fontId="6" fillId="15" borderId="16" xfId="0" applyNumberFormat="1" applyFont="1" applyFill="1" applyBorder="1" applyAlignment="1">
      <alignment horizontal="center" vertical="top"/>
    </xf>
    <xf numFmtId="1" fontId="6" fillId="2" borderId="16" xfId="0" applyNumberFormat="1" applyFont="1" applyFill="1" applyBorder="1" applyAlignment="1">
      <alignment horizontal="center" vertical="top"/>
    </xf>
    <xf numFmtId="1" fontId="6" fillId="15" borderId="15" xfId="0" applyNumberFormat="1" applyFont="1" applyFill="1" applyBorder="1"/>
    <xf numFmtId="1" fontId="6" fillId="7" borderId="15" xfId="0" applyNumberFormat="1" applyFont="1" applyFill="1" applyBorder="1" applyProtection="1">
      <protection locked="0"/>
    </xf>
    <xf numFmtId="2" fontId="6" fillId="7" borderId="21" xfId="0" applyNumberFormat="1" applyFont="1" applyFill="1" applyBorder="1" applyProtection="1">
      <protection locked="0"/>
    </xf>
    <xf numFmtId="2" fontId="6" fillId="7" borderId="56" xfId="0" applyNumberFormat="1" applyFont="1" applyFill="1" applyBorder="1" applyProtection="1">
      <protection locked="0"/>
    </xf>
    <xf numFmtId="2" fontId="6" fillId="7" borderId="22" xfId="0" applyNumberFormat="1" applyFont="1" applyFill="1" applyBorder="1" applyProtection="1">
      <protection locked="0"/>
    </xf>
    <xf numFmtId="1" fontId="6" fillId="15" borderId="13" xfId="0" applyNumberFormat="1" applyFont="1" applyFill="1" applyBorder="1"/>
    <xf numFmtId="1" fontId="6" fillId="7" borderId="13" xfId="0" applyNumberFormat="1" applyFont="1" applyFill="1" applyBorder="1" applyProtection="1">
      <protection locked="0"/>
    </xf>
    <xf numFmtId="2" fontId="6" fillId="7" borderId="0" xfId="0" applyNumberFormat="1" applyFont="1" applyFill="1" applyProtection="1">
      <protection locked="0"/>
    </xf>
    <xf numFmtId="2" fontId="6" fillId="7" borderId="17" xfId="0" applyNumberFormat="1" applyFont="1" applyFill="1" applyBorder="1" applyProtection="1">
      <protection locked="0"/>
    </xf>
    <xf numFmtId="2" fontId="6" fillId="7" borderId="2" xfId="0" applyNumberFormat="1" applyFont="1" applyFill="1" applyBorder="1" applyProtection="1">
      <protection locked="0"/>
    </xf>
    <xf numFmtId="1" fontId="6" fillId="16" borderId="12" xfId="0" applyNumberFormat="1" applyFont="1" applyFill="1" applyBorder="1" applyProtection="1">
      <protection locked="0"/>
    </xf>
    <xf numFmtId="168" fontId="6" fillId="0" borderId="0" xfId="0" applyNumberFormat="1" applyFont="1" applyProtection="1">
      <protection locked="0"/>
    </xf>
    <xf numFmtId="173" fontId="6" fillId="0" borderId="0" xfId="0" applyNumberFormat="1" applyFont="1" applyProtection="1">
      <protection locked="0"/>
    </xf>
    <xf numFmtId="1" fontId="6" fillId="15" borderId="14" xfId="0" applyNumberFormat="1" applyFont="1" applyFill="1" applyBorder="1"/>
    <xf numFmtId="1" fontId="6" fillId="7" borderId="14" xfId="0" applyNumberFormat="1" applyFont="1" applyFill="1" applyBorder="1" applyProtection="1">
      <protection locked="0"/>
    </xf>
    <xf numFmtId="2" fontId="6" fillId="7" borderId="5" xfId="0" applyNumberFormat="1" applyFont="1" applyFill="1" applyBorder="1" applyProtection="1">
      <protection locked="0"/>
    </xf>
    <xf numFmtId="2" fontId="6" fillId="7" borderId="18" xfId="0" applyNumberFormat="1" applyFont="1" applyFill="1" applyBorder="1" applyProtection="1">
      <protection locked="0"/>
    </xf>
    <xf numFmtId="2" fontId="6" fillId="7" borderId="19" xfId="0" applyNumberFormat="1" applyFont="1" applyFill="1" applyBorder="1" applyProtection="1">
      <protection locked="0"/>
    </xf>
    <xf numFmtId="2" fontId="6" fillId="7" borderId="29" xfId="0" applyNumberFormat="1" applyFont="1" applyFill="1" applyBorder="1" applyProtection="1">
      <protection locked="0"/>
    </xf>
    <xf numFmtId="173" fontId="6" fillId="0" borderId="0" xfId="0" applyNumberFormat="1" applyFont="1"/>
    <xf numFmtId="0" fontId="6" fillId="15" borderId="30" xfId="0" applyFont="1" applyFill="1" applyBorder="1" applyAlignment="1">
      <alignment horizontal="center" vertical="top" wrapText="1"/>
    </xf>
    <xf numFmtId="0" fontId="6" fillId="2" borderId="20" xfId="0" applyFont="1" applyFill="1" applyBorder="1" applyAlignment="1" applyProtection="1">
      <alignment horizontal="center" vertical="center"/>
      <protection locked="0"/>
    </xf>
    <xf numFmtId="0" fontId="6" fillId="16" borderId="12" xfId="0" applyFont="1" applyFill="1" applyBorder="1" applyAlignment="1">
      <alignment horizontal="center" vertical="center" textRotation="90"/>
    </xf>
    <xf numFmtId="0" fontId="6" fillId="0" borderId="0" xfId="0" applyFont="1" applyAlignment="1">
      <alignment horizontal="center" vertical="center" textRotation="90"/>
    </xf>
    <xf numFmtId="0" fontId="6" fillId="3" borderId="48" xfId="0" applyFont="1" applyFill="1" applyBorder="1" applyAlignment="1" applyProtection="1">
      <alignment horizontal="left" vertical="center"/>
      <protection locked="0"/>
    </xf>
    <xf numFmtId="0" fontId="6" fillId="3" borderId="50" xfId="0" applyFont="1" applyFill="1" applyBorder="1" applyAlignment="1" applyProtection="1">
      <alignment horizontal="left" vertical="center"/>
      <protection locked="0"/>
    </xf>
    <xf numFmtId="0" fontId="6" fillId="3" borderId="37" xfId="0" applyFont="1" applyFill="1" applyBorder="1" applyAlignment="1" applyProtection="1">
      <alignment horizontal="left" vertical="center"/>
      <protection locked="0"/>
    </xf>
    <xf numFmtId="0" fontId="6" fillId="3" borderId="48" xfId="0" applyFont="1" applyFill="1" applyBorder="1" applyAlignment="1" applyProtection="1">
      <alignment horizontal="center" vertical="center"/>
      <protection locked="0"/>
    </xf>
    <xf numFmtId="0" fontId="6" fillId="3" borderId="50" xfId="0" applyFont="1" applyFill="1" applyBorder="1" applyAlignment="1" applyProtection="1">
      <alignment horizontal="center" vertical="center"/>
      <protection locked="0"/>
    </xf>
    <xf numFmtId="0" fontId="6" fillId="3" borderId="37" xfId="0" applyFont="1" applyFill="1" applyBorder="1" applyAlignment="1" applyProtection="1">
      <alignment horizontal="center" vertical="center"/>
      <protection locked="0"/>
    </xf>
    <xf numFmtId="0" fontId="6" fillId="16" borderId="12" xfId="0" applyFont="1" applyFill="1" applyBorder="1" applyAlignment="1">
      <alignment horizontal="center" vertical="center"/>
    </xf>
    <xf numFmtId="0" fontId="6" fillId="0" borderId="0" xfId="0" applyFont="1" applyAlignment="1">
      <alignment horizontal="center" vertical="center"/>
    </xf>
    <xf numFmtId="0" fontId="6" fillId="3" borderId="8" xfId="0" applyFont="1" applyFill="1" applyBorder="1" applyAlignment="1" applyProtection="1">
      <alignment horizontal="left" vertical="center"/>
      <protection locked="0"/>
    </xf>
    <xf numFmtId="0" fontId="6" fillId="3" borderId="10" xfId="0" applyFont="1" applyFill="1" applyBorder="1" applyAlignment="1" applyProtection="1">
      <alignment horizontal="left" vertical="center"/>
      <protection locked="0"/>
    </xf>
    <xf numFmtId="0" fontId="6" fillId="3" borderId="11" xfId="0" applyFont="1" applyFill="1" applyBorder="1" applyAlignment="1" applyProtection="1">
      <alignment horizontal="left" vertical="center"/>
      <protection locked="0"/>
    </xf>
    <xf numFmtId="0" fontId="6" fillId="3"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6" fillId="3" borderId="11" xfId="0" applyFont="1" applyFill="1" applyBorder="1" applyAlignment="1" applyProtection="1">
      <alignment horizontal="center" vertical="center"/>
      <protection locked="0"/>
    </xf>
    <xf numFmtId="0" fontId="6" fillId="3" borderId="59" xfId="0" applyFont="1" applyFill="1" applyBorder="1" applyAlignment="1" applyProtection="1">
      <alignment horizontal="left" vertical="center"/>
      <protection locked="0"/>
    </xf>
    <xf numFmtId="0" fontId="6" fillId="3" borderId="36" xfId="0" applyFont="1" applyFill="1" applyBorder="1" applyAlignment="1" applyProtection="1">
      <alignment horizontal="left" vertical="center"/>
      <protection locked="0"/>
    </xf>
    <xf numFmtId="0" fontId="6" fillId="3" borderId="36" xfId="0" applyFont="1" applyFill="1" applyBorder="1" applyAlignment="1" applyProtection="1">
      <alignment horizontal="center" vertical="center"/>
      <protection locked="0"/>
    </xf>
    <xf numFmtId="0" fontId="6" fillId="3" borderId="35" xfId="0" applyFont="1" applyFill="1" applyBorder="1" applyAlignment="1" applyProtection="1">
      <alignment horizontal="center" vertical="center"/>
      <protection locked="0"/>
    </xf>
    <xf numFmtId="0" fontId="6" fillId="3" borderId="13" xfId="0" applyFont="1" applyFill="1" applyBorder="1" applyAlignment="1" applyProtection="1">
      <alignment horizontal="left" vertical="center"/>
      <protection locked="0"/>
    </xf>
    <xf numFmtId="0" fontId="6" fillId="3" borderId="0" xfId="0" applyFont="1" applyFill="1" applyAlignment="1" applyProtection="1">
      <alignment horizontal="left" vertical="center"/>
      <protection locked="0"/>
    </xf>
    <xf numFmtId="0" fontId="6" fillId="3" borderId="0" xfId="0" applyFont="1" applyFill="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19" xfId="0" applyFont="1" applyFill="1" applyBorder="1" applyAlignment="1" applyProtection="1">
      <alignment horizontal="center" vertical="center"/>
      <protection locked="0"/>
    </xf>
    <xf numFmtId="0" fontId="6" fillId="15" borderId="23" xfId="0" applyFont="1" applyFill="1" applyBorder="1" applyAlignment="1">
      <alignment vertical="center" wrapText="1"/>
    </xf>
    <xf numFmtId="0" fontId="6" fillId="2" borderId="22" xfId="0" applyFont="1" applyFill="1" applyBorder="1" applyAlignment="1">
      <alignment horizontal="left" vertical="top" textRotation="180"/>
    </xf>
    <xf numFmtId="0" fontId="6" fillId="2" borderId="20" xfId="0" applyFont="1" applyFill="1" applyBorder="1" applyAlignment="1">
      <alignment horizontal="left" vertical="top" textRotation="180"/>
    </xf>
    <xf numFmtId="0" fontId="5" fillId="18" borderId="14" xfId="0" applyFont="1" applyFill="1" applyBorder="1" applyAlignment="1">
      <alignment horizontal="left" vertical="center" wrapText="1"/>
    </xf>
    <xf numFmtId="0" fontId="6" fillId="15" borderId="14" xfId="0" applyFont="1" applyFill="1" applyBorder="1" applyAlignment="1">
      <alignment horizontal="center" vertical="center" wrapText="1"/>
    </xf>
    <xf numFmtId="0" fontId="6" fillId="2" borderId="16" xfId="0" applyFont="1" applyFill="1" applyBorder="1" applyAlignment="1">
      <alignment horizontal="left" vertical="top"/>
    </xf>
    <xf numFmtId="0" fontId="6" fillId="2" borderId="24" xfId="0" applyFont="1" applyFill="1" applyBorder="1" applyAlignment="1">
      <alignment horizontal="left" vertical="top"/>
    </xf>
    <xf numFmtId="0" fontId="6" fillId="2" borderId="54" xfId="0" applyFont="1" applyFill="1" applyBorder="1" applyAlignment="1">
      <alignment horizontal="center" vertical="top"/>
    </xf>
    <xf numFmtId="0" fontId="6" fillId="3" borderId="56" xfId="0" applyFont="1" applyFill="1" applyBorder="1" applyAlignment="1" applyProtection="1">
      <alignment horizontal="center"/>
      <protection locked="0"/>
    </xf>
    <xf numFmtId="2" fontId="6" fillId="3" borderId="56" xfId="0" applyNumberFormat="1" applyFont="1" applyFill="1" applyBorder="1" applyAlignment="1" applyProtection="1">
      <alignment horizontal="right"/>
      <protection locked="0"/>
    </xf>
    <xf numFmtId="2" fontId="6" fillId="3" borderId="22" xfId="0" applyNumberFormat="1" applyFont="1" applyFill="1" applyBorder="1" applyAlignment="1" applyProtection="1">
      <alignment horizontal="right"/>
      <protection locked="0"/>
    </xf>
    <xf numFmtId="0" fontId="6" fillId="3" borderId="0" xfId="0" applyFont="1" applyFill="1" applyAlignment="1" applyProtection="1">
      <alignment horizontal="left"/>
      <protection locked="0"/>
    </xf>
    <xf numFmtId="2" fontId="6" fillId="3" borderId="56" xfId="0" applyNumberFormat="1" applyFont="1" applyFill="1" applyBorder="1" applyAlignment="1" applyProtection="1">
      <alignment horizontal="center"/>
      <protection locked="0"/>
    </xf>
    <xf numFmtId="2" fontId="6" fillId="3" borderId="56" xfId="0" applyNumberFormat="1" applyFont="1" applyFill="1" applyBorder="1" applyAlignment="1" applyProtection="1">
      <alignment horizontal="right" vertical="top" wrapText="1"/>
      <protection locked="0"/>
    </xf>
    <xf numFmtId="2" fontId="6" fillId="3" borderId="2" xfId="0" applyNumberFormat="1" applyFont="1" applyFill="1" applyBorder="1" applyAlignment="1" applyProtection="1">
      <alignment horizontal="right"/>
      <protection locked="0"/>
    </xf>
    <xf numFmtId="2" fontId="6" fillId="3" borderId="0" xfId="0" applyNumberFormat="1" applyFont="1" applyFill="1" applyAlignment="1" applyProtection="1">
      <alignment horizontal="right" vertical="top" wrapText="1"/>
      <protection locked="0"/>
    </xf>
    <xf numFmtId="2" fontId="6" fillId="3" borderId="2" xfId="0" applyNumberFormat="1" applyFont="1" applyFill="1" applyBorder="1" applyAlignment="1" applyProtection="1">
      <alignment horizontal="right" vertical="top" wrapText="1"/>
      <protection locked="0"/>
    </xf>
    <xf numFmtId="2" fontId="6" fillId="3" borderId="17" xfId="0" applyNumberFormat="1" applyFont="1" applyFill="1" applyBorder="1" applyAlignment="1" applyProtection="1">
      <alignment horizontal="center"/>
      <protection locked="0"/>
    </xf>
    <xf numFmtId="2" fontId="6" fillId="3" borderId="17" xfId="0" applyNumberFormat="1" applyFont="1" applyFill="1" applyBorder="1" applyAlignment="1" applyProtection="1">
      <alignment horizontal="right"/>
      <protection locked="0"/>
    </xf>
    <xf numFmtId="2" fontId="6" fillId="3" borderId="2" xfId="0" applyNumberFormat="1" applyFont="1" applyFill="1" applyBorder="1" applyProtection="1">
      <protection locked="0"/>
    </xf>
    <xf numFmtId="0" fontId="6" fillId="3" borderId="0" xfId="0" applyFont="1" applyFill="1" applyProtection="1">
      <protection locked="0"/>
    </xf>
    <xf numFmtId="2" fontId="6" fillId="3" borderId="18" xfId="0" applyNumberFormat="1" applyFont="1" applyFill="1" applyBorder="1" applyAlignment="1" applyProtection="1">
      <alignment horizontal="right"/>
      <protection locked="0"/>
    </xf>
    <xf numFmtId="2" fontId="6" fillId="3" borderId="5" xfId="0" applyNumberFormat="1" applyFont="1" applyFill="1" applyBorder="1" applyProtection="1">
      <protection locked="0"/>
    </xf>
    <xf numFmtId="2" fontId="6" fillId="3" borderId="19" xfId="0" applyNumberFormat="1" applyFont="1" applyFill="1" applyBorder="1" applyProtection="1">
      <protection locked="0"/>
    </xf>
    <xf numFmtId="0" fontId="6" fillId="3" borderId="5" xfId="0" applyFont="1" applyFill="1" applyBorder="1" applyProtection="1">
      <protection locked="0"/>
    </xf>
    <xf numFmtId="2" fontId="6" fillId="3" borderId="18" xfId="0" applyNumberFormat="1" applyFont="1" applyFill="1" applyBorder="1" applyAlignment="1" applyProtection="1">
      <alignment horizontal="center"/>
      <protection locked="0"/>
    </xf>
    <xf numFmtId="2" fontId="6" fillId="3" borderId="19" xfId="0" applyNumberFormat="1" applyFont="1" applyFill="1" applyBorder="1" applyAlignment="1" applyProtection="1">
      <alignment horizontal="right"/>
      <protection locked="0"/>
    </xf>
    <xf numFmtId="0" fontId="5" fillId="18" borderId="15" xfId="0" applyFont="1" applyFill="1" applyBorder="1"/>
    <xf numFmtId="0" fontId="5" fillId="15" borderId="15" xfId="0" applyFont="1" applyFill="1" applyBorder="1"/>
    <xf numFmtId="0" fontId="6" fillId="15" borderId="21" xfId="0" applyFont="1" applyFill="1" applyBorder="1"/>
    <xf numFmtId="16" fontId="6" fillId="15" borderId="21" xfId="0" applyNumberFormat="1" applyFont="1" applyFill="1" applyBorder="1"/>
    <xf numFmtId="0" fontId="5" fillId="14" borderId="7" xfId="0" applyFont="1" applyFill="1" applyBorder="1" applyAlignment="1">
      <alignment horizontal="center"/>
    </xf>
    <xf numFmtId="0" fontId="5" fillId="14" borderId="4" xfId="0" applyFont="1" applyFill="1" applyBorder="1" applyAlignment="1">
      <alignment horizontal="center"/>
    </xf>
    <xf numFmtId="0" fontId="5" fillId="15" borderId="13" xfId="0" applyFont="1" applyFill="1" applyBorder="1"/>
    <xf numFmtId="0" fontId="5" fillId="15" borderId="26" xfId="0" applyFont="1" applyFill="1" applyBorder="1"/>
    <xf numFmtId="0" fontId="6" fillId="15" borderId="22" xfId="0" applyFont="1" applyFill="1" applyBorder="1"/>
    <xf numFmtId="0" fontId="5" fillId="17" borderId="13" xfId="0" applyFont="1" applyFill="1" applyBorder="1"/>
    <xf numFmtId="0" fontId="6" fillId="17" borderId="0" xfId="0" applyFont="1" applyFill="1"/>
    <xf numFmtId="0" fontId="5" fillId="17" borderId="0" xfId="0" applyFont="1" applyFill="1"/>
    <xf numFmtId="0" fontId="5" fillId="15" borderId="21" xfId="0" applyFont="1" applyFill="1" applyBorder="1"/>
    <xf numFmtId="0" fontId="5" fillId="15" borderId="22" xfId="0" applyFont="1" applyFill="1" applyBorder="1"/>
    <xf numFmtId="0" fontId="5" fillId="15" borderId="0" xfId="0" applyFont="1" applyFill="1"/>
    <xf numFmtId="0" fontId="5" fillId="2" borderId="8" xfId="0" applyFont="1" applyFill="1" applyBorder="1"/>
    <xf numFmtId="0" fontId="5" fillId="2" borderId="9" xfId="0" applyFont="1" applyFill="1" applyBorder="1"/>
    <xf numFmtId="0" fontId="5" fillId="2" borderId="58" xfId="0" applyFont="1" applyFill="1" applyBorder="1"/>
    <xf numFmtId="0" fontId="5" fillId="17" borderId="8" xfId="0" applyFont="1" applyFill="1" applyBorder="1"/>
    <xf numFmtId="0" fontId="5" fillId="17" borderId="9" xfId="0" applyFont="1" applyFill="1" applyBorder="1"/>
    <xf numFmtId="0" fontId="5" fillId="17" borderId="10" xfId="0" applyFont="1" applyFill="1" applyBorder="1"/>
    <xf numFmtId="0" fontId="5" fillId="17" borderId="11" xfId="0" applyFont="1" applyFill="1" applyBorder="1"/>
    <xf numFmtId="0" fontId="5" fillId="2" borderId="10" xfId="0" applyFont="1" applyFill="1" applyBorder="1"/>
    <xf numFmtId="0" fontId="5" fillId="2" borderId="11" xfId="0" applyFont="1" applyFill="1" applyBorder="1"/>
    <xf numFmtId="0" fontId="6" fillId="2" borderId="13" xfId="0" applyFont="1" applyFill="1" applyBorder="1" applyAlignment="1">
      <alignment horizontal="center" vertical="top" textRotation="180" wrapText="1"/>
    </xf>
    <xf numFmtId="0" fontId="6" fillId="2" borderId="1" xfId="0" applyFont="1" applyFill="1" applyBorder="1" applyAlignment="1">
      <alignment horizontal="center" vertical="top" textRotation="180" wrapText="1"/>
    </xf>
    <xf numFmtId="0" fontId="6" fillId="2" borderId="28" xfId="0" applyFont="1" applyFill="1" applyBorder="1" applyAlignment="1">
      <alignment horizontal="center" vertical="top" textRotation="180" wrapText="1"/>
    </xf>
    <xf numFmtId="0" fontId="6" fillId="17" borderId="13" xfId="0" applyFont="1" applyFill="1" applyBorder="1" applyAlignment="1">
      <alignment horizontal="center" vertical="top" textRotation="180"/>
    </xf>
    <xf numFmtId="0" fontId="6" fillId="17" borderId="1" xfId="0" applyFont="1" applyFill="1" applyBorder="1" applyAlignment="1">
      <alignment horizontal="center" vertical="top" textRotation="180" wrapText="1"/>
    </xf>
    <xf numFmtId="0" fontId="6" fillId="17" borderId="0" xfId="0" applyFont="1" applyFill="1" applyAlignment="1">
      <alignment horizontal="center" vertical="top" textRotation="180" wrapText="1"/>
    </xf>
    <xf numFmtId="0" fontId="6" fillId="17" borderId="2" xfId="0" applyFont="1" applyFill="1" applyBorder="1" applyAlignment="1">
      <alignment horizontal="center" vertical="top" textRotation="180" wrapText="1"/>
    </xf>
    <xf numFmtId="0" fontId="6" fillId="2" borderId="0" xfId="0" applyFont="1" applyFill="1" applyAlignment="1">
      <alignment horizontal="center" vertical="top" textRotation="180" wrapText="1"/>
    </xf>
    <xf numFmtId="0" fontId="6" fillId="2" borderId="2" xfId="0" applyFont="1" applyFill="1" applyBorder="1" applyAlignment="1">
      <alignment horizontal="center" vertical="top" textRotation="180" wrapText="1"/>
    </xf>
    <xf numFmtId="0" fontId="6" fillId="2" borderId="10" xfId="0" applyFont="1" applyFill="1" applyBorder="1" applyAlignment="1">
      <alignment horizontal="center" vertical="top" textRotation="180" wrapText="1"/>
    </xf>
    <xf numFmtId="0" fontId="6" fillId="2" borderId="9" xfId="0" applyFont="1" applyFill="1" applyBorder="1" applyAlignment="1">
      <alignment horizontal="center" vertical="top" textRotation="180" wrapText="1"/>
    </xf>
    <xf numFmtId="0" fontId="6" fillId="2" borderId="7" xfId="0" applyFont="1" applyFill="1" applyBorder="1" applyAlignment="1">
      <alignment horizontal="center"/>
    </xf>
    <xf numFmtId="0" fontId="6" fillId="2" borderId="39" xfId="0" applyFont="1" applyFill="1" applyBorder="1" applyAlignment="1">
      <alignment horizontal="center"/>
    </xf>
    <xf numFmtId="0" fontId="6" fillId="17" borderId="7" xfId="0" applyFont="1" applyFill="1" applyBorder="1" applyAlignment="1">
      <alignment horizontal="center"/>
    </xf>
    <xf numFmtId="0" fontId="6" fillId="17" borderId="3" xfId="0" applyFont="1" applyFill="1" applyBorder="1" applyAlignment="1">
      <alignment horizontal="center"/>
    </xf>
    <xf numFmtId="0" fontId="6" fillId="17" borderId="4" xfId="0" applyFont="1" applyFill="1" applyBorder="1" applyAlignment="1">
      <alignment horizontal="center"/>
    </xf>
    <xf numFmtId="0" fontId="6" fillId="17" borderId="33" xfId="0" applyFont="1" applyFill="1" applyBorder="1" applyAlignment="1">
      <alignment horizontal="center"/>
    </xf>
    <xf numFmtId="0" fontId="6" fillId="2" borderId="33" xfId="0" applyFont="1" applyFill="1" applyBorder="1" applyAlignment="1">
      <alignment horizontal="center"/>
    </xf>
    <xf numFmtId="165" fontId="6" fillId="14" borderId="15" xfId="0" applyNumberFormat="1" applyFont="1" applyFill="1" applyBorder="1"/>
    <xf numFmtId="169" fontId="6" fillId="14" borderId="6" xfId="0" applyNumberFormat="1" applyFont="1" applyFill="1" applyBorder="1"/>
    <xf numFmtId="0" fontId="6" fillId="14" borderId="27" xfId="0" applyFont="1" applyFill="1" applyBorder="1"/>
    <xf numFmtId="165" fontId="6" fillId="4" borderId="15" xfId="0" applyNumberFormat="1" applyFont="1" applyFill="1" applyBorder="1"/>
    <xf numFmtId="0" fontId="6" fillId="4" borderId="1" xfId="0" applyFont="1" applyFill="1" applyBorder="1"/>
    <xf numFmtId="2" fontId="6" fillId="4" borderId="28" xfId="0" applyNumberFormat="1" applyFont="1" applyFill="1" applyBorder="1"/>
    <xf numFmtId="0" fontId="6" fillId="17" borderId="15" xfId="0" applyFont="1" applyFill="1" applyBorder="1"/>
    <xf numFmtId="2" fontId="6" fillId="17" borderId="26" xfId="0" applyNumberFormat="1" applyFont="1" applyFill="1" applyBorder="1"/>
    <xf numFmtId="2" fontId="6" fillId="17" borderId="21" xfId="0" applyNumberFormat="1" applyFont="1" applyFill="1" applyBorder="1"/>
    <xf numFmtId="1" fontId="6" fillId="17" borderId="1" xfId="0" applyNumberFormat="1" applyFont="1" applyFill="1" applyBorder="1"/>
    <xf numFmtId="1" fontId="6" fillId="17" borderId="0" xfId="0" applyNumberFormat="1" applyFont="1" applyFill="1"/>
    <xf numFmtId="169" fontId="6" fillId="17" borderId="0" xfId="0" applyNumberFormat="1" applyFont="1" applyFill="1"/>
    <xf numFmtId="1" fontId="6" fillId="17" borderId="26" xfId="0" applyNumberFormat="1" applyFont="1" applyFill="1" applyBorder="1"/>
    <xf numFmtId="1" fontId="6" fillId="17" borderId="21" xfId="0" applyNumberFormat="1" applyFont="1" applyFill="1" applyBorder="1"/>
    <xf numFmtId="1" fontId="6" fillId="17" borderId="22" xfId="0" applyNumberFormat="1" applyFont="1" applyFill="1" applyBorder="1"/>
    <xf numFmtId="169" fontId="6" fillId="4" borderId="0" xfId="0" applyNumberFormat="1" applyFont="1" applyFill="1"/>
    <xf numFmtId="169" fontId="6" fillId="4" borderId="21" xfId="0" applyNumberFormat="1" applyFont="1" applyFill="1" applyBorder="1"/>
    <xf numFmtId="169" fontId="6" fillId="4" borderId="1" xfId="0" applyNumberFormat="1" applyFont="1" applyFill="1" applyBorder="1"/>
    <xf numFmtId="1" fontId="6" fillId="4" borderId="26" xfId="0" applyNumberFormat="1" applyFont="1" applyFill="1" applyBorder="1"/>
    <xf numFmtId="1" fontId="6" fillId="4" borderId="21" xfId="0" applyNumberFormat="1" applyFont="1" applyFill="1" applyBorder="1"/>
    <xf numFmtId="1" fontId="6" fillId="4" borderId="1" xfId="0" applyNumberFormat="1" applyFont="1" applyFill="1" applyBorder="1"/>
    <xf numFmtId="165" fontId="6" fillId="4" borderId="13" xfId="0" applyNumberFormat="1" applyFont="1" applyFill="1" applyBorder="1"/>
    <xf numFmtId="0" fontId="6" fillId="17" borderId="13" xfId="0" applyFont="1" applyFill="1" applyBorder="1"/>
    <xf numFmtId="2" fontId="6" fillId="17" borderId="1" xfId="0" applyNumberFormat="1" applyFont="1" applyFill="1" applyBorder="1"/>
    <xf numFmtId="2" fontId="6" fillId="17" borderId="0" xfId="0" applyNumberFormat="1" applyFont="1" applyFill="1"/>
    <xf numFmtId="1" fontId="6" fillId="17" borderId="2" xfId="0" applyNumberFormat="1" applyFont="1" applyFill="1" applyBorder="1"/>
    <xf numFmtId="0" fontId="6" fillId="4" borderId="0" xfId="0" applyFont="1" applyFill="1"/>
    <xf numFmtId="0" fontId="6" fillId="4" borderId="2" xfId="0" applyFont="1" applyFill="1" applyBorder="1"/>
    <xf numFmtId="165" fontId="6" fillId="4" borderId="14" xfId="0" applyNumberFormat="1" applyFont="1" applyFill="1" applyBorder="1"/>
    <xf numFmtId="0" fontId="6" fillId="4" borderId="27" xfId="0" applyFont="1" applyFill="1" applyBorder="1"/>
    <xf numFmtId="2" fontId="6" fillId="4" borderId="29" xfId="0" applyNumberFormat="1" applyFont="1" applyFill="1" applyBorder="1"/>
    <xf numFmtId="0" fontId="6" fillId="17" borderId="14" xfId="0" applyFont="1" applyFill="1" applyBorder="1"/>
    <xf numFmtId="2" fontId="6" fillId="17" borderId="27" xfId="0" applyNumberFormat="1" applyFont="1" applyFill="1" applyBorder="1"/>
    <xf numFmtId="2" fontId="6" fillId="17" borderId="5" xfId="0" applyNumberFormat="1" applyFont="1" applyFill="1" applyBorder="1"/>
    <xf numFmtId="1" fontId="6" fillId="17" borderId="27" xfId="0" applyNumberFormat="1" applyFont="1" applyFill="1" applyBorder="1"/>
    <xf numFmtId="1" fontId="6" fillId="17" borderId="5" xfId="0" applyNumberFormat="1" applyFont="1" applyFill="1" applyBorder="1"/>
    <xf numFmtId="169" fontId="6" fillId="17" borderId="5" xfId="0" applyNumberFormat="1" applyFont="1" applyFill="1" applyBorder="1"/>
    <xf numFmtId="0" fontId="6" fillId="4" borderId="5" xfId="0" applyFont="1" applyFill="1" applyBorder="1"/>
    <xf numFmtId="0" fontId="6" fillId="4" borderId="19" xfId="0" applyFont="1" applyFill="1" applyBorder="1"/>
    <xf numFmtId="169" fontId="6" fillId="4" borderId="5" xfId="0" applyNumberFormat="1" applyFont="1" applyFill="1" applyBorder="1"/>
    <xf numFmtId="169" fontId="6" fillId="4" borderId="27" xfId="0" applyNumberFormat="1" applyFont="1" applyFill="1" applyBorder="1"/>
    <xf numFmtId="1" fontId="6" fillId="4" borderId="5" xfId="0" applyNumberFormat="1" applyFont="1" applyFill="1" applyBorder="1"/>
    <xf numFmtId="1" fontId="6" fillId="4" borderId="27" xfId="0" applyNumberFormat="1" applyFont="1" applyFill="1" applyBorder="1"/>
    <xf numFmtId="1" fontId="6" fillId="4" borderId="19" xfId="0" applyNumberFormat="1" applyFont="1" applyFill="1" applyBorder="1"/>
    <xf numFmtId="0" fontId="6" fillId="29" borderId="2" xfId="0" applyFont="1" applyFill="1" applyBorder="1"/>
    <xf numFmtId="0" fontId="5" fillId="10" borderId="16" xfId="0" applyFont="1" applyFill="1" applyBorder="1"/>
    <xf numFmtId="0" fontId="5" fillId="10" borderId="6" xfId="0" applyFont="1" applyFill="1" applyBorder="1"/>
    <xf numFmtId="0" fontId="5" fillId="10" borderId="20" xfId="0" applyFont="1" applyFill="1" applyBorder="1"/>
    <xf numFmtId="0" fontId="5" fillId="8" borderId="16" xfId="0" applyFont="1" applyFill="1" applyBorder="1"/>
    <xf numFmtId="0" fontId="5" fillId="8" borderId="6" xfId="0" applyFont="1" applyFill="1" applyBorder="1"/>
    <xf numFmtId="0" fontId="6" fillId="8" borderId="21" xfId="0" applyFont="1" applyFill="1" applyBorder="1"/>
    <xf numFmtId="0" fontId="5" fillId="8" borderId="37" xfId="0" applyFont="1" applyFill="1" applyBorder="1" applyAlignment="1">
      <alignment horizontal="left" vertical="top"/>
    </xf>
    <xf numFmtId="0" fontId="6" fillId="16" borderId="22" xfId="0" applyFont="1" applyFill="1" applyBorder="1"/>
    <xf numFmtId="0" fontId="5" fillId="11" borderId="16" xfId="0" applyFont="1" applyFill="1" applyBorder="1"/>
    <xf numFmtId="0" fontId="5" fillId="11" borderId="6" xfId="0" applyFont="1" applyFill="1" applyBorder="1"/>
    <xf numFmtId="0" fontId="6" fillId="11" borderId="37" xfId="0" applyFont="1" applyFill="1" applyBorder="1" applyAlignment="1">
      <alignment horizontal="center" vertical="top"/>
    </xf>
    <xf numFmtId="0" fontId="6" fillId="16" borderId="21" xfId="0" applyFont="1" applyFill="1" applyBorder="1" applyAlignment="1">
      <alignment horizontal="center" vertical="top" wrapText="1"/>
    </xf>
    <xf numFmtId="0" fontId="5" fillId="12" borderId="16" xfId="0" applyFont="1" applyFill="1" applyBorder="1"/>
    <xf numFmtId="0" fontId="5" fillId="12" borderId="6" xfId="0" applyFont="1" applyFill="1" applyBorder="1"/>
    <xf numFmtId="0" fontId="6" fillId="12" borderId="21" xfId="0" applyFont="1" applyFill="1" applyBorder="1"/>
    <xf numFmtId="0" fontId="5" fillId="12" borderId="37" xfId="0" applyFont="1" applyFill="1" applyBorder="1" applyAlignment="1">
      <alignment horizontal="left" vertical="top"/>
    </xf>
    <xf numFmtId="0" fontId="5" fillId="13" borderId="16" xfId="0" applyFont="1" applyFill="1" applyBorder="1"/>
    <xf numFmtId="0" fontId="5" fillId="13" borderId="6" xfId="0" applyFont="1" applyFill="1" applyBorder="1"/>
    <xf numFmtId="0" fontId="5" fillId="13" borderId="20" xfId="0" applyFont="1" applyFill="1" applyBorder="1"/>
    <xf numFmtId="0" fontId="29" fillId="14" borderId="16" xfId="0" applyFont="1" applyFill="1" applyBorder="1" applyAlignment="1">
      <alignment vertical="top"/>
    </xf>
    <xf numFmtId="0" fontId="29" fillId="14" borderId="6" xfId="0" applyFont="1" applyFill="1" applyBorder="1" applyAlignment="1">
      <alignment horizontal="center" vertical="top" wrapText="1"/>
    </xf>
    <xf numFmtId="0" fontId="5" fillId="14" borderId="16" xfId="0" applyFont="1" applyFill="1" applyBorder="1" applyAlignment="1">
      <alignment horizontal="center" vertical="top"/>
    </xf>
    <xf numFmtId="0" fontId="5" fillId="14" borderId="6" xfId="0" applyFont="1" applyFill="1" applyBorder="1" applyAlignment="1">
      <alignment horizontal="center" vertical="top"/>
    </xf>
    <xf numFmtId="0" fontId="6" fillId="16" borderId="0" xfId="0" applyFont="1" applyFill="1" applyAlignment="1">
      <alignment horizontal="center" vertical="top" wrapText="1"/>
    </xf>
    <xf numFmtId="0" fontId="5" fillId="14" borderId="6" xfId="0" applyFont="1" applyFill="1" applyBorder="1" applyAlignment="1">
      <alignment horizontal="center"/>
    </xf>
    <xf numFmtId="0" fontId="5" fillId="14" borderId="20" xfId="0" applyFont="1" applyFill="1" applyBorder="1" applyAlignment="1">
      <alignment horizontal="center"/>
    </xf>
    <xf numFmtId="0" fontId="6" fillId="9" borderId="0" xfId="0" applyFont="1" applyFill="1"/>
    <xf numFmtId="0" fontId="6" fillId="9" borderId="21" xfId="0" applyFont="1" applyFill="1" applyBorder="1" applyAlignment="1">
      <alignment horizontal="center" vertical="top" wrapText="1"/>
    </xf>
    <xf numFmtId="0" fontId="5" fillId="9" borderId="15" xfId="0" applyFont="1" applyFill="1" applyBorder="1" applyAlignment="1">
      <alignment horizontal="left"/>
    </xf>
    <xf numFmtId="0" fontId="5" fillId="9" borderId="50" xfId="0" applyFont="1" applyFill="1" applyBorder="1"/>
    <xf numFmtId="0" fontId="6" fillId="9" borderId="21" xfId="0" applyFont="1" applyFill="1" applyBorder="1"/>
    <xf numFmtId="0" fontId="6" fillId="9" borderId="22" xfId="0" applyFont="1" applyFill="1" applyBorder="1" applyAlignment="1">
      <alignment horizontal="center" vertical="top" wrapText="1"/>
    </xf>
    <xf numFmtId="0" fontId="6" fillId="9" borderId="22" xfId="0" applyFont="1" applyFill="1" applyBorder="1"/>
    <xf numFmtId="0" fontId="5" fillId="9" borderId="36" xfId="0" applyFont="1" applyFill="1" applyBorder="1"/>
    <xf numFmtId="0" fontId="5" fillId="9" borderId="0" xfId="0" applyFont="1" applyFill="1"/>
    <xf numFmtId="0" fontId="5" fillId="15" borderId="7" xfId="0" applyFont="1" applyFill="1" applyBorder="1" applyAlignment="1">
      <alignment horizontal="left" vertical="top"/>
    </xf>
    <xf numFmtId="0" fontId="5" fillId="15" borderId="38" xfId="0" applyFont="1" applyFill="1" applyBorder="1" applyAlignment="1">
      <alignment horizontal="left" vertical="top"/>
    </xf>
    <xf numFmtId="0" fontId="5" fillId="15" borderId="3" xfId="0" applyFont="1" applyFill="1" applyBorder="1" applyAlignment="1">
      <alignment horizontal="left" vertical="top"/>
    </xf>
    <xf numFmtId="0" fontId="5" fillId="15" borderId="4" xfId="0" applyFont="1" applyFill="1" applyBorder="1" applyAlignment="1">
      <alignment horizontal="left" vertical="top"/>
    </xf>
    <xf numFmtId="0" fontId="5" fillId="15" borderId="33" xfId="0" applyFont="1" applyFill="1" applyBorder="1" applyAlignment="1">
      <alignment horizontal="left" vertical="top"/>
    </xf>
    <xf numFmtId="0" fontId="5" fillId="15" borderId="3" xfId="0" applyFont="1" applyFill="1" applyBorder="1" applyAlignment="1">
      <alignment horizontal="left" vertical="top" wrapText="1"/>
    </xf>
    <xf numFmtId="0" fontId="5" fillId="15" borderId="4" xfId="0" applyFont="1" applyFill="1" applyBorder="1" applyAlignment="1">
      <alignment horizontal="center" vertical="top" wrapText="1"/>
    </xf>
    <xf numFmtId="164" fontId="7" fillId="15" borderId="4" xfId="0" applyNumberFormat="1" applyFont="1" applyFill="1" applyBorder="1" applyAlignment="1">
      <alignment horizontal="center" vertical="top" wrapText="1"/>
    </xf>
    <xf numFmtId="164" fontId="7" fillId="15" borderId="3" xfId="0" applyNumberFormat="1" applyFont="1" applyFill="1" applyBorder="1" applyAlignment="1">
      <alignment horizontal="left" vertical="top"/>
    </xf>
    <xf numFmtId="0" fontId="5" fillId="15" borderId="4" xfId="0" applyFont="1" applyFill="1" applyBorder="1" applyAlignment="1">
      <alignment horizontal="center" vertical="top"/>
    </xf>
    <xf numFmtId="0" fontId="5" fillId="15" borderId="5" xfId="0" applyFont="1" applyFill="1" applyBorder="1" applyAlignment="1">
      <alignment horizontal="center" vertical="top"/>
    </xf>
    <xf numFmtId="0" fontId="5" fillId="15" borderId="16" xfId="0" applyFont="1" applyFill="1" applyBorder="1" applyAlignment="1">
      <alignment horizontal="center" vertical="top"/>
    </xf>
    <xf numFmtId="164" fontId="7" fillId="15" borderId="20" xfId="0" applyNumberFormat="1" applyFont="1" applyFill="1" applyBorder="1" applyAlignment="1">
      <alignment horizontal="left" vertical="top"/>
    </xf>
    <xf numFmtId="164" fontId="7" fillId="15" borderId="4" xfId="0" applyNumberFormat="1" applyFont="1" applyFill="1" applyBorder="1" applyAlignment="1">
      <alignment horizontal="left" vertical="top"/>
    </xf>
    <xf numFmtId="0" fontId="5" fillId="15" borderId="4" xfId="0" applyFont="1" applyFill="1" applyBorder="1"/>
    <xf numFmtId="0" fontId="5" fillId="15" borderId="16" xfId="0" applyFont="1" applyFill="1" applyBorder="1" applyAlignment="1">
      <alignment horizontal="right" vertical="top"/>
    </xf>
    <xf numFmtId="164" fontId="7" fillId="15" borderId="19" xfId="0" applyNumberFormat="1" applyFont="1" applyFill="1" applyBorder="1" applyAlignment="1">
      <alignment horizontal="left" vertical="top"/>
    </xf>
    <xf numFmtId="0" fontId="6" fillId="15" borderId="4" xfId="0" applyFont="1" applyFill="1" applyBorder="1" applyAlignment="1">
      <alignment horizontal="center" vertical="top" wrapText="1"/>
    </xf>
    <xf numFmtId="0" fontId="5" fillId="15" borderId="1" xfId="0" applyFont="1" applyFill="1" applyBorder="1" applyAlignment="1">
      <alignment horizontal="left" vertical="top"/>
    </xf>
    <xf numFmtId="0" fontId="6" fillId="15" borderId="51" xfId="0" applyFont="1" applyFill="1" applyBorder="1" applyAlignment="1">
      <alignment horizontal="center" vertical="top" wrapText="1"/>
    </xf>
    <xf numFmtId="0" fontId="5" fillId="15" borderId="51" xfId="0" applyFont="1" applyFill="1" applyBorder="1" applyAlignment="1">
      <alignment horizontal="left" vertical="top"/>
    </xf>
    <xf numFmtId="0" fontId="5" fillId="15" borderId="52" xfId="0" applyFont="1" applyFill="1" applyBorder="1" applyAlignment="1">
      <alignment horizontal="left" vertical="top"/>
    </xf>
    <xf numFmtId="0" fontId="5" fillId="15" borderId="44" xfId="0" applyFont="1" applyFill="1" applyBorder="1" applyAlignment="1">
      <alignment horizontal="left" vertical="top"/>
    </xf>
    <xf numFmtId="164" fontId="8" fillId="2" borderId="0" xfId="0" applyNumberFormat="1" applyFont="1" applyFill="1" applyAlignment="1">
      <alignment horizontal="center" vertical="top" textRotation="180" wrapText="1"/>
    </xf>
    <xf numFmtId="0" fontId="6" fillId="2" borderId="40" xfId="0" applyFont="1" applyFill="1" applyBorder="1" applyAlignment="1">
      <alignment horizontal="center" vertical="top" textRotation="180" wrapText="1"/>
    </xf>
    <xf numFmtId="0" fontId="6" fillId="2" borderId="50" xfId="0" applyFont="1" applyFill="1" applyBorder="1" applyAlignment="1">
      <alignment horizontal="center" vertical="top" textRotation="180" wrapText="1"/>
    </xf>
    <xf numFmtId="0" fontId="6" fillId="2" borderId="0" xfId="0" applyFont="1" applyFill="1" applyAlignment="1">
      <alignment horizontal="center" vertical="top" textRotation="180"/>
    </xf>
    <xf numFmtId="0" fontId="6" fillId="16" borderId="2" xfId="0" applyFont="1" applyFill="1" applyBorder="1" applyAlignment="1">
      <alignment horizontal="center"/>
    </xf>
    <xf numFmtId="0" fontId="6" fillId="2" borderId="26" xfId="0" applyFont="1" applyFill="1" applyBorder="1" applyAlignment="1">
      <alignment horizontal="center" vertical="top" textRotation="180" wrapText="1"/>
    </xf>
    <xf numFmtId="0" fontId="6" fillId="2" borderId="21" xfId="0" applyFont="1" applyFill="1" applyBorder="1" applyAlignment="1">
      <alignment horizontal="center" vertical="top" textRotation="180" wrapText="1"/>
    </xf>
    <xf numFmtId="164" fontId="8" fillId="2" borderId="3" xfId="0" applyNumberFormat="1" applyFont="1" applyFill="1" applyBorder="1" applyAlignment="1">
      <alignment horizontal="center"/>
    </xf>
    <xf numFmtId="164" fontId="8" fillId="2" borderId="4" xfId="0" applyNumberFormat="1" applyFont="1" applyFill="1" applyBorder="1" applyAlignment="1">
      <alignment horizontal="center"/>
    </xf>
    <xf numFmtId="0" fontId="8" fillId="2" borderId="42" xfId="0" applyFont="1" applyFill="1" applyBorder="1" applyAlignment="1">
      <alignment horizontal="center"/>
    </xf>
    <xf numFmtId="0" fontId="8" fillId="2" borderId="39" xfId="0" applyFont="1" applyFill="1" applyBorder="1" applyAlignment="1">
      <alignment horizontal="center"/>
    </xf>
    <xf numFmtId="0" fontId="8" fillId="2" borderId="43" xfId="0" applyFont="1" applyFill="1" applyBorder="1" applyAlignment="1">
      <alignment horizontal="center"/>
    </xf>
    <xf numFmtId="0" fontId="8" fillId="2" borderId="5" xfId="0" applyFont="1" applyFill="1" applyBorder="1" applyAlignment="1">
      <alignment horizontal="center"/>
    </xf>
    <xf numFmtId="0" fontId="8" fillId="2" borderId="33" xfId="0" applyFont="1" applyFill="1" applyBorder="1" applyAlignment="1">
      <alignment horizontal="center"/>
    </xf>
    <xf numFmtId="1" fontId="6" fillId="16" borderId="0" xfId="0" applyNumberFormat="1" applyFont="1" applyFill="1" applyAlignment="1">
      <alignment horizontal="center" vertical="top" wrapText="1"/>
    </xf>
    <xf numFmtId="0" fontId="6" fillId="2" borderId="44" xfId="0" applyFont="1" applyFill="1" applyBorder="1" applyAlignment="1">
      <alignment horizontal="center"/>
    </xf>
    <xf numFmtId="0" fontId="6" fillId="2" borderId="45" xfId="0" applyFont="1" applyFill="1" applyBorder="1" applyAlignment="1">
      <alignment horizontal="center"/>
    </xf>
    <xf numFmtId="1" fontId="6" fillId="14" borderId="6" xfId="0" applyNumberFormat="1" applyFont="1" applyFill="1" applyBorder="1"/>
    <xf numFmtId="0" fontId="6" fillId="14" borderId="14" xfId="0" applyFont="1" applyFill="1" applyBorder="1"/>
    <xf numFmtId="164" fontId="8" fillId="14" borderId="27" xfId="0" applyNumberFormat="1" applyFont="1" applyFill="1" applyBorder="1" applyAlignment="1">
      <alignment horizontal="center"/>
    </xf>
    <xf numFmtId="164" fontId="8" fillId="14" borderId="5" xfId="0" applyNumberFormat="1" applyFont="1" applyFill="1" applyBorder="1" applyAlignment="1">
      <alignment horizontal="center"/>
    </xf>
    <xf numFmtId="0" fontId="8" fillId="14" borderId="5" xfId="0" applyFont="1" applyFill="1" applyBorder="1" applyAlignment="1">
      <alignment horizontal="center"/>
    </xf>
    <xf numFmtId="0" fontId="8" fillId="14" borderId="14" xfId="0" applyFont="1" applyFill="1" applyBorder="1" applyAlignment="1">
      <alignment horizontal="center"/>
    </xf>
    <xf numFmtId="0" fontId="8" fillId="14" borderId="29" xfId="0" applyFont="1" applyFill="1" applyBorder="1" applyAlignment="1">
      <alignment horizontal="center"/>
    </xf>
    <xf numFmtId="0" fontId="8" fillId="14" borderId="53" xfId="0" applyFont="1" applyFill="1" applyBorder="1" applyAlignment="1">
      <alignment horizontal="center"/>
    </xf>
    <xf numFmtId="164" fontId="8" fillId="14" borderId="16" xfId="0" applyNumberFormat="1" applyFont="1" applyFill="1" applyBorder="1" applyAlignment="1">
      <alignment horizontal="center"/>
    </xf>
    <xf numFmtId="164" fontId="8" fillId="14" borderId="20" xfId="0" applyNumberFormat="1" applyFont="1" applyFill="1" applyBorder="1" applyAlignment="1">
      <alignment horizontal="center"/>
    </xf>
    <xf numFmtId="1" fontId="6" fillId="16" borderId="0" xfId="0" applyNumberFormat="1" applyFont="1" applyFill="1" applyAlignment="1">
      <alignment horizontal="center" vertical="top"/>
    </xf>
    <xf numFmtId="164" fontId="8" fillId="14" borderId="46" xfId="0" applyNumberFormat="1" applyFont="1" applyFill="1" applyBorder="1" applyAlignment="1">
      <alignment horizontal="center"/>
    </xf>
    <xf numFmtId="164" fontId="8" fillId="14" borderId="6" xfId="0" applyNumberFormat="1" applyFont="1" applyFill="1" applyBorder="1" applyAlignment="1">
      <alignment horizontal="center"/>
    </xf>
    <xf numFmtId="0" fontId="8" fillId="14" borderId="47" xfId="0" applyFont="1" applyFill="1" applyBorder="1" applyAlignment="1">
      <alignment horizontal="center"/>
    </xf>
    <xf numFmtId="0" fontId="8" fillId="14" borderId="6" xfId="0" applyFont="1" applyFill="1" applyBorder="1" applyAlignment="1">
      <alignment horizontal="center"/>
    </xf>
    <xf numFmtId="0" fontId="8" fillId="14" borderId="54" xfId="0" applyFont="1" applyFill="1" applyBorder="1" applyAlignment="1">
      <alignment horizontal="center"/>
    </xf>
    <xf numFmtId="165" fontId="6" fillId="4" borderId="13" xfId="0" applyNumberFormat="1" applyFont="1" applyFill="1" applyBorder="1" applyAlignment="1">
      <alignment horizontal="right"/>
    </xf>
    <xf numFmtId="0" fontId="6" fillId="4" borderId="1" xfId="0" applyFont="1" applyFill="1" applyBorder="1" applyAlignment="1">
      <alignment horizontal="left"/>
    </xf>
    <xf numFmtId="2" fontId="6" fillId="4" borderId="1" xfId="0" applyNumberFormat="1" applyFont="1" applyFill="1" applyBorder="1" applyAlignment="1">
      <alignment horizontal="right"/>
    </xf>
    <xf numFmtId="1" fontId="6" fillId="4" borderId="1" xfId="0" applyNumberFormat="1" applyFont="1" applyFill="1" applyBorder="1" applyAlignment="1">
      <alignment horizontal="right"/>
    </xf>
    <xf numFmtId="165" fontId="6" fillId="4" borderId="15" xfId="0" applyNumberFormat="1" applyFont="1" applyFill="1" applyBorder="1" applyAlignment="1">
      <alignment horizontal="right"/>
    </xf>
    <xf numFmtId="0" fontId="6" fillId="4" borderId="26" xfId="0" applyFont="1" applyFill="1" applyBorder="1" applyAlignment="1">
      <alignment horizontal="left"/>
    </xf>
    <xf numFmtId="1" fontId="8" fillId="4" borderId="21" xfId="0" applyNumberFormat="1" applyFont="1" applyFill="1" applyBorder="1" applyAlignment="1">
      <alignment horizontal="right"/>
    </xf>
    <xf numFmtId="1" fontId="6" fillId="4" borderId="15" xfId="0" applyNumberFormat="1" applyFont="1" applyFill="1" applyBorder="1"/>
    <xf numFmtId="166" fontId="6" fillId="4" borderId="28" xfId="0" applyNumberFormat="1" applyFont="1" applyFill="1" applyBorder="1"/>
    <xf numFmtId="1" fontId="6" fillId="4" borderId="40" xfId="0" applyNumberFormat="1" applyFont="1" applyFill="1" applyBorder="1"/>
    <xf numFmtId="1" fontId="6" fillId="4" borderId="55" xfId="0" applyNumberFormat="1" applyFont="1" applyFill="1" applyBorder="1"/>
    <xf numFmtId="169" fontId="6" fillId="4" borderId="26" xfId="0" applyNumberFormat="1" applyFont="1" applyFill="1" applyBorder="1"/>
    <xf numFmtId="1" fontId="6" fillId="4" borderId="22" xfId="0" applyNumberFormat="1" applyFont="1" applyFill="1" applyBorder="1"/>
    <xf numFmtId="1" fontId="6" fillId="16" borderId="2" xfId="0" applyNumberFormat="1" applyFont="1" applyFill="1" applyBorder="1"/>
    <xf numFmtId="166" fontId="6" fillId="4" borderId="41" xfId="0" applyNumberFormat="1" applyFont="1" applyFill="1" applyBorder="1"/>
    <xf numFmtId="1" fontId="6" fillId="4" borderId="17" xfId="0" applyNumberFormat="1" applyFont="1" applyFill="1" applyBorder="1"/>
    <xf numFmtId="1" fontId="6" fillId="29" borderId="1" xfId="0" applyNumberFormat="1" applyFont="1" applyFill="1" applyBorder="1"/>
    <xf numFmtId="1" fontId="6" fillId="29" borderId="0" xfId="0" applyNumberFormat="1" applyFont="1" applyFill="1"/>
    <xf numFmtId="0" fontId="6" fillId="2" borderId="25" xfId="0" applyFont="1" applyFill="1" applyBorder="1"/>
    <xf numFmtId="1" fontId="6" fillId="2" borderId="22" xfId="0" applyNumberFormat="1" applyFont="1" applyFill="1" applyBorder="1" applyAlignment="1">
      <alignment horizontal="right"/>
    </xf>
    <xf numFmtId="9" fontId="6" fillId="4" borderId="0" xfId="1" applyFont="1" applyFill="1" applyBorder="1" applyAlignment="1" applyProtection="1">
      <alignment horizontal="right"/>
    </xf>
    <xf numFmtId="169" fontId="6" fillId="2" borderId="25" xfId="0" applyNumberFormat="1" applyFont="1" applyFill="1" applyBorder="1" applyAlignment="1">
      <alignment horizontal="right"/>
    </xf>
    <xf numFmtId="1" fontId="6" fillId="4" borderId="2" xfId="0" applyNumberFormat="1" applyFont="1" applyFill="1" applyBorder="1" applyAlignment="1">
      <alignment horizontal="right"/>
    </xf>
    <xf numFmtId="1" fontId="6" fillId="4" borderId="13" xfId="0" applyNumberFormat="1" applyFont="1" applyFill="1" applyBorder="1"/>
    <xf numFmtId="1" fontId="6" fillId="4" borderId="2" xfId="0" applyNumberFormat="1" applyFont="1" applyFill="1" applyBorder="1"/>
    <xf numFmtId="169" fontId="6" fillId="2" borderId="25" xfId="0" applyNumberFormat="1" applyFont="1" applyFill="1" applyBorder="1"/>
    <xf numFmtId="1" fontId="6" fillId="2" borderId="2" xfId="0" applyNumberFormat="1" applyFont="1" applyFill="1" applyBorder="1" applyAlignment="1">
      <alignment horizontal="right"/>
    </xf>
    <xf numFmtId="169" fontId="6" fillId="2" borderId="12" xfId="0" applyNumberFormat="1" applyFont="1" applyFill="1" applyBorder="1" applyAlignment="1">
      <alignment horizontal="right"/>
    </xf>
    <xf numFmtId="169" fontId="6" fillId="2" borderId="12" xfId="0" applyNumberFormat="1" applyFont="1" applyFill="1" applyBorder="1"/>
    <xf numFmtId="1" fontId="6" fillId="4" borderId="14" xfId="0" applyNumberFormat="1" applyFont="1" applyFill="1" applyBorder="1"/>
    <xf numFmtId="166" fontId="6" fillId="4" borderId="29" xfId="0" applyNumberFormat="1" applyFont="1" applyFill="1" applyBorder="1"/>
    <xf numFmtId="1" fontId="6" fillId="2" borderId="13" xfId="0" applyNumberFormat="1" applyFont="1" applyFill="1" applyBorder="1"/>
    <xf numFmtId="166" fontId="6" fillId="2" borderId="28" xfId="0" applyNumberFormat="1" applyFont="1" applyFill="1" applyBorder="1"/>
    <xf numFmtId="1" fontId="6" fillId="16" borderId="0" xfId="0" applyNumberFormat="1" applyFont="1" applyFill="1"/>
    <xf numFmtId="165" fontId="6" fillId="4" borderId="14" xfId="0" applyNumberFormat="1" applyFont="1" applyFill="1" applyBorder="1" applyAlignment="1">
      <alignment horizontal="right"/>
    </xf>
    <xf numFmtId="0" fontId="6" fillId="4" borderId="27" xfId="0" applyFont="1" applyFill="1" applyBorder="1" applyAlignment="1">
      <alignment horizontal="left"/>
    </xf>
    <xf numFmtId="2" fontId="6" fillId="4" borderId="27" xfId="0" applyNumberFormat="1" applyFont="1" applyFill="1" applyBorder="1" applyAlignment="1">
      <alignment horizontal="right"/>
    </xf>
    <xf numFmtId="1" fontId="6" fillId="4" borderId="5" xfId="0" applyNumberFormat="1" applyFont="1" applyFill="1" applyBorder="1" applyAlignment="1">
      <alignment horizontal="right"/>
    </xf>
    <xf numFmtId="169" fontId="6" fillId="4" borderId="5" xfId="0" applyNumberFormat="1" applyFont="1" applyFill="1" applyBorder="1" applyAlignment="1">
      <alignment horizontal="right"/>
    </xf>
    <xf numFmtId="1" fontId="6" fillId="4" borderId="27" xfId="0" applyNumberFormat="1" applyFont="1" applyFill="1" applyBorder="1" applyAlignment="1">
      <alignment horizontal="right"/>
    </xf>
    <xf numFmtId="0" fontId="6" fillId="2" borderId="30" xfId="0" applyFont="1" applyFill="1" applyBorder="1"/>
    <xf numFmtId="1" fontId="6" fillId="2" borderId="19" xfId="0" applyNumberFormat="1" applyFont="1" applyFill="1" applyBorder="1" applyAlignment="1">
      <alignment horizontal="right"/>
    </xf>
    <xf numFmtId="9" fontId="6" fillId="4" borderId="5" xfId="1" applyFont="1" applyFill="1" applyBorder="1" applyAlignment="1" applyProtection="1">
      <alignment horizontal="right"/>
    </xf>
    <xf numFmtId="1" fontId="8" fillId="4" borderId="5" xfId="0" applyNumberFormat="1" applyFont="1" applyFill="1" applyBorder="1" applyAlignment="1">
      <alignment horizontal="right"/>
    </xf>
    <xf numFmtId="2" fontId="6" fillId="4" borderId="5" xfId="0" applyNumberFormat="1" applyFont="1" applyFill="1" applyBorder="1" applyAlignment="1">
      <alignment horizontal="right"/>
    </xf>
    <xf numFmtId="169" fontId="6" fillId="2" borderId="30" xfId="0" applyNumberFormat="1" applyFont="1" applyFill="1" applyBorder="1" applyAlignment="1">
      <alignment horizontal="right"/>
    </xf>
    <xf numFmtId="1" fontId="6" fillId="2" borderId="14" xfId="0" applyNumberFormat="1" applyFont="1" applyFill="1" applyBorder="1"/>
    <xf numFmtId="166" fontId="6" fillId="2" borderId="29" xfId="0" applyNumberFormat="1" applyFont="1" applyFill="1" applyBorder="1"/>
    <xf numFmtId="1" fontId="6" fillId="4" borderId="53" xfId="0" applyNumberFormat="1" applyFont="1" applyFill="1" applyBorder="1"/>
    <xf numFmtId="171" fontId="8" fillId="4" borderId="5" xfId="0" applyNumberFormat="1" applyFont="1" applyFill="1" applyBorder="1" applyAlignment="1">
      <alignment horizontal="right"/>
    </xf>
    <xf numFmtId="2" fontId="6" fillId="4" borderId="5" xfId="0" applyNumberFormat="1" applyFont="1" applyFill="1" applyBorder="1"/>
    <xf numFmtId="169" fontId="6" fillId="2" borderId="30" xfId="0" applyNumberFormat="1" applyFont="1" applyFill="1" applyBorder="1"/>
    <xf numFmtId="168" fontId="6" fillId="4" borderId="5" xfId="0" applyNumberFormat="1" applyFont="1" applyFill="1" applyBorder="1"/>
    <xf numFmtId="1" fontId="6" fillId="4" borderId="18" xfId="0" applyNumberFormat="1" applyFont="1" applyFill="1" applyBorder="1"/>
    <xf numFmtId="165" fontId="6" fillId="16" borderId="13" xfId="0" applyNumberFormat="1" applyFont="1" applyFill="1" applyBorder="1"/>
    <xf numFmtId="169" fontId="6" fillId="16" borderId="0" xfId="0" applyNumberFormat="1" applyFont="1" applyFill="1"/>
    <xf numFmtId="0" fontId="5" fillId="29" borderId="0" xfId="0" applyFont="1" applyFill="1" applyAlignment="1">
      <alignment wrapText="1"/>
    </xf>
    <xf numFmtId="0" fontId="5" fillId="28" borderId="23" xfId="0" applyFont="1" applyFill="1" applyBorder="1" applyAlignment="1">
      <alignment horizontal="center"/>
    </xf>
    <xf numFmtId="0" fontId="7" fillId="0" borderId="0" xfId="0" applyFont="1" applyAlignment="1" applyProtection="1">
      <alignment vertical="center"/>
      <protection locked="0"/>
    </xf>
    <xf numFmtId="0" fontId="5" fillId="23" borderId="13" xfId="0" applyFont="1" applyFill="1" applyBorder="1" applyAlignment="1">
      <alignment horizontal="right"/>
    </xf>
    <xf numFmtId="0" fontId="5" fillId="23" borderId="14" xfId="0" applyFont="1" applyFill="1" applyBorder="1" applyAlignment="1">
      <alignment horizontal="right"/>
    </xf>
    <xf numFmtId="0" fontId="7" fillId="31" borderId="2" xfId="0" applyFont="1" applyFill="1" applyBorder="1" applyAlignment="1">
      <alignment horizontal="right" vertical="center"/>
    </xf>
    <xf numFmtId="0" fontId="5" fillId="31" borderId="0" xfId="0" applyFont="1" applyFill="1" applyAlignment="1">
      <alignment horizontal="right"/>
    </xf>
    <xf numFmtId="0" fontId="6" fillId="31" borderId="19" xfId="0" applyFont="1" applyFill="1" applyBorder="1"/>
    <xf numFmtId="0" fontId="8" fillId="31" borderId="15" xfId="0" applyFont="1" applyFill="1" applyBorder="1"/>
    <xf numFmtId="0" fontId="8" fillId="31" borderId="21" xfId="0" applyFont="1" applyFill="1" applyBorder="1"/>
    <xf numFmtId="0" fontId="5" fillId="31" borderId="21" xfId="0" applyFont="1" applyFill="1" applyBorder="1"/>
    <xf numFmtId="0" fontId="5" fillId="5" borderId="50" xfId="0" applyFont="1" applyFill="1" applyBorder="1"/>
    <xf numFmtId="0" fontId="5" fillId="5" borderId="48" xfId="0" applyFont="1" applyFill="1" applyBorder="1"/>
    <xf numFmtId="0" fontId="5" fillId="5" borderId="37" xfId="0" applyFont="1" applyFill="1" applyBorder="1"/>
    <xf numFmtId="0" fontId="7" fillId="6" borderId="0" xfId="0" applyFont="1" applyFill="1" applyAlignment="1" applyProtection="1">
      <alignment horizontal="left" vertical="center"/>
      <protection locked="0"/>
    </xf>
    <xf numFmtId="0" fontId="7" fillId="23" borderId="0" xfId="0" applyFont="1" applyFill="1" applyAlignment="1" applyProtection="1">
      <alignment horizontal="right" vertical="center"/>
      <protection locked="0"/>
    </xf>
    <xf numFmtId="0" fontId="7" fillId="28" borderId="21" xfId="0" applyFont="1" applyFill="1" applyBorder="1"/>
    <xf numFmtId="0" fontId="7" fillId="28" borderId="22" xfId="0" applyFont="1" applyFill="1" applyBorder="1"/>
    <xf numFmtId="0" fontId="6" fillId="0" borderId="0" xfId="0" applyFont="1" applyAlignment="1">
      <alignment horizontal="left" shrinkToFit="1"/>
    </xf>
    <xf numFmtId="0" fontId="6" fillId="0" borderId="0" xfId="0" applyFont="1" applyAlignment="1">
      <alignment horizontal="left" wrapText="1" shrinkToFit="1"/>
    </xf>
    <xf numFmtId="0" fontId="5" fillId="26" borderId="16" xfId="0" applyFont="1" applyFill="1" applyBorder="1"/>
    <xf numFmtId="0" fontId="6" fillId="0" borderId="13" xfId="0" applyFont="1" applyBorder="1" applyAlignment="1">
      <alignment horizontal="left" vertical="top"/>
    </xf>
    <xf numFmtId="0" fontId="6" fillId="2" borderId="15" xfId="0" applyFont="1" applyFill="1" applyBorder="1" applyAlignment="1">
      <alignment horizontal="left" vertical="top"/>
    </xf>
    <xf numFmtId="0" fontId="5" fillId="18" borderId="23" xfId="0" applyFont="1" applyFill="1" applyBorder="1" applyAlignment="1">
      <alignment horizontal="left" vertical="center" wrapText="1"/>
    </xf>
    <xf numFmtId="0" fontId="6" fillId="2" borderId="6" xfId="0" applyFont="1" applyFill="1" applyBorder="1" applyAlignment="1">
      <alignment horizontal="center" vertical="top"/>
    </xf>
    <xf numFmtId="0" fontId="6" fillId="2" borderId="20" xfId="0" applyFont="1" applyFill="1" applyBorder="1" applyAlignment="1">
      <alignment horizontal="center" vertical="top"/>
    </xf>
    <xf numFmtId="0" fontId="6" fillId="15" borderId="23" xfId="0" applyFont="1" applyFill="1" applyBorder="1" applyAlignment="1">
      <alignment horizontal="center" vertical="center" wrapText="1"/>
    </xf>
    <xf numFmtId="0" fontId="6" fillId="2" borderId="22" xfId="0" applyFont="1" applyFill="1" applyBorder="1" applyAlignment="1">
      <alignment horizontal="center" vertical="top"/>
    </xf>
    <xf numFmtId="0" fontId="6" fillId="2" borderId="6" xfId="0" applyFont="1" applyFill="1" applyBorder="1" applyAlignment="1">
      <alignment horizontal="center" vertical="top" textRotation="180"/>
    </xf>
    <xf numFmtId="0" fontId="6" fillId="2" borderId="16" xfId="0" applyFont="1" applyFill="1" applyBorder="1" applyAlignment="1">
      <alignment horizontal="center" vertical="top" textRotation="180"/>
    </xf>
    <xf numFmtId="0" fontId="6" fillId="2" borderId="20" xfId="0" applyFont="1" applyFill="1" applyBorder="1" applyAlignment="1">
      <alignment horizontal="center" vertical="top" textRotation="180"/>
    </xf>
    <xf numFmtId="0" fontId="8" fillId="0" borderId="2" xfId="0" applyFont="1" applyBorder="1" applyAlignment="1">
      <alignment horizontal="center"/>
    </xf>
    <xf numFmtId="0" fontId="8" fillId="0" borderId="5" xfId="0" applyFont="1" applyBorder="1" applyAlignment="1">
      <alignment horizontal="center"/>
    </xf>
    <xf numFmtId="0" fontId="8" fillId="0" borderId="19" xfId="0" applyFont="1" applyBorder="1" applyAlignment="1">
      <alignment horizontal="center"/>
    </xf>
    <xf numFmtId="2" fontId="6" fillId="0" borderId="16" xfId="0" applyNumberFormat="1" applyFont="1" applyBorder="1"/>
    <xf numFmtId="2" fontId="6" fillId="0" borderId="6" xfId="0" applyNumberFormat="1" applyFont="1" applyBorder="1"/>
    <xf numFmtId="2" fontId="6" fillId="0" borderId="20" xfId="0" applyNumberFormat="1" applyFont="1" applyBorder="1"/>
    <xf numFmtId="0" fontId="5" fillId="29" borderId="0" xfId="0" applyFont="1" applyFill="1" applyAlignment="1">
      <alignment horizontal="center"/>
    </xf>
    <xf numFmtId="0" fontId="6" fillId="31" borderId="13" xfId="0" applyFont="1" applyFill="1" applyBorder="1" applyAlignment="1">
      <alignment horizontal="center"/>
    </xf>
    <xf numFmtId="0" fontId="6" fillId="31" borderId="2" xfId="0" applyFont="1" applyFill="1" applyBorder="1" applyAlignment="1">
      <alignment horizontal="center"/>
    </xf>
    <xf numFmtId="175" fontId="6" fillId="29" borderId="0" xfId="0" applyNumberFormat="1" applyFont="1" applyFill="1" applyAlignment="1">
      <alignment horizontal="center"/>
    </xf>
    <xf numFmtId="174" fontId="6" fillId="29" borderId="0" xfId="0" applyNumberFormat="1" applyFont="1" applyFill="1" applyAlignment="1">
      <alignment horizontal="center"/>
    </xf>
    <xf numFmtId="0" fontId="6" fillId="29" borderId="0" xfId="0" applyFont="1" applyFill="1" applyAlignment="1">
      <alignment horizontal="center" wrapText="1"/>
    </xf>
    <xf numFmtId="174" fontId="5" fillId="29" borderId="0" xfId="0" applyNumberFormat="1" applyFont="1" applyFill="1" applyAlignment="1">
      <alignment horizontal="right"/>
    </xf>
    <xf numFmtId="174" fontId="5" fillId="31" borderId="0" xfId="0" applyNumberFormat="1" applyFont="1" applyFill="1" applyAlignment="1">
      <alignment horizontal="right"/>
    </xf>
    <xf numFmtId="0" fontId="6" fillId="29" borderId="5" xfId="0" applyFont="1" applyFill="1" applyBorder="1"/>
    <xf numFmtId="0" fontId="6" fillId="32" borderId="16" xfId="0" applyFont="1" applyFill="1" applyBorder="1" applyAlignment="1" applyProtection="1">
      <alignment horizontal="left"/>
      <protection locked="0"/>
    </xf>
    <xf numFmtId="169" fontId="6" fillId="32" borderId="20" xfId="0" applyNumberFormat="1" applyFont="1" applyFill="1" applyBorder="1" applyProtection="1">
      <protection locked="0"/>
    </xf>
    <xf numFmtId="2" fontId="6" fillId="32" borderId="22" xfId="0" applyNumberFormat="1" applyFont="1" applyFill="1" applyBorder="1" applyAlignment="1" applyProtection="1">
      <alignment horizontal="right"/>
      <protection locked="0"/>
    </xf>
    <xf numFmtId="0" fontId="6" fillId="32" borderId="13" xfId="0" applyFont="1" applyFill="1" applyBorder="1" applyAlignment="1" applyProtection="1">
      <alignment horizontal="left"/>
      <protection locked="0"/>
    </xf>
    <xf numFmtId="2" fontId="6" fillId="32" borderId="2" xfId="0" applyNumberFormat="1" applyFont="1" applyFill="1" applyBorder="1" applyAlignment="1" applyProtection="1">
      <alignment horizontal="right"/>
      <protection locked="0"/>
    </xf>
    <xf numFmtId="0" fontId="6" fillId="2" borderId="21" xfId="0" applyFont="1" applyFill="1" applyBorder="1" applyAlignment="1">
      <alignment horizontal="center" vertical="top"/>
    </xf>
    <xf numFmtId="0" fontId="8" fillId="0" borderId="0" xfId="0" applyFont="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2" xfId="0" applyFont="1" applyBorder="1" applyAlignment="1">
      <alignment horizontal="right"/>
    </xf>
    <xf numFmtId="0" fontId="5" fillId="31" borderId="2" xfId="0" applyFont="1" applyFill="1" applyBorder="1" applyAlignment="1">
      <alignment horizontal="center"/>
    </xf>
    <xf numFmtId="0" fontId="6" fillId="32" borderId="0" xfId="0" applyFont="1" applyFill="1"/>
    <xf numFmtId="0" fontId="6" fillId="32" borderId="2" xfId="0" applyFont="1" applyFill="1" applyBorder="1"/>
    <xf numFmtId="0" fontId="6" fillId="32" borderId="5" xfId="0" applyFont="1" applyFill="1" applyBorder="1"/>
    <xf numFmtId="0" fontId="6" fillId="32" borderId="19" xfId="0" applyFont="1" applyFill="1" applyBorder="1"/>
    <xf numFmtId="0" fontId="6" fillId="32" borderId="13" xfId="0" applyFont="1" applyFill="1" applyBorder="1"/>
    <xf numFmtId="0" fontId="6" fillId="32" borderId="14" xfId="0" applyFont="1" applyFill="1" applyBorder="1"/>
    <xf numFmtId="1" fontId="6" fillId="32" borderId="15" xfId="0" applyNumberFormat="1" applyFont="1" applyFill="1" applyBorder="1" applyProtection="1">
      <protection locked="0"/>
    </xf>
    <xf numFmtId="1" fontId="6" fillId="32" borderId="13" xfId="0" applyNumberFormat="1" applyFont="1" applyFill="1" applyBorder="1" applyProtection="1">
      <protection locked="0"/>
    </xf>
    <xf numFmtId="0" fontId="6" fillId="32" borderId="13" xfId="0" applyFont="1" applyFill="1" applyBorder="1" applyAlignment="1" applyProtection="1">
      <alignment horizontal="center"/>
      <protection locked="0"/>
    </xf>
    <xf numFmtId="2" fontId="6" fillId="32" borderId="23" xfId="0" applyNumberFormat="1" applyFont="1" applyFill="1" applyBorder="1" applyProtection="1">
      <protection locked="0"/>
    </xf>
    <xf numFmtId="169" fontId="6" fillId="32" borderId="23" xfId="0" applyNumberFormat="1" applyFont="1" applyFill="1" applyBorder="1" applyAlignment="1" applyProtection="1">
      <alignment horizontal="center" vertical="top" wrapText="1"/>
      <protection locked="0"/>
    </xf>
    <xf numFmtId="2" fontId="6" fillId="32" borderId="12" xfId="0" applyNumberFormat="1" applyFont="1" applyFill="1" applyBorder="1" applyAlignment="1" applyProtection="1">
      <alignment horizontal="center"/>
      <protection locked="0"/>
    </xf>
    <xf numFmtId="2" fontId="6" fillId="32" borderId="12" xfId="0" applyNumberFormat="1" applyFont="1" applyFill="1" applyBorder="1" applyAlignment="1" applyProtection="1">
      <alignment horizontal="right" vertical="top" wrapText="1"/>
      <protection locked="0"/>
    </xf>
    <xf numFmtId="0" fontId="6" fillId="32" borderId="12" xfId="0" applyFont="1" applyFill="1" applyBorder="1"/>
    <xf numFmtId="0" fontId="6" fillId="32" borderId="30" xfId="0" applyFont="1" applyFill="1" applyBorder="1"/>
    <xf numFmtId="1" fontId="6" fillId="32" borderId="25" xfId="0" applyNumberFormat="1" applyFont="1" applyFill="1" applyBorder="1" applyAlignment="1" applyProtection="1">
      <alignment vertical="top"/>
      <protection locked="0"/>
    </xf>
    <xf numFmtId="2" fontId="6" fillId="32" borderId="25" xfId="0" applyNumberFormat="1" applyFont="1" applyFill="1" applyBorder="1" applyAlignment="1" applyProtection="1">
      <alignment horizontal="right" vertical="top"/>
      <protection locked="0"/>
    </xf>
    <xf numFmtId="2" fontId="6" fillId="32" borderId="25" xfId="0" applyNumberFormat="1" applyFont="1" applyFill="1" applyBorder="1" applyAlignment="1" applyProtection="1">
      <alignment horizontal="right"/>
      <protection locked="0"/>
    </xf>
    <xf numFmtId="1" fontId="6" fillId="32" borderId="12" xfId="0" applyNumberFormat="1" applyFont="1" applyFill="1" applyBorder="1" applyProtection="1">
      <protection locked="0"/>
    </xf>
    <xf numFmtId="2" fontId="6" fillId="32" borderId="12" xfId="0" applyNumberFormat="1" applyFont="1" applyFill="1" applyBorder="1" applyAlignment="1" applyProtection="1">
      <alignment horizontal="right"/>
      <protection locked="0"/>
    </xf>
    <xf numFmtId="0" fontId="6" fillId="3" borderId="64" xfId="0" applyFont="1" applyFill="1" applyBorder="1" applyAlignment="1" applyProtection="1">
      <alignment horizontal="left"/>
      <protection locked="0"/>
    </xf>
    <xf numFmtId="0" fontId="6" fillId="3" borderId="56" xfId="0" applyFont="1" applyFill="1" applyBorder="1" applyAlignment="1" applyProtection="1">
      <alignment horizontal="left"/>
      <protection locked="0"/>
    </xf>
    <xf numFmtId="0" fontId="6" fillId="3" borderId="41" xfId="0" applyFont="1" applyFill="1" applyBorder="1" applyAlignment="1" applyProtection="1">
      <alignment horizontal="left"/>
      <protection locked="0"/>
    </xf>
    <xf numFmtId="0" fontId="6" fillId="3" borderId="60" xfId="0" applyFont="1" applyFill="1" applyBorder="1" applyAlignment="1" applyProtection="1">
      <alignment horizontal="left"/>
      <protection locked="0"/>
    </xf>
    <xf numFmtId="0" fontId="6" fillId="3" borderId="28" xfId="0" applyFont="1" applyFill="1" applyBorder="1" applyAlignment="1" applyProtection="1">
      <alignment horizontal="left"/>
      <protection locked="0"/>
    </xf>
    <xf numFmtId="0" fontId="6" fillId="3" borderId="61" xfId="0" applyFont="1" applyFill="1" applyBorder="1" applyAlignment="1" applyProtection="1">
      <alignment horizontal="left"/>
      <protection locked="0"/>
    </xf>
    <xf numFmtId="0" fontId="6" fillId="3" borderId="18" xfId="0" applyFont="1" applyFill="1" applyBorder="1" applyAlignment="1" applyProtection="1">
      <alignment horizontal="left"/>
      <protection locked="0"/>
    </xf>
    <xf numFmtId="0" fontId="6" fillId="3" borderId="29" xfId="0" applyFont="1" applyFill="1" applyBorder="1" applyAlignment="1" applyProtection="1">
      <alignment horizontal="left"/>
      <protection locked="0"/>
    </xf>
    <xf numFmtId="0" fontId="8" fillId="0" borderId="15" xfId="0" applyFont="1" applyBorder="1" applyAlignment="1">
      <alignment horizontal="right"/>
    </xf>
    <xf numFmtId="0" fontId="8" fillId="0" borderId="13" xfId="0" applyFont="1" applyBorder="1" applyAlignment="1">
      <alignment horizontal="right"/>
    </xf>
    <xf numFmtId="0" fontId="8" fillId="0" borderId="14" xfId="0" applyFont="1" applyBorder="1" applyAlignment="1">
      <alignment horizontal="right"/>
    </xf>
    <xf numFmtId="0" fontId="8" fillId="0" borderId="25" xfId="0" applyFont="1" applyBorder="1" applyAlignment="1">
      <alignment horizontal="right"/>
    </xf>
    <xf numFmtId="0" fontId="8" fillId="0" borderId="12" xfId="0" applyFont="1" applyBorder="1" applyAlignment="1">
      <alignment horizontal="right"/>
    </xf>
    <xf numFmtId="0" fontId="8" fillId="0" borderId="30" xfId="0" applyFont="1" applyBorder="1" applyAlignment="1">
      <alignment horizontal="right"/>
    </xf>
    <xf numFmtId="169" fontId="6" fillId="29" borderId="25" xfId="0" applyNumberFormat="1" applyFont="1" applyFill="1" applyBorder="1" applyAlignment="1">
      <alignment horizontal="center"/>
    </xf>
    <xf numFmtId="169" fontId="6" fillId="29" borderId="12" xfId="0" applyNumberFormat="1" applyFont="1" applyFill="1" applyBorder="1" applyAlignment="1">
      <alignment horizontal="center"/>
    </xf>
    <xf numFmtId="169" fontId="6" fillId="29" borderId="30" xfId="0" applyNumberFormat="1" applyFont="1" applyFill="1" applyBorder="1" applyAlignment="1">
      <alignment horizontal="center"/>
    </xf>
    <xf numFmtId="1" fontId="6" fillId="29" borderId="23" xfId="0" applyNumberFormat="1" applyFont="1" applyFill="1" applyBorder="1" applyAlignment="1">
      <alignment horizontal="center"/>
    </xf>
    <xf numFmtId="1" fontId="5" fillId="18" borderId="16" xfId="0" applyNumberFormat="1" applyFont="1" applyFill="1" applyBorder="1" applyAlignment="1">
      <alignment vertical="center" wrapText="1"/>
    </xf>
    <xf numFmtId="0" fontId="5" fillId="18" borderId="23" xfId="0" applyFont="1" applyFill="1" applyBorder="1" applyAlignment="1">
      <alignment vertical="center" wrapText="1"/>
    </xf>
    <xf numFmtId="0" fontId="7" fillId="31" borderId="13" xfId="0" applyFont="1" applyFill="1" applyBorder="1" applyAlignment="1">
      <alignment horizontal="right"/>
    </xf>
    <xf numFmtId="0" fontId="8" fillId="31" borderId="13" xfId="0" applyFont="1" applyFill="1" applyBorder="1" applyAlignment="1">
      <alignment horizontal="right"/>
    </xf>
    <xf numFmtId="0" fontId="7" fillId="31" borderId="12" xfId="0" applyFont="1" applyFill="1" applyBorder="1" applyAlignment="1">
      <alignment horizontal="right"/>
    </xf>
    <xf numFmtId="0" fontId="5" fillId="31" borderId="13" xfId="0" applyFont="1" applyFill="1" applyBorder="1" applyAlignment="1">
      <alignment horizontal="right"/>
    </xf>
    <xf numFmtId="0" fontId="6" fillId="29" borderId="0" xfId="0" applyFont="1" applyFill="1" applyAlignment="1">
      <alignment horizontal="left" vertical="top"/>
    </xf>
    <xf numFmtId="0" fontId="6" fillId="29" borderId="0" xfId="0" applyFont="1" applyFill="1" applyAlignment="1">
      <alignment horizontal="left" vertical="top" wrapText="1"/>
    </xf>
    <xf numFmtId="0" fontId="6" fillId="23" borderId="0" xfId="0" applyFont="1" applyFill="1" applyAlignment="1">
      <alignment horizontal="center" vertical="top" textRotation="180" wrapText="1"/>
    </xf>
    <xf numFmtId="0" fontId="8" fillId="23" borderId="4" xfId="0" applyFont="1" applyFill="1" applyBorder="1" applyAlignment="1">
      <alignment horizontal="center"/>
    </xf>
    <xf numFmtId="168" fontId="6" fillId="4" borderId="5" xfId="0" applyNumberFormat="1" applyFont="1" applyFill="1" applyBorder="1" applyAlignment="1">
      <alignment horizontal="right"/>
    </xf>
    <xf numFmtId="1" fontId="6" fillId="4" borderId="19" xfId="0" applyNumberFormat="1" applyFont="1" applyFill="1" applyBorder="1" applyAlignment="1">
      <alignment horizontal="right"/>
    </xf>
    <xf numFmtId="169" fontId="6" fillId="29" borderId="5" xfId="0" applyNumberFormat="1" applyFont="1" applyFill="1" applyBorder="1"/>
    <xf numFmtId="1" fontId="6" fillId="29" borderId="27" xfId="0" applyNumberFormat="1" applyFont="1" applyFill="1" applyBorder="1"/>
    <xf numFmtId="1" fontId="6" fillId="29" borderId="5" xfId="0" applyNumberFormat="1" applyFont="1" applyFill="1" applyBorder="1"/>
    <xf numFmtId="169" fontId="7" fillId="22" borderId="23" xfId="0" applyNumberFormat="1" applyFont="1" applyFill="1" applyBorder="1" applyAlignment="1" applyProtection="1">
      <alignment horizontal="center"/>
      <protection locked="0"/>
    </xf>
    <xf numFmtId="170" fontId="5" fillId="29" borderId="0" xfId="0" applyNumberFormat="1" applyFont="1" applyFill="1" applyAlignment="1">
      <alignment horizontal="left"/>
    </xf>
    <xf numFmtId="0" fontId="30" fillId="14" borderId="5" xfId="0" applyFont="1" applyFill="1" applyBorder="1"/>
    <xf numFmtId="1" fontId="30" fillId="14" borderId="0" xfId="0" applyNumberFormat="1" applyFont="1" applyFill="1"/>
    <xf numFmtId="0" fontId="31" fillId="14" borderId="0" xfId="0" applyFont="1" applyFill="1"/>
    <xf numFmtId="0" fontId="32" fillId="0" borderId="0" xfId="0" applyFont="1"/>
    <xf numFmtId="169" fontId="6" fillId="7" borderId="23" xfId="0" applyNumberFormat="1" applyFont="1" applyFill="1" applyBorder="1" applyAlignment="1" applyProtection="1">
      <alignment vertical="top"/>
      <protection locked="0"/>
    </xf>
    <xf numFmtId="1" fontId="6" fillId="7" borderId="23" xfId="0" applyNumberFormat="1" applyFont="1" applyFill="1" applyBorder="1" applyAlignment="1" applyProtection="1">
      <alignment vertical="top"/>
      <protection locked="0"/>
    </xf>
    <xf numFmtId="164" fontId="8" fillId="2" borderId="44" xfId="0" applyNumberFormat="1" applyFont="1" applyFill="1" applyBorder="1" applyAlignment="1">
      <alignment horizontal="center"/>
    </xf>
    <xf numFmtId="164" fontId="8" fillId="2" borderId="51" xfId="0" applyNumberFormat="1" applyFont="1" applyFill="1" applyBorder="1" applyAlignment="1">
      <alignment horizontal="center"/>
    </xf>
    <xf numFmtId="0" fontId="8" fillId="14" borderId="16" xfId="0" applyFont="1" applyFill="1" applyBorder="1" applyAlignment="1">
      <alignment horizontal="center"/>
    </xf>
    <xf numFmtId="0" fontId="8" fillId="14" borderId="20" xfId="0" applyFont="1" applyFill="1" applyBorder="1" applyAlignment="1">
      <alignment horizontal="center"/>
    </xf>
    <xf numFmtId="0" fontId="5" fillId="8" borderId="21" xfId="0" applyFont="1" applyFill="1" applyBorder="1"/>
    <xf numFmtId="1" fontId="6" fillId="29" borderId="2" xfId="0" applyNumberFormat="1" applyFont="1" applyFill="1" applyBorder="1"/>
    <xf numFmtId="1" fontId="6" fillId="29" borderId="19" xfId="0" applyNumberFormat="1" applyFont="1" applyFill="1" applyBorder="1"/>
    <xf numFmtId="1" fontId="8" fillId="14" borderId="20" xfId="0" applyNumberFormat="1" applyFont="1" applyFill="1" applyBorder="1" applyAlignment="1">
      <alignment horizontal="center"/>
    </xf>
    <xf numFmtId="169" fontId="8" fillId="29" borderId="1" xfId="0" applyNumberFormat="1" applyFont="1" applyFill="1" applyBorder="1"/>
    <xf numFmtId="0" fontId="6" fillId="2" borderId="63" xfId="0" applyFont="1" applyFill="1" applyBorder="1" applyAlignment="1">
      <alignment horizontal="center"/>
    </xf>
    <xf numFmtId="0" fontId="6" fillId="2" borderId="51" xfId="0" applyFont="1" applyFill="1" applyBorder="1" applyAlignment="1">
      <alignment horizontal="center"/>
    </xf>
    <xf numFmtId="0" fontId="5" fillId="9" borderId="21" xfId="0" applyFont="1" applyFill="1" applyBorder="1"/>
    <xf numFmtId="0" fontId="5" fillId="15" borderId="16" xfId="0" applyFont="1" applyFill="1" applyBorder="1" applyAlignment="1">
      <alignment horizontal="left" vertical="top"/>
    </xf>
    <xf numFmtId="0" fontId="5" fillId="15" borderId="46" xfId="0" applyFont="1" applyFill="1" applyBorder="1" applyAlignment="1">
      <alignment horizontal="left" vertical="top"/>
    </xf>
    <xf numFmtId="0" fontId="6" fillId="15" borderId="6" xfId="0" applyFont="1" applyFill="1" applyBorder="1" applyAlignment="1">
      <alignment horizontal="center" vertical="top" wrapText="1"/>
    </xf>
    <xf numFmtId="0" fontId="6" fillId="15" borderId="54" xfId="0" applyFont="1" applyFill="1" applyBorder="1" applyAlignment="1">
      <alignment horizontal="center" vertical="top" wrapText="1"/>
    </xf>
    <xf numFmtId="0" fontId="6" fillId="15" borderId="20" xfId="0" applyFont="1" applyFill="1" applyBorder="1" applyAlignment="1">
      <alignment horizontal="center" vertical="top" wrapText="1"/>
    </xf>
    <xf numFmtId="0" fontId="5" fillId="28" borderId="0" xfId="0" applyFont="1" applyFill="1" applyAlignment="1">
      <alignment horizontal="center" vertical="center"/>
    </xf>
    <xf numFmtId="0" fontId="5" fillId="26" borderId="0" xfId="0" applyFont="1" applyFill="1" applyAlignment="1">
      <alignment horizontal="center" vertical="center"/>
    </xf>
    <xf numFmtId="0" fontId="5" fillId="29" borderId="0" xfId="0" applyFont="1" applyFill="1" applyAlignment="1">
      <alignment vertical="top"/>
    </xf>
    <xf numFmtId="0" fontId="9" fillId="31" borderId="15" xfId="0" applyFont="1" applyFill="1" applyBorder="1"/>
    <xf numFmtId="0" fontId="6" fillId="31" borderId="21" xfId="0" applyFont="1" applyFill="1" applyBorder="1" applyAlignment="1">
      <alignment horizontal="right"/>
    </xf>
    <xf numFmtId="0" fontId="9" fillId="31" borderId="13" xfId="0" applyFont="1" applyFill="1" applyBorder="1"/>
    <xf numFmtId="0" fontId="6" fillId="31" borderId="0" xfId="0" applyFont="1" applyFill="1" applyAlignment="1">
      <alignment horizontal="right" vertical="center"/>
    </xf>
    <xf numFmtId="0" fontId="10" fillId="31" borderId="13" xfId="0" applyFont="1" applyFill="1" applyBorder="1" applyAlignment="1">
      <alignment vertical="top"/>
    </xf>
    <xf numFmtId="0" fontId="10" fillId="31" borderId="0" xfId="0" applyFont="1" applyFill="1" applyAlignment="1">
      <alignment horizontal="right" vertical="top"/>
    </xf>
    <xf numFmtId="0" fontId="10" fillId="31" borderId="13" xfId="0" applyFont="1" applyFill="1" applyBorder="1" applyAlignment="1">
      <alignment horizontal="right"/>
    </xf>
    <xf numFmtId="0" fontId="5" fillId="31" borderId="13" xfId="0" applyFont="1" applyFill="1" applyBorder="1" applyAlignment="1">
      <alignment vertical="center"/>
    </xf>
    <xf numFmtId="0" fontId="5" fillId="31" borderId="0" xfId="0" applyFont="1" applyFill="1" applyAlignment="1">
      <alignment vertical="center"/>
    </xf>
    <xf numFmtId="0" fontId="8" fillId="31" borderId="0" xfId="0" applyFont="1" applyFill="1" applyAlignment="1">
      <alignment horizontal="right"/>
    </xf>
    <xf numFmtId="0" fontId="7" fillId="31" borderId="21" xfId="0" applyFont="1" applyFill="1" applyBorder="1" applyAlignment="1">
      <alignment horizontal="center"/>
    </xf>
    <xf numFmtId="0" fontId="5" fillId="31" borderId="2" xfId="0" applyFont="1" applyFill="1" applyBorder="1" applyAlignment="1">
      <alignment vertical="center"/>
    </xf>
    <xf numFmtId="0" fontId="8" fillId="31" borderId="14" xfId="0" applyFont="1" applyFill="1" applyBorder="1"/>
    <xf numFmtId="0" fontId="8" fillId="31" borderId="5" xfId="0" applyFont="1" applyFill="1" applyBorder="1" applyAlignment="1">
      <alignment horizontal="right"/>
    </xf>
    <xf numFmtId="1" fontId="12" fillId="31" borderId="5" xfId="1" applyNumberFormat="1" applyFont="1" applyFill="1" applyBorder="1" applyAlignment="1" applyProtection="1">
      <alignment horizontal="center"/>
    </xf>
    <xf numFmtId="0" fontId="10" fillId="31" borderId="13" xfId="0" applyFont="1" applyFill="1" applyBorder="1" applyAlignment="1">
      <alignment horizontal="right" vertical="center" wrapText="1"/>
    </xf>
    <xf numFmtId="0" fontId="6" fillId="31" borderId="13" xfId="0" applyFont="1" applyFill="1" applyBorder="1" applyAlignment="1">
      <alignment horizontal="right" wrapText="1"/>
    </xf>
    <xf numFmtId="0" fontId="10" fillId="31" borderId="0" xfId="0" applyFont="1" applyFill="1" applyAlignment="1">
      <alignment vertical="center" wrapText="1"/>
    </xf>
    <xf numFmtId="0" fontId="7" fillId="31" borderId="0" xfId="0" applyFont="1" applyFill="1" applyAlignment="1">
      <alignment vertical="center"/>
    </xf>
    <xf numFmtId="0" fontId="7" fillId="31" borderId="0" xfId="0" applyFont="1" applyFill="1" applyAlignment="1">
      <alignment horizontal="left"/>
    </xf>
    <xf numFmtId="0" fontId="7" fillId="31" borderId="5" xfId="0" applyFont="1" applyFill="1" applyBorder="1" applyAlignment="1">
      <alignment horizontal="right"/>
    </xf>
    <xf numFmtId="0" fontId="9" fillId="31" borderId="0" xfId="0" applyFont="1" applyFill="1"/>
    <xf numFmtId="0" fontId="6" fillId="31" borderId="36" xfId="0" applyFont="1" applyFill="1" applyBorder="1"/>
    <xf numFmtId="1" fontId="12" fillId="31" borderId="0" xfId="1" applyNumberFormat="1" applyFont="1" applyFill="1" applyBorder="1" applyAlignment="1" applyProtection="1">
      <alignment horizontal="center"/>
    </xf>
    <xf numFmtId="164" fontId="8" fillId="31" borderId="0" xfId="0" applyNumberFormat="1" applyFont="1" applyFill="1" applyAlignment="1">
      <alignment horizontal="right" vertical="top" wrapText="1"/>
    </xf>
    <xf numFmtId="0" fontId="6" fillId="31" borderId="40" xfId="0" applyFont="1" applyFill="1" applyBorder="1" applyAlignment="1">
      <alignment horizontal="right"/>
    </xf>
    <xf numFmtId="1" fontId="7" fillId="31" borderId="0" xfId="1" applyNumberFormat="1" applyFont="1" applyFill="1" applyBorder="1" applyAlignment="1" applyProtection="1">
      <alignment horizontal="center"/>
      <protection locked="0"/>
    </xf>
    <xf numFmtId="0" fontId="5" fillId="31" borderId="5" xfId="0" applyFont="1" applyFill="1" applyBorder="1" applyAlignment="1">
      <alignment vertical="center"/>
    </xf>
    <xf numFmtId="0" fontId="8" fillId="31" borderId="5" xfId="0" applyFont="1" applyFill="1" applyBorder="1"/>
    <xf numFmtId="0" fontId="5" fillId="31" borderId="5" xfId="0" applyFont="1" applyFill="1" applyBorder="1"/>
    <xf numFmtId="0" fontId="5" fillId="31" borderId="14" xfId="0" applyFont="1" applyFill="1" applyBorder="1" applyAlignment="1">
      <alignment vertical="center"/>
    </xf>
    <xf numFmtId="0" fontId="6" fillId="31" borderId="22" xfId="0" applyFont="1" applyFill="1" applyBorder="1" applyAlignment="1">
      <alignment horizontal="right"/>
    </xf>
    <xf numFmtId="0" fontId="5" fillId="31" borderId="19" xfId="0" applyFont="1" applyFill="1" applyBorder="1" applyAlignment="1">
      <alignment vertical="center"/>
    </xf>
    <xf numFmtId="0" fontId="9" fillId="31" borderId="21" xfId="0" applyFont="1" applyFill="1" applyBorder="1"/>
    <xf numFmtId="0" fontId="7" fillId="31" borderId="22" xfId="0" applyFont="1" applyFill="1" applyBorder="1" applyAlignment="1">
      <alignment horizontal="center"/>
    </xf>
    <xf numFmtId="0" fontId="8" fillId="31" borderId="40" xfId="0" applyFont="1" applyFill="1" applyBorder="1" applyAlignment="1">
      <alignment horizontal="right"/>
    </xf>
    <xf numFmtId="0" fontId="10" fillId="31" borderId="0" xfId="0" applyFont="1" applyFill="1" applyAlignment="1">
      <alignment horizontal="right"/>
    </xf>
    <xf numFmtId="0" fontId="8" fillId="31" borderId="0" xfId="0" applyFont="1" applyFill="1" applyAlignment="1">
      <alignment horizontal="left" vertical="center" wrapText="1"/>
    </xf>
    <xf numFmtId="0" fontId="8" fillId="31" borderId="0" xfId="0" applyFont="1" applyFill="1" applyAlignment="1">
      <alignment horizontal="left" vertical="top" wrapText="1"/>
    </xf>
    <xf numFmtId="0" fontId="7" fillId="31" borderId="13" xfId="0" applyFont="1" applyFill="1" applyBorder="1" applyAlignment="1">
      <alignment horizontal="left" wrapText="1"/>
    </xf>
    <xf numFmtId="0" fontId="7" fillId="31" borderId="0" xfId="0" applyFont="1" applyFill="1" applyAlignment="1">
      <alignment horizontal="left" wrapText="1"/>
    </xf>
    <xf numFmtId="0" fontId="6" fillId="31" borderId="0" xfId="0" applyFont="1" applyFill="1" applyAlignment="1">
      <alignment horizontal="left"/>
    </xf>
    <xf numFmtId="164" fontId="8" fillId="31" borderId="0" xfId="0" applyNumberFormat="1" applyFont="1" applyFill="1" applyAlignment="1">
      <alignment horizontal="left" vertical="top" wrapText="1"/>
    </xf>
    <xf numFmtId="0" fontId="5" fillId="31" borderId="0" xfId="0" applyFont="1" applyFill="1" applyAlignment="1">
      <alignment horizontal="center" vertical="top"/>
    </xf>
    <xf numFmtId="0" fontId="5" fillId="31" borderId="13" xfId="0" applyFont="1" applyFill="1" applyBorder="1" applyAlignment="1">
      <alignment horizontal="left"/>
    </xf>
    <xf numFmtId="0" fontId="5" fillId="31" borderId="2" xfId="0" applyFont="1" applyFill="1" applyBorder="1" applyAlignment="1">
      <alignment horizontal="left"/>
    </xf>
    <xf numFmtId="170" fontId="5" fillId="31" borderId="0" xfId="0" applyNumberFormat="1" applyFont="1" applyFill="1" applyAlignment="1">
      <alignment horizontal="right"/>
    </xf>
    <xf numFmtId="170" fontId="6" fillId="29" borderId="23" xfId="0" applyNumberFormat="1" applyFont="1" applyFill="1" applyBorder="1" applyAlignment="1">
      <alignment horizontal="center" vertical="center"/>
    </xf>
    <xf numFmtId="170" fontId="6" fillId="31" borderId="0" xfId="0" applyNumberFormat="1" applyFont="1" applyFill="1" applyAlignment="1">
      <alignment horizontal="center" vertical="center"/>
    </xf>
    <xf numFmtId="170" fontId="6" fillId="0" borderId="23" xfId="0" applyNumberFormat="1" applyFont="1" applyBorder="1" applyAlignment="1">
      <alignment horizontal="center" vertical="center"/>
    </xf>
    <xf numFmtId="0" fontId="6" fillId="28" borderId="0" xfId="0" applyFont="1" applyFill="1" applyAlignment="1">
      <alignment horizontal="center" vertical="center"/>
    </xf>
    <xf numFmtId="0" fontId="6" fillId="31" borderId="0" xfId="0" applyFont="1" applyFill="1" applyAlignment="1">
      <alignment horizontal="center" vertical="center"/>
    </xf>
    <xf numFmtId="0" fontId="6" fillId="30" borderId="0" xfId="0" applyFont="1" applyFill="1" applyAlignment="1">
      <alignment horizontal="center" vertical="center"/>
    </xf>
    <xf numFmtId="0" fontId="6" fillId="26" borderId="0" xfId="0" applyFont="1" applyFill="1" applyAlignment="1">
      <alignment horizontal="center" vertical="center"/>
    </xf>
    <xf numFmtId="1" fontId="6" fillId="29" borderId="23" xfId="1" applyNumberFormat="1" applyFont="1" applyFill="1" applyBorder="1" applyAlignment="1">
      <alignment horizontal="center" vertical="center"/>
    </xf>
    <xf numFmtId="1" fontId="6" fillId="31" borderId="0" xfId="1" applyNumberFormat="1" applyFont="1" applyFill="1" applyBorder="1" applyAlignment="1">
      <alignment horizontal="center" vertical="center"/>
    </xf>
    <xf numFmtId="0" fontId="5" fillId="31" borderId="0" xfId="0" applyFont="1" applyFill="1" applyAlignment="1">
      <alignment horizontal="center" vertical="center"/>
    </xf>
    <xf numFmtId="170" fontId="5" fillId="28" borderId="21" xfId="0" applyNumberFormat="1" applyFont="1" applyFill="1" applyBorder="1" applyAlignment="1">
      <alignment horizontal="center"/>
    </xf>
    <xf numFmtId="170" fontId="5" fillId="26" borderId="21" xfId="0" applyNumberFormat="1" applyFont="1" applyFill="1" applyBorder="1" applyAlignment="1">
      <alignment horizontal="center"/>
    </xf>
    <xf numFmtId="0" fontId="5" fillId="15" borderId="0" xfId="0" applyFont="1" applyFill="1" applyAlignment="1">
      <alignment horizontal="left" vertical="top"/>
    </xf>
    <xf numFmtId="170" fontId="5" fillId="30" borderId="21" xfId="0" applyNumberFormat="1" applyFont="1" applyFill="1" applyBorder="1" applyAlignment="1">
      <alignment horizontal="center"/>
    </xf>
    <xf numFmtId="0" fontId="5" fillId="24" borderId="3" xfId="0" applyFont="1" applyFill="1" applyBorder="1"/>
    <xf numFmtId="0" fontId="5" fillId="24" borderId="49" xfId="0" applyFont="1" applyFill="1" applyBorder="1"/>
    <xf numFmtId="0" fontId="5" fillId="24" borderId="27" xfId="0" applyFont="1" applyFill="1" applyBorder="1"/>
    <xf numFmtId="0" fontId="5" fillId="31" borderId="0" xfId="0" applyFont="1" applyFill="1" applyAlignment="1">
      <alignment horizontal="left" vertical="center"/>
    </xf>
    <xf numFmtId="0" fontId="5" fillId="28" borderId="2" xfId="0" applyFont="1" applyFill="1" applyBorder="1"/>
    <xf numFmtId="0" fontId="5" fillId="26" borderId="13" xfId="0" applyFont="1" applyFill="1" applyBorder="1"/>
    <xf numFmtId="0" fontId="5" fillId="26" borderId="2" xfId="0" applyFont="1" applyFill="1" applyBorder="1"/>
    <xf numFmtId="0" fontId="5" fillId="5" borderId="13" xfId="0" applyFont="1" applyFill="1" applyBorder="1"/>
    <xf numFmtId="0" fontId="5" fillId="5" borderId="0" xfId="0" applyFont="1" applyFill="1"/>
    <xf numFmtId="0" fontId="5" fillId="5" borderId="2" xfId="0" applyFont="1" applyFill="1" applyBorder="1"/>
    <xf numFmtId="0" fontId="5" fillId="24" borderId="0" xfId="0" applyFont="1" applyFill="1" applyAlignment="1">
      <alignment horizontal="center"/>
    </xf>
    <xf numFmtId="0" fontId="5" fillId="24" borderId="26" xfId="0" applyFont="1" applyFill="1" applyBorder="1" applyAlignment="1">
      <alignment horizontal="center"/>
    </xf>
    <xf numFmtId="0" fontId="5" fillId="28" borderId="48" xfId="0" applyFont="1" applyFill="1" applyBorder="1" applyAlignment="1">
      <alignment horizontal="left" vertical="top"/>
    </xf>
    <xf numFmtId="0" fontId="5" fillId="28" borderId="49" xfId="0" applyFont="1" applyFill="1" applyBorder="1" applyAlignment="1">
      <alignment horizontal="left" vertical="top"/>
    </xf>
    <xf numFmtId="0" fontId="5" fillId="28" borderId="50" xfId="0" applyFont="1" applyFill="1" applyBorder="1" applyAlignment="1">
      <alignment horizontal="left" vertical="top"/>
    </xf>
    <xf numFmtId="0" fontId="6" fillId="28" borderId="50" xfId="0" applyFont="1" applyFill="1" applyBorder="1" applyAlignment="1">
      <alignment horizontal="center" vertical="top"/>
    </xf>
    <xf numFmtId="0" fontId="6" fillId="28" borderId="37" xfId="0" applyFont="1" applyFill="1" applyBorder="1" applyAlignment="1">
      <alignment horizontal="center" vertical="top"/>
    </xf>
    <xf numFmtId="0" fontId="5" fillId="34" borderId="13" xfId="0" applyFont="1" applyFill="1" applyBorder="1" applyAlignment="1">
      <alignment horizontal="left" vertical="top"/>
    </xf>
    <xf numFmtId="0" fontId="6" fillId="34" borderId="50" xfId="0" applyFont="1" applyFill="1" applyBorder="1" applyAlignment="1">
      <alignment horizontal="center" vertical="top" wrapText="1"/>
    </xf>
    <xf numFmtId="164" fontId="8" fillId="34" borderId="50" xfId="0" applyNumberFormat="1" applyFont="1" applyFill="1" applyBorder="1" applyAlignment="1">
      <alignment horizontal="center" vertical="top" wrapText="1"/>
    </xf>
    <xf numFmtId="0" fontId="6" fillId="34" borderId="0" xfId="0" applyFont="1" applyFill="1"/>
    <xf numFmtId="0" fontId="6" fillId="34" borderId="50" xfId="0" applyFont="1" applyFill="1" applyBorder="1" applyAlignment="1">
      <alignment horizontal="center" vertical="top"/>
    </xf>
    <xf numFmtId="0" fontId="6" fillId="34" borderId="21" xfId="0" applyFont="1" applyFill="1" applyBorder="1" applyAlignment="1">
      <alignment horizontal="center" vertical="top"/>
    </xf>
    <xf numFmtId="0" fontId="6" fillId="34" borderId="21" xfId="0" applyFont="1" applyFill="1" applyBorder="1" applyAlignment="1">
      <alignment horizontal="center" vertical="top" wrapText="1"/>
    </xf>
    <xf numFmtId="0" fontId="6" fillId="34" borderId="50" xfId="0" applyFont="1" applyFill="1" applyBorder="1"/>
    <xf numFmtId="0" fontId="5" fillId="34" borderId="50" xfId="0" applyFont="1" applyFill="1" applyBorder="1" applyAlignment="1">
      <alignment horizontal="left" vertical="top"/>
    </xf>
    <xf numFmtId="0" fontId="5" fillId="34" borderId="37" xfId="0" applyFont="1" applyFill="1" applyBorder="1" applyAlignment="1">
      <alignment horizontal="left" vertical="top"/>
    </xf>
    <xf numFmtId="171" fontId="7" fillId="22" borderId="23" xfId="1" applyNumberFormat="1" applyFont="1" applyFill="1" applyBorder="1" applyAlignment="1" applyProtection="1">
      <alignment horizontal="center" vertical="center"/>
      <protection locked="0"/>
    </xf>
    <xf numFmtId="0" fontId="7" fillId="31" borderId="0" xfId="0" applyFont="1" applyFill="1" applyAlignment="1">
      <alignment horizontal="center" vertical="center"/>
    </xf>
    <xf numFmtId="1" fontId="7" fillId="22" borderId="23" xfId="0" applyNumberFormat="1" applyFont="1" applyFill="1" applyBorder="1" applyAlignment="1" applyProtection="1">
      <alignment horizontal="center" vertical="center"/>
      <protection locked="0"/>
    </xf>
    <xf numFmtId="0" fontId="5" fillId="11" borderId="21" xfId="0" applyFont="1" applyFill="1" applyBorder="1"/>
    <xf numFmtId="0" fontId="6" fillId="2" borderId="49" xfId="0" applyFont="1" applyFill="1" applyBorder="1" applyAlignment="1">
      <alignment horizontal="center" vertical="top" textRotation="180" wrapText="1"/>
    </xf>
    <xf numFmtId="0" fontId="6" fillId="2" borderId="37" xfId="0" applyFont="1" applyFill="1" applyBorder="1" applyAlignment="1">
      <alignment horizontal="center" vertical="top" textRotation="180" wrapText="1"/>
    </xf>
    <xf numFmtId="0" fontId="5" fillId="35" borderId="13" xfId="0" applyFont="1" applyFill="1" applyBorder="1" applyAlignment="1">
      <alignment horizontal="left" vertical="top"/>
    </xf>
    <xf numFmtId="0" fontId="5" fillId="35" borderId="49" xfId="0" applyFont="1" applyFill="1" applyBorder="1" applyAlignment="1">
      <alignment horizontal="left" vertical="top" wrapText="1"/>
    </xf>
    <xf numFmtId="0" fontId="6" fillId="35" borderId="50" xfId="0" applyFont="1" applyFill="1" applyBorder="1" applyAlignment="1">
      <alignment horizontal="center" vertical="top" wrapText="1"/>
    </xf>
    <xf numFmtId="164" fontId="8" fillId="35" borderId="50" xfId="0" applyNumberFormat="1" applyFont="1" applyFill="1" applyBorder="1" applyAlignment="1">
      <alignment horizontal="center" vertical="top" wrapText="1"/>
    </xf>
    <xf numFmtId="0" fontId="6" fillId="35" borderId="0" xfId="0" applyFont="1" applyFill="1"/>
    <xf numFmtId="2" fontId="6" fillId="35" borderId="0" xfId="0" applyNumberFormat="1" applyFont="1" applyFill="1"/>
    <xf numFmtId="0" fontId="6" fillId="35" borderId="50" xfId="0" applyFont="1" applyFill="1" applyBorder="1" applyAlignment="1">
      <alignment horizontal="center" vertical="top"/>
    </xf>
    <xf numFmtId="0" fontId="6" fillId="35" borderId="21" xfId="0" applyFont="1" applyFill="1" applyBorder="1" applyAlignment="1">
      <alignment horizontal="center" vertical="top"/>
    </xf>
    <xf numFmtId="0" fontId="6" fillId="35" borderId="21" xfId="0" applyFont="1" applyFill="1" applyBorder="1" applyAlignment="1">
      <alignment horizontal="center" vertical="top" wrapText="1"/>
    </xf>
    <xf numFmtId="0" fontId="6" fillId="35" borderId="50" xfId="0" applyFont="1" applyFill="1" applyBorder="1"/>
    <xf numFmtId="0" fontId="5" fillId="35" borderId="50" xfId="0" applyFont="1" applyFill="1" applyBorder="1" applyAlignment="1">
      <alignment horizontal="left" vertical="top"/>
    </xf>
    <xf numFmtId="1" fontId="5" fillId="35" borderId="50" xfId="0" applyNumberFormat="1" applyFont="1" applyFill="1" applyBorder="1" applyAlignment="1">
      <alignment horizontal="left" vertical="top"/>
    </xf>
    <xf numFmtId="0" fontId="5" fillId="35" borderId="37" xfId="0" applyFont="1" applyFill="1" applyBorder="1" applyAlignment="1">
      <alignment horizontal="left" vertical="top"/>
    </xf>
    <xf numFmtId="0" fontId="8" fillId="29" borderId="14" xfId="0" applyFont="1" applyFill="1" applyBorder="1"/>
    <xf numFmtId="0" fontId="8" fillId="29" borderId="5" xfId="0" applyFont="1" applyFill="1" applyBorder="1" applyAlignment="1">
      <alignment horizontal="right"/>
    </xf>
    <xf numFmtId="1" fontId="12" fillId="29" borderId="5" xfId="1" applyNumberFormat="1" applyFont="1" applyFill="1" applyBorder="1" applyAlignment="1" applyProtection="1">
      <alignment horizontal="center"/>
    </xf>
    <xf numFmtId="0" fontId="7" fillId="29" borderId="5" xfId="0" applyFont="1" applyFill="1" applyBorder="1" applyAlignment="1">
      <alignment horizontal="right"/>
    </xf>
    <xf numFmtId="0" fontId="8" fillId="29" borderId="5" xfId="0" applyFont="1" applyFill="1" applyBorder="1"/>
    <xf numFmtId="0" fontId="5" fillId="29" borderId="5" xfId="0" applyFont="1" applyFill="1" applyBorder="1"/>
    <xf numFmtId="0" fontId="5" fillId="29" borderId="5" xfId="0" applyFont="1" applyFill="1" applyBorder="1" applyAlignment="1">
      <alignment vertical="center"/>
    </xf>
    <xf numFmtId="0" fontId="7" fillId="36" borderId="16" xfId="0" applyFont="1" applyFill="1" applyBorder="1"/>
    <xf numFmtId="0" fontId="8" fillId="36" borderId="6" xfId="0" applyFont="1" applyFill="1" applyBorder="1"/>
    <xf numFmtId="0" fontId="8" fillId="36" borderId="20" xfId="0" applyFont="1" applyFill="1" applyBorder="1"/>
    <xf numFmtId="0" fontId="7" fillId="35" borderId="16" xfId="0" applyFont="1" applyFill="1" applyBorder="1" applyAlignment="1">
      <alignment vertical="center"/>
    </xf>
    <xf numFmtId="0" fontId="8" fillId="35" borderId="6" xfId="0" applyFont="1" applyFill="1" applyBorder="1" applyAlignment="1">
      <alignment vertical="center"/>
    </xf>
    <xf numFmtId="0" fontId="8" fillId="35" borderId="6" xfId="0" applyFont="1" applyFill="1" applyBorder="1" applyAlignment="1">
      <alignment horizontal="right" vertical="center"/>
    </xf>
    <xf numFmtId="0" fontId="7" fillId="35" borderId="20" xfId="0" applyFont="1" applyFill="1" applyBorder="1" applyAlignment="1">
      <alignment vertical="center"/>
    </xf>
    <xf numFmtId="0" fontId="7" fillId="37" borderId="16" xfId="0" applyFont="1" applyFill="1" applyBorder="1"/>
    <xf numFmtId="0" fontId="7" fillId="37" borderId="6" xfId="0" applyFont="1" applyFill="1" applyBorder="1"/>
    <xf numFmtId="0" fontId="8" fillId="37" borderId="6" xfId="0" applyFont="1" applyFill="1" applyBorder="1" applyAlignment="1">
      <alignment horizontal="center"/>
    </xf>
    <xf numFmtId="0" fontId="7" fillId="37" borderId="20" xfId="0" applyFont="1" applyFill="1" applyBorder="1"/>
    <xf numFmtId="0" fontId="7" fillId="38" borderId="16" xfId="0" applyFont="1" applyFill="1" applyBorder="1"/>
    <xf numFmtId="0" fontId="8" fillId="38" borderId="6" xfId="0" applyFont="1" applyFill="1" applyBorder="1"/>
    <xf numFmtId="0" fontId="8" fillId="38" borderId="6" xfId="0" applyFont="1" applyFill="1" applyBorder="1" applyAlignment="1">
      <alignment horizontal="center"/>
    </xf>
    <xf numFmtId="0" fontId="8" fillId="38" borderId="20" xfId="0" applyFont="1" applyFill="1" applyBorder="1"/>
    <xf numFmtId="0" fontId="5" fillId="38" borderId="16" xfId="0" applyFont="1" applyFill="1" applyBorder="1"/>
    <xf numFmtId="0" fontId="5" fillId="38" borderId="6" xfId="0" applyFont="1" applyFill="1" applyBorder="1" applyAlignment="1">
      <alignment horizontal="right"/>
    </xf>
    <xf numFmtId="0" fontId="7" fillId="38" borderId="6" xfId="0" applyFont="1" applyFill="1" applyBorder="1"/>
    <xf numFmtId="0" fontId="7" fillId="38" borderId="6" xfId="0" applyFont="1" applyFill="1" applyBorder="1" applyAlignment="1">
      <alignment horizontal="center"/>
    </xf>
    <xf numFmtId="0" fontId="7" fillId="38" borderId="20" xfId="0" applyFont="1" applyFill="1" applyBorder="1"/>
    <xf numFmtId="0" fontId="5" fillId="38" borderId="6" xfId="0" applyFont="1" applyFill="1" applyBorder="1" applyAlignment="1">
      <alignment horizontal="center"/>
    </xf>
    <xf numFmtId="0" fontId="6" fillId="38" borderId="6" xfId="0" applyFont="1" applyFill="1" applyBorder="1" applyAlignment="1">
      <alignment horizontal="center"/>
    </xf>
    <xf numFmtId="0" fontId="6" fillId="38" borderId="6" xfId="0" applyFont="1" applyFill="1" applyBorder="1"/>
    <xf numFmtId="0" fontId="5" fillId="38" borderId="6" xfId="0" applyFont="1" applyFill="1" applyBorder="1"/>
    <xf numFmtId="0" fontId="6" fillId="38" borderId="20" xfId="0" applyFont="1" applyFill="1" applyBorder="1"/>
    <xf numFmtId="0" fontId="8" fillId="36" borderId="5" xfId="0" applyFont="1" applyFill="1" applyBorder="1"/>
    <xf numFmtId="0" fontId="8" fillId="36" borderId="19" xfId="0" applyFont="1" applyFill="1" applyBorder="1"/>
    <xf numFmtId="0" fontId="7" fillId="29" borderId="23" xfId="0" applyFont="1" applyFill="1" applyBorder="1" applyAlignment="1" applyProtection="1">
      <alignment horizontal="center" vertical="center"/>
      <protection locked="0"/>
    </xf>
    <xf numFmtId="0" fontId="7" fillId="29" borderId="23" xfId="0" applyFont="1" applyFill="1" applyBorder="1" applyAlignment="1" applyProtection="1">
      <alignment horizontal="center" vertical="center" wrapText="1"/>
      <protection locked="0"/>
    </xf>
    <xf numFmtId="0" fontId="7" fillId="8" borderId="30" xfId="0" applyFont="1" applyFill="1" applyBorder="1" applyAlignment="1" applyProtection="1">
      <alignment horizontal="center" vertical="top" wrapText="1"/>
      <protection locked="0"/>
    </xf>
    <xf numFmtId="0" fontId="6" fillId="2" borderId="22" xfId="0" applyFont="1" applyFill="1" applyBorder="1" applyAlignment="1">
      <alignment horizontal="center" vertical="top" textRotation="180" wrapText="1"/>
    </xf>
    <xf numFmtId="0" fontId="6" fillId="23" borderId="26" xfId="0" applyFont="1" applyFill="1" applyBorder="1" applyAlignment="1">
      <alignment horizontal="center" vertical="top" textRotation="180" wrapText="1"/>
    </xf>
    <xf numFmtId="0" fontId="6" fillId="2" borderId="55" xfId="0" applyFont="1" applyFill="1" applyBorder="1" applyAlignment="1">
      <alignment horizontal="center" vertical="top" textRotation="180" wrapText="1"/>
    </xf>
    <xf numFmtId="0" fontId="6" fillId="2" borderId="43" xfId="0" applyFont="1" applyFill="1" applyBorder="1" applyAlignment="1">
      <alignment horizontal="center"/>
    </xf>
    <xf numFmtId="0" fontId="6" fillId="14" borderId="54" xfId="0" applyFont="1" applyFill="1" applyBorder="1"/>
    <xf numFmtId="1" fontId="6" fillId="4" borderId="40" xfId="0" applyNumberFormat="1" applyFont="1" applyFill="1" applyBorder="1" applyAlignment="1">
      <alignment horizontal="right"/>
    </xf>
    <xf numFmtId="1" fontId="6" fillId="4" borderId="53" xfId="0" applyNumberFormat="1" applyFont="1" applyFill="1" applyBorder="1" applyAlignment="1">
      <alignment horizontal="right"/>
    </xf>
    <xf numFmtId="0" fontId="6" fillId="2" borderId="26" xfId="0" applyFont="1" applyFill="1" applyBorder="1" applyAlignment="1">
      <alignment horizontal="center" vertical="top" textRotation="180"/>
    </xf>
    <xf numFmtId="0" fontId="6" fillId="2" borderId="43" xfId="0" applyFont="1" applyFill="1" applyBorder="1"/>
    <xf numFmtId="0" fontId="6" fillId="2" borderId="0" xfId="0" applyFont="1" applyFill="1" applyAlignment="1">
      <alignment horizontal="center"/>
    </xf>
    <xf numFmtId="0" fontId="6" fillId="2" borderId="52" xfId="0" applyFont="1" applyFill="1" applyBorder="1" applyAlignment="1">
      <alignment horizontal="center"/>
    </xf>
    <xf numFmtId="0" fontId="8" fillId="2" borderId="52" xfId="0" applyFont="1" applyFill="1" applyBorder="1" applyAlignment="1">
      <alignment horizontal="center"/>
    </xf>
    <xf numFmtId="0" fontId="5" fillId="0" borderId="16" xfId="0" applyFont="1" applyBorder="1"/>
    <xf numFmtId="0" fontId="5" fillId="0" borderId="6" xfId="0" applyFont="1" applyBorder="1"/>
    <xf numFmtId="0" fontId="5" fillId="0" borderId="20" xfId="0" applyFont="1" applyBorder="1"/>
    <xf numFmtId="0" fontId="5" fillId="28" borderId="0" xfId="0" applyFont="1" applyFill="1" applyAlignment="1">
      <alignment horizontal="center" vertical="top"/>
    </xf>
    <xf numFmtId="0" fontId="5" fillId="25" borderId="0" xfId="0" applyFont="1" applyFill="1" applyAlignment="1">
      <alignment horizontal="center"/>
    </xf>
    <xf numFmtId="0" fontId="5" fillId="26" borderId="0" xfId="0" applyFont="1" applyFill="1"/>
    <xf numFmtId="0" fontId="5" fillId="26" borderId="6" xfId="0" applyFont="1" applyFill="1" applyBorder="1"/>
    <xf numFmtId="0" fontId="5" fillId="25" borderId="0" xfId="0" applyFont="1" applyFill="1"/>
    <xf numFmtId="0" fontId="5" fillId="25" borderId="6" xfId="0" applyFont="1" applyFill="1" applyBorder="1"/>
    <xf numFmtId="0" fontId="5" fillId="28" borderId="13" xfId="0" applyFont="1" applyFill="1" applyBorder="1"/>
    <xf numFmtId="0" fontId="5" fillId="28" borderId="0" xfId="0" applyFont="1" applyFill="1"/>
    <xf numFmtId="0" fontId="5" fillId="28" borderId="16" xfId="0" applyFont="1" applyFill="1" applyBorder="1" applyAlignment="1">
      <alignment vertical="top"/>
    </xf>
    <xf numFmtId="0" fontId="5" fillId="28" borderId="6" xfId="0" applyFont="1" applyFill="1" applyBorder="1" applyAlignment="1">
      <alignment vertical="top"/>
    </xf>
    <xf numFmtId="0" fontId="5" fillId="27" borderId="0" xfId="0" applyFont="1" applyFill="1" applyAlignment="1">
      <alignment horizontal="center"/>
    </xf>
    <xf numFmtId="166" fontId="6" fillId="29" borderId="15" xfId="0" applyNumberFormat="1" applyFont="1" applyFill="1" applyBorder="1"/>
    <xf numFmtId="0" fontId="6" fillId="14" borderId="15" xfId="0" applyFont="1" applyFill="1" applyBorder="1"/>
    <xf numFmtId="1" fontId="6" fillId="29" borderId="26" xfId="0" applyNumberFormat="1" applyFont="1" applyFill="1" applyBorder="1"/>
    <xf numFmtId="1" fontId="6" fillId="29" borderId="21" xfId="0" applyNumberFormat="1" applyFont="1" applyFill="1" applyBorder="1"/>
    <xf numFmtId="1" fontId="6" fillId="29" borderId="55" xfId="0" applyNumberFormat="1" applyFont="1" applyFill="1" applyBorder="1"/>
    <xf numFmtId="1" fontId="6" fillId="29" borderId="40" xfId="0" applyNumberFormat="1" applyFont="1" applyFill="1" applyBorder="1"/>
    <xf numFmtId="1" fontId="6" fillId="29" borderId="22" xfId="0" applyNumberFormat="1" applyFont="1" applyFill="1" applyBorder="1"/>
    <xf numFmtId="1" fontId="6" fillId="29" borderId="13" xfId="0" applyNumberFormat="1" applyFont="1" applyFill="1" applyBorder="1"/>
    <xf numFmtId="169" fontId="8" fillId="29" borderId="1" xfId="0" applyNumberFormat="1" applyFont="1" applyFill="1" applyBorder="1" applyAlignment="1">
      <alignment horizontal="right"/>
    </xf>
    <xf numFmtId="169" fontId="6" fillId="29" borderId="40" xfId="0" applyNumberFormat="1" applyFont="1" applyFill="1" applyBorder="1" applyAlignment="1">
      <alignment horizontal="right"/>
    </xf>
    <xf numFmtId="169" fontId="6" fillId="29" borderId="5" xfId="0" applyNumberFormat="1" applyFont="1" applyFill="1" applyBorder="1" applyAlignment="1">
      <alignment horizontal="right"/>
    </xf>
    <xf numFmtId="169" fontId="6" fillId="29" borderId="53" xfId="0" applyNumberFormat="1" applyFont="1" applyFill="1" applyBorder="1" applyAlignment="1">
      <alignment horizontal="right"/>
    </xf>
    <xf numFmtId="1" fontId="6" fillId="29" borderId="5" xfId="0" applyNumberFormat="1" applyFont="1" applyFill="1" applyBorder="1" applyAlignment="1">
      <alignment horizontal="right"/>
    </xf>
    <xf numFmtId="1" fontId="6" fillId="29" borderId="15" xfId="0" applyNumberFormat="1" applyFont="1" applyFill="1" applyBorder="1"/>
    <xf numFmtId="2" fontId="6" fillId="29" borderId="21" xfId="0" applyNumberFormat="1" applyFont="1" applyFill="1" applyBorder="1"/>
    <xf numFmtId="169" fontId="6" fillId="29" borderId="21" xfId="0" applyNumberFormat="1" applyFont="1" applyFill="1" applyBorder="1"/>
    <xf numFmtId="2" fontId="6" fillId="29" borderId="0" xfId="0" applyNumberFormat="1" applyFont="1" applyFill="1"/>
    <xf numFmtId="1" fontId="6" fillId="29" borderId="14" xfId="0" applyNumberFormat="1" applyFont="1" applyFill="1" applyBorder="1"/>
    <xf numFmtId="1" fontId="6" fillId="29" borderId="53" xfId="0" applyNumberFormat="1" applyFont="1" applyFill="1" applyBorder="1"/>
    <xf numFmtId="2" fontId="6" fillId="29" borderId="5" xfId="0" applyNumberFormat="1" applyFont="1" applyFill="1" applyBorder="1"/>
    <xf numFmtId="2" fontId="6" fillId="29" borderId="1" xfId="0" applyNumberFormat="1" applyFont="1" applyFill="1" applyBorder="1"/>
    <xf numFmtId="2" fontId="6" fillId="29" borderId="40" xfId="0" applyNumberFormat="1" applyFont="1" applyFill="1" applyBorder="1"/>
    <xf numFmtId="169" fontId="6" fillId="29" borderId="1" xfId="0" applyNumberFormat="1" applyFont="1" applyFill="1" applyBorder="1"/>
    <xf numFmtId="169" fontId="6" fillId="29" borderId="40" xfId="0" applyNumberFormat="1" applyFont="1" applyFill="1" applyBorder="1"/>
    <xf numFmtId="2" fontId="6" fillId="29" borderId="26" xfId="0" applyNumberFormat="1" applyFont="1" applyFill="1" applyBorder="1"/>
    <xf numFmtId="2" fontId="6" fillId="29" borderId="55" xfId="0" applyNumberFormat="1" applyFont="1" applyFill="1" applyBorder="1"/>
    <xf numFmtId="169" fontId="6" fillId="29" borderId="26" xfId="0" applyNumberFormat="1" applyFont="1" applyFill="1" applyBorder="1"/>
    <xf numFmtId="169" fontId="6" fillId="29" borderId="55" xfId="0" applyNumberFormat="1" applyFont="1" applyFill="1" applyBorder="1"/>
    <xf numFmtId="2" fontId="6" fillId="29" borderId="27" xfId="0" applyNumberFormat="1" applyFont="1" applyFill="1" applyBorder="1"/>
    <xf numFmtId="2" fontId="6" fillId="29" borderId="53" xfId="0" applyNumberFormat="1" applyFont="1" applyFill="1" applyBorder="1"/>
    <xf numFmtId="169" fontId="6" fillId="29" borderId="27" xfId="0" applyNumberFormat="1" applyFont="1" applyFill="1" applyBorder="1"/>
    <xf numFmtId="169" fontId="6" fillId="29" borderId="53" xfId="0" applyNumberFormat="1" applyFont="1" applyFill="1" applyBorder="1"/>
    <xf numFmtId="174" fontId="6" fillId="29" borderId="21" xfId="0" applyNumberFormat="1" applyFont="1" applyFill="1" applyBorder="1"/>
    <xf numFmtId="174" fontId="6" fillId="29" borderId="0" xfId="0" applyNumberFormat="1" applyFont="1" applyFill="1"/>
    <xf numFmtId="174" fontId="6" fillId="29" borderId="5" xfId="0" applyNumberFormat="1" applyFont="1" applyFill="1" applyBorder="1"/>
    <xf numFmtId="174" fontId="6" fillId="29" borderId="1" xfId="0" applyNumberFormat="1" applyFont="1" applyFill="1" applyBorder="1"/>
    <xf numFmtId="174" fontId="6" fillId="29" borderId="26" xfId="0" applyNumberFormat="1" applyFont="1" applyFill="1" applyBorder="1"/>
    <xf numFmtId="174" fontId="6" fillId="29" borderId="27" xfId="0" applyNumberFormat="1" applyFont="1" applyFill="1" applyBorder="1"/>
    <xf numFmtId="168" fontId="6" fillId="4" borderId="21" xfId="0" applyNumberFormat="1" applyFont="1" applyFill="1" applyBorder="1"/>
    <xf numFmtId="0" fontId="6" fillId="14" borderId="21" xfId="0" applyFont="1" applyFill="1" applyBorder="1"/>
    <xf numFmtId="0" fontId="6" fillId="14" borderId="55" xfId="0" applyFont="1" applyFill="1" applyBorder="1"/>
    <xf numFmtId="0" fontId="6" fillId="14" borderId="26" xfId="0" applyFont="1" applyFill="1" applyBorder="1"/>
    <xf numFmtId="1" fontId="8" fillId="14" borderId="22" xfId="0" applyNumberFormat="1" applyFont="1" applyFill="1" applyBorder="1" applyAlignment="1">
      <alignment horizontal="center"/>
    </xf>
    <xf numFmtId="165" fontId="30" fillId="33" borderId="66" xfId="3" applyNumberFormat="1" applyFont="1" applyBorder="1"/>
    <xf numFmtId="169" fontId="6" fillId="4" borderId="15" xfId="0" applyNumberFormat="1" applyFont="1" applyFill="1" applyBorder="1"/>
    <xf numFmtId="169" fontId="6" fillId="4" borderId="13" xfId="0" applyNumberFormat="1" applyFont="1" applyFill="1" applyBorder="1"/>
    <xf numFmtId="169" fontId="6" fillId="4" borderId="14" xfId="0" applyNumberFormat="1" applyFont="1" applyFill="1" applyBorder="1"/>
    <xf numFmtId="1" fontId="6" fillId="2" borderId="21" xfId="0" applyNumberFormat="1" applyFont="1" applyFill="1" applyBorder="1"/>
    <xf numFmtId="1" fontId="6" fillId="2" borderId="0" xfId="0" applyNumberFormat="1" applyFont="1" applyFill="1"/>
    <xf numFmtId="1" fontId="6" fillId="2" borderId="5" xfId="0" applyNumberFormat="1" applyFont="1" applyFill="1" applyBorder="1"/>
    <xf numFmtId="9" fontId="6" fillId="4" borderId="15" xfId="1" applyFont="1" applyFill="1" applyBorder="1" applyAlignment="1" applyProtection="1">
      <alignment horizontal="center"/>
    </xf>
    <xf numFmtId="171" fontId="8" fillId="4" borderId="21" xfId="0" applyNumberFormat="1" applyFont="1" applyFill="1" applyBorder="1" applyAlignment="1">
      <alignment horizontal="right"/>
    </xf>
    <xf numFmtId="169" fontId="8" fillId="29" borderId="26" xfId="0" applyNumberFormat="1" applyFont="1" applyFill="1" applyBorder="1"/>
    <xf numFmtId="9" fontId="6" fillId="4" borderId="13" xfId="1" applyFont="1" applyFill="1" applyBorder="1" applyAlignment="1" applyProtection="1">
      <alignment horizontal="center"/>
    </xf>
    <xf numFmtId="1" fontId="8" fillId="4" borderId="0" xfId="0" applyNumberFormat="1" applyFont="1" applyFill="1" applyAlignment="1">
      <alignment horizontal="right"/>
    </xf>
    <xf numFmtId="171" fontId="8" fillId="4" borderId="0" xfId="0" applyNumberFormat="1" applyFont="1" applyFill="1" applyAlignment="1">
      <alignment horizontal="right"/>
    </xf>
    <xf numFmtId="2" fontId="6" fillId="4" borderId="0" xfId="0" applyNumberFormat="1" applyFont="1" applyFill="1"/>
    <xf numFmtId="168" fontId="6" fillId="4" borderId="0" xfId="0" applyNumberFormat="1" applyFont="1" applyFill="1"/>
    <xf numFmtId="9" fontId="6" fillId="4" borderId="14" xfId="1" applyFont="1" applyFill="1" applyBorder="1" applyAlignment="1" applyProtection="1">
      <alignment horizontal="center"/>
    </xf>
    <xf numFmtId="169" fontId="8" fillId="29" borderId="27" xfId="0" applyNumberFormat="1" applyFont="1" applyFill="1" applyBorder="1"/>
    <xf numFmtId="2" fontId="6" fillId="4" borderId="26" xfId="0" applyNumberFormat="1" applyFont="1" applyFill="1" applyBorder="1" applyAlignment="1">
      <alignment horizontal="right"/>
    </xf>
    <xf numFmtId="2" fontId="6" fillId="4" borderId="21" xfId="0" applyNumberFormat="1" applyFont="1" applyFill="1" applyBorder="1" applyAlignment="1">
      <alignment horizontal="right"/>
    </xf>
    <xf numFmtId="1" fontId="6" fillId="4" borderId="26" xfId="0" applyNumberFormat="1" applyFont="1" applyFill="1" applyBorder="1" applyAlignment="1">
      <alignment horizontal="right"/>
    </xf>
    <xf numFmtId="1" fontId="6" fillId="4" borderId="21" xfId="0" applyNumberFormat="1" applyFont="1" applyFill="1" applyBorder="1" applyAlignment="1">
      <alignment horizontal="right"/>
    </xf>
    <xf numFmtId="169" fontId="6" fillId="4" borderId="21" xfId="0" applyNumberFormat="1" applyFont="1" applyFill="1" applyBorder="1" applyAlignment="1">
      <alignment horizontal="right"/>
    </xf>
    <xf numFmtId="1" fontId="6" fillId="4" borderId="55" xfId="0" applyNumberFormat="1" applyFont="1" applyFill="1" applyBorder="1" applyAlignment="1">
      <alignment horizontal="right"/>
    </xf>
    <xf numFmtId="2" fontId="6" fillId="4" borderId="0" xfId="0" applyNumberFormat="1" applyFont="1" applyFill="1" applyAlignment="1">
      <alignment horizontal="right"/>
    </xf>
    <xf numFmtId="1" fontId="6" fillId="4" borderId="0" xfId="0" applyNumberFormat="1" applyFont="1" applyFill="1" applyAlignment="1">
      <alignment horizontal="right"/>
    </xf>
    <xf numFmtId="169" fontId="6" fillId="4" borderId="0" xfId="0" applyNumberFormat="1" applyFont="1" applyFill="1" applyAlignment="1">
      <alignment horizontal="right"/>
    </xf>
    <xf numFmtId="9" fontId="6" fillId="4" borderId="21" xfId="1" applyFont="1" applyFill="1" applyBorder="1" applyAlignment="1" applyProtection="1">
      <alignment horizontal="right"/>
    </xf>
    <xf numFmtId="1" fontId="6" fillId="0" borderId="21" xfId="0" applyNumberFormat="1" applyFont="1" applyBorder="1" applyAlignment="1">
      <alignment horizontal="right"/>
    </xf>
    <xf numFmtId="2" fontId="8" fillId="4" borderId="21" xfId="0" applyNumberFormat="1" applyFont="1" applyFill="1" applyBorder="1" applyAlignment="1">
      <alignment horizontal="right"/>
    </xf>
    <xf numFmtId="169" fontId="6" fillId="0" borderId="21" xfId="0" applyNumberFormat="1" applyFont="1" applyBorder="1" applyAlignment="1">
      <alignment horizontal="right"/>
    </xf>
    <xf numFmtId="168" fontId="6" fillId="4" borderId="21" xfId="0" applyNumberFormat="1" applyFont="1" applyFill="1" applyBorder="1" applyAlignment="1">
      <alignment horizontal="right"/>
    </xf>
    <xf numFmtId="169" fontId="6" fillId="29" borderId="21" xfId="0" applyNumberFormat="1" applyFont="1" applyFill="1" applyBorder="1" applyAlignment="1">
      <alignment horizontal="right"/>
    </xf>
    <xf numFmtId="169" fontId="8" fillId="29" borderId="26" xfId="0" applyNumberFormat="1" applyFont="1" applyFill="1" applyBorder="1" applyAlignment="1">
      <alignment horizontal="right"/>
    </xf>
    <xf numFmtId="1" fontId="6" fillId="29" borderId="21" xfId="0" applyNumberFormat="1" applyFont="1" applyFill="1" applyBorder="1" applyAlignment="1">
      <alignment horizontal="right"/>
    </xf>
    <xf numFmtId="1" fontId="6" fillId="4" borderId="22" xfId="0" applyNumberFormat="1" applyFont="1" applyFill="1" applyBorder="1" applyAlignment="1">
      <alignment horizontal="right"/>
    </xf>
    <xf numFmtId="168" fontId="6" fillId="4" borderId="0" xfId="0" applyNumberFormat="1" applyFont="1" applyFill="1" applyAlignment="1">
      <alignment horizontal="right"/>
    </xf>
    <xf numFmtId="169" fontId="6" fillId="29" borderId="0" xfId="0" applyNumberFormat="1" applyFont="1" applyFill="1" applyAlignment="1">
      <alignment horizontal="right"/>
    </xf>
    <xf numFmtId="1" fontId="6" fillId="29" borderId="0" xfId="0" applyNumberFormat="1" applyFont="1" applyFill="1" applyAlignment="1">
      <alignment horizontal="right"/>
    </xf>
    <xf numFmtId="169" fontId="8" fillId="29" borderId="27" xfId="0" applyNumberFormat="1" applyFont="1" applyFill="1" applyBorder="1" applyAlignment="1">
      <alignment horizontal="right"/>
    </xf>
    <xf numFmtId="1" fontId="7" fillId="29" borderId="23" xfId="0" applyNumberFormat="1" applyFont="1" applyFill="1" applyBorder="1" applyAlignment="1">
      <alignment horizontal="center" vertical="center"/>
    </xf>
    <xf numFmtId="0" fontId="7" fillId="29" borderId="23" xfId="0" applyFont="1" applyFill="1" applyBorder="1" applyAlignment="1">
      <alignment horizontal="center" vertical="center"/>
    </xf>
    <xf numFmtId="0" fontId="11" fillId="19" borderId="17" xfId="0" applyFont="1" applyFill="1" applyBorder="1"/>
    <xf numFmtId="174" fontId="5" fillId="31" borderId="13" xfId="0" applyNumberFormat="1" applyFont="1" applyFill="1" applyBorder="1" applyAlignment="1">
      <alignment horizontal="right"/>
    </xf>
    <xf numFmtId="174" fontId="5" fillId="31" borderId="0" xfId="0" applyNumberFormat="1" applyFont="1" applyFill="1" applyAlignment="1">
      <alignment horizontal="right"/>
    </xf>
    <xf numFmtId="169" fontId="5" fillId="29" borderId="16" xfId="1" applyNumberFormat="1" applyFont="1" applyFill="1" applyBorder="1" applyAlignment="1">
      <alignment horizontal="center" wrapText="1"/>
    </xf>
    <xf numFmtId="169" fontId="5" fillId="29" borderId="6" xfId="1" applyNumberFormat="1" applyFont="1" applyFill="1" applyBorder="1" applyAlignment="1">
      <alignment horizontal="center" wrapText="1"/>
    </xf>
    <xf numFmtId="169" fontId="5" fillId="29" borderId="20" xfId="1" applyNumberFormat="1" applyFont="1" applyFill="1" applyBorder="1" applyAlignment="1">
      <alignment horizontal="center" wrapText="1"/>
    </xf>
    <xf numFmtId="0" fontId="5" fillId="26" borderId="21" xfId="0" applyFont="1" applyFill="1" applyBorder="1" applyAlignment="1">
      <alignment horizontal="center" vertical="center"/>
    </xf>
    <xf numFmtId="0" fontId="5" fillId="26" borderId="0" xfId="0" applyFont="1" applyFill="1" applyAlignment="1">
      <alignment horizontal="center" vertical="center"/>
    </xf>
    <xf numFmtId="0" fontId="5" fillId="29" borderId="15" xfId="0" applyFont="1" applyFill="1" applyBorder="1" applyAlignment="1">
      <alignment horizontal="center" vertical="center"/>
    </xf>
    <xf numFmtId="0" fontId="5" fillId="29" borderId="21" xfId="0" applyFont="1" applyFill="1" applyBorder="1" applyAlignment="1">
      <alignment horizontal="center" vertical="center"/>
    </xf>
    <xf numFmtId="0" fontId="5" fillId="29" borderId="22" xfId="0" applyFont="1" applyFill="1" applyBorder="1" applyAlignment="1">
      <alignment horizontal="center" vertical="center"/>
    </xf>
    <xf numFmtId="0" fontId="5" fillId="29" borderId="14" xfId="0" applyFont="1" applyFill="1" applyBorder="1" applyAlignment="1">
      <alignment horizontal="center" vertical="center"/>
    </xf>
    <xf numFmtId="0" fontId="5" fillId="29" borderId="5" xfId="0" applyFont="1" applyFill="1" applyBorder="1" applyAlignment="1">
      <alignment horizontal="center" vertical="center"/>
    </xf>
    <xf numFmtId="0" fontId="5" fillId="29" borderId="19" xfId="0" applyFont="1" applyFill="1" applyBorder="1" applyAlignment="1">
      <alignment horizontal="center" vertical="center"/>
    </xf>
    <xf numFmtId="0" fontId="5" fillId="30" borderId="21" xfId="0" applyFont="1" applyFill="1" applyBorder="1" applyAlignment="1">
      <alignment horizontal="center" vertical="center"/>
    </xf>
    <xf numFmtId="0" fontId="5" fillId="30" borderId="0" xfId="0" applyFont="1" applyFill="1" applyAlignment="1">
      <alignment horizontal="center" vertical="center"/>
    </xf>
    <xf numFmtId="0" fontId="7" fillId="39" borderId="16" xfId="0" applyFont="1" applyFill="1" applyBorder="1" applyAlignment="1" applyProtection="1">
      <alignment horizontal="center" vertical="center"/>
      <protection locked="0"/>
    </xf>
    <xf numFmtId="0" fontId="7" fillId="39" borderId="20" xfId="0" applyFont="1" applyFill="1" applyBorder="1" applyAlignment="1" applyProtection="1">
      <alignment horizontal="center" vertical="center"/>
      <protection locked="0"/>
    </xf>
    <xf numFmtId="0" fontId="6" fillId="31" borderId="13" xfId="0" applyFont="1" applyFill="1" applyBorder="1" applyAlignment="1">
      <alignment horizontal="right"/>
    </xf>
    <xf numFmtId="0" fontId="6" fillId="31" borderId="2" xfId="0" applyFont="1" applyFill="1" applyBorder="1" applyAlignment="1">
      <alignment horizontal="right"/>
    </xf>
    <xf numFmtId="0" fontId="5" fillId="31" borderId="0" xfId="0" applyFont="1" applyFill="1" applyAlignment="1">
      <alignment horizontal="center"/>
    </xf>
    <xf numFmtId="0" fontId="10" fillId="31" borderId="13" xfId="0" applyFont="1" applyFill="1" applyBorder="1" applyAlignment="1">
      <alignment horizontal="right" vertical="center" wrapText="1"/>
    </xf>
    <xf numFmtId="0" fontId="10" fillId="31" borderId="2" xfId="0" applyFont="1" applyFill="1" applyBorder="1" applyAlignment="1">
      <alignment horizontal="right" vertical="center" wrapText="1"/>
    </xf>
    <xf numFmtId="0" fontId="6" fillId="31" borderId="13" xfId="0" applyFont="1" applyFill="1" applyBorder="1" applyAlignment="1">
      <alignment horizontal="right" vertical="center" wrapText="1"/>
    </xf>
    <xf numFmtId="0" fontId="6" fillId="31" borderId="2" xfId="0" applyFont="1" applyFill="1" applyBorder="1" applyAlignment="1">
      <alignment horizontal="right" vertical="center" wrapText="1"/>
    </xf>
    <xf numFmtId="0" fontId="7" fillId="29" borderId="16" xfId="0" applyFont="1" applyFill="1" applyBorder="1" applyAlignment="1" applyProtection="1">
      <alignment horizontal="center" vertical="center"/>
      <protection locked="0"/>
    </xf>
    <xf numFmtId="0" fontId="7" fillId="29" borderId="20" xfId="0" applyFont="1" applyFill="1" applyBorder="1" applyAlignment="1" applyProtection="1">
      <alignment horizontal="center" vertical="center"/>
      <protection locked="0"/>
    </xf>
    <xf numFmtId="0" fontId="7" fillId="29" borderId="16" xfId="0" applyFont="1" applyFill="1" applyBorder="1" applyAlignment="1" applyProtection="1">
      <alignment horizontal="center" vertical="center" wrapText="1"/>
      <protection locked="0"/>
    </xf>
    <xf numFmtId="0" fontId="7" fillId="29" borderId="6" xfId="0" applyFont="1" applyFill="1" applyBorder="1" applyAlignment="1" applyProtection="1">
      <alignment horizontal="center" vertical="center" wrapText="1"/>
      <protection locked="0"/>
    </xf>
    <xf numFmtId="0" fontId="7" fillId="29" borderId="20" xfId="0" applyFont="1" applyFill="1" applyBorder="1" applyAlignment="1" applyProtection="1">
      <alignment horizontal="center" vertical="center" wrapText="1"/>
      <protection locked="0"/>
    </xf>
    <xf numFmtId="0" fontId="7" fillId="29" borderId="48" xfId="0" applyFont="1" applyFill="1" applyBorder="1" applyAlignment="1" applyProtection="1">
      <alignment horizontal="center" vertical="center" wrapText="1"/>
      <protection locked="0"/>
    </xf>
    <xf numFmtId="0" fontId="7" fillId="29" borderId="37" xfId="0" applyFont="1" applyFill="1" applyBorder="1" applyAlignment="1" applyProtection="1">
      <alignment horizontal="center" vertical="center" wrapText="1"/>
      <protection locked="0"/>
    </xf>
    <xf numFmtId="0" fontId="8" fillId="31" borderId="13" xfId="0" applyFont="1" applyFill="1" applyBorder="1" applyAlignment="1">
      <alignment horizontal="left" vertical="center" wrapText="1"/>
    </xf>
    <xf numFmtId="0" fontId="8" fillId="31" borderId="2" xfId="0" applyFont="1" applyFill="1" applyBorder="1" applyAlignment="1">
      <alignment horizontal="left" vertical="center" wrapText="1"/>
    </xf>
    <xf numFmtId="0" fontId="8" fillId="31" borderId="0" xfId="0" applyFont="1" applyFill="1" applyAlignment="1">
      <alignment horizontal="right" vertical="center"/>
    </xf>
    <xf numFmtId="0" fontId="8" fillId="31" borderId="2" xfId="0" applyFont="1" applyFill="1" applyBorder="1" applyAlignment="1">
      <alignment horizontal="right" vertical="center"/>
    </xf>
    <xf numFmtId="0" fontId="5" fillId="28" borderId="21" xfId="0" applyFont="1" applyFill="1" applyBorder="1" applyAlignment="1">
      <alignment horizontal="center" vertical="center"/>
    </xf>
    <xf numFmtId="0" fontId="5" fillId="28" borderId="0" xfId="0" applyFont="1" applyFill="1" applyAlignment="1">
      <alignment horizontal="center" vertical="center"/>
    </xf>
    <xf numFmtId="0" fontId="7" fillId="35" borderId="6" xfId="0" applyFont="1" applyFill="1" applyBorder="1" applyAlignment="1">
      <alignment horizontal="left" vertical="center"/>
    </xf>
    <xf numFmtId="0" fontId="8" fillId="31" borderId="13" xfId="0" applyFont="1" applyFill="1" applyBorder="1" applyAlignment="1">
      <alignment horizontal="right" vertical="top" wrapText="1"/>
    </xf>
    <xf numFmtId="0" fontId="8" fillId="31" borderId="0" xfId="0" applyFont="1" applyFill="1" applyAlignment="1">
      <alignment horizontal="right" vertical="top" wrapText="1"/>
    </xf>
    <xf numFmtId="0" fontId="8" fillId="31" borderId="2" xfId="0" applyFont="1" applyFill="1" applyBorder="1" applyAlignment="1">
      <alignment horizontal="right" vertical="top" wrapText="1"/>
    </xf>
    <xf numFmtId="0" fontId="7" fillId="29" borderId="16" xfId="0" applyFont="1" applyFill="1" applyBorder="1" applyAlignment="1" applyProtection="1">
      <alignment horizontal="center" wrapText="1"/>
      <protection locked="0"/>
    </xf>
    <xf numFmtId="0" fontId="7" fillId="29" borderId="20" xfId="0" applyFont="1" applyFill="1" applyBorder="1" applyAlignment="1" applyProtection="1">
      <alignment horizontal="center" wrapText="1"/>
      <protection locked="0"/>
    </xf>
    <xf numFmtId="0" fontId="7" fillId="31" borderId="15" xfId="0" applyFont="1" applyFill="1" applyBorder="1" applyAlignment="1">
      <alignment horizontal="left"/>
    </xf>
    <xf numFmtId="0" fontId="7" fillId="31" borderId="21" xfId="0" applyFont="1" applyFill="1" applyBorder="1" applyAlignment="1">
      <alignment horizontal="left"/>
    </xf>
    <xf numFmtId="0" fontId="7" fillId="31" borderId="13" xfId="0" applyFont="1" applyFill="1" applyBorder="1" applyAlignment="1">
      <alignment horizontal="left"/>
    </xf>
    <xf numFmtId="0" fontId="7" fillId="31" borderId="0" xfId="0" applyFont="1" applyFill="1" applyAlignment="1">
      <alignment horizontal="left"/>
    </xf>
    <xf numFmtId="0" fontId="6" fillId="0" borderId="0" xfId="0" applyFont="1" applyAlignment="1">
      <alignment horizontal="justify" vertical="top" wrapText="1"/>
    </xf>
    <xf numFmtId="0" fontId="6" fillId="0" borderId="0" xfId="0" applyFont="1" applyAlignment="1">
      <alignment horizontal="lef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23" fillId="0" borderId="0" xfId="0" applyFont="1" applyAlignment="1">
      <alignment horizontal="center" vertical="top" wrapText="1"/>
    </xf>
    <xf numFmtId="0" fontId="5" fillId="5" borderId="16" xfId="0" applyFont="1" applyFill="1" applyBorder="1" applyAlignment="1">
      <alignment horizontal="left"/>
    </xf>
    <xf numFmtId="0" fontId="5" fillId="5" borderId="6" xfId="0" applyFont="1" applyFill="1" applyBorder="1" applyAlignment="1">
      <alignment horizontal="left"/>
    </xf>
    <xf numFmtId="0" fontId="5" fillId="5" borderId="20" xfId="0" applyFont="1" applyFill="1" applyBorder="1" applyAlignment="1">
      <alignment horizontal="left"/>
    </xf>
  </cellXfs>
  <cellStyles count="4">
    <cellStyle name="Check Cell" xfId="3" builtinId="23"/>
    <cellStyle name="Hyperlink" xfId="2" builtinId="8"/>
    <cellStyle name="Normal" xfId="0" builtinId="0"/>
    <cellStyle name="Percent" xfId="1" builtinId="5"/>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6699FF"/>
      <color rgb="FF0066FF"/>
      <color rgb="FF0000FF"/>
      <color rgb="FFFFFF66"/>
      <color rgb="FF008000"/>
      <color rgb="FFCCFF99"/>
      <color rgb="FFCCFFCC"/>
      <color rgb="FF2D61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Unit discounted cumulative net margins</a:t>
            </a:r>
          </a:p>
        </c:rich>
      </c:tx>
      <c:layout>
        <c:manualLayout>
          <c:xMode val="edge"/>
          <c:yMode val="edge"/>
          <c:x val="0.33246447234636212"/>
          <c:y val="2.0872465329726747E-3"/>
        </c:manualLayout>
      </c:layout>
      <c:overlay val="0"/>
      <c:spPr>
        <a:noFill/>
        <a:ln w="25400">
          <a:noFill/>
        </a:ln>
      </c:spPr>
    </c:title>
    <c:autoTitleDeleted val="0"/>
    <c:plotArea>
      <c:layout>
        <c:manualLayout>
          <c:layoutTarget val="inner"/>
          <c:xMode val="edge"/>
          <c:yMode val="edge"/>
          <c:x val="0.13873744215419789"/>
          <c:y val="0.11111142403388578"/>
          <c:w val="0.61626885108152052"/>
          <c:h val="0.74886048684433071"/>
        </c:manualLayout>
      </c:layout>
      <c:lineChart>
        <c:grouping val="standard"/>
        <c:varyColors val="0"/>
        <c:ser>
          <c:idx val="3"/>
          <c:order val="0"/>
          <c:tx>
            <c:strRef>
              <c:f>'Tabular results'!$CY$17</c:f>
              <c:strCache>
                <c:ptCount val="1"/>
                <c:pt idx="0">
                  <c:v>Arable crop</c:v>
                </c:pt>
              </c:strCache>
            </c:strRef>
          </c:tx>
          <c:spPr>
            <a:ln w="12700">
              <a:solidFill>
                <a:srgbClr val="FF0000"/>
              </a:solidFill>
              <a:prstDash val="solid"/>
            </a:ln>
          </c:spPr>
          <c:marker>
            <c:symbol val="square"/>
            <c:size val="6"/>
            <c:spPr>
              <a:solidFill>
                <a:srgbClr val="FF0000"/>
              </a:solidFill>
              <a:ln>
                <a:solidFill>
                  <a:srgbClr val="FF0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[0]!U_dis_cum_net_arab</c:f>
              <c:numCache>
                <c:formatCode>0</c:formatCode>
                <c:ptCount val="31"/>
                <c:pt idx="1">
                  <c:v>27955.408145243575</c:v>
                </c:pt>
                <c:pt idx="2">
                  <c:v>43705.857128613381</c:v>
                </c:pt>
                <c:pt idx="3">
                  <c:v>64594.472168618173</c:v>
                </c:pt>
                <c:pt idx="4">
                  <c:v>72405.486037832612</c:v>
                </c:pt>
                <c:pt idx="5">
                  <c:v>96830.878913236636</c:v>
                </c:pt>
                <c:pt idx="6">
                  <c:v>115753.86811396833</c:v>
                </c:pt>
                <c:pt idx="7">
                  <c:v>129702.45590340474</c:v>
                </c:pt>
                <c:pt idx="8">
                  <c:v>134826.18529473426</c:v>
                </c:pt>
                <c:pt idx="9">
                  <c:v>154936.152750407</c:v>
                </c:pt>
                <c:pt idx="10">
                  <c:v>169593.64865338861</c:v>
                </c:pt>
                <c:pt idx="11">
                  <c:v>189674.74204426838</c:v>
                </c:pt>
                <c:pt idx="12">
                  <c:v>196793.96957215335</c:v>
                </c:pt>
                <c:pt idx="13">
                  <c:v>206626.87454879581</c:v>
                </c:pt>
                <c:pt idx="14">
                  <c:v>221036.24675883548</c:v>
                </c:pt>
                <c:pt idx="15">
                  <c:v>234111.38873955575</c:v>
                </c:pt>
                <c:pt idx="16">
                  <c:v>240667.56761957234</c:v>
                </c:pt>
                <c:pt idx="17">
                  <c:v>253197.07370317442</c:v>
                </c:pt>
                <c:pt idx="18">
                  <c:v>258059.11064896194</c:v>
                </c:pt>
                <c:pt idx="19">
                  <c:v>271495.34370064596</c:v>
                </c:pt>
                <c:pt idx="20">
                  <c:v>277232.47627420729</c:v>
                </c:pt>
                <c:pt idx="21">
                  <c:v>284040.36524525628</c:v>
                </c:pt>
                <c:pt idx="22">
                  <c:v>293169.73502930719</c:v>
                </c:pt>
                <c:pt idx="23">
                  <c:v>288575.64577882673</c:v>
                </c:pt>
                <c:pt idx="24">
                  <c:v>291758.62787345127</c:v>
                </c:pt>
                <c:pt idx="25">
                  <c:v>302128.98419119458</c:v>
                </c:pt>
                <c:pt idx="26">
                  <c:v>306199.78598585154</c:v>
                </c:pt>
                <c:pt idx="27">
                  <c:v>299609.37414087495</c:v>
                </c:pt>
                <c:pt idx="28">
                  <c:v>304219.80622293759</c:v>
                </c:pt>
                <c:pt idx="29">
                  <c:v>309480.15055505559</c:v>
                </c:pt>
                <c:pt idx="30">
                  <c:v>318195.71571730817</c:v>
                </c:pt>
              </c:numCache>
            </c:numRef>
          </c:val>
          <c:smooth val="0"/>
          <c:extLst>
            <c:ext xmlns:c16="http://schemas.microsoft.com/office/drawing/2014/chart" uri="{C3380CC4-5D6E-409C-BE32-E72D297353CC}">
              <c16:uniqueId val="{00000000-6C4F-4FD6-9FF0-8ECA14882527}"/>
            </c:ext>
          </c:extLst>
        </c:ser>
        <c:ser>
          <c:idx val="4"/>
          <c:order val="1"/>
          <c:tx>
            <c:strRef>
              <c:f>'Tabular results'!$CZ$17</c:f>
              <c:strCache>
                <c:ptCount val="1"/>
                <c:pt idx="0">
                  <c:v>Forestry</c:v>
                </c:pt>
              </c:strCache>
            </c:strRef>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[0]!U_dis_cum_net_tree</c:f>
              <c:numCache>
                <c:formatCode>0</c:formatCode>
                <c:ptCount val="31"/>
                <c:pt idx="1">
                  <c:v>-23553.765599999999</c:v>
                </c:pt>
                <c:pt idx="2">
                  <c:v>-25572.794446153846</c:v>
                </c:pt>
                <c:pt idx="3">
                  <c:v>-26426.880326828577</c:v>
                </c:pt>
                <c:pt idx="4">
                  <c:v>-26515.771072732081</c:v>
                </c:pt>
                <c:pt idx="5">
                  <c:v>-26601.242943793142</c:v>
                </c:pt>
                <c:pt idx="6">
                  <c:v>-29227.425037681751</c:v>
                </c:pt>
                <c:pt idx="7">
                  <c:v>-29306.448587109509</c:v>
                </c:pt>
                <c:pt idx="8">
                  <c:v>-33460.558193123878</c:v>
                </c:pt>
                <c:pt idx="9">
                  <c:v>-39114.564193708538</c:v>
                </c:pt>
                <c:pt idx="10">
                  <c:v>-39184.815841399068</c:v>
                </c:pt>
                <c:pt idx="11">
                  <c:v>-45946.720280692825</c:v>
                </c:pt>
                <c:pt idx="12">
                  <c:v>-46011.671878039837</c:v>
                </c:pt>
                <c:pt idx="13">
                  <c:v>-46074.125337027348</c:v>
                </c:pt>
                <c:pt idx="14">
                  <c:v>-46134.176739899951</c:v>
                </c:pt>
                <c:pt idx="15">
                  <c:v>-46191.918473431302</c:v>
                </c:pt>
                <c:pt idx="16">
                  <c:v>-46247.439371057604</c:v>
                </c:pt>
                <c:pt idx="17">
                  <c:v>-46300.824849544435</c:v>
                </c:pt>
                <c:pt idx="18">
                  <c:v>-46352.157040397156</c:v>
                </c:pt>
                <c:pt idx="19">
                  <c:v>-46401.514916217078</c:v>
                </c:pt>
                <c:pt idx="20">
                  <c:v>-46448.974412197771</c:v>
                </c:pt>
                <c:pt idx="21">
                  <c:v>-46494.608542948437</c:v>
                </c:pt>
                <c:pt idx="22">
                  <c:v>-46538.487514824075</c:v>
                </c:pt>
                <c:pt idx="23">
                  <c:v>-46580.678833935272</c:v>
                </c:pt>
                <c:pt idx="24">
                  <c:v>-46621.247410003729</c:v>
                </c:pt>
                <c:pt idx="25">
                  <c:v>-46660.255656223395</c:v>
                </c:pt>
                <c:pt idx="26">
                  <c:v>-46697.763585280765</c:v>
                </c:pt>
                <c:pt idx="27">
                  <c:v>-46733.828901682085</c:v>
                </c:pt>
                <c:pt idx="28">
                  <c:v>-46768.507090529507</c:v>
                </c:pt>
                <c:pt idx="29">
                  <c:v>-46801.851502882797</c:v>
                </c:pt>
                <c:pt idx="30">
                  <c:v>39882.207233727211</c:v>
                </c:pt>
              </c:numCache>
            </c:numRef>
          </c:val>
          <c:smooth val="0"/>
          <c:extLst>
            <c:ext xmlns:c16="http://schemas.microsoft.com/office/drawing/2014/chart" uri="{C3380CC4-5D6E-409C-BE32-E72D297353CC}">
              <c16:uniqueId val="{00000001-6C4F-4FD6-9FF0-8ECA14882527}"/>
            </c:ext>
          </c:extLst>
        </c:ser>
        <c:ser>
          <c:idx val="1"/>
          <c:order val="2"/>
          <c:tx>
            <c:strRef>
              <c:f>'Tabular results'!$DA$17</c:f>
              <c:strCache>
                <c:ptCount val="1"/>
                <c:pt idx="0">
                  <c:v>Silvoarable (combined)</c:v>
                </c:pt>
              </c:strCache>
            </c:strRef>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[0]!U_dis_cum_net_silv</c:f>
              <c:numCache>
                <c:formatCode>0</c:formatCode>
                <c:ptCount val="31"/>
                <c:pt idx="1">
                  <c:v>5366.5534812087972</c:v>
                </c:pt>
                <c:pt idx="2">
                  <c:v>13445.321124198035</c:v>
                </c:pt>
                <c:pt idx="3">
                  <c:v>22661.211415593763</c:v>
                </c:pt>
                <c:pt idx="4">
                  <c:v>23231.919031435144</c:v>
                </c:pt>
                <c:pt idx="5">
                  <c:v>35888.052625233693</c:v>
                </c:pt>
                <c:pt idx="6">
                  <c:v>41078.255521909428</c:v>
                </c:pt>
                <c:pt idx="7">
                  <c:v>38164.891716271624</c:v>
                </c:pt>
                <c:pt idx="8">
                  <c:v>32144.995880861257</c:v>
                </c:pt>
                <c:pt idx="9">
                  <c:v>32679.48444994881</c:v>
                </c:pt>
                <c:pt idx="10">
                  <c:v>31910.960900333761</c:v>
                </c:pt>
                <c:pt idx="11">
                  <c:v>28518.435676128345</c:v>
                </c:pt>
                <c:pt idx="12">
                  <c:v>23803.032777246997</c:v>
                </c:pt>
                <c:pt idx="13">
                  <c:v>20904.109935492208</c:v>
                </c:pt>
                <c:pt idx="14">
                  <c:v>18789.470018195854</c:v>
                </c:pt>
                <c:pt idx="15">
                  <c:v>18731.728284664503</c:v>
                </c:pt>
                <c:pt idx="16">
                  <c:v>18676.207387038201</c:v>
                </c:pt>
                <c:pt idx="17">
                  <c:v>18622.821908551374</c:v>
                </c:pt>
                <c:pt idx="18">
                  <c:v>18571.489717698656</c:v>
                </c:pt>
                <c:pt idx="19">
                  <c:v>18522.131841878734</c:v>
                </c:pt>
                <c:pt idx="20">
                  <c:v>18474.672345898041</c:v>
                </c:pt>
                <c:pt idx="21">
                  <c:v>18429.038215147375</c:v>
                </c:pt>
                <c:pt idx="22">
                  <c:v>18385.159243271733</c:v>
                </c:pt>
                <c:pt idx="23">
                  <c:v>18342.967924160541</c:v>
                </c:pt>
                <c:pt idx="24">
                  <c:v>18302.399348092084</c:v>
                </c:pt>
                <c:pt idx="25">
                  <c:v>18263.391101872414</c:v>
                </c:pt>
                <c:pt idx="26">
                  <c:v>18225.88317281504</c:v>
                </c:pt>
                <c:pt idx="27">
                  <c:v>18189.81785641372</c:v>
                </c:pt>
                <c:pt idx="28">
                  <c:v>18155.139667566295</c:v>
                </c:pt>
                <c:pt idx="29">
                  <c:v>18121.795255213001</c:v>
                </c:pt>
                <c:pt idx="30">
                  <c:v>116729.00326703294</c:v>
                </c:pt>
              </c:numCache>
            </c:numRef>
          </c:val>
          <c:smooth val="0"/>
          <c:extLst>
            <c:ext xmlns:c16="http://schemas.microsoft.com/office/drawing/2014/chart" uri="{C3380CC4-5D6E-409C-BE32-E72D297353CC}">
              <c16:uniqueId val="{00000002-6C4F-4FD6-9FF0-8ECA14882527}"/>
            </c:ext>
          </c:extLst>
        </c:ser>
        <c:dLbls>
          <c:showLegendKey val="0"/>
          <c:showVal val="0"/>
          <c:showCatName val="0"/>
          <c:showSerName val="0"/>
          <c:showPercent val="0"/>
          <c:showBubbleSize val="0"/>
        </c:dLbls>
        <c:marker val="1"/>
        <c:smooth val="0"/>
        <c:axId val="1925436751"/>
        <c:axId val="1"/>
      </c:lineChart>
      <c:catAx>
        <c:axId val="1925436751"/>
        <c:scaling>
          <c:orientation val="minMax"/>
        </c:scaling>
        <c:delete val="0"/>
        <c:axPos val="b"/>
        <c:title>
          <c:tx>
            <c:rich>
              <a:bodyPr/>
              <a:lstStyle/>
              <a:p>
                <a:pPr>
                  <a:defRPr/>
                </a:pPr>
                <a:r>
                  <a:rPr lang="en-GB"/>
                  <a:t>Year from planting (a)</a:t>
                </a:r>
              </a:p>
            </c:rich>
          </c:tx>
          <c:layout>
            <c:manualLayout>
              <c:xMode val="edge"/>
              <c:yMode val="edge"/>
              <c:x val="0.391257819202252"/>
              <c:y val="0.8951396622988255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solidFill>
                      <a:sysClr val="windowText" lastClr="000000"/>
                    </a:solidFill>
                  </a:defRPr>
                </a:pPr>
                <a:r>
                  <a:rPr lang="en-GB">
                    <a:solidFill>
                      <a:sysClr val="windowText" lastClr="000000"/>
                    </a:solidFill>
                  </a:rPr>
                  <a:t>Net present value (£ unit</a:t>
                </a:r>
                <a:r>
                  <a:rPr lang="en-GB" baseline="30000">
                    <a:solidFill>
                      <a:sysClr val="windowText" lastClr="000000"/>
                    </a:solidFill>
                  </a:rPr>
                  <a:t>-1</a:t>
                </a:r>
                <a:r>
                  <a:rPr lang="en-GB">
                    <a:solidFill>
                      <a:sysClr val="windowText" lastClr="000000"/>
                    </a:solidFill>
                  </a:rPr>
                  <a:t>)</a:t>
                </a:r>
              </a:p>
            </c:rich>
          </c:tx>
          <c:layout>
            <c:manualLayout>
              <c:xMode val="edge"/>
              <c:yMode val="edge"/>
              <c:x val="1.706693378053915E-2"/>
              <c:y val="0.252109754232612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36751"/>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Pattern of forestry revenue and costs</a:t>
            </a:r>
          </a:p>
        </c:rich>
      </c:tx>
      <c:layout>
        <c:manualLayout>
          <c:xMode val="edge"/>
          <c:yMode val="edge"/>
          <c:x val="0.35058216150977523"/>
          <c:y val="4.9133011029976324E-2"/>
        </c:manualLayout>
      </c:layout>
      <c:overlay val="0"/>
      <c:spPr>
        <a:noFill/>
        <a:ln w="25400">
          <a:noFill/>
        </a:ln>
      </c:spPr>
    </c:title>
    <c:autoTitleDeleted val="0"/>
    <c:plotArea>
      <c:layout>
        <c:manualLayout>
          <c:layoutTarget val="inner"/>
          <c:xMode val="edge"/>
          <c:yMode val="edge"/>
          <c:x val="0.12305516265912306"/>
          <c:y val="0.10562258735815386"/>
          <c:w val="0.62160213616909288"/>
          <c:h val="0.76503661655608435"/>
        </c:manualLayout>
      </c:layout>
      <c:barChart>
        <c:barDir val="col"/>
        <c:grouping val="stacked"/>
        <c:varyColors val="0"/>
        <c:ser>
          <c:idx val="0"/>
          <c:order val="0"/>
          <c:tx>
            <c:strRef>
              <c:f>'Tabular results'!$BW$17</c:f>
              <c:strCache>
                <c:ptCount val="1"/>
                <c:pt idx="0">
                  <c:v>Forestry non-grant revenue</c:v>
                </c:pt>
              </c:strCache>
            </c:strRef>
          </c:tx>
          <c:spPr>
            <a:solidFill>
              <a:srgbClr val="9999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[0]!Ha_for_ngrant</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2788.9913946501542</c:v>
                </c:pt>
              </c:numCache>
            </c:numRef>
          </c:val>
          <c:extLst>
            <c:ext xmlns:c16="http://schemas.microsoft.com/office/drawing/2014/chart" uri="{C3380CC4-5D6E-409C-BE32-E72D297353CC}">
              <c16:uniqueId val="{00000000-37B2-4A75-895B-2380454214EF}"/>
            </c:ext>
          </c:extLst>
        </c:ser>
        <c:ser>
          <c:idx val="4"/>
          <c:order val="1"/>
          <c:tx>
            <c:strRef>
              <c:f>'Tabular results'!$BZ$17</c:f>
              <c:strCache>
                <c:ptCount val="1"/>
                <c:pt idx="0">
                  <c:v>Forestry grant revenue</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[0]!Ha_for_grant</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37B2-4A75-895B-2380454214EF}"/>
            </c:ext>
          </c:extLst>
        </c:ser>
        <c:ser>
          <c:idx val="3"/>
          <c:order val="2"/>
          <c:tx>
            <c:strRef>
              <c:f>'Tabular results'!$CC$17</c:f>
              <c:strCache>
                <c:ptCount val="1"/>
                <c:pt idx="0">
                  <c:v>Forestry costs</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[0]!Ha_for_costs</c:f>
              <c:numCache>
                <c:formatCode>0</c:formatCode>
                <c:ptCount val="31"/>
                <c:pt idx="1">
                  <c:v>-706.68363636363631</c:v>
                </c:pt>
                <c:pt idx="2">
                  <c:v>-60.576923076923073</c:v>
                </c:pt>
                <c:pt idx="3">
                  <c:v>-25.625138934135393</c:v>
                </c:pt>
                <c:pt idx="4">
                  <c:v>-2.6669890760127446</c:v>
                </c:pt>
                <c:pt idx="5">
                  <c:v>-2.5644125730891769</c:v>
                </c:pt>
                <c:pt idx="6">
                  <c:v>-78.793342150873343</c:v>
                </c:pt>
                <c:pt idx="7">
                  <c:v>-2.3709435771904372</c:v>
                </c:pt>
                <c:pt idx="8">
                  <c:v>-124.63575175560653</c:v>
                </c:pt>
                <c:pt idx="9">
                  <c:v>-169.63714373191311</c:v>
                </c:pt>
                <c:pt idx="10">
                  <c:v>-2.1077602067364913</c:v>
                </c:pt>
                <c:pt idx="11">
                  <c:v>-202.87742092090488</c:v>
                </c:pt>
                <c:pt idx="12">
                  <c:v>-1.9487427946898037</c:v>
                </c:pt>
                <c:pt idx="13">
                  <c:v>-1.8737911487401955</c:v>
                </c:pt>
                <c:pt idx="14">
                  <c:v>-1.801722258404034</c:v>
                </c:pt>
                <c:pt idx="15">
                  <c:v>-1.7324252484654172</c:v>
                </c:pt>
                <c:pt idx="16">
                  <c:v>-1.6657935081398245</c:v>
                </c:pt>
                <c:pt idx="17">
                  <c:v>-1.6017245270575231</c:v>
                </c:pt>
                <c:pt idx="18">
                  <c:v>-1.5401197375553106</c:v>
                </c:pt>
                <c:pt idx="19">
                  <c:v>-1.4808843630339525</c:v>
                </c:pt>
                <c:pt idx="20">
                  <c:v>-1.4239272721480312</c:v>
                </c:pt>
                <c:pt idx="21">
                  <c:v>-1.3691608386038763</c:v>
                </c:pt>
                <c:pt idx="22">
                  <c:v>-1.3165008063498806</c:v>
                </c:pt>
                <c:pt idx="23">
                  <c:v>-1.2658661599518084</c:v>
                </c:pt>
                <c:pt idx="24">
                  <c:v>-1.217178999953662</c:v>
                </c:pt>
                <c:pt idx="25">
                  <c:v>-1.1703644230323671</c:v>
                </c:pt>
                <c:pt idx="26">
                  <c:v>-1.1253504067618914</c:v>
                </c:pt>
                <c:pt idx="27">
                  <c:v>-1.082067698809511</c:v>
                </c:pt>
                <c:pt idx="28">
                  <c:v>-1.0404497103937604</c:v>
                </c:pt>
                <c:pt idx="29">
                  <c:v>-1.0004324138401541</c:v>
                </c:pt>
                <c:pt idx="30">
                  <c:v>-188.20955436782592</c:v>
                </c:pt>
              </c:numCache>
            </c:numRef>
          </c:val>
          <c:extLst>
            <c:ext xmlns:c16="http://schemas.microsoft.com/office/drawing/2014/chart" uri="{C3380CC4-5D6E-409C-BE32-E72D297353CC}">
              <c16:uniqueId val="{00000002-37B2-4A75-895B-2380454214EF}"/>
            </c:ext>
          </c:extLst>
        </c:ser>
        <c:dLbls>
          <c:showLegendKey val="0"/>
          <c:showVal val="0"/>
          <c:showCatName val="0"/>
          <c:showSerName val="0"/>
          <c:showPercent val="0"/>
          <c:showBubbleSize val="0"/>
        </c:dLbls>
        <c:gapWidth val="0"/>
        <c:overlap val="100"/>
        <c:axId val="2000594047"/>
        <c:axId val="1"/>
      </c:barChart>
      <c:catAx>
        <c:axId val="2000594047"/>
        <c:scaling>
          <c:orientation val="minMax"/>
        </c:scaling>
        <c:delete val="0"/>
        <c:axPos val="b"/>
        <c:title>
          <c:tx>
            <c:rich>
              <a:bodyPr/>
              <a:lstStyle/>
              <a:p>
                <a:pPr>
                  <a:defRPr/>
                </a:pPr>
                <a:r>
                  <a:rPr lang="en-GB"/>
                  <a:t>Year from planting (a)</a:t>
                </a:r>
              </a:p>
            </c:rich>
          </c:tx>
          <c:layout>
            <c:manualLayout>
              <c:xMode val="edge"/>
              <c:yMode val="edge"/>
              <c:x val="0.42715693987426201"/>
              <c:y val="0.8404057977389697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Annual discounted values (£ ha</a:t>
                </a:r>
                <a:r>
                  <a:rPr lang="en-GB" baseline="30000"/>
                  <a:t>-1</a:t>
                </a:r>
                <a:r>
                  <a:rPr lang="en-GB"/>
                  <a:t>)</a:t>
                </a:r>
              </a:p>
            </c:rich>
          </c:tx>
          <c:layout>
            <c:manualLayout>
              <c:xMode val="edge"/>
              <c:yMode val="edge"/>
              <c:x val="2.3834177867665198E-2"/>
              <c:y val="0.2141418108272625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594047"/>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Pattern of silvoarable revenue and costs</a:t>
            </a:r>
          </a:p>
        </c:rich>
      </c:tx>
      <c:layout>
        <c:manualLayout>
          <c:xMode val="edge"/>
          <c:yMode val="edge"/>
          <c:x val="0.33403195146282361"/>
          <c:y val="3.0060200231203794E-2"/>
        </c:manualLayout>
      </c:layout>
      <c:overlay val="0"/>
      <c:spPr>
        <a:noFill/>
        <a:ln w="25400">
          <a:noFill/>
        </a:ln>
      </c:spPr>
    </c:title>
    <c:autoTitleDeleted val="0"/>
    <c:plotArea>
      <c:layout>
        <c:manualLayout>
          <c:layoutTarget val="inner"/>
          <c:xMode val="edge"/>
          <c:yMode val="edge"/>
          <c:x val="0.15157318652822374"/>
          <c:y val="9.5010142430257155E-2"/>
          <c:w val="0.57251861338254473"/>
          <c:h val="0.74022444216633598"/>
        </c:manualLayout>
      </c:layout>
      <c:barChart>
        <c:barDir val="col"/>
        <c:grouping val="stacked"/>
        <c:varyColors val="0"/>
        <c:ser>
          <c:idx val="0"/>
          <c:order val="0"/>
          <c:tx>
            <c:strRef>
              <c:f>'Tabular results'!$BX$17</c:f>
              <c:strCache>
                <c:ptCount val="1"/>
                <c:pt idx="0">
                  <c:v>Silvoarable non-grant revenue</c:v>
                </c:pt>
              </c:strCache>
            </c:strRef>
          </c:tx>
          <c:spPr>
            <a:solidFill>
              <a:srgbClr val="9999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[0]!Ha_sil_ngrant</c:f>
              <c:numCache>
                <c:formatCode>0</c:formatCode>
                <c:ptCount val="31"/>
                <c:pt idx="1">
                  <c:v>1902.7277499999998</c:v>
                </c:pt>
                <c:pt idx="2">
                  <c:v>1490.2091346153848</c:v>
                </c:pt>
                <c:pt idx="3">
                  <c:v>1335.3894230769231</c:v>
                </c:pt>
                <c:pt idx="4">
                  <c:v>1064.6842640532543</c:v>
                </c:pt>
                <c:pt idx="5">
                  <c:v>1454.83890804714</c:v>
                </c:pt>
                <c:pt idx="6">
                  <c:v>1238.4158596324405</c:v>
                </c:pt>
                <c:pt idx="7">
                  <c:v>805.20824006188786</c:v>
                </c:pt>
                <c:pt idx="8">
                  <c:v>793.27820520163368</c:v>
                </c:pt>
                <c:pt idx="9">
                  <c:v>1042.3873019615251</c:v>
                </c:pt>
                <c:pt idx="10">
                  <c:v>860.60973379827885</c:v>
                </c:pt>
                <c:pt idx="11">
                  <c:v>661.22758248243645</c:v>
                </c:pt>
                <c:pt idx="12">
                  <c:v>747.76508936905589</c:v>
                </c:pt>
                <c:pt idx="13">
                  <c:v>698.60102565619752</c:v>
                </c:pt>
                <c:pt idx="14">
                  <c:v>691.91735076068119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3079.5045587076711</c:v>
                </c:pt>
              </c:numCache>
            </c:numRef>
          </c:val>
          <c:extLst>
            <c:ext xmlns:c16="http://schemas.microsoft.com/office/drawing/2014/chart" uri="{C3380CC4-5D6E-409C-BE32-E72D297353CC}">
              <c16:uniqueId val="{00000000-847C-4040-AC44-EFA9660A48AD}"/>
            </c:ext>
          </c:extLst>
        </c:ser>
        <c:ser>
          <c:idx val="4"/>
          <c:order val="1"/>
          <c:tx>
            <c:strRef>
              <c:f>'Tabular results'!$CA$17</c:f>
              <c:strCache>
                <c:ptCount val="1"/>
                <c:pt idx="0">
                  <c:v>Silvoarable grant revenue</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[0]!Ha_sil_grant</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847C-4040-AC44-EFA9660A48AD}"/>
            </c:ext>
          </c:extLst>
        </c:ser>
        <c:ser>
          <c:idx val="3"/>
          <c:order val="2"/>
          <c:tx>
            <c:strRef>
              <c:f>'Tabular results'!$CD$17</c:f>
              <c:strCache>
                <c:ptCount val="1"/>
                <c:pt idx="0">
                  <c:v>Silvoarable costs</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[0]!Ha_sil_costs</c:f>
              <c:numCache>
                <c:formatCode>0</c:formatCode>
                <c:ptCount val="31"/>
                <c:pt idx="1">
                  <c:v>-1741.7150442931652</c:v>
                </c:pt>
                <c:pt idx="2">
                  <c:v>-1247.8218665989059</c:v>
                </c:pt>
                <c:pt idx="3">
                  <c:v>-1058.8850638991335</c:v>
                </c:pt>
                <c:pt idx="4">
                  <c:v>-1047.561323283936</c:v>
                </c:pt>
                <c:pt idx="5">
                  <c:v>-1075.1169280351821</c:v>
                </c:pt>
                <c:pt idx="6">
                  <c:v>-1082.6942005662618</c:v>
                </c:pt>
                <c:pt idx="7">
                  <c:v>-892.61789519653541</c:v>
                </c:pt>
                <c:pt idx="8">
                  <c:v>-973.89314175760023</c:v>
                </c:pt>
                <c:pt idx="9">
                  <c:v>-1026.3510412628284</c:v>
                </c:pt>
                <c:pt idx="10">
                  <c:v>-883.66774608795936</c:v>
                </c:pt>
                <c:pt idx="11">
                  <c:v>-763.01351780213088</c:v>
                </c:pt>
                <c:pt idx="12">
                  <c:v>-889.24132395895526</c:v>
                </c:pt>
                <c:pt idx="13">
                  <c:v>-785.57740854713029</c:v>
                </c:pt>
                <c:pt idx="14">
                  <c:v>-755.36289283377914</c:v>
                </c:pt>
                <c:pt idx="15">
                  <c:v>-1.7324252484654172</c:v>
                </c:pt>
                <c:pt idx="16">
                  <c:v>-1.6657935081398245</c:v>
                </c:pt>
                <c:pt idx="17">
                  <c:v>-1.6017245270575231</c:v>
                </c:pt>
                <c:pt idx="18">
                  <c:v>-1.5401197375553106</c:v>
                </c:pt>
                <c:pt idx="19">
                  <c:v>-1.4808843630339525</c:v>
                </c:pt>
                <c:pt idx="20">
                  <c:v>-1.4239272721480312</c:v>
                </c:pt>
                <c:pt idx="21">
                  <c:v>-1.3691608386038763</c:v>
                </c:pt>
                <c:pt idx="22">
                  <c:v>-1.3165008063498806</c:v>
                </c:pt>
                <c:pt idx="23">
                  <c:v>-1.2658661599518084</c:v>
                </c:pt>
                <c:pt idx="24">
                  <c:v>-1.217178999953662</c:v>
                </c:pt>
                <c:pt idx="25">
                  <c:v>-1.1703644230323671</c:v>
                </c:pt>
                <c:pt idx="26">
                  <c:v>-1.1253504067618914</c:v>
                </c:pt>
                <c:pt idx="27">
                  <c:v>-1.082067698809511</c:v>
                </c:pt>
                <c:pt idx="28">
                  <c:v>-1.0404497103937604</c:v>
                </c:pt>
                <c:pt idx="29">
                  <c:v>-1.0004324138401541</c:v>
                </c:pt>
                <c:pt idx="30">
                  <c:v>-120.99246714391607</c:v>
                </c:pt>
              </c:numCache>
            </c:numRef>
          </c:val>
          <c:extLst>
            <c:ext xmlns:c16="http://schemas.microsoft.com/office/drawing/2014/chart" uri="{C3380CC4-5D6E-409C-BE32-E72D297353CC}">
              <c16:uniqueId val="{00000002-847C-4040-AC44-EFA9660A48AD}"/>
            </c:ext>
          </c:extLst>
        </c:ser>
        <c:dLbls>
          <c:showLegendKey val="0"/>
          <c:showVal val="0"/>
          <c:showCatName val="0"/>
          <c:showSerName val="0"/>
          <c:showPercent val="0"/>
          <c:showBubbleSize val="0"/>
        </c:dLbls>
        <c:gapWidth val="0"/>
        <c:overlap val="100"/>
        <c:axId val="2000583375"/>
        <c:axId val="1"/>
      </c:barChart>
      <c:catAx>
        <c:axId val="2000583375"/>
        <c:scaling>
          <c:orientation val="minMax"/>
        </c:scaling>
        <c:delete val="0"/>
        <c:axPos val="b"/>
        <c:title>
          <c:tx>
            <c:rich>
              <a:bodyPr/>
              <a:lstStyle/>
              <a:p>
                <a:pPr>
                  <a:defRPr/>
                </a:pPr>
                <a:r>
                  <a:rPr lang="en-GB"/>
                  <a:t>Year from planting (a)</a:t>
                </a:r>
              </a:p>
            </c:rich>
          </c:tx>
          <c:layout>
            <c:manualLayout>
              <c:xMode val="edge"/>
              <c:yMode val="edge"/>
              <c:x val="0.43472401177125591"/>
              <c:y val="0.72545370100342399"/>
            </c:manualLayout>
          </c:layout>
          <c:overlay val="0"/>
          <c:spPr>
            <a:noFill/>
            <a:ln w="25400">
              <a:noFill/>
            </a:ln>
          </c:spPr>
        </c:title>
        <c:numFmt formatCode="General" sourceLinked="1"/>
        <c:majorTickMark val="out"/>
        <c:minorTickMark val="out"/>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Annual discounted values (£ ha</a:t>
                </a:r>
                <a:r>
                  <a:rPr lang="en-GB" baseline="30000"/>
                  <a:t>-1</a:t>
                </a:r>
                <a:r>
                  <a:rPr lang="en-GB"/>
                  <a:t>)</a:t>
                </a:r>
              </a:p>
            </c:rich>
          </c:tx>
          <c:layout>
            <c:manualLayout>
              <c:xMode val="edge"/>
              <c:yMode val="edge"/>
              <c:x val="3.7546941570804425E-2"/>
              <c:y val="0.2252377206552682"/>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583375"/>
        <c:crosses val="autoZero"/>
        <c:crossBetween val="between"/>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Pattern of grant revenue</a:t>
            </a:r>
          </a:p>
        </c:rich>
      </c:tx>
      <c:layout>
        <c:manualLayout>
          <c:xMode val="edge"/>
          <c:yMode val="edge"/>
          <c:x val="0.38224372088071989"/>
          <c:y val="4.6767070782818818E-2"/>
        </c:manualLayout>
      </c:layout>
      <c:overlay val="0"/>
      <c:spPr>
        <a:noFill/>
        <a:ln w="25400">
          <a:noFill/>
        </a:ln>
      </c:spPr>
    </c:title>
    <c:autoTitleDeleted val="0"/>
    <c:plotArea>
      <c:layout>
        <c:manualLayout>
          <c:layoutTarget val="inner"/>
          <c:xMode val="edge"/>
          <c:yMode val="edge"/>
          <c:x val="0.14429674102045806"/>
          <c:y val="7.9096190663603946E-2"/>
          <c:w val="0.61390474373073134"/>
          <c:h val="0.69249510477856924"/>
        </c:manualLayout>
      </c:layout>
      <c:barChart>
        <c:barDir val="col"/>
        <c:grouping val="clustered"/>
        <c:varyColors val="0"/>
        <c:ser>
          <c:idx val="3"/>
          <c:order val="0"/>
          <c:tx>
            <c:strRef>
              <c:f>'Tabular results'!$BY$17</c:f>
              <c:strCache>
                <c:ptCount val="1"/>
                <c:pt idx="0">
                  <c:v>Arable grant revenue</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[0]!Ha_arab_grant</c:f>
              <c:numCache>
                <c:formatCode>0</c:formatCode>
                <c:ptCount val="31"/>
                <c:pt idx="1">
                  <c:v>235.2</c:v>
                </c:pt>
                <c:pt idx="2">
                  <c:v>226.15384615384613</c:v>
                </c:pt>
                <c:pt idx="3">
                  <c:v>217.45562130177512</c:v>
                </c:pt>
                <c:pt idx="4">
                  <c:v>209.09194355939914</c:v>
                </c:pt>
                <c:pt idx="5">
                  <c:v>201.04994573019147</c:v>
                </c:pt>
                <c:pt idx="6">
                  <c:v>193.31725550979948</c:v>
                </c:pt>
                <c:pt idx="7">
                  <c:v>185.88197645173025</c:v>
                </c:pt>
                <c:pt idx="8">
                  <c:v>178.73266966512526</c:v>
                </c:pt>
                <c:pt idx="9">
                  <c:v>171.85833621646657</c:v>
                </c:pt>
                <c:pt idx="10">
                  <c:v>165.24840020814094</c:v>
                </c:pt>
                <c:pt idx="11">
                  <c:v>158.8926925078278</c:v>
                </c:pt>
                <c:pt idx="12">
                  <c:v>152.78143510368059</c:v>
                </c:pt>
                <c:pt idx="13">
                  <c:v>146.9052260612313</c:v>
                </c:pt>
                <c:pt idx="14">
                  <c:v>141.25502505887627</c:v>
                </c:pt>
                <c:pt idx="15">
                  <c:v>135.8221394796887</c:v>
                </c:pt>
                <c:pt idx="16">
                  <c:v>130.59821103816222</c:v>
                </c:pt>
                <c:pt idx="17">
                  <c:v>125.57520292130981</c:v>
                </c:pt>
                <c:pt idx="18">
                  <c:v>120.74538742433636</c:v>
                </c:pt>
                <c:pt idx="19">
                  <c:v>116.10133406186186</c:v>
                </c:pt>
                <c:pt idx="20">
                  <c:v>111.63589813640564</c:v>
                </c:pt>
                <c:pt idx="21">
                  <c:v>107.34220974654389</c:v>
                </c:pt>
                <c:pt idx="22">
                  <c:v>103.21366321783063</c:v>
                </c:pt>
                <c:pt idx="23">
                  <c:v>99.243906940221777</c:v>
                </c:pt>
                <c:pt idx="24">
                  <c:v>95.426833596367089</c:v>
                </c:pt>
                <c:pt idx="25">
                  <c:v>91.756570765737578</c:v>
                </c:pt>
                <c:pt idx="26">
                  <c:v>88.227471890132279</c:v>
                </c:pt>
                <c:pt idx="27">
                  <c:v>84.834107586665652</c:v>
                </c:pt>
                <c:pt idx="28">
                  <c:v>81.571257294870819</c:v>
                </c:pt>
                <c:pt idx="29">
                  <c:v>78.433901245068085</c:v>
                </c:pt>
                <c:pt idx="30">
                  <c:v>75.41721273564238</c:v>
                </c:pt>
              </c:numCache>
            </c:numRef>
          </c:val>
          <c:extLst>
            <c:ext xmlns:c16="http://schemas.microsoft.com/office/drawing/2014/chart" uri="{C3380CC4-5D6E-409C-BE32-E72D297353CC}">
              <c16:uniqueId val="{00000002-5A56-4122-9DCA-19F4EF904A32}"/>
            </c:ext>
          </c:extLst>
        </c:ser>
        <c:ser>
          <c:idx val="4"/>
          <c:order val="1"/>
          <c:tx>
            <c:strRef>
              <c:f>'Tabular results'!$BZ$17</c:f>
              <c:strCache>
                <c:ptCount val="1"/>
                <c:pt idx="0">
                  <c:v>Forestry grant revenue</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[0]!Ha_for_grant</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5A56-4122-9DCA-19F4EF904A32}"/>
            </c:ext>
          </c:extLst>
        </c:ser>
        <c:ser>
          <c:idx val="0"/>
          <c:order val="2"/>
          <c:tx>
            <c:strRef>
              <c:f>'Tabular results'!$CA$17</c:f>
              <c:strCache>
                <c:ptCount val="1"/>
                <c:pt idx="0">
                  <c:v>Silvoarable grant revenue</c:v>
                </c:pt>
              </c:strCache>
            </c:strRef>
          </c:tx>
          <c:spPr>
            <a:solidFill>
              <a:srgbClr val="9999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[0]!Ha_sil_grant</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A56-4122-9DCA-19F4EF904A32}"/>
            </c:ext>
          </c:extLst>
        </c:ser>
        <c:dLbls>
          <c:showLegendKey val="0"/>
          <c:showVal val="0"/>
          <c:showCatName val="0"/>
          <c:showSerName val="0"/>
          <c:showPercent val="0"/>
          <c:showBubbleSize val="0"/>
        </c:dLbls>
        <c:gapWidth val="0"/>
        <c:overlap val="50"/>
        <c:axId val="2000600079"/>
        <c:axId val="1"/>
      </c:barChart>
      <c:catAx>
        <c:axId val="2000600079"/>
        <c:scaling>
          <c:orientation val="minMax"/>
        </c:scaling>
        <c:delete val="0"/>
        <c:axPos val="b"/>
        <c:title>
          <c:tx>
            <c:rich>
              <a:bodyPr/>
              <a:lstStyle/>
              <a:p>
                <a:pPr>
                  <a:defRPr/>
                </a:pPr>
                <a:r>
                  <a:rPr lang="en-GB"/>
                  <a:t>Year from planting (a)</a:t>
                </a:r>
              </a:p>
            </c:rich>
          </c:tx>
          <c:layout>
            <c:manualLayout>
              <c:xMode val="edge"/>
              <c:yMode val="edge"/>
              <c:x val="0.40625450914386807"/>
              <c:y val="0.8439617964421114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Annual discounted values (£ ha</a:t>
                </a:r>
                <a:r>
                  <a:rPr lang="en-GB" baseline="30000"/>
                  <a:t>-1</a:t>
                </a:r>
                <a:r>
                  <a:rPr lang="en-GB"/>
                  <a:t>)</a:t>
                </a:r>
              </a:p>
            </c:rich>
          </c:tx>
          <c:layout>
            <c:manualLayout>
              <c:xMode val="edge"/>
              <c:yMode val="edge"/>
              <c:x val="3.4956866218942943E-2"/>
              <c:y val="0.2241662610141341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600079"/>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Pattern of non-grant revenue</a:t>
            </a:r>
          </a:p>
        </c:rich>
      </c:tx>
      <c:layout>
        <c:manualLayout>
          <c:xMode val="edge"/>
          <c:yMode val="edge"/>
          <c:x val="0.37729321435287738"/>
          <c:y val="3.7715859774953876E-2"/>
        </c:manualLayout>
      </c:layout>
      <c:overlay val="0"/>
      <c:spPr>
        <a:noFill/>
        <a:ln w="25400">
          <a:noFill/>
        </a:ln>
      </c:spPr>
    </c:title>
    <c:autoTitleDeleted val="0"/>
    <c:plotArea>
      <c:layout>
        <c:manualLayout>
          <c:layoutTarget val="inner"/>
          <c:xMode val="edge"/>
          <c:yMode val="edge"/>
          <c:x val="0.14620689655172414"/>
          <c:y val="0.12290525144256911"/>
          <c:w val="0.57606058286125605"/>
          <c:h val="0.63739611756451231"/>
        </c:manualLayout>
      </c:layout>
      <c:barChart>
        <c:barDir val="col"/>
        <c:grouping val="clustered"/>
        <c:varyColors val="0"/>
        <c:ser>
          <c:idx val="3"/>
          <c:order val="0"/>
          <c:tx>
            <c:strRef>
              <c:f>'Tabular results'!$BV$17</c:f>
              <c:strCache>
                <c:ptCount val="1"/>
                <c:pt idx="0">
                  <c:v>Arable non-grant revenue</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[0]!Ha_arab_ngrant</c:f>
              <c:numCache>
                <c:formatCode>0</c:formatCode>
                <c:ptCount val="31"/>
                <c:pt idx="1">
                  <c:v>1870.7033750066644</c:v>
                </c:pt>
                <c:pt idx="2">
                  <c:v>1464.9274756639982</c:v>
                </c:pt>
                <c:pt idx="3">
                  <c:v>1461.0603685884407</c:v>
                </c:pt>
                <c:pt idx="4">
                  <c:v>1080.6404382374064</c:v>
                </c:pt>
                <c:pt idx="5">
                  <c:v>1614.9516967339266</c:v>
                </c:pt>
                <c:pt idx="6">
                  <c:v>1415.9765776402235</c:v>
                </c:pt>
                <c:pt idx="7">
                  <c:v>1131.7313275096287</c:v>
                </c:pt>
                <c:pt idx="8">
                  <c:v>877.15055267813011</c:v>
                </c:pt>
                <c:pt idx="9">
                  <c:v>1357.4032692675023</c:v>
                </c:pt>
                <c:pt idx="10">
                  <c:v>1164.8531816946229</c:v>
                </c:pt>
                <c:pt idx="11">
                  <c:v>1212.0932076554141</c:v>
                </c:pt>
                <c:pt idx="12">
                  <c:v>831.95880034118557</c:v>
                </c:pt>
                <c:pt idx="13">
                  <c:v>939.64275315923817</c:v>
                </c:pt>
                <c:pt idx="14">
                  <c:v>1052.1126018679283</c:v>
                </c:pt>
                <c:pt idx="15">
                  <c:v>913.41906617214954</c:v>
                </c:pt>
                <c:pt idx="16">
                  <c:v>725.27804662883136</c:v>
                </c:pt>
                <c:pt idx="17">
                  <c:v>926.91475362032895</c:v>
                </c:pt>
                <c:pt idx="18">
                  <c:v>675.74033921250498</c:v>
                </c:pt>
                <c:pt idx="19">
                  <c:v>848.56729800766402</c:v>
                </c:pt>
                <c:pt idx="20">
                  <c:v>623.95641847274533</c:v>
                </c:pt>
                <c:pt idx="21">
                  <c:v>675.28246552966539</c:v>
                </c:pt>
                <c:pt idx="22">
                  <c:v>726.79424706759585</c:v>
                </c:pt>
                <c:pt idx="23">
                  <c:v>243.07221280034079</c:v>
                </c:pt>
                <c:pt idx="24">
                  <c:v>481.73660011021838</c:v>
                </c:pt>
                <c:pt idx="25">
                  <c:v>713.7353102546947</c:v>
                </c:pt>
                <c:pt idx="26">
                  <c:v>509.29850931519667</c:v>
                </c:pt>
                <c:pt idx="27">
                  <c:v>127.89417022876084</c:v>
                </c:pt>
                <c:pt idx="28">
                  <c:v>468.46729880796357</c:v>
                </c:pt>
                <c:pt idx="29">
                  <c:v>501.99716452279</c:v>
                </c:pt>
                <c:pt idx="30">
                  <c:v>592.39389338904869</c:v>
                </c:pt>
              </c:numCache>
            </c:numRef>
          </c:val>
          <c:extLst>
            <c:ext xmlns:c16="http://schemas.microsoft.com/office/drawing/2014/chart" uri="{C3380CC4-5D6E-409C-BE32-E72D297353CC}">
              <c16:uniqueId val="{00000002-626D-4ADC-B1A6-AB4A149A26AE}"/>
            </c:ext>
          </c:extLst>
        </c:ser>
        <c:ser>
          <c:idx val="4"/>
          <c:order val="1"/>
          <c:tx>
            <c:strRef>
              <c:f>'Tabular results'!$BW$17</c:f>
              <c:strCache>
                <c:ptCount val="1"/>
                <c:pt idx="0">
                  <c:v>Forestry non-grant revenue</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[0]!Ha_for_ngrant</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2788.9913946501542</c:v>
                </c:pt>
              </c:numCache>
            </c:numRef>
          </c:val>
          <c:extLst>
            <c:ext xmlns:c16="http://schemas.microsoft.com/office/drawing/2014/chart" uri="{C3380CC4-5D6E-409C-BE32-E72D297353CC}">
              <c16:uniqueId val="{00000001-626D-4ADC-B1A6-AB4A149A26AE}"/>
            </c:ext>
          </c:extLst>
        </c:ser>
        <c:ser>
          <c:idx val="0"/>
          <c:order val="2"/>
          <c:tx>
            <c:strRef>
              <c:f>'Tabular results'!$BX$17</c:f>
              <c:strCache>
                <c:ptCount val="1"/>
                <c:pt idx="0">
                  <c:v>Silvoarable non-grant revenue</c:v>
                </c:pt>
              </c:strCache>
            </c:strRef>
          </c:tx>
          <c:spPr>
            <a:solidFill>
              <a:srgbClr val="9999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[0]!Ha_sil_ngrant</c:f>
              <c:numCache>
                <c:formatCode>0</c:formatCode>
                <c:ptCount val="31"/>
                <c:pt idx="1">
                  <c:v>1902.7277499999998</c:v>
                </c:pt>
                <c:pt idx="2">
                  <c:v>1490.2091346153848</c:v>
                </c:pt>
                <c:pt idx="3">
                  <c:v>1335.3894230769231</c:v>
                </c:pt>
                <c:pt idx="4">
                  <c:v>1064.6842640532543</c:v>
                </c:pt>
                <c:pt idx="5">
                  <c:v>1454.83890804714</c:v>
                </c:pt>
                <c:pt idx="6">
                  <c:v>1238.4158596324405</c:v>
                </c:pt>
                <c:pt idx="7">
                  <c:v>805.20824006188786</c:v>
                </c:pt>
                <c:pt idx="8">
                  <c:v>793.27820520163368</c:v>
                </c:pt>
                <c:pt idx="9">
                  <c:v>1042.3873019615251</c:v>
                </c:pt>
                <c:pt idx="10">
                  <c:v>860.60973379827885</c:v>
                </c:pt>
                <c:pt idx="11">
                  <c:v>661.22758248243645</c:v>
                </c:pt>
                <c:pt idx="12">
                  <c:v>747.76508936905589</c:v>
                </c:pt>
                <c:pt idx="13">
                  <c:v>698.60102565619752</c:v>
                </c:pt>
                <c:pt idx="14">
                  <c:v>691.91735076068119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3079.5045587076711</c:v>
                </c:pt>
              </c:numCache>
            </c:numRef>
          </c:val>
          <c:extLst>
            <c:ext xmlns:c16="http://schemas.microsoft.com/office/drawing/2014/chart" uri="{C3380CC4-5D6E-409C-BE32-E72D297353CC}">
              <c16:uniqueId val="{00000000-626D-4ADC-B1A6-AB4A149A26AE}"/>
            </c:ext>
          </c:extLst>
        </c:ser>
        <c:dLbls>
          <c:showLegendKey val="0"/>
          <c:showVal val="0"/>
          <c:showCatName val="0"/>
          <c:showSerName val="0"/>
          <c:showPercent val="0"/>
          <c:showBubbleSize val="0"/>
        </c:dLbls>
        <c:gapWidth val="0"/>
        <c:overlap val="50"/>
        <c:axId val="2000592655"/>
        <c:axId val="1"/>
      </c:barChart>
      <c:catAx>
        <c:axId val="2000592655"/>
        <c:scaling>
          <c:orientation val="minMax"/>
        </c:scaling>
        <c:delete val="0"/>
        <c:axPos val="b"/>
        <c:title>
          <c:tx>
            <c:rich>
              <a:bodyPr/>
              <a:lstStyle/>
              <a:p>
                <a:pPr>
                  <a:defRPr/>
                </a:pPr>
                <a:r>
                  <a:rPr lang="en-GB"/>
                  <a:t>Year from planting (a)</a:t>
                </a:r>
              </a:p>
            </c:rich>
          </c:tx>
          <c:layout>
            <c:manualLayout>
              <c:xMode val="edge"/>
              <c:yMode val="edge"/>
              <c:x val="0.40419327738005534"/>
              <c:y val="0.826728411423819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Annual discounted values (£ ha</a:t>
                </a:r>
                <a:r>
                  <a:rPr lang="en-GB" baseline="30000"/>
                  <a:t>-1</a:t>
                </a:r>
                <a:r>
                  <a:rPr lang="en-GB"/>
                  <a:t>)</a:t>
                </a:r>
              </a:p>
            </c:rich>
          </c:tx>
          <c:layout>
            <c:manualLayout>
              <c:xMode val="edge"/>
              <c:yMode val="edge"/>
              <c:x val="3.2140829877566779E-2"/>
              <c:y val="0.1969472726800239"/>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592655"/>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Discounted cumulative net margins of silvoarable, including and excluding standing trees</a:t>
            </a:r>
          </a:p>
        </c:rich>
      </c:tx>
      <c:layout>
        <c:manualLayout>
          <c:xMode val="edge"/>
          <c:yMode val="edge"/>
          <c:x val="0.17677032497262601"/>
          <c:y val="2.8463016926033851E-2"/>
        </c:manualLayout>
      </c:layout>
      <c:overlay val="0"/>
      <c:spPr>
        <a:noFill/>
        <a:ln w="25400">
          <a:noFill/>
        </a:ln>
      </c:spPr>
    </c:title>
    <c:autoTitleDeleted val="0"/>
    <c:plotArea>
      <c:layout>
        <c:manualLayout>
          <c:layoutTarget val="inner"/>
          <c:xMode val="edge"/>
          <c:yMode val="edge"/>
          <c:x val="0.12046795558622184"/>
          <c:y val="0.12322034328885176"/>
          <c:w val="0.59288811709053546"/>
          <c:h val="0.73084174377777211"/>
        </c:manualLayout>
      </c:layout>
      <c:lineChart>
        <c:grouping val="standard"/>
        <c:varyColors val="0"/>
        <c:ser>
          <c:idx val="2"/>
          <c:order val="0"/>
          <c:tx>
            <c:v>Forestry (including stand)</c:v>
          </c:tx>
          <c:spPr>
            <a:ln w="12700">
              <a:solidFill>
                <a:srgbClr val="008000"/>
              </a:solidFill>
            </a:ln>
          </c:spPr>
          <c:marker>
            <c:symbol val="triangle"/>
            <c:size val="7"/>
            <c:spPr>
              <a:noFill/>
              <a:ln>
                <a:solidFill>
                  <a:srgbClr val="008000"/>
                </a:solidFill>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[0]!Ha_dis_cum_net_for_istand</c:f>
              <c:numCache>
                <c:formatCode>0</c:formatCode>
                <c:ptCount val="31"/>
                <c:pt idx="1">
                  <c:v>-706.37202929513376</c:v>
                </c:pt>
                <c:pt idx="2">
                  <c:v>-766.66968793607464</c:v>
                </c:pt>
                <c:pt idx="3">
                  <c:v>-791.69791413196663</c:v>
                </c:pt>
                <c:pt idx="4">
                  <c:v>-793.2512728380151</c:v>
                </c:pt>
                <c:pt idx="5">
                  <c:v>-793.79717723829197</c:v>
                </c:pt>
                <c:pt idx="6">
                  <c:v>-868.30234672227562</c:v>
                </c:pt>
                <c:pt idx="7">
                  <c:v>-858.83999838728323</c:v>
                </c:pt>
                <c:pt idx="8">
                  <c:v>-971.49422698934745</c:v>
                </c:pt>
                <c:pt idx="9">
                  <c:v>-1112.0111052629718</c:v>
                </c:pt>
                <c:pt idx="10">
                  <c:v>-1073.3317905837125</c:v>
                </c:pt>
                <c:pt idx="11">
                  <c:v>-1216.6417896457619</c:v>
                </c:pt>
                <c:pt idx="12">
                  <c:v>-1146.0165686735684</c:v>
                </c:pt>
                <c:pt idx="13">
                  <c:v>-1036.7546077179636</c:v>
                </c:pt>
                <c:pt idx="14">
                  <c:v>-966.3395761474867</c:v>
                </c:pt>
                <c:pt idx="15">
                  <c:v>-838.34481429653817</c:v>
                </c:pt>
                <c:pt idx="16">
                  <c:v>-655.17352060210578</c:v>
                </c:pt>
                <c:pt idx="17">
                  <c:v>-433.46869132119809</c:v>
                </c:pt>
                <c:pt idx="18">
                  <c:v>-298.90138347945754</c:v>
                </c:pt>
                <c:pt idx="19">
                  <c:v>-115.68600273392212</c:v>
                </c:pt>
                <c:pt idx="20">
                  <c:v>55.272913304166991</c:v>
                </c:pt>
                <c:pt idx="21">
                  <c:v>243.79165514618114</c:v>
                </c:pt>
                <c:pt idx="22">
                  <c:v>411.96947057359824</c:v>
                </c:pt>
                <c:pt idx="23">
                  <c:v>497.37032791446154</c:v>
                </c:pt>
                <c:pt idx="24">
                  <c:v>649.55337977396312</c:v>
                </c:pt>
                <c:pt idx="25">
                  <c:v>808.54984080989971</c:v>
                </c:pt>
                <c:pt idx="26">
                  <c:v>958.77259011618105</c:v>
                </c:pt>
                <c:pt idx="27">
                  <c:v>1038.7437164883836</c:v>
                </c:pt>
                <c:pt idx="28">
                  <c:v>1138.3905975348785</c:v>
                </c:pt>
                <c:pt idx="29">
                  <c:v>1229.5288991349587</c:v>
                </c:pt>
                <c:pt idx="30">
                  <c:v>1196.5858755993759</c:v>
                </c:pt>
              </c:numCache>
            </c:numRef>
          </c:val>
          <c:smooth val="0"/>
          <c:extLst>
            <c:ext xmlns:c16="http://schemas.microsoft.com/office/drawing/2014/chart" uri="{C3380CC4-5D6E-409C-BE32-E72D297353CC}">
              <c16:uniqueId val="{00000000-99C0-435C-9AFA-C20353D0AEAD}"/>
            </c:ext>
          </c:extLst>
        </c:ser>
        <c:ser>
          <c:idx val="3"/>
          <c:order val="1"/>
          <c:tx>
            <c:v>Foresry (excluding stand)</c:v>
          </c:tx>
          <c:spPr>
            <a:ln w="12700">
              <a:solidFill>
                <a:srgbClr val="008000"/>
              </a:solidFill>
            </a:ln>
          </c:spPr>
          <c:marker>
            <c:symbol val="triangle"/>
            <c:size val="7"/>
            <c:spPr>
              <a:solidFill>
                <a:srgbClr val="008000"/>
              </a:solidFill>
              <a:ln>
                <a:solidFill>
                  <a:srgbClr val="008000"/>
                </a:solidFill>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[0]!Ha_dis_cum_net_for_estand</c:f>
              <c:numCache>
                <c:formatCode>0</c:formatCode>
                <c:ptCount val="31"/>
                <c:pt idx="1">
                  <c:v>-706.68363636363631</c:v>
                </c:pt>
                <c:pt idx="2">
                  <c:v>-767.2605594405594</c:v>
                </c:pt>
                <c:pt idx="3">
                  <c:v>-792.88569837469481</c:v>
                </c:pt>
                <c:pt idx="4">
                  <c:v>-795.55268745070759</c:v>
                </c:pt>
                <c:pt idx="5">
                  <c:v>-798.11710002379675</c:v>
                </c:pt>
                <c:pt idx="6">
                  <c:v>-876.91044217467015</c:v>
                </c:pt>
                <c:pt idx="7">
                  <c:v>-879.28138575186063</c:v>
                </c:pt>
                <c:pt idx="8">
                  <c:v>-1003.9171375074671</c:v>
                </c:pt>
                <c:pt idx="9">
                  <c:v>-1173.5542812393803</c:v>
                </c:pt>
                <c:pt idx="10">
                  <c:v>-1175.6620414461167</c:v>
                </c:pt>
                <c:pt idx="11">
                  <c:v>-1378.5394623670215</c:v>
                </c:pt>
                <c:pt idx="12">
                  <c:v>-1380.4882051617114</c:v>
                </c:pt>
                <c:pt idx="13">
                  <c:v>-1382.3619963104516</c:v>
                </c:pt>
                <c:pt idx="14">
                  <c:v>-1384.1637185688555</c:v>
                </c:pt>
                <c:pt idx="15">
                  <c:v>-1385.896143817321</c:v>
                </c:pt>
                <c:pt idx="16">
                  <c:v>-1387.5619373254608</c:v>
                </c:pt>
                <c:pt idx="17">
                  <c:v>-1389.1636618525183</c:v>
                </c:pt>
                <c:pt idx="18">
                  <c:v>-1390.7037815900737</c:v>
                </c:pt>
                <c:pt idx="19">
                  <c:v>-1392.1846659531077</c:v>
                </c:pt>
                <c:pt idx="20">
                  <c:v>-1393.6085932252556</c:v>
                </c:pt>
                <c:pt idx="21">
                  <c:v>-1394.9777540638595</c:v>
                </c:pt>
                <c:pt idx="22">
                  <c:v>-1396.2942548702094</c:v>
                </c:pt>
                <c:pt idx="23">
                  <c:v>-1397.5601210301613</c:v>
                </c:pt>
                <c:pt idx="24">
                  <c:v>-1398.7773000301149</c:v>
                </c:pt>
                <c:pt idx="25">
                  <c:v>-1399.9476644531474</c:v>
                </c:pt>
                <c:pt idx="26">
                  <c:v>-1401.0730148599093</c:v>
                </c:pt>
                <c:pt idx="27">
                  <c:v>-1402.155082558719</c:v>
                </c:pt>
                <c:pt idx="28">
                  <c:v>-1403.1955322691126</c:v>
                </c:pt>
                <c:pt idx="29">
                  <c:v>-1404.1959646829528</c:v>
                </c:pt>
                <c:pt idx="30">
                  <c:v>1196.5858755993754</c:v>
                </c:pt>
              </c:numCache>
            </c:numRef>
          </c:val>
          <c:smooth val="0"/>
          <c:extLst>
            <c:ext xmlns:c16="http://schemas.microsoft.com/office/drawing/2014/chart" uri="{C3380CC4-5D6E-409C-BE32-E72D297353CC}">
              <c16:uniqueId val="{00000001-99C0-435C-9AFA-C20353D0AEAD}"/>
            </c:ext>
          </c:extLst>
        </c:ser>
        <c:ser>
          <c:idx val="0"/>
          <c:order val="2"/>
          <c:tx>
            <c:v>Silvoarable (including stand)</c:v>
          </c:tx>
          <c:spPr>
            <a:ln w="12700">
              <a:solidFill>
                <a:srgbClr val="0000FF"/>
              </a:solidFill>
              <a:prstDash val="solid"/>
            </a:ln>
          </c:spPr>
          <c:marker>
            <c:symbol val="square"/>
            <c:size val="7"/>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[0]!Ha_dis_cum_net_sil_istand</c:f>
              <c:numCache>
                <c:formatCode>0</c:formatCode>
                <c:ptCount val="31"/>
                <c:pt idx="1">
                  <c:v>161.21246006997944</c:v>
                </c:pt>
                <c:pt idx="2">
                  <c:v>403.77877273899992</c:v>
                </c:pt>
                <c:pt idx="3">
                  <c:v>680.66590721293574</c:v>
                </c:pt>
                <c:pt idx="4">
                  <c:v>698.50334068403163</c:v>
                </c:pt>
                <c:pt idx="5">
                  <c:v>1079.5212107733171</c:v>
                </c:pt>
                <c:pt idx="6">
                  <c:v>1238.0000677340972</c:v>
                </c:pt>
                <c:pt idx="7">
                  <c:v>1158.2134828477381</c:v>
                </c:pt>
                <c:pt idx="8">
                  <c:v>985.36514166339384</c:v>
                </c:pt>
                <c:pt idx="9">
                  <c:v>1020.3244803464929</c:v>
                </c:pt>
                <c:pt idx="10">
                  <c:v>1024.049332628806</c:v>
                </c:pt>
                <c:pt idx="11">
                  <c:v>961.59851307287863</c:v>
                </c:pt>
                <c:pt idx="12">
                  <c:v>869.11714158338873</c:v>
                </c:pt>
                <c:pt idx="13">
                  <c:v>857.2319444901708</c:v>
                </c:pt>
                <c:pt idx="14">
                  <c:v>864.83851289354493</c:v>
                </c:pt>
                <c:pt idx="15">
                  <c:v>1005.6559082241945</c:v>
                </c:pt>
                <c:pt idx="16">
                  <c:v>1176.2970370816251</c:v>
                </c:pt>
                <c:pt idx="17">
                  <c:v>1380.6850586340202</c:v>
                </c:pt>
                <c:pt idx="18">
                  <c:v>1570.0104195621675</c:v>
                </c:pt>
                <c:pt idx="19">
                  <c:v>1758.2396956627149</c:v>
                </c:pt>
                <c:pt idx="20">
                  <c:v>1960.3539763978081</c:v>
                </c:pt>
                <c:pt idx="21">
                  <c:v>2197.1611289263546</c:v>
                </c:pt>
                <c:pt idx="22">
                  <c:v>2375.0006254170271</c:v>
                </c:pt>
                <c:pt idx="23">
                  <c:v>2548.3327336793441</c:v>
                </c:pt>
                <c:pt idx="24">
                  <c:v>2786.7116499051954</c:v>
                </c:pt>
                <c:pt idx="25">
                  <c:v>2957.3980384803267</c:v>
                </c:pt>
                <c:pt idx="26">
                  <c:v>3113.7378503226082</c:v>
                </c:pt>
                <c:pt idx="27">
                  <c:v>3326.0250271808436</c:v>
                </c:pt>
                <c:pt idx="28">
                  <c:v>3434.5161165755394</c:v>
                </c:pt>
                <c:pt idx="29">
                  <c:v>3519.2250526821681</c:v>
                </c:pt>
                <c:pt idx="30">
                  <c:v>3502.2203200429935</c:v>
                </c:pt>
              </c:numCache>
            </c:numRef>
          </c:val>
          <c:smooth val="0"/>
          <c:extLst>
            <c:ext xmlns:c16="http://schemas.microsoft.com/office/drawing/2014/chart" uri="{C3380CC4-5D6E-409C-BE32-E72D297353CC}">
              <c16:uniqueId val="{00000000-9541-4962-BE4C-28CD91780322}"/>
            </c:ext>
          </c:extLst>
        </c:ser>
        <c:ser>
          <c:idx val="1"/>
          <c:order val="3"/>
          <c:tx>
            <c:v>Silvoarable (excluding stand)</c:v>
          </c:tx>
          <c:spPr>
            <a:ln w="12700">
              <a:solidFill>
                <a:srgbClr val="0000FF"/>
              </a:solidFill>
              <a:prstDash val="solid"/>
            </a:ln>
          </c:spPr>
          <c:marker>
            <c:symbol val="square"/>
            <c:size val="7"/>
            <c:spPr>
              <a:solidFill>
                <a:srgbClr val="0000FF"/>
              </a:solid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[0]!Ha_dis_cum_net_sil_estand</c:f>
              <c:numCache>
                <c:formatCode>0</c:formatCode>
                <c:ptCount val="31"/>
                <c:pt idx="1">
                  <c:v>161.01270570683465</c:v>
                </c:pt>
                <c:pt idx="2">
                  <c:v>403.39997372331345</c:v>
                </c:pt>
                <c:pt idx="3">
                  <c:v>679.90433290110309</c:v>
                </c:pt>
                <c:pt idx="4">
                  <c:v>697.02727367042132</c:v>
                </c:pt>
                <c:pt idx="5">
                  <c:v>1076.7492536823793</c:v>
                </c:pt>
                <c:pt idx="6">
                  <c:v>1232.4709127485578</c:v>
                </c:pt>
                <c:pt idx="7">
                  <c:v>1145.0612576139101</c:v>
                </c:pt>
                <c:pt idx="8">
                  <c:v>964.44632105794358</c:v>
                </c:pt>
                <c:pt idx="9">
                  <c:v>980.48258175664012</c:v>
                </c:pt>
                <c:pt idx="10">
                  <c:v>957.42456946695961</c:v>
                </c:pt>
                <c:pt idx="11">
                  <c:v>855.63863414726518</c:v>
                </c:pt>
                <c:pt idx="12">
                  <c:v>714.1623995573658</c:v>
                </c:pt>
                <c:pt idx="13">
                  <c:v>627.18601666643303</c:v>
                </c:pt>
                <c:pt idx="14">
                  <c:v>563.74047459333508</c:v>
                </c:pt>
                <c:pt idx="15">
                  <c:v>562.00804934486962</c:v>
                </c:pt>
                <c:pt idx="16">
                  <c:v>560.34225583672981</c:v>
                </c:pt>
                <c:pt idx="17">
                  <c:v>558.74053130967229</c:v>
                </c:pt>
                <c:pt idx="18">
                  <c:v>557.20041157211699</c:v>
                </c:pt>
                <c:pt idx="19">
                  <c:v>555.71952720908303</c:v>
                </c:pt>
                <c:pt idx="20">
                  <c:v>554.29559993693499</c:v>
                </c:pt>
                <c:pt idx="21">
                  <c:v>552.92643909833112</c:v>
                </c:pt>
                <c:pt idx="22">
                  <c:v>551.60993829198128</c:v>
                </c:pt>
                <c:pt idx="23">
                  <c:v>550.34407213202951</c:v>
                </c:pt>
                <c:pt idx="24">
                  <c:v>549.12689313207579</c:v>
                </c:pt>
                <c:pt idx="25">
                  <c:v>547.95652870904348</c:v>
                </c:pt>
                <c:pt idx="26">
                  <c:v>546.83117830228161</c:v>
                </c:pt>
                <c:pt idx="27">
                  <c:v>545.7491106034721</c:v>
                </c:pt>
                <c:pt idx="28">
                  <c:v>544.70866089307833</c:v>
                </c:pt>
                <c:pt idx="29">
                  <c:v>543.70822847923819</c:v>
                </c:pt>
                <c:pt idx="30">
                  <c:v>3502.2203200429931</c:v>
                </c:pt>
              </c:numCache>
            </c:numRef>
          </c:val>
          <c:smooth val="0"/>
          <c:extLst>
            <c:ext xmlns:c16="http://schemas.microsoft.com/office/drawing/2014/chart" uri="{C3380CC4-5D6E-409C-BE32-E72D297353CC}">
              <c16:uniqueId val="{00000001-9541-4962-BE4C-28CD91780322}"/>
            </c:ext>
          </c:extLst>
        </c:ser>
        <c:dLbls>
          <c:showLegendKey val="0"/>
          <c:showVal val="0"/>
          <c:showCatName val="0"/>
          <c:showSerName val="0"/>
          <c:showPercent val="0"/>
          <c:showBubbleSize val="0"/>
        </c:dLbls>
        <c:marker val="1"/>
        <c:smooth val="0"/>
        <c:axId val="1925441391"/>
        <c:axId val="1"/>
      </c:lineChart>
      <c:catAx>
        <c:axId val="1925441391"/>
        <c:scaling>
          <c:orientation val="minMax"/>
        </c:scaling>
        <c:delete val="0"/>
        <c:axPos val="b"/>
        <c:title>
          <c:tx>
            <c:rich>
              <a:bodyPr/>
              <a:lstStyle/>
              <a:p>
                <a:pPr>
                  <a:defRPr/>
                </a:pPr>
                <a:r>
                  <a:rPr lang="en-GB"/>
                  <a:t>Year from planting (a)</a:t>
                </a:r>
              </a:p>
            </c:rich>
          </c:tx>
          <c:layout>
            <c:manualLayout>
              <c:xMode val="edge"/>
              <c:yMode val="edge"/>
              <c:x val="0.35083302952258949"/>
              <c:y val="0.8918412463483448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Net present value (£ ha</a:t>
                </a:r>
                <a:r>
                  <a:rPr lang="en-GB" baseline="30000"/>
                  <a:t>-1</a:t>
                </a:r>
                <a:r>
                  <a:rPr lang="en-GB"/>
                  <a:t>)</a:t>
                </a:r>
              </a:p>
            </c:rich>
          </c:tx>
          <c:layout>
            <c:manualLayout>
              <c:xMode val="edge"/>
              <c:yMode val="edge"/>
              <c:x val="1.5745191610347712E-2"/>
              <c:y val="0.2616809366354040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41391"/>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Cumulative net margins of forestry, including and excluding standing trees</a:t>
            </a:r>
          </a:p>
        </c:rich>
      </c:tx>
      <c:layout>
        <c:manualLayout>
          <c:xMode val="edge"/>
          <c:yMode val="edge"/>
          <c:x val="0.16079184354353943"/>
          <c:y val="5.8416674386289946E-2"/>
        </c:manualLayout>
      </c:layout>
      <c:overlay val="0"/>
      <c:spPr>
        <a:noFill/>
        <a:ln w="25400">
          <a:noFill/>
        </a:ln>
      </c:spPr>
    </c:title>
    <c:autoTitleDeleted val="0"/>
    <c:plotArea>
      <c:layout>
        <c:manualLayout>
          <c:layoutTarget val="inner"/>
          <c:xMode val="edge"/>
          <c:yMode val="edge"/>
          <c:x val="0.13080635654169251"/>
          <c:y val="0.14684716202005693"/>
          <c:w val="0.60896878350865524"/>
          <c:h val="0.71287142527379521"/>
        </c:manualLayout>
      </c:layout>
      <c:lineChart>
        <c:grouping val="standard"/>
        <c:varyColors val="0"/>
        <c:ser>
          <c:idx val="0"/>
          <c:order val="0"/>
          <c:tx>
            <c:v>Forestry (including stand)</c:v>
          </c:tx>
          <c:spPr>
            <a:ln w="12700">
              <a:solidFill>
                <a:srgbClr val="008000"/>
              </a:solidFill>
              <a:prstDash val="solid"/>
            </a:ln>
          </c:spPr>
          <c:marker>
            <c:symbol val="triangle"/>
            <c:size val="6"/>
            <c:spPr>
              <a:no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[0]!Ha_cum_net_for_istand</c:f>
              <c:numCache>
                <c:formatCode>0</c:formatCode>
                <c:ptCount val="31"/>
                <c:pt idx="1">
                  <c:v>-706.37202929513376</c:v>
                </c:pt>
                <c:pt idx="2">
                  <c:v>-769.06912999897213</c:v>
                </c:pt>
                <c:pt idx="3">
                  <c:v>-796.11507919786231</c:v>
                </c:pt>
                <c:pt idx="4">
                  <c:v>-797.81100818790537</c:v>
                </c:pt>
                <c:pt idx="5">
                  <c:v>-798.34608798563522</c:v>
                </c:pt>
                <c:pt idx="6">
                  <c:v>-888.79087073616142</c:v>
                </c:pt>
                <c:pt idx="7">
                  <c:v>-876.39905885560984</c:v>
                </c:pt>
                <c:pt idx="8">
                  <c:v>-1023.6097432904917</c:v>
                </c:pt>
                <c:pt idx="9">
                  <c:v>-1214.2101404222947</c:v>
                </c:pt>
                <c:pt idx="10">
                  <c:v>-1155.7883715067387</c:v>
                </c:pt>
                <c:pt idx="11">
                  <c:v>-1362.0962643971702</c:v>
                </c:pt>
                <c:pt idx="12">
                  <c:v>-1243.7860573018891</c:v>
                </c:pt>
                <c:pt idx="13">
                  <c:v>-1054.4158050727813</c:v>
                </c:pt>
                <c:pt idx="14">
                  <c:v>-915.0364589238909</c:v>
                </c:pt>
                <c:pt idx="15">
                  <c:v>-665.56262799965316</c:v>
                </c:pt>
                <c:pt idx="16">
                  <c:v>-297.75420657797559</c:v>
                </c:pt>
                <c:pt idx="17">
                  <c:v>170.25438725657074</c:v>
                </c:pt>
                <c:pt idx="18">
                  <c:v>503.97806314481028</c:v>
                </c:pt>
                <c:pt idx="19">
                  <c:v>960.20770462365067</c:v>
                </c:pt>
                <c:pt idx="20">
                  <c:v>1423.8304389595924</c:v>
                </c:pt>
                <c:pt idx="21">
                  <c:v>1959.001209430932</c:v>
                </c:pt>
                <c:pt idx="22">
                  <c:v>2485.8692682444753</c:v>
                </c:pt>
                <c:pt idx="23">
                  <c:v>2853.0869103643754</c:v>
                </c:pt>
                <c:pt idx="24">
                  <c:v>3407.8080948707466</c:v>
                </c:pt>
                <c:pt idx="25">
                  <c:v>4017.3064842094191</c:v>
                </c:pt>
                <c:pt idx="26">
                  <c:v>4644.2177812617829</c:v>
                </c:pt>
                <c:pt idx="27">
                  <c:v>5117.5737987987395</c:v>
                </c:pt>
                <c:pt idx="28">
                  <c:v>5675.5852110375708</c:v>
                </c:pt>
                <c:pt idx="29">
                  <c:v>6242.0151217592465</c:v>
                </c:pt>
                <c:pt idx="30">
                  <c:v>6455.1876932161376</c:v>
                </c:pt>
              </c:numCache>
            </c:numRef>
          </c:val>
          <c:smooth val="0"/>
          <c:extLst>
            <c:ext xmlns:c16="http://schemas.microsoft.com/office/drawing/2014/chart" uri="{C3380CC4-5D6E-409C-BE32-E72D297353CC}">
              <c16:uniqueId val="{00000000-C1AE-4F1C-81E7-FD180BB3758D}"/>
            </c:ext>
          </c:extLst>
        </c:ser>
        <c:ser>
          <c:idx val="1"/>
          <c:order val="1"/>
          <c:tx>
            <c:v>Forestry (excluding stand)</c:v>
          </c:tx>
          <c:spPr>
            <a:ln w="12700">
              <a:solidFill>
                <a:srgbClr val="008000"/>
              </a:solidFill>
              <a:prstDash val="solid"/>
            </a:ln>
          </c:spPr>
          <c:marker>
            <c:symbol val="triangle"/>
            <c:size val="6"/>
            <c:spPr>
              <a:solidFill>
                <a:srgbClr val="008000"/>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[0]!Ha_cum_net_for_estand</c:f>
              <c:numCache>
                <c:formatCode>0</c:formatCode>
                <c:ptCount val="31"/>
                <c:pt idx="1">
                  <c:v>-706.68363636363631</c:v>
                </c:pt>
                <c:pt idx="2">
                  <c:v>-769.68363636363631</c:v>
                </c:pt>
                <c:pt idx="3">
                  <c:v>-797.39978663479712</c:v>
                </c:pt>
                <c:pt idx="4">
                  <c:v>-800.39978663479712</c:v>
                </c:pt>
                <c:pt idx="5">
                  <c:v>-803.39978663479712</c:v>
                </c:pt>
                <c:pt idx="6">
                  <c:v>-899.26393505245346</c:v>
                </c:pt>
                <c:pt idx="7">
                  <c:v>-902.26393505245346</c:v>
                </c:pt>
                <c:pt idx="8">
                  <c:v>-1066.2760816166053</c:v>
                </c:pt>
                <c:pt idx="9">
                  <c:v>-1298.4362263272526</c:v>
                </c:pt>
                <c:pt idx="10">
                  <c:v>-1301.4362263272526</c:v>
                </c:pt>
                <c:pt idx="11">
                  <c:v>-1601.7443691843955</c:v>
                </c:pt>
                <c:pt idx="12">
                  <c:v>-1604.7443691843955</c:v>
                </c:pt>
                <c:pt idx="13">
                  <c:v>-1607.7443691843955</c:v>
                </c:pt>
                <c:pt idx="14">
                  <c:v>-1610.7443691843955</c:v>
                </c:pt>
                <c:pt idx="15">
                  <c:v>-1613.7443691843955</c:v>
                </c:pt>
                <c:pt idx="16">
                  <c:v>-1616.7443691843955</c:v>
                </c:pt>
                <c:pt idx="17">
                  <c:v>-1619.7443691843955</c:v>
                </c:pt>
                <c:pt idx="18">
                  <c:v>-1622.7443691843955</c:v>
                </c:pt>
                <c:pt idx="19">
                  <c:v>-1625.7443691843955</c:v>
                </c:pt>
                <c:pt idx="20">
                  <c:v>-1628.7443691843955</c:v>
                </c:pt>
                <c:pt idx="21">
                  <c:v>-1631.7443691843955</c:v>
                </c:pt>
                <c:pt idx="22">
                  <c:v>-1634.7443691843955</c:v>
                </c:pt>
                <c:pt idx="23">
                  <c:v>-1637.7443691843955</c:v>
                </c:pt>
                <c:pt idx="24">
                  <c:v>-1640.7443691843955</c:v>
                </c:pt>
                <c:pt idx="25">
                  <c:v>-1643.7443691843955</c:v>
                </c:pt>
                <c:pt idx="26">
                  <c:v>-1646.7443691843955</c:v>
                </c:pt>
                <c:pt idx="27">
                  <c:v>-1649.7443691843955</c:v>
                </c:pt>
                <c:pt idx="28">
                  <c:v>-1652.7443691843955</c:v>
                </c:pt>
                <c:pt idx="29">
                  <c:v>-1655.7443691843955</c:v>
                </c:pt>
                <c:pt idx="30">
                  <c:v>6455.1876932161376</c:v>
                </c:pt>
              </c:numCache>
            </c:numRef>
          </c:val>
          <c:smooth val="0"/>
          <c:extLst>
            <c:ext xmlns:c16="http://schemas.microsoft.com/office/drawing/2014/chart" uri="{C3380CC4-5D6E-409C-BE32-E72D297353CC}">
              <c16:uniqueId val="{00000001-C1AE-4F1C-81E7-FD180BB3758D}"/>
            </c:ext>
          </c:extLst>
        </c:ser>
        <c:ser>
          <c:idx val="2"/>
          <c:order val="2"/>
          <c:tx>
            <c:v>Silvoarable (including stand)</c:v>
          </c:tx>
          <c:spPr>
            <a:ln w="12700">
              <a:solidFill>
                <a:schemeClr val="accent1"/>
              </a:solidFill>
            </a:ln>
          </c:spPr>
          <c:marker>
            <c:symbol val="square"/>
            <c:size val="7"/>
            <c:spPr>
              <a:noFill/>
              <a:ln>
                <a:solidFill>
                  <a:srgbClr val="0000FF"/>
                </a:solidFill>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[0]!Ha_cum_net_sil_istand</c:f>
              <c:numCache>
                <c:formatCode>0</c:formatCode>
                <c:ptCount val="31"/>
                <c:pt idx="1">
                  <c:v>161.21246006997944</c:v>
                </c:pt>
                <c:pt idx="2">
                  <c:v>413.48941542028655</c:v>
                </c:pt>
                <c:pt idx="3">
                  <c:v>712.98629810634816</c:v>
                </c:pt>
                <c:pt idx="4">
                  <c:v>733.08393362140623</c:v>
                </c:pt>
                <c:pt idx="5">
                  <c:v>1178.8873654441327</c:v>
                </c:pt>
                <c:pt idx="6">
                  <c:v>1371.830838643732</c:v>
                </c:pt>
                <c:pt idx="7">
                  <c:v>1271.1444378646154</c:v>
                </c:pt>
                <c:pt idx="8">
                  <c:v>1044.353483140894</c:v>
                </c:pt>
                <c:pt idx="9">
                  <c:v>1093.2988617179731</c:v>
                </c:pt>
                <c:pt idx="10">
                  <c:v>1100.781543543693</c:v>
                </c:pt>
                <c:pt idx="11">
                  <c:v>1012.1321873038862</c:v>
                </c:pt>
                <c:pt idx="12">
                  <c:v>876.03522503922034</c:v>
                </c:pt>
                <c:pt idx="13">
                  <c:v>866.5484698152402</c:v>
                </c:pt>
                <c:pt idx="14">
                  <c:v>893.94640303308677</c:v>
                </c:pt>
                <c:pt idx="15">
                  <c:v>1157.8505846070179</c:v>
                </c:pt>
                <c:pt idx="16">
                  <c:v>1495.8957993252066</c:v>
                </c:pt>
                <c:pt idx="17">
                  <c:v>1923.082721062885</c:v>
                </c:pt>
                <c:pt idx="18">
                  <c:v>2353.4491528244589</c:v>
                </c:pt>
                <c:pt idx="19">
                  <c:v>2813.6812536854218</c:v>
                </c:pt>
                <c:pt idx="20">
                  <c:v>3336.948968201872</c:v>
                </c:pt>
                <c:pt idx="21">
                  <c:v>3974.3167178168396</c:v>
                </c:pt>
                <c:pt idx="22">
                  <c:v>4523.6805110416317</c:v>
                </c:pt>
                <c:pt idx="23">
                  <c:v>5100.6669105710816</c:v>
                </c:pt>
                <c:pt idx="24">
                  <c:v>5877.6059655243907</c:v>
                </c:pt>
                <c:pt idx="25">
                  <c:v>6535.7274934160832</c:v>
                </c:pt>
                <c:pt idx="26">
                  <c:v>7199.5491021655398</c:v>
                </c:pt>
                <c:pt idx="27">
                  <c:v>8061.8270083265897</c:v>
                </c:pt>
                <c:pt idx="28">
                  <c:v>8682.9760451569182</c:v>
                </c:pt>
                <c:pt idx="29">
                  <c:v>9270.2882133762923</c:v>
                </c:pt>
                <c:pt idx="30">
                  <c:v>9574.164066321915</c:v>
                </c:pt>
              </c:numCache>
            </c:numRef>
          </c:val>
          <c:smooth val="0"/>
          <c:extLst>
            <c:ext xmlns:c16="http://schemas.microsoft.com/office/drawing/2014/chart" uri="{C3380CC4-5D6E-409C-BE32-E72D297353CC}">
              <c16:uniqueId val="{00000000-A569-44EE-A38C-1FB0C933AFD2}"/>
            </c:ext>
          </c:extLst>
        </c:ser>
        <c:ser>
          <c:idx val="3"/>
          <c:order val="3"/>
          <c:tx>
            <c:v>Silvoarable (excluding stand)</c:v>
          </c:tx>
          <c:spPr>
            <a:ln w="12700">
              <a:solidFill>
                <a:srgbClr val="0000FF"/>
              </a:solidFill>
            </a:ln>
          </c:spPr>
          <c:marker>
            <c:symbol val="square"/>
            <c:size val="7"/>
            <c:spPr>
              <a:solidFill>
                <a:srgbClr val="0000FF"/>
              </a:solidFill>
              <a:ln>
                <a:solidFill>
                  <a:srgbClr val="0000FF"/>
                </a:solidFill>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[0]!Ha_cum_net_sil_estand</c:f>
              <c:numCache>
                <c:formatCode>0</c:formatCode>
                <c:ptCount val="31"/>
                <c:pt idx="1">
                  <c:v>161.01270570683465</c:v>
                </c:pt>
                <c:pt idx="2">
                  <c:v>413.09546444397262</c:v>
                </c:pt>
                <c:pt idx="3">
                  <c:v>712.16257933066993</c:v>
                </c:pt>
                <c:pt idx="4">
                  <c:v>731.42355897620848</c:v>
                </c:pt>
                <c:pt idx="5">
                  <c:v>1175.6445677133461</c:v>
                </c:pt>
                <c:pt idx="6">
                  <c:v>1365.1037761827558</c:v>
                </c:pt>
                <c:pt idx="7">
                  <c:v>1254.5026771407097</c:v>
                </c:pt>
                <c:pt idx="8">
                  <c:v>1016.8257423220482</c:v>
                </c:pt>
                <c:pt idx="9">
                  <c:v>1038.7724723985145</c:v>
                </c:pt>
                <c:pt idx="10">
                  <c:v>1005.9537311356526</c:v>
                </c:pt>
                <c:pt idx="11">
                  <c:v>855.28568209360662</c:v>
                </c:pt>
                <c:pt idx="12">
                  <c:v>637.48951888200236</c:v>
                </c:pt>
                <c:pt idx="13">
                  <c:v>498.23752761914011</c:v>
                </c:pt>
                <c:pt idx="14">
                  <c:v>392.59603635627809</c:v>
                </c:pt>
                <c:pt idx="15">
                  <c:v>389.59603635627809</c:v>
                </c:pt>
                <c:pt idx="16">
                  <c:v>386.59603635627809</c:v>
                </c:pt>
                <c:pt idx="17">
                  <c:v>383.59603635627809</c:v>
                </c:pt>
                <c:pt idx="18">
                  <c:v>380.59603635627809</c:v>
                </c:pt>
                <c:pt idx="19">
                  <c:v>377.59603635627809</c:v>
                </c:pt>
                <c:pt idx="20">
                  <c:v>374.59603635627809</c:v>
                </c:pt>
                <c:pt idx="21">
                  <c:v>371.59603635627809</c:v>
                </c:pt>
                <c:pt idx="22">
                  <c:v>368.59603635627809</c:v>
                </c:pt>
                <c:pt idx="23">
                  <c:v>365.59603635627809</c:v>
                </c:pt>
                <c:pt idx="24">
                  <c:v>362.59603635627809</c:v>
                </c:pt>
                <c:pt idx="25">
                  <c:v>359.59603635627809</c:v>
                </c:pt>
                <c:pt idx="26">
                  <c:v>356.59603635627809</c:v>
                </c:pt>
                <c:pt idx="27">
                  <c:v>353.59603635627809</c:v>
                </c:pt>
                <c:pt idx="28">
                  <c:v>350.59603635627809</c:v>
                </c:pt>
                <c:pt idx="29">
                  <c:v>347.59603635627809</c:v>
                </c:pt>
                <c:pt idx="30">
                  <c:v>9574.1640663219114</c:v>
                </c:pt>
              </c:numCache>
            </c:numRef>
          </c:val>
          <c:smooth val="0"/>
          <c:extLst>
            <c:ext xmlns:c16="http://schemas.microsoft.com/office/drawing/2014/chart" uri="{C3380CC4-5D6E-409C-BE32-E72D297353CC}">
              <c16:uniqueId val="{00000001-A569-44EE-A38C-1FB0C933AFD2}"/>
            </c:ext>
          </c:extLst>
        </c:ser>
        <c:dLbls>
          <c:showLegendKey val="0"/>
          <c:showVal val="0"/>
          <c:showCatName val="0"/>
          <c:showSerName val="0"/>
          <c:showPercent val="0"/>
          <c:showBubbleSize val="0"/>
        </c:dLbls>
        <c:marker val="1"/>
        <c:smooth val="0"/>
        <c:axId val="2000605183"/>
        <c:axId val="1"/>
      </c:lineChart>
      <c:catAx>
        <c:axId val="2000605183"/>
        <c:scaling>
          <c:orientation val="minMax"/>
        </c:scaling>
        <c:delete val="0"/>
        <c:axPos val="b"/>
        <c:title>
          <c:tx>
            <c:rich>
              <a:bodyPr/>
              <a:lstStyle/>
              <a:p>
                <a:pPr>
                  <a:defRPr/>
                </a:pPr>
                <a:r>
                  <a:rPr lang="en-GB"/>
                  <a:t>Year from planting (a)</a:t>
                </a:r>
              </a:p>
            </c:rich>
          </c:tx>
          <c:layout>
            <c:manualLayout>
              <c:xMode val="edge"/>
              <c:yMode val="edge"/>
              <c:x val="0.33847885584585391"/>
              <c:y val="0.9025751229510423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Net present value (£ ha</a:t>
                </a:r>
                <a:r>
                  <a:rPr lang="en-GB" baseline="30000"/>
                  <a:t>-1</a:t>
                </a:r>
                <a:r>
                  <a:rPr lang="en-GB"/>
                  <a:t>)</a:t>
                </a:r>
              </a:p>
            </c:rich>
          </c:tx>
          <c:layout>
            <c:manualLayout>
              <c:xMode val="edge"/>
              <c:yMode val="edge"/>
              <c:x val="1.892216650754645E-2"/>
              <c:y val="0.2816901651999382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2000605183"/>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Mean tree volume</a:t>
            </a:r>
          </a:p>
        </c:rich>
      </c:tx>
      <c:layout>
        <c:manualLayout>
          <c:xMode val="edge"/>
          <c:yMode val="edge"/>
          <c:x val="0.38331158238172919"/>
          <c:y val="3.054985215455663E-2"/>
        </c:manualLayout>
      </c:layout>
      <c:overlay val="0"/>
      <c:spPr>
        <a:noFill/>
        <a:ln w="25400">
          <a:noFill/>
        </a:ln>
      </c:spPr>
    </c:title>
    <c:autoTitleDeleted val="0"/>
    <c:plotArea>
      <c:layout>
        <c:manualLayout>
          <c:layoutTarget val="inner"/>
          <c:xMode val="edge"/>
          <c:yMode val="edge"/>
          <c:x val="0.12920792499858383"/>
          <c:y val="9.9048964257915761E-2"/>
          <c:w val="0.59177935354765732"/>
          <c:h val="0.67413441955193487"/>
        </c:manualLayout>
      </c:layout>
      <c:lineChart>
        <c:grouping val="standard"/>
        <c:varyColors val="0"/>
        <c:ser>
          <c:idx val="4"/>
          <c:order val="0"/>
          <c:tx>
            <c:strRef>
              <c:f>'Tabular results'!$AR$17</c:f>
              <c:strCache>
                <c:ptCount val="1"/>
                <c:pt idx="0">
                  <c:v>Forestry mean tree volume</c:v>
                </c:pt>
              </c:strCache>
            </c:strRef>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[0]!Ha_mean_tree_vol_for</c:f>
              <c:numCache>
                <c:formatCode>0.00</c:formatCode>
                <c:ptCount val="31"/>
                <c:pt idx="1">
                  <c:v>1.8119901276426444E-4</c:v>
                </c:pt>
                <c:pt idx="2">
                  <c:v>3.5733446981671521E-4</c:v>
                </c:pt>
                <c:pt idx="3">
                  <c:v>7.4705532317410255E-4</c:v>
                </c:pt>
                <c:pt idx="4">
                  <c:v>1.5053705331410853E-3</c:v>
                </c:pt>
                <c:pt idx="5">
                  <c:v>2.9387176948099205E-3</c:v>
                </c:pt>
                <c:pt idx="6">
                  <c:v>6.0900701766762062E-3</c:v>
                </c:pt>
                <c:pt idx="7">
                  <c:v>1.1543270076904736E-2</c:v>
                </c:pt>
                <c:pt idx="8">
                  <c:v>1.9041617007663242E-2</c:v>
                </c:pt>
                <c:pt idx="9">
                  <c:v>3.2968592053581575E-2</c:v>
                </c:pt>
                <c:pt idx="10">
                  <c:v>5.2779684837652704E-2</c:v>
                </c:pt>
                <c:pt idx="11">
                  <c:v>8.0094088731020668E-2</c:v>
                </c:pt>
                <c:pt idx="12">
                  <c:v>0.11356136002313871</c:v>
                </c:pt>
                <c:pt idx="13">
                  <c:v>0.16117062003958088</c:v>
                </c:pt>
                <c:pt idx="14">
                  <c:v>0.19518179039800901</c:v>
                </c:pt>
                <c:pt idx="15">
                  <c:v>0.26298268471139524</c:v>
                </c:pt>
                <c:pt idx="16">
                  <c:v>0.33273074851651113</c:v>
                </c:pt>
                <c:pt idx="17">
                  <c:v>0.42026184293060243</c:v>
                </c:pt>
                <c:pt idx="18">
                  <c:v>0.49931894399168097</c:v>
                </c:pt>
                <c:pt idx="19">
                  <c:v>0.57279505925058416</c:v>
                </c:pt>
                <c:pt idx="20">
                  <c:v>0.64370098850023061</c:v>
                </c:pt>
                <c:pt idx="21">
                  <c:v>0.72554047877485628</c:v>
                </c:pt>
                <c:pt idx="22">
                  <c:v>0.80173175603458968</c:v>
                </c:pt>
                <c:pt idx="23">
                  <c:v>0.87376356159765045</c:v>
                </c:pt>
                <c:pt idx="24">
                  <c:v>0.94950123527768393</c:v>
                </c:pt>
                <c:pt idx="25">
                  <c:v>1.0323704168195407</c:v>
                </c:pt>
                <c:pt idx="26">
                  <c:v>1.1152642173166096</c:v>
                </c:pt>
                <c:pt idx="27">
                  <c:v>1.1997127974157176</c:v>
                </c:pt>
                <c:pt idx="28">
                  <c:v>1.2656752006649012</c:v>
                </c:pt>
                <c:pt idx="29">
                  <c:v>1.3312953759495871</c:v>
                </c:pt>
                <c:pt idx="30">
                  <c:v>1.4041796140965135</c:v>
                </c:pt>
              </c:numCache>
            </c:numRef>
          </c:val>
          <c:smooth val="0"/>
          <c:extLst>
            <c:ext xmlns:c16="http://schemas.microsoft.com/office/drawing/2014/chart" uri="{C3380CC4-5D6E-409C-BE32-E72D297353CC}">
              <c16:uniqueId val="{00000000-7195-4EE3-B9A6-CA813B3DECD3}"/>
            </c:ext>
          </c:extLst>
        </c:ser>
        <c:ser>
          <c:idx val="1"/>
          <c:order val="1"/>
          <c:tx>
            <c:strRef>
              <c:f>'Tabular results'!$AY$17</c:f>
              <c:strCache>
                <c:ptCount val="1"/>
                <c:pt idx="0">
                  <c:v>Silvoarable mean tree volume</c:v>
                </c:pt>
              </c:strCache>
            </c:strRef>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[0]!Ha_mean_tree_vol_sil</c:f>
              <c:numCache>
                <c:formatCode>0.00</c:formatCode>
                <c:ptCount val="31"/>
                <c:pt idx="1">
                  <c:v>1.8120467539768537E-4</c:v>
                </c:pt>
                <c:pt idx="2">
                  <c:v>3.5736770732672522E-4</c:v>
                </c:pt>
                <c:pt idx="3">
                  <c:v>7.4722619829604043E-4</c:v>
                </c:pt>
                <c:pt idx="4">
                  <c:v>1.5061881196731625E-3</c:v>
                </c:pt>
                <c:pt idx="5">
                  <c:v>2.9416634557388709E-3</c:v>
                </c:pt>
                <c:pt idx="6">
                  <c:v>6.1023706838251764E-3</c:v>
                </c:pt>
                <c:pt idx="7">
                  <c:v>1.1586234781164211E-2</c:v>
                </c:pt>
                <c:pt idx="8">
                  <c:v>1.9165211747338019E-2</c:v>
                </c:pt>
                <c:pt idx="9">
                  <c:v>3.3295467733643926E-2</c:v>
                </c:pt>
                <c:pt idx="10">
                  <c:v>5.3607188460803451E-2</c:v>
                </c:pt>
                <c:pt idx="11">
                  <c:v>8.177600882728242E-2</c:v>
                </c:pt>
                <c:pt idx="12">
                  <c:v>0.11707650253869144</c:v>
                </c:pt>
                <c:pt idx="13">
                  <c:v>0.16735627719780699</c:v>
                </c:pt>
                <c:pt idx="14">
                  <c:v>0.21692095207628787</c:v>
                </c:pt>
                <c:pt idx="15">
                  <c:v>0.30232991290963535</c:v>
                </c:pt>
                <c:pt idx="16">
                  <c:v>0.40629431907125252</c:v>
                </c:pt>
                <c:pt idx="17">
                  <c:v>0.53196042808101984</c:v>
                </c:pt>
                <c:pt idx="18">
                  <c:v>0.64898881319576984</c:v>
                </c:pt>
                <c:pt idx="19">
                  <c:v>0.76788129320326515</c:v>
                </c:pt>
                <c:pt idx="20">
                  <c:v>0.89914262732444683</c:v>
                </c:pt>
                <c:pt idx="21">
                  <c:v>1.0249287743146731</c:v>
                </c:pt>
                <c:pt idx="22">
                  <c:v>1.1491193876244323</c:v>
                </c:pt>
                <c:pt idx="23">
                  <c:v>1.2757581755454304</c:v>
                </c:pt>
                <c:pt idx="24">
                  <c:v>1.4176938561836587</c:v>
                </c:pt>
                <c:pt idx="25">
                  <c:v>1.5541535313027695</c:v>
                </c:pt>
                <c:pt idx="26">
                  <c:v>1.6876825700103655</c:v>
                </c:pt>
                <c:pt idx="27">
                  <c:v>1.8318912776364733</c:v>
                </c:pt>
                <c:pt idx="28">
                  <c:v>1.9464812493120189</c:v>
                </c:pt>
                <c:pt idx="29">
                  <c:v>2.0504765169351327</c:v>
                </c:pt>
                <c:pt idx="30">
                  <c:v>2.1657651403057336</c:v>
                </c:pt>
              </c:numCache>
            </c:numRef>
          </c:val>
          <c:smooth val="0"/>
          <c:extLst>
            <c:ext xmlns:c16="http://schemas.microsoft.com/office/drawing/2014/chart" uri="{C3380CC4-5D6E-409C-BE32-E72D297353CC}">
              <c16:uniqueId val="{00000001-7195-4EE3-B9A6-CA813B3DECD3}"/>
            </c:ext>
          </c:extLst>
        </c:ser>
        <c:dLbls>
          <c:showLegendKey val="0"/>
          <c:showVal val="0"/>
          <c:showCatName val="0"/>
          <c:showSerName val="0"/>
          <c:showPercent val="0"/>
          <c:showBubbleSize val="0"/>
        </c:dLbls>
        <c:marker val="1"/>
        <c:smooth val="0"/>
        <c:axId val="1925432111"/>
        <c:axId val="1"/>
      </c:lineChart>
      <c:catAx>
        <c:axId val="1925432111"/>
        <c:scaling>
          <c:orientation val="minMax"/>
        </c:scaling>
        <c:delete val="0"/>
        <c:axPos val="b"/>
        <c:title>
          <c:tx>
            <c:rich>
              <a:bodyPr/>
              <a:lstStyle/>
              <a:p>
                <a:pPr>
                  <a:defRPr/>
                </a:pPr>
                <a:r>
                  <a:rPr lang="en-GB"/>
                  <a:t>Year from planting (a)</a:t>
                </a:r>
              </a:p>
            </c:rich>
          </c:tx>
          <c:layout>
            <c:manualLayout>
              <c:xMode val="edge"/>
              <c:yMode val="edge"/>
              <c:x val="0.37348745962520274"/>
              <c:y val="0.8738410572263832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Timber volume (m</a:t>
                </a:r>
                <a:r>
                  <a:rPr lang="en-GB" baseline="30000"/>
                  <a:t>3</a:t>
                </a:r>
                <a:r>
                  <a:rPr lang="en-GB"/>
                  <a:t> ha</a:t>
                </a:r>
                <a:r>
                  <a:rPr lang="en-GB" baseline="30000"/>
                  <a:t>-1</a:t>
                </a:r>
                <a:r>
                  <a:rPr lang="en-GB"/>
                  <a:t>)</a:t>
                </a:r>
              </a:p>
            </c:rich>
          </c:tx>
          <c:layout>
            <c:manualLayout>
              <c:xMode val="edge"/>
              <c:yMode val="edge"/>
              <c:x val="3.326856624936271E-2"/>
              <c:y val="0.29191100198747261"/>
            </c:manualLayout>
          </c:layout>
          <c:overlay val="0"/>
          <c:spPr>
            <a:noFill/>
            <a:ln w="25400">
              <a:noFill/>
            </a:ln>
          </c:spPr>
        </c:title>
        <c:numFmt formatCode="0.0" sourceLinked="0"/>
        <c:majorTickMark val="out"/>
        <c:minorTickMark val="none"/>
        <c:tickLblPos val="nextTo"/>
        <c:spPr>
          <a:ln w="25400">
            <a:solidFill>
              <a:srgbClr val="000000"/>
            </a:solidFill>
            <a:prstDash val="solid"/>
          </a:ln>
        </c:spPr>
        <c:txPr>
          <a:bodyPr rot="0" vert="horz"/>
          <a:lstStyle/>
          <a:p>
            <a:pPr>
              <a:defRPr/>
            </a:pPr>
            <a:endParaRPr lang="en-US"/>
          </a:p>
        </c:txPr>
        <c:crossAx val="1925432111"/>
        <c:crosses val="autoZero"/>
        <c:crossBetween val="midCat"/>
      </c:valAx>
      <c:spPr>
        <a:noFill/>
        <a:ln w="25400">
          <a:noFill/>
        </a:ln>
      </c:spPr>
    </c:plotArea>
    <c:legend>
      <c:legendPos val="r"/>
      <c:overlay val="0"/>
      <c:spPr>
        <a:no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Firewood and by-product production</a:t>
            </a:r>
          </a:p>
        </c:rich>
      </c:tx>
      <c:layout>
        <c:manualLayout>
          <c:xMode val="edge"/>
          <c:yMode val="edge"/>
          <c:x val="0.23748663424782759"/>
          <c:y val="3.6194055786796638E-2"/>
        </c:manualLayout>
      </c:layout>
      <c:overlay val="0"/>
      <c:spPr>
        <a:noFill/>
        <a:ln w="25400">
          <a:noFill/>
        </a:ln>
      </c:spPr>
    </c:title>
    <c:autoTitleDeleted val="0"/>
    <c:plotArea>
      <c:layout>
        <c:manualLayout>
          <c:layoutTarget val="inner"/>
          <c:xMode val="edge"/>
          <c:yMode val="edge"/>
          <c:x val="0.10267776178277527"/>
          <c:y val="0.12858336112268259"/>
          <c:w val="0.53297635108626029"/>
          <c:h val="0.66591451068616425"/>
        </c:manualLayout>
      </c:layout>
      <c:barChart>
        <c:barDir val="col"/>
        <c:grouping val="clustered"/>
        <c:varyColors val="0"/>
        <c:ser>
          <c:idx val="0"/>
          <c:order val="0"/>
          <c:tx>
            <c:strRef>
              <c:f>'Tabular results'!$AU$17</c:f>
              <c:strCache>
                <c:ptCount val="1"/>
                <c:pt idx="0">
                  <c:v>Forestry harvested firewood</c:v>
                </c:pt>
              </c:strCache>
            </c:strRef>
          </c:tx>
          <c:spPr>
            <a:solidFill>
              <a:srgbClr val="FFFFFF"/>
            </a:solid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[0]!Ha_for_harv_fire</c:f>
              <c:numCache>
                <c:formatCode>0.00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103.65</c:v>
                </c:pt>
              </c:numCache>
            </c:numRef>
          </c:val>
          <c:extLst>
            <c:ext xmlns:c16="http://schemas.microsoft.com/office/drawing/2014/chart" uri="{C3380CC4-5D6E-409C-BE32-E72D297353CC}">
              <c16:uniqueId val="{00000000-91FB-415E-8A71-0A60634B4483}"/>
            </c:ext>
          </c:extLst>
        </c:ser>
        <c:ser>
          <c:idx val="1"/>
          <c:order val="2"/>
          <c:tx>
            <c:strRef>
              <c:f>'Tabular results'!$BB$17</c:f>
              <c:strCache>
                <c:ptCount val="1"/>
                <c:pt idx="0">
                  <c:v>Silvoarable harvested firewood</c:v>
                </c:pt>
              </c:strCache>
            </c:strRef>
          </c:tx>
          <c:spPr>
            <a:solidFill>
              <a:srgbClr val="FFFFFF"/>
            </a:solidFill>
            <a:ln w="12700">
              <a:solidFill>
                <a:srgbClr val="0000FF"/>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[0]!Ha_sil_harv_fire</c:f>
              <c:numCache>
                <c:formatCode>0.00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102.68</c:v>
                </c:pt>
              </c:numCache>
            </c:numRef>
          </c:val>
          <c:extLst>
            <c:ext xmlns:c16="http://schemas.microsoft.com/office/drawing/2014/chart" uri="{C3380CC4-5D6E-409C-BE32-E72D297353CC}">
              <c16:uniqueId val="{00000001-91FB-415E-8A71-0A60634B4483}"/>
            </c:ext>
          </c:extLst>
        </c:ser>
        <c:dLbls>
          <c:showLegendKey val="0"/>
          <c:showVal val="0"/>
          <c:showCatName val="0"/>
          <c:showSerName val="0"/>
          <c:showPercent val="0"/>
          <c:showBubbleSize val="0"/>
        </c:dLbls>
        <c:gapWidth val="0"/>
        <c:overlap val="50"/>
        <c:axId val="1925438607"/>
        <c:axId val="1"/>
      </c:barChart>
      <c:barChart>
        <c:barDir val="col"/>
        <c:grouping val="clustered"/>
        <c:varyColors val="0"/>
        <c:ser>
          <c:idx val="2"/>
          <c:order val="1"/>
          <c:tx>
            <c:strRef>
              <c:f>'Tabular results'!$AV$17</c:f>
              <c:strCache>
                <c:ptCount val="1"/>
                <c:pt idx="0">
                  <c:v>Forestry tree by-product</c:v>
                </c:pt>
              </c:strCache>
            </c:strRef>
          </c:tx>
          <c:spPr>
            <a:solidFill>
              <a:srgbClr val="FFFF66"/>
            </a:solidFill>
            <a:ln>
              <a:solidFill>
                <a:schemeClr val="tx1"/>
              </a:solidFill>
            </a:ln>
          </c:spPr>
          <c:invertIfNegative val="0"/>
          <c:val>
            <c:numRef>
              <c:f>[0]!Ha_for_tree_by</c:f>
              <c:numCache>
                <c:formatCode>0.00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E20D-453B-81A4-E98AB3FA855A}"/>
            </c:ext>
          </c:extLst>
        </c:ser>
        <c:ser>
          <c:idx val="3"/>
          <c:order val="3"/>
          <c:tx>
            <c:strRef>
              <c:f>'Tabular results'!$BC$17</c:f>
              <c:strCache>
                <c:ptCount val="1"/>
                <c:pt idx="0">
                  <c:v>Silvoarable tree by-product</c:v>
                </c:pt>
              </c:strCache>
            </c:strRef>
          </c:tx>
          <c:spPr>
            <a:solidFill>
              <a:srgbClr val="FF0000"/>
            </a:solidFill>
            <a:ln>
              <a:solidFill>
                <a:schemeClr val="tx1"/>
              </a:solidFill>
            </a:ln>
          </c:spPr>
          <c:invertIfNegative val="0"/>
          <c:val>
            <c:numRef>
              <c:f>[0]!Ha_sil_tree_by</c:f>
              <c:numCache>
                <c:formatCode>0.00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E20D-453B-81A4-E98AB3FA855A}"/>
            </c:ext>
          </c:extLst>
        </c:ser>
        <c:dLbls>
          <c:showLegendKey val="0"/>
          <c:showVal val="0"/>
          <c:showCatName val="0"/>
          <c:showSerName val="0"/>
          <c:showPercent val="0"/>
          <c:showBubbleSize val="0"/>
        </c:dLbls>
        <c:gapWidth val="0"/>
        <c:overlap val="50"/>
        <c:axId val="73258687"/>
        <c:axId val="1939312623"/>
      </c:barChart>
      <c:catAx>
        <c:axId val="1925438607"/>
        <c:scaling>
          <c:orientation val="minMax"/>
        </c:scaling>
        <c:delete val="0"/>
        <c:axPos val="b"/>
        <c:title>
          <c:tx>
            <c:rich>
              <a:bodyPr/>
              <a:lstStyle/>
              <a:p>
                <a:pPr>
                  <a:defRPr/>
                </a:pPr>
                <a:r>
                  <a:rPr lang="en-GB"/>
                  <a:t>Year from planting (a)</a:t>
                </a:r>
              </a:p>
            </c:rich>
          </c:tx>
          <c:layout>
            <c:manualLayout>
              <c:xMode val="edge"/>
              <c:yMode val="edge"/>
              <c:x val="0.2564267623927155"/>
              <c:y val="0.89882961792117155"/>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Firewood volume (m</a:t>
                </a:r>
                <a:r>
                  <a:rPr lang="en-GB" baseline="30000"/>
                  <a:t>3</a:t>
                </a:r>
                <a:r>
                  <a:rPr lang="en-GB"/>
                  <a:t> ha</a:t>
                </a:r>
                <a:r>
                  <a:rPr lang="en-GB" baseline="30000"/>
                  <a:t>-1</a:t>
                </a:r>
                <a:r>
                  <a:rPr lang="en-GB"/>
                  <a:t>)</a:t>
                </a:r>
              </a:p>
            </c:rich>
          </c:tx>
          <c:layout>
            <c:manualLayout>
              <c:xMode val="edge"/>
              <c:yMode val="edge"/>
              <c:x val="1.3850239547202889E-2"/>
              <c:y val="0.25576864274687328"/>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38607"/>
        <c:crosses val="autoZero"/>
        <c:crossBetween val="midCat"/>
      </c:valAx>
      <c:valAx>
        <c:axId val="1939312623"/>
        <c:scaling>
          <c:orientation val="minMax"/>
        </c:scaling>
        <c:delete val="0"/>
        <c:axPos val="r"/>
        <c:title>
          <c:tx>
            <c:rich>
              <a:bodyPr/>
              <a:lstStyle/>
              <a:p>
                <a:pPr>
                  <a:defRPr/>
                </a:pPr>
                <a:r>
                  <a:rPr lang="en-GB"/>
                  <a:t>By-product weight (t ha</a:t>
                </a:r>
                <a:r>
                  <a:rPr lang="en-GB" baseline="30000"/>
                  <a:t>-1</a:t>
                </a:r>
                <a:r>
                  <a:rPr lang="en-GB"/>
                  <a:t>)</a:t>
                </a:r>
              </a:p>
            </c:rich>
          </c:tx>
          <c:layout>
            <c:manualLayout>
              <c:xMode val="edge"/>
              <c:yMode val="edge"/>
              <c:x val="0.69443166228319164"/>
              <c:y val="0.25234744903383027"/>
            </c:manualLayout>
          </c:layout>
          <c:overlay val="0"/>
        </c:title>
        <c:numFmt formatCode="0.00_)" sourceLinked="1"/>
        <c:majorTickMark val="out"/>
        <c:minorTickMark val="none"/>
        <c:tickLblPos val="nextTo"/>
        <c:crossAx val="73258687"/>
        <c:crosses val="max"/>
        <c:crossBetween val="between"/>
      </c:valAx>
      <c:catAx>
        <c:axId val="73258687"/>
        <c:scaling>
          <c:orientation val="minMax"/>
        </c:scaling>
        <c:delete val="1"/>
        <c:axPos val="b"/>
        <c:majorTickMark val="out"/>
        <c:minorTickMark val="none"/>
        <c:tickLblPos val="nextTo"/>
        <c:crossAx val="1939312623"/>
        <c:crosses val="autoZero"/>
        <c:auto val="1"/>
        <c:lblAlgn val="ctr"/>
        <c:lblOffset val="100"/>
        <c:noMultiLvlLbl val="0"/>
      </c:cat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Harvested timber volume</a:t>
            </a:r>
          </a:p>
        </c:rich>
      </c:tx>
      <c:layout>
        <c:manualLayout>
          <c:xMode val="edge"/>
          <c:yMode val="edge"/>
          <c:x val="0.31983099544569193"/>
          <c:y val="5.5564941003745254E-2"/>
        </c:manualLayout>
      </c:layout>
      <c:overlay val="0"/>
      <c:spPr>
        <a:noFill/>
        <a:ln w="25400">
          <a:noFill/>
        </a:ln>
      </c:spPr>
    </c:title>
    <c:autoTitleDeleted val="0"/>
    <c:plotArea>
      <c:layout>
        <c:manualLayout>
          <c:layoutTarget val="inner"/>
          <c:xMode val="edge"/>
          <c:yMode val="edge"/>
          <c:x val="0.15049468982556855"/>
          <c:y val="0.16454430194460373"/>
          <c:w val="0.58159394479692006"/>
          <c:h val="0.62803496962966809"/>
        </c:manualLayout>
      </c:layout>
      <c:barChart>
        <c:barDir val="col"/>
        <c:grouping val="stacked"/>
        <c:varyColors val="0"/>
        <c:ser>
          <c:idx val="2"/>
          <c:order val="0"/>
          <c:tx>
            <c:strRef>
              <c:f>'Tabular results'!$CP$17</c:f>
              <c:strCache>
                <c:ptCount val="1"/>
                <c:pt idx="0">
                  <c:v>Silvoarable (harvested trees)</c:v>
                </c:pt>
              </c:strCache>
            </c:strRef>
          </c:tx>
          <c:spPr>
            <a:solidFill>
              <a:srgbClr val="0000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[0]!U_harv_timb_sil</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7218.4952126390099</c:v>
                </c:pt>
              </c:numCache>
            </c:numRef>
          </c:val>
          <c:extLst>
            <c:ext xmlns:c16="http://schemas.microsoft.com/office/drawing/2014/chart" uri="{C3380CC4-5D6E-409C-BE32-E72D297353CC}">
              <c16:uniqueId val="{00000001-9CB6-4619-BCDC-9A8EA9E5C37D}"/>
            </c:ext>
          </c:extLst>
        </c:ser>
        <c:ser>
          <c:idx val="0"/>
          <c:order val="1"/>
          <c:tx>
            <c:strRef>
              <c:f>'Tabular results'!$CM$17</c:f>
              <c:strCache>
                <c:ptCount val="1"/>
                <c:pt idx="0">
                  <c:v>Forestry (harvested trees)</c:v>
                </c:pt>
              </c:strCache>
            </c:strRef>
          </c:tx>
          <c:spPr>
            <a:solidFill>
              <a:srgbClr val="00B050"/>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[0]!U_harv_timb_for</c:f>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7301.0038199025394</c:v>
                </c:pt>
              </c:numCache>
            </c:numRef>
          </c:val>
          <c:extLst>
            <c:ext xmlns:c16="http://schemas.microsoft.com/office/drawing/2014/chart" uri="{C3380CC4-5D6E-409C-BE32-E72D297353CC}">
              <c16:uniqueId val="{00000000-9CB6-4619-BCDC-9A8EA9E5C37D}"/>
            </c:ext>
          </c:extLst>
        </c:ser>
        <c:dLbls>
          <c:showLegendKey val="0"/>
          <c:showVal val="0"/>
          <c:showCatName val="0"/>
          <c:showSerName val="0"/>
          <c:showPercent val="0"/>
          <c:showBubbleSize val="0"/>
        </c:dLbls>
        <c:gapWidth val="0"/>
        <c:overlap val="100"/>
        <c:axId val="1925419583"/>
        <c:axId val="1"/>
      </c:barChart>
      <c:catAx>
        <c:axId val="1925419583"/>
        <c:scaling>
          <c:orientation val="minMax"/>
        </c:scaling>
        <c:delete val="0"/>
        <c:axPos val="b"/>
        <c:title>
          <c:tx>
            <c:rich>
              <a:bodyPr/>
              <a:lstStyle/>
              <a:p>
                <a:pPr>
                  <a:defRPr/>
                </a:pPr>
                <a:r>
                  <a:rPr lang="en-GB"/>
                  <a:t>Year from planting (a)</a:t>
                </a:r>
              </a:p>
            </c:rich>
          </c:tx>
          <c:layout>
            <c:manualLayout>
              <c:xMode val="edge"/>
              <c:yMode val="edge"/>
              <c:x val="0.42105305824113759"/>
              <c:y val="0.8506875360092184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Harvested timber (m</a:t>
                </a:r>
                <a:r>
                  <a:rPr lang="en-GB" baseline="30000"/>
                  <a:t>3</a:t>
                </a:r>
                <a:r>
                  <a:rPr lang="en-GB"/>
                  <a:t> unit</a:t>
                </a:r>
                <a:r>
                  <a:rPr lang="en-GB" baseline="30000"/>
                  <a:t>-1</a:t>
                </a:r>
                <a:r>
                  <a:rPr lang="en-GB"/>
                  <a:t>)</a:t>
                </a:r>
              </a:p>
            </c:rich>
          </c:tx>
          <c:layout>
            <c:manualLayout>
              <c:xMode val="edge"/>
              <c:yMode val="edge"/>
              <c:x val="3.611104908872062E-2"/>
              <c:y val="0.2640122814836824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19583"/>
        <c:crosses val="autoZero"/>
        <c:crossBetween val="midCat"/>
      </c:valAx>
      <c:spPr>
        <a:noFill/>
        <a:ln w="25400">
          <a:noFill/>
        </a:ln>
      </c:spPr>
    </c:plotArea>
    <c:legend>
      <c:legendPos val="r"/>
      <c:overlay val="0"/>
      <c:spPr>
        <a:no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Labour</a:t>
            </a:r>
          </a:p>
        </c:rich>
      </c:tx>
      <c:layout>
        <c:manualLayout>
          <c:xMode val="edge"/>
          <c:yMode val="edge"/>
          <c:x val="0.42127613731009556"/>
          <c:y val="5.831406153101748E-2"/>
        </c:manualLayout>
      </c:layout>
      <c:overlay val="0"/>
      <c:spPr>
        <a:noFill/>
        <a:ln w="25400">
          <a:noFill/>
        </a:ln>
      </c:spPr>
    </c:title>
    <c:autoTitleDeleted val="0"/>
    <c:plotArea>
      <c:layout>
        <c:manualLayout>
          <c:layoutTarget val="inner"/>
          <c:xMode val="edge"/>
          <c:yMode val="edge"/>
          <c:x val="0.13070112647402329"/>
          <c:y val="0.13698332909617675"/>
          <c:w val="0.67324452625730657"/>
          <c:h val="0.6935071597063025"/>
        </c:manualLayout>
      </c:layout>
      <c:barChart>
        <c:barDir val="col"/>
        <c:grouping val="stacked"/>
        <c:varyColors val="0"/>
        <c:ser>
          <c:idx val="2"/>
          <c:order val="0"/>
          <c:tx>
            <c:strRef>
              <c:f>'Tabular results'!$CU$17</c:f>
              <c:strCache>
                <c:ptCount val="1"/>
                <c:pt idx="0">
                  <c:v>Silvoarable labour</c:v>
                </c:pt>
              </c:strCache>
            </c:strRef>
          </c:tx>
          <c:spPr>
            <a:solidFill>
              <a:schemeClr val="accent1"/>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[0]!U_labour_sil</c:f>
              <c:numCache>
                <c:formatCode>0</c:formatCode>
                <c:ptCount val="31"/>
                <c:pt idx="1">
                  <c:v>571.45265334186263</c:v>
                </c:pt>
                <c:pt idx="2">
                  <c:v>383.84515334186267</c:v>
                </c:pt>
                <c:pt idx="3">
                  <c:v>393.64518659769732</c:v>
                </c:pt>
                <c:pt idx="4">
                  <c:v>246.12611632973906</c:v>
                </c:pt>
                <c:pt idx="5">
                  <c:v>383.84515334186267</c:v>
                </c:pt>
                <c:pt idx="6">
                  <c:v>519.74092374757424</c:v>
                </c:pt>
                <c:pt idx="7">
                  <c:v>357.47600462817718</c:v>
                </c:pt>
                <c:pt idx="8">
                  <c:v>481.74847517164193</c:v>
                </c:pt>
                <c:pt idx="9">
                  <c:v>719.194100619957</c:v>
                </c:pt>
                <c:pt idx="10">
                  <c:v>383.84515334186267</c:v>
                </c:pt>
                <c:pt idx="11">
                  <c:v>357.47600462817718</c:v>
                </c:pt>
                <c:pt idx="12">
                  <c:v>681.20165204402474</c:v>
                </c:pt>
                <c:pt idx="13">
                  <c:v>383.84515334186267</c:v>
                </c:pt>
                <c:pt idx="14">
                  <c:v>383.84515334186267</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444.39999999999992</c:v>
                </c:pt>
              </c:numCache>
            </c:numRef>
          </c:val>
          <c:extLst>
            <c:ext xmlns:c16="http://schemas.microsoft.com/office/drawing/2014/chart" uri="{C3380CC4-5D6E-409C-BE32-E72D297353CC}">
              <c16:uniqueId val="{00000002-7767-4447-9253-F182651B77D2}"/>
            </c:ext>
          </c:extLst>
        </c:ser>
        <c:ser>
          <c:idx val="1"/>
          <c:order val="1"/>
          <c:tx>
            <c:strRef>
              <c:f>'Tabular results'!$CR$17</c:f>
              <c:strCache>
                <c:ptCount val="1"/>
                <c:pt idx="0">
                  <c:v>Forestry</c:v>
                </c:pt>
              </c:strCache>
            </c:strRef>
          </c:tx>
          <c:spPr>
            <a:solidFill>
              <a:srgbClr val="00B050"/>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[0]!U_labour_tree</c:f>
              <c:numCache>
                <c:formatCode>0</c:formatCode>
                <c:ptCount val="31"/>
                <c:pt idx="1">
                  <c:v>175.49760000000001</c:v>
                </c:pt>
                <c:pt idx="2">
                  <c:v>0</c:v>
                </c:pt>
                <c:pt idx="3">
                  <c:v>56.423923872451432</c:v>
                </c:pt>
                <c:pt idx="4">
                  <c:v>0</c:v>
                </c:pt>
                <c:pt idx="5">
                  <c:v>0</c:v>
                </c:pt>
                <c:pt idx="6">
                  <c:v>211.99740183290999</c:v>
                </c:pt>
                <c:pt idx="7">
                  <c:v>0</c:v>
                </c:pt>
                <c:pt idx="8">
                  <c:v>367.57087979336853</c:v>
                </c:pt>
                <c:pt idx="9">
                  <c:v>523.14435775382708</c:v>
                </c:pt>
                <c:pt idx="10">
                  <c:v>0</c:v>
                </c:pt>
                <c:pt idx="11">
                  <c:v>678.71783571428557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693.26400000000001</c:v>
                </c:pt>
              </c:numCache>
            </c:numRef>
          </c:val>
          <c:extLst>
            <c:ext xmlns:c16="http://schemas.microsoft.com/office/drawing/2014/chart" uri="{C3380CC4-5D6E-409C-BE32-E72D297353CC}">
              <c16:uniqueId val="{00000001-7767-4447-9253-F182651B77D2}"/>
            </c:ext>
          </c:extLst>
        </c:ser>
        <c:ser>
          <c:idx val="0"/>
          <c:order val="2"/>
          <c:tx>
            <c:strRef>
              <c:f>'Tabular results'!$CQ$17</c:f>
              <c:strCache>
                <c:ptCount val="1"/>
                <c:pt idx="0">
                  <c:v>Arable crop</c:v>
                </c:pt>
              </c:strCache>
            </c:strRef>
          </c:tx>
          <c:spPr>
            <a:solidFill>
              <a:srgbClr val="FF0000"/>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[0]!U_labour_arab</c:f>
              <c:numCache>
                <c:formatCode>0</c:formatCode>
                <c:ptCount val="31"/>
                <c:pt idx="1">
                  <c:v>387.83870545896116</c:v>
                </c:pt>
                <c:pt idx="2">
                  <c:v>387.83870545896116</c:v>
                </c:pt>
                <c:pt idx="3">
                  <c:v>361.19521025749333</c:v>
                </c:pt>
                <c:pt idx="4">
                  <c:v>248.68682984763632</c:v>
                </c:pt>
                <c:pt idx="5">
                  <c:v>387.83870545896116</c:v>
                </c:pt>
                <c:pt idx="6">
                  <c:v>387.83870545896116</c:v>
                </c:pt>
                <c:pt idx="7">
                  <c:v>361.19521025749333</c:v>
                </c:pt>
                <c:pt idx="8">
                  <c:v>248.68682984763632</c:v>
                </c:pt>
                <c:pt idx="9">
                  <c:v>387.83870545896116</c:v>
                </c:pt>
                <c:pt idx="10">
                  <c:v>387.83870545896116</c:v>
                </c:pt>
                <c:pt idx="11">
                  <c:v>361.19521025749333</c:v>
                </c:pt>
                <c:pt idx="12">
                  <c:v>248.68682984763632</c:v>
                </c:pt>
                <c:pt idx="13">
                  <c:v>387.83870545896116</c:v>
                </c:pt>
                <c:pt idx="14">
                  <c:v>387.83870545896116</c:v>
                </c:pt>
                <c:pt idx="15">
                  <c:v>361.19521025749333</c:v>
                </c:pt>
                <c:pt idx="16">
                  <c:v>248.68682984763632</c:v>
                </c:pt>
                <c:pt idx="17">
                  <c:v>387.83870545896116</c:v>
                </c:pt>
                <c:pt idx="18">
                  <c:v>387.83870545896116</c:v>
                </c:pt>
                <c:pt idx="19">
                  <c:v>361.19521025749333</c:v>
                </c:pt>
                <c:pt idx="20">
                  <c:v>248.68682984763632</c:v>
                </c:pt>
                <c:pt idx="21">
                  <c:v>387.83870545896116</c:v>
                </c:pt>
                <c:pt idx="22">
                  <c:v>387.83870545896116</c:v>
                </c:pt>
                <c:pt idx="23">
                  <c:v>361.19521025749333</c:v>
                </c:pt>
                <c:pt idx="24">
                  <c:v>248.68682984763632</c:v>
                </c:pt>
                <c:pt idx="25">
                  <c:v>387.83870545896116</c:v>
                </c:pt>
                <c:pt idx="26">
                  <c:v>387.83870545896116</c:v>
                </c:pt>
                <c:pt idx="27">
                  <c:v>361.19521025749333</c:v>
                </c:pt>
                <c:pt idx="28">
                  <c:v>248.68682984763632</c:v>
                </c:pt>
                <c:pt idx="29">
                  <c:v>387.83870545896116</c:v>
                </c:pt>
                <c:pt idx="30">
                  <c:v>387.83870545896116</c:v>
                </c:pt>
              </c:numCache>
            </c:numRef>
          </c:val>
          <c:extLst>
            <c:ext xmlns:c16="http://schemas.microsoft.com/office/drawing/2014/chart" uri="{C3380CC4-5D6E-409C-BE32-E72D297353CC}">
              <c16:uniqueId val="{00000000-7767-4447-9253-F182651B77D2}"/>
            </c:ext>
          </c:extLst>
        </c:ser>
        <c:dLbls>
          <c:showLegendKey val="0"/>
          <c:showVal val="0"/>
          <c:showCatName val="0"/>
          <c:showSerName val="0"/>
          <c:showPercent val="0"/>
          <c:showBubbleSize val="0"/>
        </c:dLbls>
        <c:gapWidth val="50"/>
        <c:overlap val="100"/>
        <c:axId val="1925430255"/>
        <c:axId val="1"/>
      </c:barChart>
      <c:catAx>
        <c:axId val="1925430255"/>
        <c:scaling>
          <c:orientation val="minMax"/>
        </c:scaling>
        <c:delete val="0"/>
        <c:axPos val="b"/>
        <c:title>
          <c:tx>
            <c:rich>
              <a:bodyPr/>
              <a:lstStyle/>
              <a:p>
                <a:pPr>
                  <a:defRPr/>
                </a:pPr>
                <a:r>
                  <a:rPr lang="en-GB"/>
                  <a:t>Year from planting (a)</a:t>
                </a:r>
              </a:p>
            </c:rich>
          </c:tx>
          <c:layout>
            <c:manualLayout>
              <c:xMode val="edge"/>
              <c:yMode val="edge"/>
              <c:x val="0.40805591979444206"/>
              <c:y val="0.8983410744543006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Labour (h unit</a:t>
                </a:r>
                <a:r>
                  <a:rPr lang="en-GB" baseline="30000"/>
                  <a:t>-1</a:t>
                </a:r>
                <a:r>
                  <a:rPr lang="en-GB"/>
                  <a:t>)</a:t>
                </a:r>
              </a:p>
            </c:rich>
          </c:tx>
          <c:layout>
            <c:manualLayout>
              <c:xMode val="edge"/>
              <c:yMode val="edge"/>
              <c:x val="1.767273001270666E-2"/>
              <c:y val="0.33806367817075655"/>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30255"/>
        <c:crosses val="autoZero"/>
        <c:crossBetween val="midCat"/>
      </c:valAx>
      <c:spPr>
        <a:noFill/>
        <a:ln w="25400">
          <a:noFill/>
        </a:ln>
      </c:spPr>
    </c:plotArea>
    <c:legend>
      <c:legendPos val="r"/>
      <c:overlay val="0"/>
      <c:spPr>
        <a:no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Unit land use</a:t>
            </a:r>
          </a:p>
        </c:rich>
      </c:tx>
      <c:layout>
        <c:manualLayout>
          <c:xMode val="edge"/>
          <c:yMode val="edge"/>
          <c:x val="0.43119386751594013"/>
          <c:y val="2.9354414810298244E-2"/>
        </c:manualLayout>
      </c:layout>
      <c:overlay val="0"/>
      <c:spPr>
        <a:noFill/>
        <a:ln w="25400">
          <a:noFill/>
        </a:ln>
      </c:spPr>
    </c:title>
    <c:autoTitleDeleted val="0"/>
    <c:plotArea>
      <c:layout>
        <c:manualLayout>
          <c:layoutTarget val="inner"/>
          <c:xMode val="edge"/>
          <c:yMode val="edge"/>
          <c:x val="0.10728076236343613"/>
          <c:y val="6.5558273318574348E-2"/>
          <c:w val="0.7075743870150597"/>
          <c:h val="0.75900953641186519"/>
        </c:manualLayout>
      </c:layout>
      <c:areaChart>
        <c:grouping val="stacked"/>
        <c:varyColors val="0"/>
        <c:ser>
          <c:idx val="0"/>
          <c:order val="0"/>
          <c:tx>
            <c:v>Arable</c:v>
          </c:tx>
          <c:spPr>
            <a:solidFill>
              <a:srgbClr val="FF0000"/>
            </a:solidFill>
            <a:ln w="12700">
              <a:solidFill>
                <a:srgbClr val="000000"/>
              </a:solidFill>
              <a:prstDash val="solid"/>
            </a:ln>
          </c:spP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[0]!U_lu_arab</c:f>
              <c:numCache>
                <c:formatCode>0</c:formatCode>
                <c:ptCount val="31"/>
                <c:pt idx="1">
                  <c:v>33.340000000000003</c:v>
                </c:pt>
                <c:pt idx="2">
                  <c:v>33.340000000000003</c:v>
                </c:pt>
                <c:pt idx="3">
                  <c:v>33.340000000000003</c:v>
                </c:pt>
                <c:pt idx="4">
                  <c:v>33.340000000000003</c:v>
                </c:pt>
                <c:pt idx="5">
                  <c:v>33.340000000000003</c:v>
                </c:pt>
                <c:pt idx="6">
                  <c:v>33.340000000000003</c:v>
                </c:pt>
                <c:pt idx="7">
                  <c:v>33.340000000000003</c:v>
                </c:pt>
                <c:pt idx="8">
                  <c:v>33.340000000000003</c:v>
                </c:pt>
                <c:pt idx="9">
                  <c:v>33.340000000000003</c:v>
                </c:pt>
                <c:pt idx="10">
                  <c:v>33.340000000000003</c:v>
                </c:pt>
                <c:pt idx="11">
                  <c:v>33.340000000000003</c:v>
                </c:pt>
                <c:pt idx="12">
                  <c:v>33.340000000000003</c:v>
                </c:pt>
                <c:pt idx="13">
                  <c:v>33.340000000000003</c:v>
                </c:pt>
                <c:pt idx="14">
                  <c:v>33.340000000000003</c:v>
                </c:pt>
                <c:pt idx="15">
                  <c:v>33.340000000000003</c:v>
                </c:pt>
                <c:pt idx="16">
                  <c:v>33.340000000000003</c:v>
                </c:pt>
                <c:pt idx="17">
                  <c:v>33.340000000000003</c:v>
                </c:pt>
                <c:pt idx="18">
                  <c:v>33.340000000000003</c:v>
                </c:pt>
                <c:pt idx="19">
                  <c:v>33.340000000000003</c:v>
                </c:pt>
                <c:pt idx="20">
                  <c:v>33.340000000000003</c:v>
                </c:pt>
                <c:pt idx="21">
                  <c:v>33.340000000000003</c:v>
                </c:pt>
                <c:pt idx="22">
                  <c:v>33.340000000000003</c:v>
                </c:pt>
                <c:pt idx="23">
                  <c:v>33.340000000000003</c:v>
                </c:pt>
                <c:pt idx="24">
                  <c:v>33.340000000000003</c:v>
                </c:pt>
                <c:pt idx="25">
                  <c:v>33.340000000000003</c:v>
                </c:pt>
                <c:pt idx="26">
                  <c:v>33.340000000000003</c:v>
                </c:pt>
                <c:pt idx="27">
                  <c:v>33.340000000000003</c:v>
                </c:pt>
                <c:pt idx="28">
                  <c:v>33.340000000000003</c:v>
                </c:pt>
                <c:pt idx="29">
                  <c:v>33.340000000000003</c:v>
                </c:pt>
                <c:pt idx="30">
                  <c:v>33.340000000000003</c:v>
                </c:pt>
              </c:numCache>
            </c:numRef>
          </c:val>
          <c:extLst>
            <c:ext xmlns:c16="http://schemas.microsoft.com/office/drawing/2014/chart" uri="{C3380CC4-5D6E-409C-BE32-E72D297353CC}">
              <c16:uniqueId val="{00000003-7FDB-4DA7-B422-7CA10450A9ED}"/>
            </c:ext>
          </c:extLst>
        </c:ser>
        <c:ser>
          <c:idx val="2"/>
          <c:order val="1"/>
          <c:tx>
            <c:v>Silvoarable (crop)</c:v>
          </c:tx>
          <c:spPr>
            <a:solidFill>
              <a:srgbClr val="00B0F0"/>
            </a:solidFill>
            <a:ln w="12700">
              <a:solidFill>
                <a:srgbClr val="000000"/>
              </a:solidFill>
              <a:prstDash val="solid"/>
            </a:ln>
          </c:spP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[0]!U_lu_silarb_crop</c:f>
              <c:numCache>
                <c:formatCode>0</c:formatCode>
                <c:ptCount val="31"/>
                <c:pt idx="1">
                  <c:v>32.996699999999997</c:v>
                </c:pt>
                <c:pt idx="2">
                  <c:v>32.996699999999997</c:v>
                </c:pt>
                <c:pt idx="3">
                  <c:v>32.996699999999997</c:v>
                </c:pt>
                <c:pt idx="4">
                  <c:v>32.996699999999997</c:v>
                </c:pt>
                <c:pt idx="5">
                  <c:v>32.996699999999997</c:v>
                </c:pt>
                <c:pt idx="6">
                  <c:v>32.996699999999997</c:v>
                </c:pt>
                <c:pt idx="7">
                  <c:v>32.996699999999997</c:v>
                </c:pt>
                <c:pt idx="8">
                  <c:v>32.996699999999997</c:v>
                </c:pt>
                <c:pt idx="9">
                  <c:v>32.996699999999997</c:v>
                </c:pt>
                <c:pt idx="10">
                  <c:v>32.996699999999997</c:v>
                </c:pt>
                <c:pt idx="11">
                  <c:v>32.996699999999997</c:v>
                </c:pt>
                <c:pt idx="12">
                  <c:v>32.996699999999997</c:v>
                </c:pt>
                <c:pt idx="13">
                  <c:v>32.996699999999997</c:v>
                </c:pt>
                <c:pt idx="14">
                  <c:v>32.996699999999997</c:v>
                </c:pt>
                <c:pt idx="15">
                  <c:v>32.996699999999997</c:v>
                </c:pt>
                <c:pt idx="16">
                  <c:v>32.996699999999997</c:v>
                </c:pt>
                <c:pt idx="17">
                  <c:v>32.996699999999997</c:v>
                </c:pt>
                <c:pt idx="18">
                  <c:v>32.996699999999997</c:v>
                </c:pt>
                <c:pt idx="19">
                  <c:v>32.996699999999997</c:v>
                </c:pt>
                <c:pt idx="20">
                  <c:v>32.996699999999997</c:v>
                </c:pt>
                <c:pt idx="21">
                  <c:v>32.996699999999997</c:v>
                </c:pt>
                <c:pt idx="22">
                  <c:v>32.996699999999997</c:v>
                </c:pt>
                <c:pt idx="23">
                  <c:v>32.996699999999997</c:v>
                </c:pt>
                <c:pt idx="24">
                  <c:v>32.996699999999997</c:v>
                </c:pt>
                <c:pt idx="25">
                  <c:v>32.996699999999997</c:v>
                </c:pt>
                <c:pt idx="26">
                  <c:v>32.996699999999997</c:v>
                </c:pt>
                <c:pt idx="27">
                  <c:v>32.996699999999997</c:v>
                </c:pt>
                <c:pt idx="28">
                  <c:v>32.996699999999997</c:v>
                </c:pt>
                <c:pt idx="29">
                  <c:v>32.996699999999997</c:v>
                </c:pt>
                <c:pt idx="30">
                  <c:v>32.996699999999997</c:v>
                </c:pt>
              </c:numCache>
            </c:numRef>
          </c:val>
          <c:extLst>
            <c:ext xmlns:c16="http://schemas.microsoft.com/office/drawing/2014/chart" uri="{C3380CC4-5D6E-409C-BE32-E72D297353CC}">
              <c16:uniqueId val="{00000000-7FDB-4DA7-B422-7CA10450A9ED}"/>
            </c:ext>
          </c:extLst>
        </c:ser>
        <c:ser>
          <c:idx val="3"/>
          <c:order val="2"/>
          <c:tx>
            <c:v>Silvoarable (tree)</c:v>
          </c:tx>
          <c:spPr>
            <a:solidFill>
              <a:srgbClr val="0000FF"/>
            </a:solidFill>
            <a:ln w="12700">
              <a:solidFill>
                <a:srgbClr val="000000"/>
              </a:solidFill>
              <a:prstDash val="solid"/>
            </a:ln>
          </c:spP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[0]!U_lu_silarb_tree</c:f>
              <c:numCache>
                <c:formatCode>0</c:formatCode>
                <c:ptCount val="31"/>
                <c:pt idx="1">
                  <c:v>0.33330000000000026</c:v>
                </c:pt>
                <c:pt idx="2">
                  <c:v>0.33330000000000026</c:v>
                </c:pt>
                <c:pt idx="3">
                  <c:v>0.33330000000000026</c:v>
                </c:pt>
                <c:pt idx="4">
                  <c:v>0.33330000000000026</c:v>
                </c:pt>
                <c:pt idx="5">
                  <c:v>0.33330000000000026</c:v>
                </c:pt>
                <c:pt idx="6">
                  <c:v>0.33330000000000026</c:v>
                </c:pt>
                <c:pt idx="7">
                  <c:v>0.33330000000000026</c:v>
                </c:pt>
                <c:pt idx="8">
                  <c:v>0.33330000000000026</c:v>
                </c:pt>
                <c:pt idx="9">
                  <c:v>0.33330000000000026</c:v>
                </c:pt>
                <c:pt idx="10">
                  <c:v>0.33330000000000026</c:v>
                </c:pt>
                <c:pt idx="11">
                  <c:v>0.33330000000000026</c:v>
                </c:pt>
                <c:pt idx="12">
                  <c:v>0.33330000000000026</c:v>
                </c:pt>
                <c:pt idx="13">
                  <c:v>0.33330000000000026</c:v>
                </c:pt>
                <c:pt idx="14">
                  <c:v>0.33330000000000026</c:v>
                </c:pt>
                <c:pt idx="15">
                  <c:v>0.33330000000000026</c:v>
                </c:pt>
                <c:pt idx="16">
                  <c:v>0.33330000000000026</c:v>
                </c:pt>
                <c:pt idx="17">
                  <c:v>0.33330000000000026</c:v>
                </c:pt>
                <c:pt idx="18">
                  <c:v>0.33330000000000026</c:v>
                </c:pt>
                <c:pt idx="19">
                  <c:v>0.33330000000000026</c:v>
                </c:pt>
                <c:pt idx="20">
                  <c:v>0.33330000000000026</c:v>
                </c:pt>
                <c:pt idx="21">
                  <c:v>0.33330000000000026</c:v>
                </c:pt>
                <c:pt idx="22">
                  <c:v>0.33330000000000026</c:v>
                </c:pt>
                <c:pt idx="23">
                  <c:v>0.33330000000000026</c:v>
                </c:pt>
                <c:pt idx="24">
                  <c:v>0.33330000000000026</c:v>
                </c:pt>
                <c:pt idx="25">
                  <c:v>0.33330000000000026</c:v>
                </c:pt>
                <c:pt idx="26">
                  <c:v>0.33330000000000026</c:v>
                </c:pt>
                <c:pt idx="27">
                  <c:v>0.33330000000000026</c:v>
                </c:pt>
                <c:pt idx="28">
                  <c:v>0.33330000000000026</c:v>
                </c:pt>
                <c:pt idx="29">
                  <c:v>0.33330000000000026</c:v>
                </c:pt>
                <c:pt idx="30">
                  <c:v>0.33330000000000026</c:v>
                </c:pt>
              </c:numCache>
            </c:numRef>
          </c:val>
          <c:extLst>
            <c:ext xmlns:c16="http://schemas.microsoft.com/office/drawing/2014/chart" uri="{C3380CC4-5D6E-409C-BE32-E72D297353CC}">
              <c16:uniqueId val="{00000001-7FDB-4DA7-B422-7CA10450A9ED}"/>
            </c:ext>
          </c:extLst>
        </c:ser>
        <c:ser>
          <c:idx val="1"/>
          <c:order val="3"/>
          <c:tx>
            <c:v>Forestry</c:v>
          </c:tx>
          <c:spPr>
            <a:solidFill>
              <a:srgbClr val="00B050"/>
            </a:solidFill>
            <a:ln w="12700">
              <a:solidFill>
                <a:srgbClr val="000000"/>
              </a:solidFill>
              <a:prstDash val="solid"/>
            </a:ln>
          </c:spP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[0]!U_lu_tree</c:f>
              <c:numCache>
                <c:formatCode>0</c:formatCode>
                <c:ptCount val="31"/>
                <c:pt idx="1">
                  <c:v>33.33</c:v>
                </c:pt>
                <c:pt idx="2">
                  <c:v>33.33</c:v>
                </c:pt>
                <c:pt idx="3">
                  <c:v>33.33</c:v>
                </c:pt>
                <c:pt idx="4">
                  <c:v>33.33</c:v>
                </c:pt>
                <c:pt idx="5">
                  <c:v>33.33</c:v>
                </c:pt>
                <c:pt idx="6">
                  <c:v>33.33</c:v>
                </c:pt>
                <c:pt idx="7">
                  <c:v>33.33</c:v>
                </c:pt>
                <c:pt idx="8">
                  <c:v>33.33</c:v>
                </c:pt>
                <c:pt idx="9">
                  <c:v>33.33</c:v>
                </c:pt>
                <c:pt idx="10">
                  <c:v>33.33</c:v>
                </c:pt>
                <c:pt idx="11">
                  <c:v>33.33</c:v>
                </c:pt>
                <c:pt idx="12">
                  <c:v>33.33</c:v>
                </c:pt>
                <c:pt idx="13">
                  <c:v>33.33</c:v>
                </c:pt>
                <c:pt idx="14">
                  <c:v>33.33</c:v>
                </c:pt>
                <c:pt idx="15">
                  <c:v>33.33</c:v>
                </c:pt>
                <c:pt idx="16">
                  <c:v>33.33</c:v>
                </c:pt>
                <c:pt idx="17">
                  <c:v>33.33</c:v>
                </c:pt>
                <c:pt idx="18">
                  <c:v>33.33</c:v>
                </c:pt>
                <c:pt idx="19">
                  <c:v>33.33</c:v>
                </c:pt>
                <c:pt idx="20">
                  <c:v>33.33</c:v>
                </c:pt>
                <c:pt idx="21">
                  <c:v>33.33</c:v>
                </c:pt>
                <c:pt idx="22">
                  <c:v>33.33</c:v>
                </c:pt>
                <c:pt idx="23">
                  <c:v>33.33</c:v>
                </c:pt>
                <c:pt idx="24">
                  <c:v>33.33</c:v>
                </c:pt>
                <c:pt idx="25">
                  <c:v>33.33</c:v>
                </c:pt>
                <c:pt idx="26">
                  <c:v>33.33</c:v>
                </c:pt>
                <c:pt idx="27">
                  <c:v>33.33</c:v>
                </c:pt>
                <c:pt idx="28">
                  <c:v>33.33</c:v>
                </c:pt>
                <c:pt idx="29">
                  <c:v>33.33</c:v>
                </c:pt>
                <c:pt idx="30">
                  <c:v>33.33</c:v>
                </c:pt>
              </c:numCache>
            </c:numRef>
          </c:val>
          <c:extLst>
            <c:ext xmlns:c16="http://schemas.microsoft.com/office/drawing/2014/chart" uri="{C3380CC4-5D6E-409C-BE32-E72D297353CC}">
              <c16:uniqueId val="{00000002-7FDB-4DA7-B422-7CA10450A9ED}"/>
            </c:ext>
          </c:extLst>
        </c:ser>
        <c:dLbls>
          <c:showLegendKey val="0"/>
          <c:showVal val="0"/>
          <c:showCatName val="0"/>
          <c:showSerName val="0"/>
          <c:showPercent val="0"/>
          <c:showBubbleSize val="0"/>
        </c:dLbls>
        <c:axId val="1925419119"/>
        <c:axId val="1"/>
      </c:areaChart>
      <c:catAx>
        <c:axId val="1925419119"/>
        <c:scaling>
          <c:orientation val="minMax"/>
        </c:scaling>
        <c:delete val="0"/>
        <c:axPos val="b"/>
        <c:title>
          <c:tx>
            <c:rich>
              <a:bodyPr/>
              <a:lstStyle/>
              <a:p>
                <a:pPr>
                  <a:defRPr/>
                </a:pPr>
                <a:r>
                  <a:rPr lang="en-GB"/>
                  <a:t>Year from planting (a)</a:t>
                </a:r>
              </a:p>
            </c:rich>
          </c:tx>
          <c:layout>
            <c:manualLayout>
              <c:xMode val="edge"/>
              <c:yMode val="edge"/>
              <c:x val="0.40523659747777324"/>
              <c:y val="0.9116018719272365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Area (ha unit</a:t>
                </a:r>
                <a:r>
                  <a:rPr lang="en-GB" baseline="30000"/>
                  <a:t>-1</a:t>
                </a:r>
                <a:r>
                  <a:rPr lang="en-GB"/>
                  <a:t>)</a:t>
                </a:r>
              </a:p>
            </c:rich>
          </c:tx>
          <c:layout>
            <c:manualLayout>
              <c:xMode val="edge"/>
              <c:yMode val="edge"/>
              <c:x val="1.4376463077250481E-2"/>
              <c:y val="0.35220952231041208"/>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19119"/>
        <c:crosses val="autoZero"/>
        <c:crossBetween val="midCat"/>
      </c:valAx>
      <c:spPr>
        <a:noFill/>
        <a:ln w="25400">
          <a:noFill/>
        </a:ln>
      </c:spPr>
    </c:plotArea>
    <c:legend>
      <c:legendPos val="r"/>
      <c:overlay val="0"/>
      <c:spPr>
        <a:noFill/>
        <a:ln w="25400">
          <a:noFill/>
        </a:ln>
      </c:sp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Silvoarable labour</a:t>
            </a:r>
          </a:p>
        </c:rich>
      </c:tx>
      <c:layout>
        <c:manualLayout>
          <c:xMode val="edge"/>
          <c:yMode val="edge"/>
          <c:x val="0.38297940315808821"/>
          <c:y val="2.9013505762110862E-2"/>
        </c:manualLayout>
      </c:layout>
      <c:overlay val="0"/>
      <c:spPr>
        <a:noFill/>
        <a:ln w="25400">
          <a:noFill/>
        </a:ln>
      </c:spPr>
    </c:title>
    <c:autoTitleDeleted val="0"/>
    <c:plotArea>
      <c:layout>
        <c:manualLayout>
          <c:layoutTarget val="inner"/>
          <c:xMode val="edge"/>
          <c:yMode val="edge"/>
          <c:x val="0.13049662426891986"/>
          <c:y val="0.11835338278987534"/>
          <c:w val="0.63676572828419209"/>
          <c:h val="0.68736316045990709"/>
        </c:manualLayout>
      </c:layout>
      <c:barChart>
        <c:barDir val="col"/>
        <c:grouping val="stacked"/>
        <c:varyColors val="0"/>
        <c:ser>
          <c:idx val="3"/>
          <c:order val="0"/>
          <c:tx>
            <c:strRef>
              <c:f>'Tabular results'!$BF$17</c:f>
              <c:strCache>
                <c:ptCount val="1"/>
                <c:pt idx="0">
                  <c:v>Silvoarable crop labour</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[0]!Ha_sil_crop_lab</c:f>
              <c:numCache>
                <c:formatCode>0.0</c:formatCode>
                <c:ptCount val="31"/>
                <c:pt idx="1">
                  <c:v>11.516506250880969</c:v>
                </c:pt>
                <c:pt idx="2">
                  <c:v>11.516506250880969</c:v>
                </c:pt>
                <c:pt idx="3">
                  <c:v>10.725352674112727</c:v>
                </c:pt>
                <c:pt idx="4">
                  <c:v>7.3845219420863808</c:v>
                </c:pt>
                <c:pt idx="5">
                  <c:v>11.516506250880969</c:v>
                </c:pt>
                <c:pt idx="6">
                  <c:v>11.516506250880969</c:v>
                </c:pt>
                <c:pt idx="7">
                  <c:v>10.725352674112727</c:v>
                </c:pt>
                <c:pt idx="8">
                  <c:v>7.3845219420863808</c:v>
                </c:pt>
                <c:pt idx="9">
                  <c:v>11.516506250880969</c:v>
                </c:pt>
                <c:pt idx="10">
                  <c:v>11.516506250880969</c:v>
                </c:pt>
                <c:pt idx="11">
                  <c:v>10.725352674112727</c:v>
                </c:pt>
                <c:pt idx="12">
                  <c:v>7.3845219420863808</c:v>
                </c:pt>
                <c:pt idx="13">
                  <c:v>11.516506250880969</c:v>
                </c:pt>
                <c:pt idx="14">
                  <c:v>11.516506250880969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793-4B90-BED5-10A1BC7F3B3A}"/>
            </c:ext>
          </c:extLst>
        </c:ser>
        <c:ser>
          <c:idx val="4"/>
          <c:order val="1"/>
          <c:tx>
            <c:strRef>
              <c:f>'Tabular results'!$BG$17</c:f>
              <c:strCache>
                <c:ptCount val="1"/>
                <c:pt idx="0">
                  <c:v>Silvoarable tree labour</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[0]!Ha_sil_tree_lab</c:f>
              <c:numCache>
                <c:formatCode>0.0</c:formatCode>
                <c:ptCount val="31"/>
                <c:pt idx="1">
                  <c:v>5.6287878787878789</c:v>
                </c:pt>
                <c:pt idx="2">
                  <c:v>0</c:v>
                </c:pt>
                <c:pt idx="3">
                  <c:v>1.0851839774833529</c:v>
                </c:pt>
                <c:pt idx="4">
                  <c:v>0</c:v>
                </c:pt>
                <c:pt idx="5">
                  <c:v>0</c:v>
                </c:pt>
                <c:pt idx="6">
                  <c:v>4.0772808402553711</c:v>
                </c:pt>
                <c:pt idx="7">
                  <c:v>0</c:v>
                </c:pt>
                <c:pt idx="8">
                  <c:v>7.0693777030273894</c:v>
                </c:pt>
                <c:pt idx="9">
                  <c:v>10.06147456579941</c:v>
                </c:pt>
                <c:pt idx="10">
                  <c:v>0</c:v>
                </c:pt>
                <c:pt idx="11">
                  <c:v>0</c:v>
                </c:pt>
                <c:pt idx="12">
                  <c:v>13.053571428571427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13.333333333333332</c:v>
                </c:pt>
              </c:numCache>
            </c:numRef>
          </c:val>
          <c:extLst>
            <c:ext xmlns:c16="http://schemas.microsoft.com/office/drawing/2014/chart" uri="{C3380CC4-5D6E-409C-BE32-E72D297353CC}">
              <c16:uniqueId val="{00000001-6793-4B90-BED5-10A1BC7F3B3A}"/>
            </c:ext>
          </c:extLst>
        </c:ser>
        <c:dLbls>
          <c:showLegendKey val="0"/>
          <c:showVal val="0"/>
          <c:showCatName val="0"/>
          <c:showSerName val="0"/>
          <c:showPercent val="0"/>
          <c:showBubbleSize val="0"/>
        </c:dLbls>
        <c:gapWidth val="0"/>
        <c:overlap val="100"/>
        <c:axId val="2000581983"/>
        <c:axId val="1"/>
      </c:barChart>
      <c:catAx>
        <c:axId val="2000581983"/>
        <c:scaling>
          <c:orientation val="minMax"/>
        </c:scaling>
        <c:delete val="0"/>
        <c:axPos val="b"/>
        <c:title>
          <c:tx>
            <c:rich>
              <a:bodyPr/>
              <a:lstStyle/>
              <a:p>
                <a:pPr>
                  <a:defRPr/>
                </a:pPr>
                <a:r>
                  <a:rPr lang="en-GB"/>
                  <a:t>Year from planting (a)</a:t>
                </a:r>
              </a:p>
            </c:rich>
          </c:tx>
          <c:layout>
            <c:manualLayout>
              <c:xMode val="edge"/>
              <c:yMode val="edge"/>
              <c:x val="0.3668285612025769"/>
              <c:y val="0.88934063649273265"/>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Labour (h ha</a:t>
                </a:r>
                <a:r>
                  <a:rPr lang="en-GB" baseline="30000"/>
                  <a:t>-1</a:t>
                </a:r>
                <a:r>
                  <a:rPr lang="en-GB"/>
                  <a:t>)</a:t>
                </a:r>
              </a:p>
            </c:rich>
          </c:tx>
          <c:layout>
            <c:manualLayout>
              <c:xMode val="edge"/>
              <c:yMode val="edge"/>
              <c:x val="2.4969102706304862E-2"/>
              <c:y val="0.335732890093760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2000581983"/>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Silvoarable tree component labour</a:t>
            </a:r>
          </a:p>
        </c:rich>
      </c:tx>
      <c:layout>
        <c:manualLayout>
          <c:xMode val="edge"/>
          <c:yMode val="edge"/>
          <c:x val="0.35671255683599734"/>
          <c:y val="4.0794103345796799E-2"/>
        </c:manualLayout>
      </c:layout>
      <c:overlay val="0"/>
      <c:spPr>
        <a:noFill/>
        <a:ln w="25400">
          <a:noFill/>
        </a:ln>
      </c:spPr>
    </c:title>
    <c:autoTitleDeleted val="0"/>
    <c:plotArea>
      <c:layout>
        <c:manualLayout>
          <c:layoutTarget val="inner"/>
          <c:xMode val="edge"/>
          <c:yMode val="edge"/>
          <c:x val="0.12424890413075602"/>
          <c:y val="0.12329802980636004"/>
          <c:w val="0.65926803379480237"/>
          <c:h val="0.70130837078841535"/>
        </c:manualLayout>
      </c:layout>
      <c:barChart>
        <c:barDir val="col"/>
        <c:grouping val="stacked"/>
        <c:varyColors val="0"/>
        <c:ser>
          <c:idx val="4"/>
          <c:order val="0"/>
          <c:tx>
            <c:strRef>
              <c:f>'Tabular results'!$BO$17</c:f>
              <c:strCache>
                <c:ptCount val="1"/>
                <c:pt idx="0">
                  <c:v>Establishment labour</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[0]!Ha_est_lab</c:f>
              <c:numCache>
                <c:formatCode>0.0</c:formatCode>
                <c:ptCount val="31"/>
                <c:pt idx="1">
                  <c:v>14.6</c:v>
                </c:pt>
                <c:pt idx="2">
                  <c:v>14.6</c:v>
                </c:pt>
                <c:pt idx="3">
                  <c:v>14.6</c:v>
                </c:pt>
                <c:pt idx="4">
                  <c:v>14.6</c:v>
                </c:pt>
                <c:pt idx="5">
                  <c:v>14.6</c:v>
                </c:pt>
                <c:pt idx="6">
                  <c:v>14.6</c:v>
                </c:pt>
                <c:pt idx="7">
                  <c:v>14.6</c:v>
                </c:pt>
                <c:pt idx="8">
                  <c:v>14.6</c:v>
                </c:pt>
                <c:pt idx="9">
                  <c:v>14.6</c:v>
                </c:pt>
                <c:pt idx="10">
                  <c:v>14.6</c:v>
                </c:pt>
                <c:pt idx="11">
                  <c:v>14.6</c:v>
                </c:pt>
                <c:pt idx="12">
                  <c:v>14.6</c:v>
                </c:pt>
                <c:pt idx="13">
                  <c:v>14.6</c:v>
                </c:pt>
                <c:pt idx="14">
                  <c:v>14.6</c:v>
                </c:pt>
                <c:pt idx="15">
                  <c:v>30</c:v>
                </c:pt>
                <c:pt idx="16">
                  <c:v>14.6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8DA6-494B-84C5-20E97CDD5D23}"/>
            </c:ext>
          </c:extLst>
        </c:ser>
        <c:ser>
          <c:idx val="3"/>
          <c:order val="1"/>
          <c:tx>
            <c:strRef>
              <c:f>'Tabular results'!$BP$17</c:f>
              <c:strCache>
                <c:ptCount val="1"/>
                <c:pt idx="0">
                  <c:v>Weeding labour</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[0]!Ha_wee_lab</c:f>
              <c:numCache>
                <c:formatCode>0.0</c:formatCode>
                <c:ptCount val="31"/>
                <c:pt idx="1">
                  <c:v>0.8833333333333333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8DA6-494B-84C5-20E97CDD5D23}"/>
            </c:ext>
          </c:extLst>
        </c:ser>
        <c:ser>
          <c:idx val="0"/>
          <c:order val="2"/>
          <c:tx>
            <c:strRef>
              <c:f>'Tabular results'!$BQ$17</c:f>
              <c:strCache>
                <c:ptCount val="1"/>
                <c:pt idx="0">
                  <c:v>Pruning labour</c:v>
                </c:pt>
              </c:strCache>
            </c:strRef>
          </c:tx>
          <c:spPr>
            <a:solidFill>
              <a:srgbClr val="9999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[0]!Ha_pru_lab</c:f>
              <c:numCache>
                <c:formatCode>0.0</c:formatCode>
                <c:ptCount val="31"/>
                <c:pt idx="1">
                  <c:v>0</c:v>
                </c:pt>
                <c:pt idx="2">
                  <c:v>0</c:v>
                </c:pt>
                <c:pt idx="3">
                  <c:v>1.0851839774833529</c:v>
                </c:pt>
                <c:pt idx="4">
                  <c:v>0</c:v>
                </c:pt>
                <c:pt idx="5">
                  <c:v>0</c:v>
                </c:pt>
                <c:pt idx="6">
                  <c:v>4.0772808402553711</c:v>
                </c:pt>
                <c:pt idx="7">
                  <c:v>0</c:v>
                </c:pt>
                <c:pt idx="8">
                  <c:v>7.0693777030273894</c:v>
                </c:pt>
                <c:pt idx="9">
                  <c:v>10.06147456579941</c:v>
                </c:pt>
                <c:pt idx="10">
                  <c:v>0</c:v>
                </c:pt>
                <c:pt idx="11">
                  <c:v>0</c:v>
                </c:pt>
                <c:pt idx="12">
                  <c:v>13.053571428571427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8DA6-494B-84C5-20E97CDD5D23}"/>
            </c:ext>
          </c:extLst>
        </c:ser>
        <c:ser>
          <c:idx val="2"/>
          <c:order val="3"/>
          <c:tx>
            <c:strRef>
              <c:f>'Tabular results'!$BR$17</c:f>
              <c:strCache>
                <c:ptCount val="1"/>
                <c:pt idx="0">
                  <c:v>Sward labour</c:v>
                </c:pt>
              </c:strCache>
            </c:strRef>
          </c:tx>
          <c:spPr>
            <a:solidFill>
              <a:srgbClr val="FFFFCC"/>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[0]!Ha_swa_lab</c:f>
              <c:numCache>
                <c:formatCode>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8DA6-494B-84C5-20E97CDD5D23}"/>
            </c:ext>
          </c:extLst>
        </c:ser>
        <c:ser>
          <c:idx val="1"/>
          <c:order val="4"/>
          <c:tx>
            <c:strRef>
              <c:f>'Tabular results'!$BS$17</c:f>
              <c:strCache>
                <c:ptCount val="1"/>
                <c:pt idx="0">
                  <c:v>Epicormics labour</c:v>
                </c:pt>
              </c:strCache>
            </c:strRef>
          </c:tx>
          <c:spPr>
            <a:solidFill>
              <a:srgbClr val="993366"/>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[0]!Ha_epi_lab</c:f>
              <c:numCache>
                <c:formatCode>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8DA6-494B-84C5-20E97CDD5D23}"/>
            </c:ext>
          </c:extLst>
        </c:ser>
        <c:ser>
          <c:idx val="5"/>
          <c:order val="5"/>
          <c:tx>
            <c:strRef>
              <c:f>'Tabular results'!$BU$17</c:f>
              <c:strCache>
                <c:ptCount val="1"/>
                <c:pt idx="0">
                  <c:v>Clear fell labour</c:v>
                </c:pt>
              </c:strCache>
            </c:strRef>
          </c:tx>
          <c:spPr>
            <a:solidFill>
              <a:srgbClr val="FF8080"/>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[0]!Ha_clf_lab</c:f>
              <c:numCache>
                <c:formatCode>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13.333333333333332</c:v>
                </c:pt>
              </c:numCache>
            </c:numRef>
          </c:val>
          <c:extLst>
            <c:ext xmlns:c16="http://schemas.microsoft.com/office/drawing/2014/chart" uri="{C3380CC4-5D6E-409C-BE32-E72D297353CC}">
              <c16:uniqueId val="{00000005-8DA6-494B-84C5-20E97CDD5D23}"/>
            </c:ext>
          </c:extLst>
        </c:ser>
        <c:dLbls>
          <c:showLegendKey val="0"/>
          <c:showVal val="0"/>
          <c:showCatName val="0"/>
          <c:showSerName val="0"/>
          <c:showPercent val="0"/>
          <c:showBubbleSize val="0"/>
        </c:dLbls>
        <c:gapWidth val="0"/>
        <c:overlap val="100"/>
        <c:axId val="2000610287"/>
        <c:axId val="1"/>
      </c:barChart>
      <c:catAx>
        <c:axId val="2000610287"/>
        <c:scaling>
          <c:orientation val="minMax"/>
        </c:scaling>
        <c:delete val="0"/>
        <c:axPos val="b"/>
        <c:title>
          <c:tx>
            <c:rich>
              <a:bodyPr/>
              <a:lstStyle/>
              <a:p>
                <a:pPr>
                  <a:defRPr/>
                </a:pPr>
                <a:r>
                  <a:rPr lang="en-GB"/>
                  <a:t>Year from planting (a)</a:t>
                </a:r>
              </a:p>
            </c:rich>
          </c:tx>
          <c:layout>
            <c:manualLayout>
              <c:xMode val="edge"/>
              <c:yMode val="edge"/>
              <c:x val="0.36581566418280759"/>
              <c:y val="0.8924608157885844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Labour (h ha</a:t>
                </a:r>
                <a:r>
                  <a:rPr lang="en-GB" baseline="30000"/>
                  <a:t>-1</a:t>
                </a:r>
                <a:r>
                  <a:rPr lang="en-GB"/>
                  <a:t>)</a:t>
                </a:r>
              </a:p>
            </c:rich>
          </c:tx>
          <c:layout>
            <c:manualLayout>
              <c:xMode val="edge"/>
              <c:yMode val="edge"/>
              <c:x val="3.9051624758085365E-2"/>
              <c:y val="0.30485432026566972"/>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610287"/>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Labour</a:t>
            </a:r>
          </a:p>
        </c:rich>
      </c:tx>
      <c:layout>
        <c:manualLayout>
          <c:xMode val="edge"/>
          <c:yMode val="edge"/>
          <c:x val="0.48436038528502845"/>
          <c:y val="4.9819543284979804E-2"/>
        </c:manualLayout>
      </c:layout>
      <c:overlay val="0"/>
      <c:spPr>
        <a:noFill/>
        <a:ln w="25400">
          <a:noFill/>
        </a:ln>
      </c:spPr>
    </c:title>
    <c:autoTitleDeleted val="0"/>
    <c:plotArea>
      <c:layout>
        <c:manualLayout>
          <c:layoutTarget val="inner"/>
          <c:xMode val="edge"/>
          <c:yMode val="edge"/>
          <c:x val="0.12921535245087981"/>
          <c:y val="0.12045541219302155"/>
          <c:w val="0.67933733263828422"/>
          <c:h val="0.68073981121779825"/>
        </c:manualLayout>
      </c:layout>
      <c:barChart>
        <c:barDir val="col"/>
        <c:grouping val="clustered"/>
        <c:varyColors val="0"/>
        <c:ser>
          <c:idx val="3"/>
          <c:order val="0"/>
          <c:tx>
            <c:strRef>
              <c:f>'Tabular results'!$BD$17</c:f>
              <c:strCache>
                <c:ptCount val="1"/>
                <c:pt idx="0">
                  <c:v>Arable labour</c:v>
                </c:pt>
              </c:strCache>
            </c:strRef>
          </c:tx>
          <c:spPr>
            <a:solidFill>
              <a:srgbClr val="FF0000"/>
            </a:solidFill>
            <a:ln w="12700">
              <a:solidFill>
                <a:schemeClr val="tx1"/>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[0]!Ha_labour_arab</c:f>
              <c:numCache>
                <c:formatCode>0.0</c:formatCode>
                <c:ptCount val="31"/>
                <c:pt idx="1">
                  <c:v>11.632834596849463</c:v>
                </c:pt>
                <c:pt idx="2">
                  <c:v>11.632834596849463</c:v>
                </c:pt>
                <c:pt idx="3">
                  <c:v>10.833689569810836</c:v>
                </c:pt>
                <c:pt idx="4">
                  <c:v>7.4591130728145263</c:v>
                </c:pt>
                <c:pt idx="5">
                  <c:v>11.632834596849463</c:v>
                </c:pt>
                <c:pt idx="6">
                  <c:v>11.632834596849463</c:v>
                </c:pt>
                <c:pt idx="7">
                  <c:v>10.833689569810836</c:v>
                </c:pt>
                <c:pt idx="8">
                  <c:v>7.4591130728145263</c:v>
                </c:pt>
                <c:pt idx="9">
                  <c:v>11.632834596849463</c:v>
                </c:pt>
                <c:pt idx="10">
                  <c:v>11.632834596849463</c:v>
                </c:pt>
                <c:pt idx="11">
                  <c:v>10.833689569810836</c:v>
                </c:pt>
                <c:pt idx="12">
                  <c:v>7.4591130728145263</c:v>
                </c:pt>
                <c:pt idx="13">
                  <c:v>11.632834596849463</c:v>
                </c:pt>
                <c:pt idx="14">
                  <c:v>11.632834596849463</c:v>
                </c:pt>
                <c:pt idx="15">
                  <c:v>10.833689569810836</c:v>
                </c:pt>
                <c:pt idx="16">
                  <c:v>7.4591130728145263</c:v>
                </c:pt>
                <c:pt idx="17">
                  <c:v>11.632834596849463</c:v>
                </c:pt>
                <c:pt idx="18">
                  <c:v>11.632834596849463</c:v>
                </c:pt>
                <c:pt idx="19">
                  <c:v>10.833689569810836</c:v>
                </c:pt>
                <c:pt idx="20">
                  <c:v>7.4591130728145263</c:v>
                </c:pt>
                <c:pt idx="21">
                  <c:v>11.632834596849463</c:v>
                </c:pt>
                <c:pt idx="22">
                  <c:v>11.632834596849463</c:v>
                </c:pt>
                <c:pt idx="23">
                  <c:v>10.833689569810836</c:v>
                </c:pt>
                <c:pt idx="24">
                  <c:v>7.4591130728145263</c:v>
                </c:pt>
                <c:pt idx="25">
                  <c:v>11.632834596849463</c:v>
                </c:pt>
                <c:pt idx="26">
                  <c:v>11.632834596849463</c:v>
                </c:pt>
                <c:pt idx="27">
                  <c:v>10.833689569810836</c:v>
                </c:pt>
                <c:pt idx="28">
                  <c:v>7.4591130728145263</c:v>
                </c:pt>
                <c:pt idx="29">
                  <c:v>11.632834596849463</c:v>
                </c:pt>
                <c:pt idx="30">
                  <c:v>11.632834596849463</c:v>
                </c:pt>
              </c:numCache>
            </c:numRef>
          </c:val>
          <c:extLst>
            <c:ext xmlns:c16="http://schemas.microsoft.com/office/drawing/2014/chart" uri="{C3380CC4-5D6E-409C-BE32-E72D297353CC}">
              <c16:uniqueId val="{00000000-7910-4A05-94C1-893FB180FD90}"/>
            </c:ext>
          </c:extLst>
        </c:ser>
        <c:ser>
          <c:idx val="1"/>
          <c:order val="1"/>
          <c:tx>
            <c:strRef>
              <c:f>'Tabular results'!$BH$17</c:f>
              <c:strCache>
                <c:ptCount val="1"/>
                <c:pt idx="0">
                  <c:v>Silvoarable labour</c:v>
                </c:pt>
              </c:strCache>
            </c:strRef>
          </c:tx>
          <c:spPr>
            <a:solidFill>
              <a:schemeClr val="accent1"/>
            </a:solidFill>
            <a:ln w="12700">
              <a:solidFill>
                <a:schemeClr val="tx1"/>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[0]!Ha_labour_sil</c:f>
              <c:numCache>
                <c:formatCode>0.0</c:formatCode>
                <c:ptCount val="31"/>
                <c:pt idx="1">
                  <c:v>17.145294129668848</c:v>
                </c:pt>
                <c:pt idx="2">
                  <c:v>11.516506250880969</c:v>
                </c:pt>
                <c:pt idx="3">
                  <c:v>11.810536651596081</c:v>
                </c:pt>
                <c:pt idx="4">
                  <c:v>7.3845219420863808</c:v>
                </c:pt>
                <c:pt idx="5">
                  <c:v>11.516506250880969</c:v>
                </c:pt>
                <c:pt idx="6">
                  <c:v>15.59378709113634</c:v>
                </c:pt>
                <c:pt idx="7">
                  <c:v>10.725352674112727</c:v>
                </c:pt>
                <c:pt idx="8">
                  <c:v>14.45389964511377</c:v>
                </c:pt>
                <c:pt idx="9">
                  <c:v>21.57798081668038</c:v>
                </c:pt>
                <c:pt idx="10">
                  <c:v>11.516506250880969</c:v>
                </c:pt>
                <c:pt idx="11">
                  <c:v>10.725352674112727</c:v>
                </c:pt>
                <c:pt idx="12">
                  <c:v>20.438093370657807</c:v>
                </c:pt>
                <c:pt idx="13">
                  <c:v>11.516506250880969</c:v>
                </c:pt>
                <c:pt idx="14">
                  <c:v>11.516506250880969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13.333333333333332</c:v>
                </c:pt>
              </c:numCache>
            </c:numRef>
          </c:val>
          <c:extLst>
            <c:ext xmlns:c16="http://schemas.microsoft.com/office/drawing/2014/chart" uri="{C3380CC4-5D6E-409C-BE32-E72D297353CC}">
              <c16:uniqueId val="{00000002-7910-4A05-94C1-893FB180FD90}"/>
            </c:ext>
          </c:extLst>
        </c:ser>
        <c:ser>
          <c:idx val="4"/>
          <c:order val="2"/>
          <c:tx>
            <c:strRef>
              <c:f>'Tabular results'!$BE$17</c:f>
              <c:strCache>
                <c:ptCount val="1"/>
                <c:pt idx="0">
                  <c:v>Forestry labour</c:v>
                </c:pt>
              </c:strCache>
            </c:strRef>
          </c:tx>
          <c:spPr>
            <a:solidFill>
              <a:srgbClr val="00B050"/>
            </a:solidFill>
            <a:ln w="12700">
              <a:solidFill>
                <a:schemeClr val="tx1"/>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[0]!Ha_labour_tree</c:f>
              <c:numCache>
                <c:formatCode>0.0</c:formatCode>
                <c:ptCount val="31"/>
                <c:pt idx="1">
                  <c:v>5.2654545454545456</c:v>
                </c:pt>
                <c:pt idx="2">
                  <c:v>0</c:v>
                </c:pt>
                <c:pt idx="3">
                  <c:v>1.6928870048740305</c:v>
                </c:pt>
                <c:pt idx="4">
                  <c:v>0</c:v>
                </c:pt>
                <c:pt idx="5">
                  <c:v>0</c:v>
                </c:pt>
                <c:pt idx="6">
                  <c:v>6.3605581107983795</c:v>
                </c:pt>
                <c:pt idx="7">
                  <c:v>0</c:v>
                </c:pt>
                <c:pt idx="8">
                  <c:v>11.028229216722728</c:v>
                </c:pt>
                <c:pt idx="9">
                  <c:v>15.695900322647079</c:v>
                </c:pt>
                <c:pt idx="10">
                  <c:v>0</c:v>
                </c:pt>
                <c:pt idx="11">
                  <c:v>20.363571428571426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20.8</c:v>
                </c:pt>
              </c:numCache>
            </c:numRef>
          </c:val>
          <c:extLst>
            <c:ext xmlns:c16="http://schemas.microsoft.com/office/drawing/2014/chart" uri="{C3380CC4-5D6E-409C-BE32-E72D297353CC}">
              <c16:uniqueId val="{00000001-7910-4A05-94C1-893FB180FD90}"/>
            </c:ext>
          </c:extLst>
        </c:ser>
        <c:dLbls>
          <c:showLegendKey val="0"/>
          <c:showVal val="0"/>
          <c:showCatName val="0"/>
          <c:showSerName val="0"/>
          <c:showPercent val="0"/>
          <c:showBubbleSize val="0"/>
        </c:dLbls>
        <c:gapWidth val="50"/>
        <c:axId val="1925451135"/>
        <c:axId val="1"/>
      </c:barChart>
      <c:catAx>
        <c:axId val="1925451135"/>
        <c:scaling>
          <c:orientation val="minMax"/>
        </c:scaling>
        <c:delete val="0"/>
        <c:axPos val="b"/>
        <c:title>
          <c:tx>
            <c:rich>
              <a:bodyPr/>
              <a:lstStyle/>
              <a:p>
                <a:pPr>
                  <a:defRPr/>
                </a:pPr>
                <a:r>
                  <a:rPr lang="en-GB"/>
                  <a:t>Year from planting (a)</a:t>
                </a:r>
              </a:p>
            </c:rich>
          </c:tx>
          <c:layout>
            <c:manualLayout>
              <c:xMode val="edge"/>
              <c:yMode val="edge"/>
              <c:x val="0.41424300759462618"/>
              <c:y val="0.86186094865121321"/>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a:pPr>
                <a:r>
                  <a:rPr lang="en-GB"/>
                  <a:t>Labour (h ha</a:t>
                </a:r>
                <a:r>
                  <a:rPr lang="en-GB" baseline="30000"/>
                  <a:t>-1</a:t>
                </a:r>
                <a:r>
                  <a:rPr lang="en-GB"/>
                  <a:t>)</a:t>
                </a:r>
              </a:p>
            </c:rich>
          </c:tx>
          <c:layout>
            <c:manualLayout>
              <c:xMode val="edge"/>
              <c:yMode val="edge"/>
              <c:x val="2.0860554559392945E-2"/>
              <c:y val="0.2739735543882454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51135"/>
        <c:crosses val="autoZero"/>
        <c:crossBetween val="between"/>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Harvested timber volume</a:t>
            </a:r>
          </a:p>
        </c:rich>
      </c:tx>
      <c:layout>
        <c:manualLayout>
          <c:xMode val="edge"/>
          <c:yMode val="edge"/>
          <c:x val="0.30430629131622272"/>
          <c:y val="4.394370592204791E-2"/>
        </c:manualLayout>
      </c:layout>
      <c:overlay val="0"/>
      <c:spPr>
        <a:noFill/>
        <a:ln w="25400">
          <a:noFill/>
        </a:ln>
      </c:spPr>
    </c:title>
    <c:autoTitleDeleted val="0"/>
    <c:plotArea>
      <c:layout>
        <c:manualLayout>
          <c:layoutTarget val="inner"/>
          <c:xMode val="edge"/>
          <c:yMode val="edge"/>
          <c:x val="0.13850149831706166"/>
          <c:y val="0.1284530011596127"/>
          <c:w val="0.5883276658447173"/>
          <c:h val="0.66604128717543853"/>
        </c:manualLayout>
      </c:layout>
      <c:barChart>
        <c:barDir val="col"/>
        <c:grouping val="clustered"/>
        <c:varyColors val="0"/>
        <c:ser>
          <c:idx val="0"/>
          <c:order val="0"/>
          <c:tx>
            <c:strRef>
              <c:f>'Tabular results'!$AS$17</c:f>
              <c:strCache>
                <c:ptCount val="1"/>
                <c:pt idx="0">
                  <c:v>Forestry (harvested trees)</c:v>
                </c:pt>
              </c:strCache>
            </c:strRef>
          </c:tx>
          <c:spPr>
            <a:solidFill>
              <a:srgbClr val="00B050"/>
            </a:solidFill>
            <a:ln w="12700">
              <a:solidFill>
                <a:schemeClr val="tx1"/>
              </a:solidFill>
              <a:prstDash val="solid"/>
            </a:ln>
          </c:spPr>
          <c:invertIfNegative val="0"/>
          <c:dPt>
            <c:idx val="30"/>
            <c:invertIfNegative val="0"/>
            <c:bubble3D val="0"/>
            <c:spPr>
              <a:solidFill>
                <a:srgbClr val="00B050"/>
              </a:solidFill>
              <a:ln w="12700">
                <a:solidFill>
                  <a:schemeClr val="tx1"/>
                </a:solidFill>
                <a:prstDash val="solid"/>
              </a:ln>
            </c:spPr>
            <c:extLst>
              <c:ext xmlns:c16="http://schemas.microsoft.com/office/drawing/2014/chart" uri="{C3380CC4-5D6E-409C-BE32-E72D297353CC}">
                <c16:uniqueId val="{00000001-CA53-451D-AEE8-52C368EF485C}"/>
              </c:ext>
            </c:extLst>
          </c:dPt>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[0]!Ha_harv_timb_for</c:f>
              <c:numCache>
                <c:formatCode>0.00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219.0520197990561</c:v>
                </c:pt>
              </c:numCache>
            </c:numRef>
          </c:val>
          <c:extLst>
            <c:ext xmlns:c16="http://schemas.microsoft.com/office/drawing/2014/chart" uri="{C3380CC4-5D6E-409C-BE32-E72D297353CC}">
              <c16:uniqueId val="{00000000-A1D2-4E28-A0BA-57C84BEB494D}"/>
            </c:ext>
          </c:extLst>
        </c:ser>
        <c:ser>
          <c:idx val="1"/>
          <c:order val="1"/>
          <c:tx>
            <c:strRef>
              <c:f>'Tabular results'!$AZ$17</c:f>
              <c:strCache>
                <c:ptCount val="1"/>
                <c:pt idx="0">
                  <c:v>Silvoarable (harvested trees)</c:v>
                </c:pt>
              </c:strCache>
            </c:strRef>
          </c:tx>
          <c:spPr>
            <a:solidFill>
              <a:srgbClr val="0066FF"/>
            </a:solidFill>
            <a:ln w="12700">
              <a:solidFill>
                <a:schemeClr val="tx1"/>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[0]!Ha_harv_timb_sil</c:f>
              <c:numCache>
                <c:formatCode>0.00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216.57651403057338</c:v>
                </c:pt>
              </c:numCache>
            </c:numRef>
          </c:val>
          <c:extLst>
            <c:ext xmlns:c16="http://schemas.microsoft.com/office/drawing/2014/chart" uri="{C3380CC4-5D6E-409C-BE32-E72D297353CC}">
              <c16:uniqueId val="{00000001-A1D2-4E28-A0BA-57C84BEB494D}"/>
            </c:ext>
          </c:extLst>
        </c:ser>
        <c:dLbls>
          <c:showLegendKey val="0"/>
          <c:showVal val="0"/>
          <c:showCatName val="0"/>
          <c:showSerName val="0"/>
          <c:showPercent val="0"/>
          <c:showBubbleSize val="0"/>
        </c:dLbls>
        <c:gapWidth val="0"/>
        <c:axId val="1925435359"/>
        <c:axId val="1"/>
      </c:barChart>
      <c:catAx>
        <c:axId val="1925435359"/>
        <c:scaling>
          <c:orientation val="minMax"/>
        </c:scaling>
        <c:delete val="0"/>
        <c:axPos val="b"/>
        <c:title>
          <c:tx>
            <c:rich>
              <a:bodyPr/>
              <a:lstStyle/>
              <a:p>
                <a:pPr>
                  <a:defRPr/>
                </a:pPr>
                <a:r>
                  <a:rPr lang="en-GB"/>
                  <a:t>Year from planting (a)</a:t>
                </a:r>
              </a:p>
            </c:rich>
          </c:tx>
          <c:layout>
            <c:manualLayout>
              <c:xMode val="edge"/>
              <c:yMode val="edge"/>
              <c:x val="0.36542470394247201"/>
              <c:y val="0.8877054214502776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Timber volume (m</a:t>
                </a:r>
                <a:r>
                  <a:rPr lang="en-GB" baseline="30000"/>
                  <a:t>3</a:t>
                </a:r>
                <a:r>
                  <a:rPr lang="en-GB"/>
                  <a:t> ha</a:t>
                </a:r>
                <a:r>
                  <a:rPr lang="en-GB" baseline="30000"/>
                  <a:t>-1</a:t>
                </a:r>
                <a:r>
                  <a:rPr lang="en-GB"/>
                  <a:t>)</a:t>
                </a:r>
              </a:p>
            </c:rich>
          </c:tx>
          <c:layout>
            <c:manualLayout>
              <c:xMode val="edge"/>
              <c:yMode val="edge"/>
              <c:x val="2.9332859472052376E-2"/>
              <c:y val="0.27673759201513703"/>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35359"/>
        <c:crosses val="autoZero"/>
        <c:crossBetween val="between"/>
      </c:valAx>
      <c:spPr>
        <a:noFill/>
        <a:ln w="25400">
          <a:noFill/>
        </a:ln>
      </c:spPr>
    </c:plotArea>
    <c:legend>
      <c:legendPos val="r"/>
      <c:overlay val="0"/>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aseline="0"/>
              <a:t>Undiscounted c</a:t>
            </a:r>
            <a:r>
              <a:rPr lang="en-US" sz="1400"/>
              <a:t>umulative net margins</a:t>
            </a:r>
          </a:p>
        </c:rich>
      </c:tx>
      <c:layout>
        <c:manualLayout>
          <c:xMode val="edge"/>
          <c:yMode val="edge"/>
          <c:x val="0.35648848562234392"/>
          <c:y val="2.9239616076027878E-2"/>
        </c:manualLayout>
      </c:layout>
      <c:overlay val="0"/>
      <c:spPr>
        <a:noFill/>
        <a:ln w="25400">
          <a:noFill/>
        </a:ln>
      </c:spPr>
    </c:title>
    <c:autoTitleDeleted val="0"/>
    <c:plotArea>
      <c:layout>
        <c:manualLayout>
          <c:layoutTarget val="inner"/>
          <c:xMode val="edge"/>
          <c:yMode val="edge"/>
          <c:x val="0.11760534838805527"/>
          <c:y val="0.11111142403388578"/>
          <c:w val="0.56947639280938944"/>
          <c:h val="0.74886048684433071"/>
        </c:manualLayout>
      </c:layout>
      <c:lineChart>
        <c:grouping val="standard"/>
        <c:varyColors val="0"/>
        <c:ser>
          <c:idx val="3"/>
          <c:order val="0"/>
          <c:tx>
            <c:strRef>
              <c:f>'Tabular results'!$CV$17</c:f>
              <c:strCache>
                <c:ptCount val="1"/>
                <c:pt idx="0">
                  <c:v>Arable crop</c:v>
                </c:pt>
              </c:strCache>
            </c:strRef>
          </c:tx>
          <c:spPr>
            <a:ln w="12700">
              <a:solidFill>
                <a:srgbClr val="FF0000"/>
              </a:solidFill>
              <a:prstDash val="solid"/>
            </a:ln>
          </c:spPr>
          <c:marker>
            <c:symbol val="square"/>
            <c:size val="6"/>
            <c:spPr>
              <a:solidFill>
                <a:srgbClr val="FF0000"/>
              </a:solidFill>
              <a:ln>
                <a:solidFill>
                  <a:srgbClr val="FF0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[0]!Ha_cum_net_arab</c:f>
              <c:numCache>
                <c:formatCode>0</c:formatCode>
                <c:ptCount val="31"/>
                <c:pt idx="1">
                  <c:v>838.49454544821754</c:v>
                </c:pt>
                <c:pt idx="2">
                  <c:v>1329.8102905803291</c:v>
                </c:pt>
                <c:pt idx="3">
                  <c:v>2007.4685397485709</c:v>
                </c:pt>
                <c:pt idx="4">
                  <c:v>2271.0056814696277</c:v>
                </c:pt>
                <c:pt idx="5">
                  <c:v>3128.0619183218896</c:v>
                </c:pt>
                <c:pt idx="6">
                  <c:v>3818.6051016798406</c:v>
                </c:pt>
                <c:pt idx="7">
                  <c:v>4347.9816287084841</c:v>
                </c:pt>
                <c:pt idx="8">
                  <c:v>4550.2155319554913</c:v>
                </c:pt>
                <c:pt idx="9">
                  <c:v>5375.7068056354847</c:v>
                </c:pt>
                <c:pt idx="10">
                  <c:v>6001.4472693197458</c:v>
                </c:pt>
                <c:pt idx="11">
                  <c:v>6893.0166672430014</c:v>
                </c:pt>
                <c:pt idx="12">
                  <c:v>7221.7426329188402</c:v>
                </c:pt>
                <c:pt idx="13">
                  <c:v>7693.9321251119736</c:v>
                </c:pt>
                <c:pt idx="14">
                  <c:v>8413.5681156312166</c:v>
                </c:pt>
                <c:pt idx="15">
                  <c:v>9092.6897538158591</c:v>
                </c:pt>
                <c:pt idx="16">
                  <c:v>9446.8381573823699</c:v>
                </c:pt>
                <c:pt idx="17">
                  <c:v>10150.723277742642</c:v>
                </c:pt>
                <c:pt idx="18">
                  <c:v>10434.789389803604</c:v>
                </c:pt>
                <c:pt idx="19">
                  <c:v>11251.206391020651</c:v>
                </c:pt>
                <c:pt idx="20">
                  <c:v>11613.752072939493</c:v>
                </c:pt>
                <c:pt idx="21">
                  <c:v>12061.170281687764</c:v>
                </c:pt>
                <c:pt idx="22">
                  <c:v>12685.156974901613</c:v>
                </c:pt>
                <c:pt idx="23">
                  <c:v>12358.593734212815</c:v>
                </c:pt>
                <c:pt idx="24">
                  <c:v>12593.901036019577</c:v>
                </c:pt>
                <c:pt idx="25">
                  <c:v>13391.212899867296</c:v>
                </c:pt>
                <c:pt idx="26">
                  <c:v>13716.710540013686</c:v>
                </c:pt>
                <c:pt idx="27">
                  <c:v>13168.66861712119</c:v>
                </c:pt>
                <c:pt idx="28">
                  <c:v>13567.396121255333</c:v>
                </c:pt>
                <c:pt idx="29">
                  <c:v>14040.527855171465</c:v>
                </c:pt>
                <c:pt idx="30">
                  <c:v>14855.789101356828</c:v>
                </c:pt>
              </c:numCache>
            </c:numRef>
          </c:val>
          <c:smooth val="0"/>
          <c:extLst>
            <c:ext xmlns:c16="http://schemas.microsoft.com/office/drawing/2014/chart" uri="{C3380CC4-5D6E-409C-BE32-E72D297353CC}">
              <c16:uniqueId val="{00000000-706C-4465-8BD0-C56C8D6D321E}"/>
            </c:ext>
          </c:extLst>
        </c:ser>
        <c:ser>
          <c:idx val="2"/>
          <c:order val="1"/>
          <c:tx>
            <c:v>Silvoarable (combined incl. stand)</c:v>
          </c:tx>
          <c:spPr>
            <a:ln w="12700">
              <a:solidFill>
                <a:srgbClr val="0000FF"/>
              </a:solidFill>
            </a:ln>
          </c:spPr>
          <c:marker>
            <c:symbol val="circle"/>
            <c:size val="6"/>
            <c:spPr>
              <a:solidFill>
                <a:srgbClr val="0000FF"/>
              </a:solidFill>
              <a:ln>
                <a:solidFill>
                  <a:srgbClr val="0000FF"/>
                </a:solidFill>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[0]!Ha_cum_net_silv_istand</c:f>
              <c:numCache>
                <c:formatCode>0</c:formatCode>
                <c:ptCount val="31"/>
                <c:pt idx="1">
                  <c:v>161.21246006997944</c:v>
                </c:pt>
                <c:pt idx="2">
                  <c:v>413.48941542028655</c:v>
                </c:pt>
                <c:pt idx="3">
                  <c:v>712.98629810634816</c:v>
                </c:pt>
                <c:pt idx="4">
                  <c:v>733.08393362140623</c:v>
                </c:pt>
                <c:pt idx="5">
                  <c:v>1178.8873654441327</c:v>
                </c:pt>
                <c:pt idx="6">
                  <c:v>1371.830838643732</c:v>
                </c:pt>
                <c:pt idx="7">
                  <c:v>1271.1444378646154</c:v>
                </c:pt>
                <c:pt idx="8">
                  <c:v>1044.353483140894</c:v>
                </c:pt>
                <c:pt idx="9">
                  <c:v>1093.2988617179731</c:v>
                </c:pt>
                <c:pt idx="10">
                  <c:v>1100.781543543693</c:v>
                </c:pt>
                <c:pt idx="11">
                  <c:v>1012.1321873038862</c:v>
                </c:pt>
                <c:pt idx="12">
                  <c:v>876.03522503922034</c:v>
                </c:pt>
                <c:pt idx="13">
                  <c:v>866.5484698152402</c:v>
                </c:pt>
                <c:pt idx="14">
                  <c:v>893.94640303308677</c:v>
                </c:pt>
                <c:pt idx="15">
                  <c:v>1157.8505846070179</c:v>
                </c:pt>
                <c:pt idx="16">
                  <c:v>1495.8957993252066</c:v>
                </c:pt>
                <c:pt idx="17">
                  <c:v>1923.082721062885</c:v>
                </c:pt>
                <c:pt idx="18">
                  <c:v>2353.4491528244589</c:v>
                </c:pt>
                <c:pt idx="19">
                  <c:v>2813.6812536854218</c:v>
                </c:pt>
                <c:pt idx="20">
                  <c:v>3336.948968201872</c:v>
                </c:pt>
                <c:pt idx="21">
                  <c:v>3974.3167178168396</c:v>
                </c:pt>
                <c:pt idx="22">
                  <c:v>4523.6805110416317</c:v>
                </c:pt>
                <c:pt idx="23">
                  <c:v>5100.6669105710816</c:v>
                </c:pt>
                <c:pt idx="24">
                  <c:v>5877.6059655243907</c:v>
                </c:pt>
                <c:pt idx="25">
                  <c:v>6535.7274934160832</c:v>
                </c:pt>
                <c:pt idx="26">
                  <c:v>7199.5491021655398</c:v>
                </c:pt>
                <c:pt idx="27">
                  <c:v>8061.8270083265897</c:v>
                </c:pt>
                <c:pt idx="28">
                  <c:v>8682.9760451569182</c:v>
                </c:pt>
                <c:pt idx="29">
                  <c:v>9270.2882133762923</c:v>
                </c:pt>
                <c:pt idx="30">
                  <c:v>9574.164066321915</c:v>
                </c:pt>
              </c:numCache>
            </c:numRef>
          </c:val>
          <c:smooth val="0"/>
          <c:extLst>
            <c:ext xmlns:c16="http://schemas.microsoft.com/office/drawing/2014/chart" uri="{C3380CC4-5D6E-409C-BE32-E72D297353CC}">
              <c16:uniqueId val="{00000001-706C-4465-8BD0-C56C8D6D321E}"/>
            </c:ext>
          </c:extLst>
        </c:ser>
        <c:ser>
          <c:idx val="1"/>
          <c:order val="2"/>
          <c:tx>
            <c:v>Silvoarable (combined excl. stand)</c:v>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[0]!Ha_cum_net_silv</c:f>
              <c:numCache>
                <c:formatCode>0</c:formatCode>
                <c:ptCount val="31"/>
                <c:pt idx="1">
                  <c:v>161.01270570683465</c:v>
                </c:pt>
                <c:pt idx="2">
                  <c:v>413.09546444397262</c:v>
                </c:pt>
                <c:pt idx="3">
                  <c:v>712.16257933066993</c:v>
                </c:pt>
                <c:pt idx="4">
                  <c:v>731.42355897620848</c:v>
                </c:pt>
                <c:pt idx="5">
                  <c:v>1175.6445677133461</c:v>
                </c:pt>
                <c:pt idx="6">
                  <c:v>1365.1037761827558</c:v>
                </c:pt>
                <c:pt idx="7">
                  <c:v>1254.5026771407097</c:v>
                </c:pt>
                <c:pt idx="8">
                  <c:v>1016.8257423220482</c:v>
                </c:pt>
                <c:pt idx="9">
                  <c:v>1038.7724723985145</c:v>
                </c:pt>
                <c:pt idx="10">
                  <c:v>1005.9537311356526</c:v>
                </c:pt>
                <c:pt idx="11">
                  <c:v>855.28568209360662</c:v>
                </c:pt>
                <c:pt idx="12">
                  <c:v>637.48951888200236</c:v>
                </c:pt>
                <c:pt idx="13">
                  <c:v>498.23752761914011</c:v>
                </c:pt>
                <c:pt idx="14">
                  <c:v>392.59603635627809</c:v>
                </c:pt>
                <c:pt idx="15">
                  <c:v>389.59603635627809</c:v>
                </c:pt>
                <c:pt idx="16">
                  <c:v>386.59603635627809</c:v>
                </c:pt>
                <c:pt idx="17">
                  <c:v>383.59603635627809</c:v>
                </c:pt>
                <c:pt idx="18">
                  <c:v>380.59603635627809</c:v>
                </c:pt>
                <c:pt idx="19">
                  <c:v>377.59603635627809</c:v>
                </c:pt>
                <c:pt idx="20">
                  <c:v>374.59603635627809</c:v>
                </c:pt>
                <c:pt idx="21">
                  <c:v>371.59603635627809</c:v>
                </c:pt>
                <c:pt idx="22">
                  <c:v>368.59603635627809</c:v>
                </c:pt>
                <c:pt idx="23">
                  <c:v>365.59603635627809</c:v>
                </c:pt>
                <c:pt idx="24">
                  <c:v>362.59603635627809</c:v>
                </c:pt>
                <c:pt idx="25">
                  <c:v>359.59603635627809</c:v>
                </c:pt>
                <c:pt idx="26">
                  <c:v>356.59603635627809</c:v>
                </c:pt>
                <c:pt idx="27">
                  <c:v>353.59603635627809</c:v>
                </c:pt>
                <c:pt idx="28">
                  <c:v>350.59603635627809</c:v>
                </c:pt>
                <c:pt idx="29">
                  <c:v>347.59603635627809</c:v>
                </c:pt>
                <c:pt idx="30">
                  <c:v>9574.1640663219114</c:v>
                </c:pt>
              </c:numCache>
            </c:numRef>
          </c:val>
          <c:smooth val="0"/>
          <c:extLst>
            <c:ext xmlns:c16="http://schemas.microsoft.com/office/drawing/2014/chart" uri="{C3380CC4-5D6E-409C-BE32-E72D297353CC}">
              <c16:uniqueId val="{00000002-706C-4465-8BD0-C56C8D6D321E}"/>
            </c:ext>
          </c:extLst>
        </c:ser>
        <c:ser>
          <c:idx val="0"/>
          <c:order val="3"/>
          <c:tx>
            <c:v>Forestry (incl. stand)</c:v>
          </c:tx>
          <c:spPr>
            <a:ln w="12700">
              <a:solidFill>
                <a:srgbClr val="008000"/>
              </a:solidFill>
            </a:ln>
          </c:spPr>
          <c:marker>
            <c:symbol val="triangle"/>
            <c:size val="6"/>
            <c:spPr>
              <a:ln>
                <a:solidFill>
                  <a:srgbClr val="008000"/>
                </a:solidFill>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[0]!Ha_cum_net_tree_istand</c:f>
              <c:numCache>
                <c:formatCode>0</c:formatCode>
                <c:ptCount val="31"/>
                <c:pt idx="1">
                  <c:v>-706.37202929513376</c:v>
                </c:pt>
                <c:pt idx="2">
                  <c:v>-769.06912999897213</c:v>
                </c:pt>
                <c:pt idx="3">
                  <c:v>-796.11507919786231</c:v>
                </c:pt>
                <c:pt idx="4">
                  <c:v>-797.81100818790537</c:v>
                </c:pt>
                <c:pt idx="5">
                  <c:v>-798.34608798563522</c:v>
                </c:pt>
                <c:pt idx="6">
                  <c:v>-888.79087073616142</c:v>
                </c:pt>
                <c:pt idx="7">
                  <c:v>-876.39905885560984</c:v>
                </c:pt>
                <c:pt idx="8">
                  <c:v>-1023.6097432904917</c:v>
                </c:pt>
                <c:pt idx="9">
                  <c:v>-1214.2101404222947</c:v>
                </c:pt>
                <c:pt idx="10">
                  <c:v>-1155.7883715067387</c:v>
                </c:pt>
                <c:pt idx="11">
                  <c:v>-1362.0962643971702</c:v>
                </c:pt>
                <c:pt idx="12">
                  <c:v>-1243.7860573018891</c:v>
                </c:pt>
                <c:pt idx="13">
                  <c:v>-1054.4158050727813</c:v>
                </c:pt>
                <c:pt idx="14">
                  <c:v>-915.0364589238909</c:v>
                </c:pt>
                <c:pt idx="15">
                  <c:v>-665.56262799965316</c:v>
                </c:pt>
                <c:pt idx="16">
                  <c:v>-297.75420657797559</c:v>
                </c:pt>
                <c:pt idx="17">
                  <c:v>170.25438725657074</c:v>
                </c:pt>
                <c:pt idx="18">
                  <c:v>503.97806314481028</c:v>
                </c:pt>
                <c:pt idx="19">
                  <c:v>960.20770462365067</c:v>
                </c:pt>
                <c:pt idx="20">
                  <c:v>1423.8304389595924</c:v>
                </c:pt>
                <c:pt idx="21">
                  <c:v>1959.001209430932</c:v>
                </c:pt>
                <c:pt idx="22">
                  <c:v>2485.8692682444753</c:v>
                </c:pt>
                <c:pt idx="23">
                  <c:v>2853.0869103643754</c:v>
                </c:pt>
                <c:pt idx="24">
                  <c:v>3407.8080948707466</c:v>
                </c:pt>
                <c:pt idx="25">
                  <c:v>4017.3064842094191</c:v>
                </c:pt>
                <c:pt idx="26">
                  <c:v>4644.2177812617829</c:v>
                </c:pt>
                <c:pt idx="27">
                  <c:v>5117.5737987987395</c:v>
                </c:pt>
                <c:pt idx="28">
                  <c:v>5675.5852110375708</c:v>
                </c:pt>
                <c:pt idx="29">
                  <c:v>6242.0151217592465</c:v>
                </c:pt>
                <c:pt idx="30">
                  <c:v>6455.1876932161376</c:v>
                </c:pt>
              </c:numCache>
            </c:numRef>
          </c:val>
          <c:smooth val="0"/>
          <c:extLst>
            <c:ext xmlns:c16="http://schemas.microsoft.com/office/drawing/2014/chart" uri="{C3380CC4-5D6E-409C-BE32-E72D297353CC}">
              <c16:uniqueId val="{00000003-706C-4465-8BD0-C56C8D6D321E}"/>
            </c:ext>
          </c:extLst>
        </c:ser>
        <c:ser>
          <c:idx val="4"/>
          <c:order val="4"/>
          <c:tx>
            <c:v>Forestry (excl. stand)</c:v>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[0]!Ha_cum_net_tree</c:f>
              <c:numCache>
                <c:formatCode>0</c:formatCode>
                <c:ptCount val="31"/>
                <c:pt idx="1">
                  <c:v>-706.68363636363631</c:v>
                </c:pt>
                <c:pt idx="2">
                  <c:v>-769.68363636363631</c:v>
                </c:pt>
                <c:pt idx="3">
                  <c:v>-797.39978663479712</c:v>
                </c:pt>
                <c:pt idx="4">
                  <c:v>-800.39978663479712</c:v>
                </c:pt>
                <c:pt idx="5">
                  <c:v>-803.39978663479712</c:v>
                </c:pt>
                <c:pt idx="6">
                  <c:v>-899.26393505245346</c:v>
                </c:pt>
                <c:pt idx="7">
                  <c:v>-902.26393505245346</c:v>
                </c:pt>
                <c:pt idx="8">
                  <c:v>-1066.2760816166053</c:v>
                </c:pt>
                <c:pt idx="9">
                  <c:v>-1298.4362263272526</c:v>
                </c:pt>
                <c:pt idx="10">
                  <c:v>-1301.4362263272526</c:v>
                </c:pt>
                <c:pt idx="11">
                  <c:v>-1601.7443691843955</c:v>
                </c:pt>
                <c:pt idx="12">
                  <c:v>-1604.7443691843955</c:v>
                </c:pt>
                <c:pt idx="13">
                  <c:v>-1607.7443691843955</c:v>
                </c:pt>
                <c:pt idx="14">
                  <c:v>-1610.7443691843955</c:v>
                </c:pt>
                <c:pt idx="15">
                  <c:v>-1613.7443691843955</c:v>
                </c:pt>
                <c:pt idx="16">
                  <c:v>-1616.7443691843955</c:v>
                </c:pt>
                <c:pt idx="17">
                  <c:v>-1619.7443691843955</c:v>
                </c:pt>
                <c:pt idx="18">
                  <c:v>-1622.7443691843955</c:v>
                </c:pt>
                <c:pt idx="19">
                  <c:v>-1625.7443691843955</c:v>
                </c:pt>
                <c:pt idx="20">
                  <c:v>-1628.7443691843955</c:v>
                </c:pt>
                <c:pt idx="21">
                  <c:v>-1631.7443691843955</c:v>
                </c:pt>
                <c:pt idx="22">
                  <c:v>-1634.7443691843955</c:v>
                </c:pt>
                <c:pt idx="23">
                  <c:v>-1637.7443691843955</c:v>
                </c:pt>
                <c:pt idx="24">
                  <c:v>-1640.7443691843955</c:v>
                </c:pt>
                <c:pt idx="25">
                  <c:v>-1643.7443691843955</c:v>
                </c:pt>
                <c:pt idx="26">
                  <c:v>-1646.7443691843955</c:v>
                </c:pt>
                <c:pt idx="27">
                  <c:v>-1649.7443691843955</c:v>
                </c:pt>
                <c:pt idx="28">
                  <c:v>-1652.7443691843955</c:v>
                </c:pt>
                <c:pt idx="29">
                  <c:v>-1655.7443691843955</c:v>
                </c:pt>
                <c:pt idx="30">
                  <c:v>6455.1876932161376</c:v>
                </c:pt>
              </c:numCache>
            </c:numRef>
          </c:val>
          <c:smooth val="0"/>
          <c:extLst>
            <c:ext xmlns:c16="http://schemas.microsoft.com/office/drawing/2014/chart" uri="{C3380CC4-5D6E-409C-BE32-E72D297353CC}">
              <c16:uniqueId val="{00000004-706C-4465-8BD0-C56C8D6D321E}"/>
            </c:ext>
          </c:extLst>
        </c:ser>
        <c:dLbls>
          <c:showLegendKey val="0"/>
          <c:showVal val="0"/>
          <c:showCatName val="0"/>
          <c:showSerName val="0"/>
          <c:showPercent val="0"/>
          <c:showBubbleSize val="0"/>
        </c:dLbls>
        <c:marker val="1"/>
        <c:smooth val="0"/>
        <c:axId val="1925436751"/>
        <c:axId val="1"/>
      </c:lineChart>
      <c:catAx>
        <c:axId val="1925436751"/>
        <c:scaling>
          <c:orientation val="minMax"/>
        </c:scaling>
        <c:delete val="0"/>
        <c:axPos val="b"/>
        <c:title>
          <c:tx>
            <c:rich>
              <a:bodyPr/>
              <a:lstStyle/>
              <a:p>
                <a:pPr>
                  <a:defRPr/>
                </a:pPr>
                <a:r>
                  <a:rPr lang="en-GB"/>
                  <a:t>Year from planting (a)</a:t>
                </a:r>
              </a:p>
            </c:rich>
          </c:tx>
          <c:layout>
            <c:manualLayout>
              <c:xMode val="edge"/>
              <c:yMode val="edge"/>
              <c:x val="0.38237857671049019"/>
              <c:y val="0.9317874495948251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solidFill>
                      <a:sysClr val="windowText" lastClr="000000"/>
                    </a:solidFill>
                  </a:defRPr>
                </a:pPr>
                <a:r>
                  <a:rPr lang="en-GB">
                    <a:solidFill>
                      <a:sysClr val="windowText" lastClr="000000"/>
                    </a:solidFill>
                  </a:rPr>
                  <a:t>Undiscounted net present value (£ ha</a:t>
                </a:r>
                <a:r>
                  <a:rPr lang="en-GB" baseline="30000">
                    <a:solidFill>
                      <a:sysClr val="windowText" lastClr="000000"/>
                    </a:solidFill>
                  </a:rPr>
                  <a:t>-1</a:t>
                </a:r>
                <a:r>
                  <a:rPr lang="en-GB">
                    <a:solidFill>
                      <a:sysClr val="windowText" lastClr="000000"/>
                    </a:solidFill>
                  </a:rPr>
                  <a:t>)</a:t>
                </a:r>
              </a:p>
            </c:rich>
          </c:tx>
          <c:layout>
            <c:manualLayout>
              <c:xMode val="edge"/>
              <c:yMode val="edge"/>
              <c:x val="6.6736905743658675E-4"/>
              <c:y val="0.1352147945823304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36751"/>
        <c:crosses val="autoZero"/>
        <c:crossBetween val="midCat"/>
      </c:valAx>
      <c:spPr>
        <a:noFill/>
        <a:ln w="25400">
          <a:noFill/>
        </a:ln>
      </c:spPr>
    </c:plotArea>
    <c:legend>
      <c:legendPos val="r"/>
      <c:layout>
        <c:manualLayout>
          <c:xMode val="edge"/>
          <c:yMode val="edge"/>
          <c:x val="0.69669472222592155"/>
          <c:y val="0.31450485561073432"/>
          <c:w val="0.29432492177249597"/>
          <c:h val="0.35736037906179297"/>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Pattern of agroforestry crop component discounted net revenue</a:t>
            </a:r>
          </a:p>
        </c:rich>
      </c:tx>
      <c:layout>
        <c:manualLayout>
          <c:xMode val="edge"/>
          <c:yMode val="edge"/>
          <c:x val="0.38224372088071989"/>
          <c:y val="4.6767070782818818E-2"/>
        </c:manualLayout>
      </c:layout>
      <c:overlay val="0"/>
      <c:spPr>
        <a:noFill/>
        <a:ln w="25400">
          <a:noFill/>
        </a:ln>
      </c:spPr>
    </c:title>
    <c:autoTitleDeleted val="0"/>
    <c:plotArea>
      <c:layout>
        <c:manualLayout>
          <c:layoutTarget val="inner"/>
          <c:xMode val="edge"/>
          <c:yMode val="edge"/>
          <c:x val="0.14429674102045806"/>
          <c:y val="7.9096190663603946E-2"/>
          <c:w val="0.61390474373073134"/>
          <c:h val="0.69249510477856924"/>
        </c:manualLayout>
      </c:layout>
      <c:barChart>
        <c:barDir val="col"/>
        <c:grouping val="clustered"/>
        <c:varyColors val="0"/>
        <c:ser>
          <c:idx val="3"/>
          <c:order val="0"/>
          <c:tx>
            <c:strRef>
              <c:f>'Tabular results'!$D$17</c:f>
              <c:strCache>
                <c:ptCount val="1"/>
                <c:pt idx="0">
                  <c:v>Silvoarable (crop)</c:v>
                </c:pt>
              </c:strCache>
            </c:strRef>
          </c:tx>
          <c:spPr>
            <a:solidFill>
              <a:srgbClr val="6699FF"/>
            </a:solidFill>
            <a:ln w="12700">
              <a:solidFill>
                <a:sysClr val="windowText" lastClr="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[0]!Ha_sil_crop_net</c:f>
              <c:numCache>
                <c:formatCode>0</c:formatCode>
                <c:ptCount val="31"/>
                <c:pt idx="1">
                  <c:v>647.99300873713764</c:v>
                </c:pt>
                <c:pt idx="2">
                  <c:v>295.08275873713796</c:v>
                </c:pt>
                <c:pt idx="3">
                  <c:v>317.91080095795428</c:v>
                </c:pt>
                <c:pt idx="4">
                  <c:v>22.260979645538555</c:v>
                </c:pt>
                <c:pt idx="5">
                  <c:v>447.22100873713771</c:v>
                </c:pt>
                <c:pt idx="6">
                  <c:v>251.98750873713811</c:v>
                </c:pt>
                <c:pt idx="7">
                  <c:v>-107.60109904204603</c:v>
                </c:pt>
                <c:pt idx="8">
                  <c:v>-131.46402035446158</c:v>
                </c:pt>
                <c:pt idx="9">
                  <c:v>171.84425873713781</c:v>
                </c:pt>
                <c:pt idx="10">
                  <c:v>-29.818741262861977</c:v>
                </c:pt>
                <c:pt idx="11">
                  <c:v>-147.66804904204594</c:v>
                </c:pt>
                <c:pt idx="12">
                  <c:v>-24.214020354461354</c:v>
                </c:pt>
                <c:pt idx="13">
                  <c:v>-136.25199126286225</c:v>
                </c:pt>
                <c:pt idx="14">
                  <c:v>-102.64149126286202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3C58-4D9A-A24D-8774F69F08BF}"/>
            </c:ext>
          </c:extLst>
        </c:ser>
        <c:dLbls>
          <c:showLegendKey val="0"/>
          <c:showVal val="0"/>
          <c:showCatName val="0"/>
          <c:showSerName val="0"/>
          <c:showPercent val="0"/>
          <c:showBubbleSize val="0"/>
        </c:dLbls>
        <c:gapWidth val="0"/>
        <c:overlap val="50"/>
        <c:axId val="2000600079"/>
        <c:axId val="1"/>
      </c:barChart>
      <c:catAx>
        <c:axId val="2000600079"/>
        <c:scaling>
          <c:orientation val="minMax"/>
        </c:scaling>
        <c:delete val="0"/>
        <c:axPos val="b"/>
        <c:title>
          <c:tx>
            <c:rich>
              <a:bodyPr/>
              <a:lstStyle/>
              <a:p>
                <a:pPr>
                  <a:defRPr/>
                </a:pPr>
                <a:r>
                  <a:rPr lang="en-GB"/>
                  <a:t>Year from planting (a)</a:t>
                </a:r>
              </a:p>
            </c:rich>
          </c:tx>
          <c:layout>
            <c:manualLayout>
              <c:xMode val="edge"/>
              <c:yMode val="edge"/>
              <c:x val="0.40625450914386807"/>
              <c:y val="0.8439617964421114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Annual discounted values (£ ha</a:t>
                </a:r>
                <a:r>
                  <a:rPr lang="en-GB" baseline="30000"/>
                  <a:t>-1</a:t>
                </a:r>
                <a:r>
                  <a:rPr lang="en-GB"/>
                  <a:t>)</a:t>
                </a:r>
              </a:p>
            </c:rich>
          </c:tx>
          <c:layout>
            <c:manualLayout>
              <c:xMode val="edge"/>
              <c:yMode val="edge"/>
              <c:x val="3.4956866218942943E-2"/>
              <c:y val="0.2241662610141341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600079"/>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Yield of arable and silvoarable crops</a:t>
            </a:r>
          </a:p>
        </c:rich>
      </c:tx>
      <c:layout>
        <c:manualLayout>
          <c:xMode val="edge"/>
          <c:yMode val="edge"/>
          <c:x val="0.26336373328537849"/>
          <c:y val="2.8571517143034283E-2"/>
        </c:manualLayout>
      </c:layout>
      <c:overlay val="0"/>
      <c:spPr>
        <a:noFill/>
        <a:ln w="25400">
          <a:noFill/>
        </a:ln>
      </c:spPr>
    </c:title>
    <c:autoTitleDeleted val="0"/>
    <c:plotArea>
      <c:layout>
        <c:manualLayout>
          <c:layoutTarget val="inner"/>
          <c:xMode val="edge"/>
          <c:yMode val="edge"/>
          <c:x val="8.4057118305390213E-2"/>
          <c:y val="0.10324715316097299"/>
          <c:w val="0.71982991306499844"/>
          <c:h val="0.72774857688243511"/>
        </c:manualLayout>
      </c:layout>
      <c:barChart>
        <c:barDir val="col"/>
        <c:grouping val="clustered"/>
        <c:varyColors val="0"/>
        <c:ser>
          <c:idx val="0"/>
          <c:order val="0"/>
          <c:tx>
            <c:strRef>
              <c:f>'Tabular results'!$AM$17</c:f>
              <c:strCache>
                <c:ptCount val="1"/>
                <c:pt idx="0">
                  <c:v>Silvoarable crop yield</c:v>
                </c:pt>
              </c:strCache>
            </c:strRef>
          </c:tx>
          <c:spPr>
            <a:solidFill>
              <a:schemeClr val="accent1"/>
            </a:solidFill>
            <a:ln w="12700">
              <a:solidFill>
                <a:schemeClr val="tx1"/>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[0]!Ha_sil_crop_yield</c:f>
              <c:numCache>
                <c:formatCode>0.00</c:formatCode>
                <c:ptCount val="31"/>
                <c:pt idx="1">
                  <c:v>10.088099999999999</c:v>
                </c:pt>
                <c:pt idx="2">
                  <c:v>8.2170000000000005</c:v>
                </c:pt>
                <c:pt idx="3">
                  <c:v>7.4249999999999998</c:v>
                </c:pt>
                <c:pt idx="4">
                  <c:v>3.3165</c:v>
                </c:pt>
                <c:pt idx="5">
                  <c:v>9.0188999999999986</c:v>
                </c:pt>
                <c:pt idx="6">
                  <c:v>7.9893000000000001</c:v>
                </c:pt>
                <c:pt idx="7">
                  <c:v>5.2866</c:v>
                </c:pt>
                <c:pt idx="8">
                  <c:v>2.8908</c:v>
                </c:pt>
                <c:pt idx="9">
                  <c:v>7.5635999999999992</c:v>
                </c:pt>
                <c:pt idx="10">
                  <c:v>6.4943999999999997</c:v>
                </c:pt>
                <c:pt idx="11">
                  <c:v>5.0786999999999995</c:v>
                </c:pt>
                <c:pt idx="12">
                  <c:v>3.1878000000000002</c:v>
                </c:pt>
                <c:pt idx="13">
                  <c:v>5.9301000000000004</c:v>
                </c:pt>
                <c:pt idx="14">
                  <c:v>6.1082999999999998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B2FC-424D-B128-54199FB1D031}"/>
            </c:ext>
          </c:extLst>
        </c:ser>
        <c:ser>
          <c:idx val="3"/>
          <c:order val="1"/>
          <c:tx>
            <c:strRef>
              <c:f>'Tabular results'!$AI$17</c:f>
              <c:strCache>
                <c:ptCount val="1"/>
                <c:pt idx="0">
                  <c:v>Arable crop yield</c:v>
                </c:pt>
              </c:strCache>
            </c:strRef>
          </c:tx>
          <c:spPr>
            <a:solidFill>
              <a:srgbClr val="FF0000"/>
            </a:solidFill>
            <a:ln w="12700">
              <a:solidFill>
                <a:schemeClr val="tx1"/>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[0]!Ha_arab_crop_yield</c:f>
              <c:numCache>
                <c:formatCode>0.00</c:formatCode>
                <c:ptCount val="31"/>
                <c:pt idx="1">
                  <c:v>9.9183094992989567</c:v>
                </c:pt>
                <c:pt idx="2">
                  <c:v>8.0775971559440496</c:v>
                </c:pt>
                <c:pt idx="3">
                  <c:v>8.1997959365738353</c:v>
                </c:pt>
                <c:pt idx="4">
                  <c:v>3.3662036102330277</c:v>
                </c:pt>
                <c:pt idx="5">
                  <c:v>10.016722001588439</c:v>
                </c:pt>
                <c:pt idx="6">
                  <c:v>9.1338840154624883</c:v>
                </c:pt>
                <c:pt idx="7">
                  <c:v>7.4303894798102812</c:v>
                </c:pt>
                <c:pt idx="8">
                  <c:v>3.1964407959971979</c:v>
                </c:pt>
                <c:pt idx="9">
                  <c:v>9.8493672631198592</c:v>
                </c:pt>
                <c:pt idx="10">
                  <c:v>8.790305531183721</c:v>
                </c:pt>
                <c:pt idx="11">
                  <c:v>9.3097413610737618</c:v>
                </c:pt>
                <c:pt idx="12">
                  <c:v>3.5467265073385787</c:v>
                </c:pt>
                <c:pt idx="13">
                  <c:v>7.9761913966210409</c:v>
                </c:pt>
                <c:pt idx="14">
                  <c:v>9.2881315939317908</c:v>
                </c:pt>
                <c:pt idx="15">
                  <c:v>8.2073891917756878</c:v>
                </c:pt>
                <c:pt idx="16">
                  <c:v>3.6171271045742861</c:v>
                </c:pt>
                <c:pt idx="17">
                  <c:v>9.2046218257840753</c:v>
                </c:pt>
                <c:pt idx="18">
                  <c:v>6.9787773046095287</c:v>
                </c:pt>
                <c:pt idx="19">
                  <c:v>8.9197894611856832</c:v>
                </c:pt>
                <c:pt idx="20">
                  <c:v>3.640381106165357</c:v>
                </c:pt>
                <c:pt idx="21">
                  <c:v>7.8448561677528508</c:v>
                </c:pt>
                <c:pt idx="22">
                  <c:v>8.781007189956199</c:v>
                </c:pt>
                <c:pt idx="23">
                  <c:v>2.9890761852256884</c:v>
                </c:pt>
                <c:pt idx="24">
                  <c:v>3.2880286689319052</c:v>
                </c:pt>
                <c:pt idx="25">
                  <c:v>9.6999624392668604</c:v>
                </c:pt>
                <c:pt idx="26">
                  <c:v>7.1984437274483266</c:v>
                </c:pt>
                <c:pt idx="27">
                  <c:v>1.8398642279853941</c:v>
                </c:pt>
                <c:pt idx="28">
                  <c:v>3.7405769215308071</c:v>
                </c:pt>
                <c:pt idx="29">
                  <c:v>7.9811870817503401</c:v>
                </c:pt>
                <c:pt idx="30">
                  <c:v>9.7951285311895653</c:v>
                </c:pt>
              </c:numCache>
            </c:numRef>
          </c:val>
          <c:extLst>
            <c:ext xmlns:c16="http://schemas.microsoft.com/office/drawing/2014/chart" uri="{C3380CC4-5D6E-409C-BE32-E72D297353CC}">
              <c16:uniqueId val="{00000001-B2FC-424D-B128-54199FB1D031}"/>
            </c:ext>
          </c:extLst>
        </c:ser>
        <c:dLbls>
          <c:showLegendKey val="0"/>
          <c:showVal val="0"/>
          <c:showCatName val="0"/>
          <c:showSerName val="0"/>
          <c:showPercent val="0"/>
          <c:showBubbleSize val="0"/>
        </c:dLbls>
        <c:gapWidth val="50"/>
        <c:axId val="2000588943"/>
        <c:axId val="1"/>
      </c:barChart>
      <c:catAx>
        <c:axId val="2000588943"/>
        <c:scaling>
          <c:orientation val="minMax"/>
        </c:scaling>
        <c:delete val="0"/>
        <c:axPos val="b"/>
        <c:title>
          <c:tx>
            <c:rich>
              <a:bodyPr/>
              <a:lstStyle/>
              <a:p>
                <a:pPr>
                  <a:defRPr/>
                </a:pPr>
                <a:r>
                  <a:rPr lang="en-GB"/>
                  <a:t>Year from planting (a)</a:t>
                </a:r>
              </a:p>
            </c:rich>
          </c:tx>
          <c:layout>
            <c:manualLayout>
              <c:xMode val="edge"/>
              <c:yMode val="edge"/>
              <c:x val="0.3051024543941866"/>
              <c:y val="0.9115424208337594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a:pPr>
                <a:r>
                  <a:rPr lang="en-GB"/>
                  <a:t>Crop yield per</a:t>
                </a:r>
                <a:endParaRPr lang="en-GB" baseline="0"/>
              </a:p>
              <a:p>
                <a:pPr>
                  <a:defRPr/>
                </a:pPr>
                <a:r>
                  <a:rPr lang="en-GB" baseline="0"/>
                  <a:t>cropped area</a:t>
                </a:r>
                <a:r>
                  <a:rPr lang="en-GB"/>
                  <a:t> (t ha</a:t>
                </a:r>
                <a:r>
                  <a:rPr lang="en-GB" baseline="30000"/>
                  <a:t>-1</a:t>
                </a:r>
                <a:r>
                  <a:rPr lang="en-GB"/>
                  <a:t>)</a:t>
                </a:r>
              </a:p>
            </c:rich>
          </c:tx>
          <c:layout>
            <c:manualLayout>
              <c:xMode val="edge"/>
              <c:yMode val="edge"/>
              <c:x val="5.3133232255951905E-4"/>
              <c:y val="0.329074455306602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588943"/>
        <c:crosses val="autoZero"/>
        <c:crossBetween val="between"/>
      </c:valAx>
      <c:spPr>
        <a:noFill/>
        <a:ln w="25400">
          <a:noFill/>
        </a:ln>
      </c:spPr>
    </c:plotArea>
    <c:legend>
      <c:legendPos val="l"/>
      <c:layout>
        <c:manualLayout>
          <c:xMode val="edge"/>
          <c:yMode val="edge"/>
          <c:x val="0.81369733519363252"/>
          <c:y val="0.42925756104279106"/>
          <c:w val="0.18296506583916583"/>
          <c:h val="0.12016786906065595"/>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Standing and total timber volume</a:t>
            </a:r>
          </a:p>
        </c:rich>
      </c:tx>
      <c:layout>
        <c:manualLayout>
          <c:xMode val="edge"/>
          <c:yMode val="edge"/>
          <c:x val="0.31473569993694922"/>
          <c:y val="3.0060174517020324E-2"/>
        </c:manualLayout>
      </c:layout>
      <c:overlay val="0"/>
      <c:spPr>
        <a:noFill/>
        <a:ln w="25400">
          <a:noFill/>
        </a:ln>
      </c:spPr>
    </c:title>
    <c:autoTitleDeleted val="0"/>
    <c:plotArea>
      <c:layout>
        <c:manualLayout>
          <c:layoutTarget val="inner"/>
          <c:xMode val="edge"/>
          <c:yMode val="edge"/>
          <c:x val="8.6242309820824467E-2"/>
          <c:y val="0.12412651700213913"/>
          <c:w val="0.60320139394693906"/>
          <c:h val="0.69421912084383719"/>
        </c:manualLayout>
      </c:layout>
      <c:lineChart>
        <c:grouping val="standard"/>
        <c:varyColors val="0"/>
        <c:ser>
          <c:idx val="2"/>
          <c:order val="0"/>
          <c:tx>
            <c:strRef>
              <c:f>'Tabular results'!$BA$17</c:f>
              <c:strCache>
                <c:ptCount val="1"/>
                <c:pt idx="0">
                  <c:v>Silvoarable total timber</c:v>
                </c:pt>
              </c:strCache>
            </c:strRef>
          </c:tx>
          <c:spPr>
            <a:ln w="12700">
              <a:solidFill>
                <a:srgbClr val="3366FF"/>
              </a:solidFill>
              <a:prstDash val="sysDash"/>
            </a:ln>
          </c:spPr>
          <c:marker>
            <c:symbol val="none"/>
          </c:marker>
          <c:dPt>
            <c:idx val="5"/>
            <c:bubble3D val="0"/>
            <c:spPr>
              <a:ln w="12700">
                <a:solidFill>
                  <a:srgbClr val="0000FF"/>
                </a:solidFill>
                <a:prstDash val="sysDash"/>
              </a:ln>
            </c:spPr>
            <c:extLst>
              <c:ext xmlns:c16="http://schemas.microsoft.com/office/drawing/2014/chart" uri="{C3380CC4-5D6E-409C-BE32-E72D297353CC}">
                <c16:uniqueId val="{00000001-9382-4793-BA29-9ECA5C5E31A8}"/>
              </c:ext>
            </c:extLst>
          </c:dPt>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[0]!Ha_sil_tot_timb</c:f>
              <c:numCache>
                <c:formatCode>0.00</c:formatCode>
                <c:ptCount val="31"/>
                <c:pt idx="1">
                  <c:v>1.8120467539768537E-2</c:v>
                </c:pt>
                <c:pt idx="2">
                  <c:v>3.5736770732672521E-2</c:v>
                </c:pt>
                <c:pt idx="3">
                  <c:v>7.4722619829604042E-2</c:v>
                </c:pt>
                <c:pt idx="4">
                  <c:v>0.15061881196731625</c:v>
                </c:pt>
                <c:pt idx="5">
                  <c:v>0.2941663455738871</c:v>
                </c:pt>
                <c:pt idx="6">
                  <c:v>0.61023706838251768</c:v>
                </c:pt>
                <c:pt idx="7">
                  <c:v>1.1586234781164211</c:v>
                </c:pt>
                <c:pt idx="8">
                  <c:v>1.9165211747338018</c:v>
                </c:pt>
                <c:pt idx="9">
                  <c:v>3.3295467733643926</c:v>
                </c:pt>
                <c:pt idx="10">
                  <c:v>5.3607188460803448</c:v>
                </c:pt>
                <c:pt idx="11">
                  <c:v>8.1776008827282425</c:v>
                </c:pt>
                <c:pt idx="12">
                  <c:v>11.707650253869144</c:v>
                </c:pt>
                <c:pt idx="13">
                  <c:v>16.735627719780698</c:v>
                </c:pt>
                <c:pt idx="14">
                  <c:v>21.692095207628785</c:v>
                </c:pt>
                <c:pt idx="15">
                  <c:v>30.232991290963536</c:v>
                </c:pt>
                <c:pt idx="16">
                  <c:v>40.629431907125252</c:v>
                </c:pt>
                <c:pt idx="17">
                  <c:v>53.196042808101986</c:v>
                </c:pt>
                <c:pt idx="18">
                  <c:v>64.898881319576986</c:v>
                </c:pt>
                <c:pt idx="19">
                  <c:v>76.788129320326519</c:v>
                </c:pt>
                <c:pt idx="20">
                  <c:v>89.914262732444683</c:v>
                </c:pt>
                <c:pt idx="21">
                  <c:v>102.49287743146732</c:v>
                </c:pt>
                <c:pt idx="22">
                  <c:v>114.91193876244324</c:v>
                </c:pt>
                <c:pt idx="23">
                  <c:v>127.57581755454304</c:v>
                </c:pt>
                <c:pt idx="24">
                  <c:v>141.76938561836587</c:v>
                </c:pt>
                <c:pt idx="25">
                  <c:v>155.41535313027694</c:v>
                </c:pt>
                <c:pt idx="26">
                  <c:v>168.76825700103655</c:v>
                </c:pt>
                <c:pt idx="27">
                  <c:v>183.18912776364732</c:v>
                </c:pt>
                <c:pt idx="28">
                  <c:v>194.64812493120189</c:v>
                </c:pt>
                <c:pt idx="29">
                  <c:v>205.04765169351325</c:v>
                </c:pt>
                <c:pt idx="30">
                  <c:v>216.57651403057341</c:v>
                </c:pt>
              </c:numCache>
            </c:numRef>
          </c:val>
          <c:smooth val="0"/>
          <c:extLst>
            <c:ext xmlns:c16="http://schemas.microsoft.com/office/drawing/2014/chart" uri="{C3380CC4-5D6E-409C-BE32-E72D297353CC}">
              <c16:uniqueId val="{00000002-9382-4793-BA29-9ECA5C5E31A8}"/>
            </c:ext>
          </c:extLst>
        </c:ser>
        <c:ser>
          <c:idx val="0"/>
          <c:order val="1"/>
          <c:tx>
            <c:strRef>
              <c:f>'Tabular results'!$AT$17</c:f>
              <c:strCache>
                <c:ptCount val="1"/>
                <c:pt idx="0">
                  <c:v>Forestry total timber</c:v>
                </c:pt>
              </c:strCache>
            </c:strRef>
          </c:tx>
          <c:spPr>
            <a:ln w="12700">
              <a:solidFill>
                <a:srgbClr val="008000"/>
              </a:solidFill>
              <a:prstDash val="sysDash"/>
            </a:ln>
          </c:spPr>
          <c:marker>
            <c:symbol val="none"/>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[0]!Ha_for_tot_timb</c:f>
              <c:numCache>
                <c:formatCode>0.00</c:formatCode>
                <c:ptCount val="31"/>
                <c:pt idx="1">
                  <c:v>2.8267045991225252E-2</c:v>
                </c:pt>
                <c:pt idx="2">
                  <c:v>5.5744177291407571E-2</c:v>
                </c:pt>
                <c:pt idx="3">
                  <c:v>0.11654063041516</c:v>
                </c:pt>
                <c:pt idx="4">
                  <c:v>0.2348378031700093</c:v>
                </c:pt>
                <c:pt idx="5">
                  <c:v>0.45843996039034762</c:v>
                </c:pt>
                <c:pt idx="6">
                  <c:v>0.95005094756148822</c:v>
                </c:pt>
                <c:pt idx="7">
                  <c:v>1.8007501319971386</c:v>
                </c:pt>
                <c:pt idx="8">
                  <c:v>2.9704922531954656</c:v>
                </c:pt>
                <c:pt idx="9">
                  <c:v>5.1431003603587255</c:v>
                </c:pt>
                <c:pt idx="10">
                  <c:v>8.2336308346738214</c:v>
                </c:pt>
                <c:pt idx="11">
                  <c:v>12.494677842039225</c:v>
                </c:pt>
                <c:pt idx="12">
                  <c:v>17.715572163609639</c:v>
                </c:pt>
                <c:pt idx="13">
                  <c:v>25.142616726174616</c:v>
                </c:pt>
                <c:pt idx="14">
                  <c:v>30.448359302089404</c:v>
                </c:pt>
                <c:pt idx="15">
                  <c:v>41.02529881497766</c:v>
                </c:pt>
                <c:pt idx="16">
                  <c:v>51.905996768575733</c:v>
                </c:pt>
                <c:pt idx="17">
                  <c:v>65.560847497173981</c:v>
                </c:pt>
                <c:pt idx="18">
                  <c:v>77.893755262702228</c:v>
                </c:pt>
                <c:pt idx="19">
                  <c:v>89.356029243091129</c:v>
                </c:pt>
                <c:pt idx="20">
                  <c:v>100.41735420603597</c:v>
                </c:pt>
                <c:pt idx="21">
                  <c:v>113.18431468887758</c:v>
                </c:pt>
                <c:pt idx="22">
                  <c:v>125.07015394139599</c:v>
                </c:pt>
                <c:pt idx="23">
                  <c:v>136.30711560923348</c:v>
                </c:pt>
                <c:pt idx="24">
                  <c:v>148.12219270331869</c:v>
                </c:pt>
                <c:pt idx="25">
                  <c:v>161.04978502384833</c:v>
                </c:pt>
                <c:pt idx="26">
                  <c:v>173.98121790139112</c:v>
                </c:pt>
                <c:pt idx="27">
                  <c:v>187.15519639685195</c:v>
                </c:pt>
                <c:pt idx="28">
                  <c:v>197.4453313037246</c:v>
                </c:pt>
                <c:pt idx="29">
                  <c:v>207.68207864813559</c:v>
                </c:pt>
                <c:pt idx="30">
                  <c:v>219.0520197990561</c:v>
                </c:pt>
              </c:numCache>
            </c:numRef>
          </c:val>
          <c:smooth val="0"/>
          <c:extLst>
            <c:ext xmlns:c16="http://schemas.microsoft.com/office/drawing/2014/chart" uri="{C3380CC4-5D6E-409C-BE32-E72D297353CC}">
              <c16:uniqueId val="{00000003-9382-4793-BA29-9ECA5C5E31A8}"/>
            </c:ext>
          </c:extLst>
        </c:ser>
        <c:ser>
          <c:idx val="4"/>
          <c:order val="2"/>
          <c:tx>
            <c:strRef>
              <c:f>'Tabular results'!$AQ$17</c:f>
              <c:strCache>
                <c:ptCount val="1"/>
                <c:pt idx="0">
                  <c:v>Forestry total stand volume</c:v>
                </c:pt>
              </c:strCache>
            </c:strRef>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[0]!Ha_for_tot_stand_vol</c:f>
              <c:numCache>
                <c:formatCode>0.00</c:formatCode>
                <c:ptCount val="31"/>
                <c:pt idx="1">
                  <c:v>2.8267045991225252E-2</c:v>
                </c:pt>
                <c:pt idx="2">
                  <c:v>5.5744177291407571E-2</c:v>
                </c:pt>
                <c:pt idx="3">
                  <c:v>0.11654063041516</c:v>
                </c:pt>
                <c:pt idx="4">
                  <c:v>0.2348378031700093</c:v>
                </c:pt>
                <c:pt idx="5">
                  <c:v>0.45843996039034762</c:v>
                </c:pt>
                <c:pt idx="6">
                  <c:v>0.95005094756148822</c:v>
                </c:pt>
                <c:pt idx="7">
                  <c:v>1.8007501319971386</c:v>
                </c:pt>
                <c:pt idx="8">
                  <c:v>2.9704922531954656</c:v>
                </c:pt>
                <c:pt idx="9">
                  <c:v>5.1431003603587255</c:v>
                </c:pt>
                <c:pt idx="10">
                  <c:v>8.2336308346738214</c:v>
                </c:pt>
                <c:pt idx="11">
                  <c:v>12.494677842039225</c:v>
                </c:pt>
                <c:pt idx="12">
                  <c:v>17.715572163609639</c:v>
                </c:pt>
                <c:pt idx="13">
                  <c:v>25.142616726174616</c:v>
                </c:pt>
                <c:pt idx="14">
                  <c:v>30.448359302089404</c:v>
                </c:pt>
                <c:pt idx="15">
                  <c:v>41.02529881497766</c:v>
                </c:pt>
                <c:pt idx="16">
                  <c:v>51.905996768575733</c:v>
                </c:pt>
                <c:pt idx="17">
                  <c:v>65.560847497173981</c:v>
                </c:pt>
                <c:pt idx="18">
                  <c:v>77.893755262702228</c:v>
                </c:pt>
                <c:pt idx="19">
                  <c:v>89.356029243091129</c:v>
                </c:pt>
                <c:pt idx="20">
                  <c:v>100.41735420603597</c:v>
                </c:pt>
                <c:pt idx="21">
                  <c:v>113.18431468887758</c:v>
                </c:pt>
                <c:pt idx="22">
                  <c:v>125.07015394139599</c:v>
                </c:pt>
                <c:pt idx="23">
                  <c:v>136.30711560923348</c:v>
                </c:pt>
                <c:pt idx="24">
                  <c:v>148.12219270331869</c:v>
                </c:pt>
                <c:pt idx="25">
                  <c:v>161.04978502384833</c:v>
                </c:pt>
                <c:pt idx="26">
                  <c:v>173.98121790139112</c:v>
                </c:pt>
                <c:pt idx="27">
                  <c:v>187.15519639685195</c:v>
                </c:pt>
                <c:pt idx="28">
                  <c:v>197.4453313037246</c:v>
                </c:pt>
                <c:pt idx="29">
                  <c:v>207.68207864813559</c:v>
                </c:pt>
                <c:pt idx="30">
                  <c:v>219.0520197990561</c:v>
                </c:pt>
              </c:numCache>
            </c:numRef>
          </c:val>
          <c:smooth val="0"/>
          <c:extLst>
            <c:ext xmlns:c16="http://schemas.microsoft.com/office/drawing/2014/chart" uri="{C3380CC4-5D6E-409C-BE32-E72D297353CC}">
              <c16:uniqueId val="{00000004-9382-4793-BA29-9ECA5C5E31A8}"/>
            </c:ext>
          </c:extLst>
        </c:ser>
        <c:ser>
          <c:idx val="1"/>
          <c:order val="3"/>
          <c:tx>
            <c:strRef>
              <c:f>'Tabular results'!$AX$17</c:f>
              <c:strCache>
                <c:ptCount val="1"/>
                <c:pt idx="0">
                  <c:v>Silvoarable total stand volume</c:v>
                </c:pt>
              </c:strCache>
            </c:strRef>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[0]!Ha_sil_tot_stand_vol</c:f>
              <c:numCache>
                <c:formatCode>0.00</c:formatCode>
                <c:ptCount val="31"/>
                <c:pt idx="1">
                  <c:v>1.8120467539768537E-2</c:v>
                </c:pt>
                <c:pt idx="2">
                  <c:v>3.5736770732672521E-2</c:v>
                </c:pt>
                <c:pt idx="3">
                  <c:v>7.4722619829604042E-2</c:v>
                </c:pt>
                <c:pt idx="4">
                  <c:v>0.15061881196731625</c:v>
                </c:pt>
                <c:pt idx="5">
                  <c:v>0.2941663455738871</c:v>
                </c:pt>
                <c:pt idx="6">
                  <c:v>0.61023706838251768</c:v>
                </c:pt>
                <c:pt idx="7">
                  <c:v>1.1586234781164211</c:v>
                </c:pt>
                <c:pt idx="8">
                  <c:v>1.9165211747338018</c:v>
                </c:pt>
                <c:pt idx="9">
                  <c:v>3.3295467733643926</c:v>
                </c:pt>
                <c:pt idx="10">
                  <c:v>5.3607188460803448</c:v>
                </c:pt>
                <c:pt idx="11">
                  <c:v>8.1776008827282425</c:v>
                </c:pt>
                <c:pt idx="12">
                  <c:v>11.707650253869144</c:v>
                </c:pt>
                <c:pt idx="13">
                  <c:v>16.735627719780698</c:v>
                </c:pt>
                <c:pt idx="14">
                  <c:v>21.692095207628785</c:v>
                </c:pt>
                <c:pt idx="15">
                  <c:v>30.232991290963536</c:v>
                </c:pt>
                <c:pt idx="16">
                  <c:v>40.629431907125252</c:v>
                </c:pt>
                <c:pt idx="17">
                  <c:v>53.196042808101986</c:v>
                </c:pt>
                <c:pt idx="18">
                  <c:v>64.898881319576986</c:v>
                </c:pt>
                <c:pt idx="19">
                  <c:v>76.788129320326519</c:v>
                </c:pt>
                <c:pt idx="20">
                  <c:v>89.914262732444683</c:v>
                </c:pt>
                <c:pt idx="21">
                  <c:v>102.49287743146732</c:v>
                </c:pt>
                <c:pt idx="22">
                  <c:v>114.91193876244324</c:v>
                </c:pt>
                <c:pt idx="23">
                  <c:v>127.57581755454304</c:v>
                </c:pt>
                <c:pt idx="24">
                  <c:v>141.76938561836587</c:v>
                </c:pt>
                <c:pt idx="25">
                  <c:v>155.41535313027694</c:v>
                </c:pt>
                <c:pt idx="26">
                  <c:v>168.76825700103655</c:v>
                </c:pt>
                <c:pt idx="27">
                  <c:v>183.18912776364732</c:v>
                </c:pt>
                <c:pt idx="28">
                  <c:v>194.64812493120189</c:v>
                </c:pt>
                <c:pt idx="29">
                  <c:v>205.04765169351325</c:v>
                </c:pt>
                <c:pt idx="30">
                  <c:v>216.57651403057335</c:v>
                </c:pt>
              </c:numCache>
            </c:numRef>
          </c:val>
          <c:smooth val="0"/>
          <c:extLst>
            <c:ext xmlns:c16="http://schemas.microsoft.com/office/drawing/2014/chart" uri="{C3380CC4-5D6E-409C-BE32-E72D297353CC}">
              <c16:uniqueId val="{00000005-9382-4793-BA29-9ECA5C5E31A8}"/>
            </c:ext>
          </c:extLst>
        </c:ser>
        <c:dLbls>
          <c:showLegendKey val="0"/>
          <c:showVal val="0"/>
          <c:showCatName val="0"/>
          <c:showSerName val="0"/>
          <c:showPercent val="0"/>
          <c:showBubbleSize val="0"/>
        </c:dLbls>
        <c:smooth val="0"/>
        <c:axId val="1925429791"/>
        <c:axId val="1"/>
      </c:lineChart>
      <c:catAx>
        <c:axId val="1925429791"/>
        <c:scaling>
          <c:orientation val="minMax"/>
        </c:scaling>
        <c:delete val="0"/>
        <c:axPos val="b"/>
        <c:title>
          <c:tx>
            <c:rich>
              <a:bodyPr/>
              <a:lstStyle/>
              <a:p>
                <a:pPr>
                  <a:defRPr/>
                </a:pPr>
                <a:r>
                  <a:rPr lang="en-GB"/>
                  <a:t>Year from planting (a)</a:t>
                </a:r>
              </a:p>
            </c:rich>
          </c:tx>
          <c:layout>
            <c:manualLayout>
              <c:xMode val="edge"/>
              <c:yMode val="edge"/>
              <c:x val="0.28177901799412319"/>
              <c:y val="0.89576698369859975"/>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Timber volunme (m</a:t>
                </a:r>
                <a:r>
                  <a:rPr lang="en-GB" baseline="30000"/>
                  <a:t>3</a:t>
                </a:r>
                <a:r>
                  <a:rPr lang="en-GB"/>
                  <a:t> ha</a:t>
                </a:r>
                <a:r>
                  <a:rPr lang="en-GB" baseline="30000"/>
                  <a:t>-1</a:t>
                </a:r>
                <a:r>
                  <a:rPr lang="en-GB"/>
                  <a:t>)</a:t>
                </a:r>
              </a:p>
            </c:rich>
          </c:tx>
          <c:layout>
            <c:manualLayout>
              <c:xMode val="edge"/>
              <c:yMode val="edge"/>
              <c:x val="1.4540249381584141E-2"/>
              <c:y val="0.25406585861127862"/>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29791"/>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Unit undiscounted cumulative net margins</a:t>
            </a:r>
          </a:p>
        </c:rich>
      </c:tx>
      <c:layout>
        <c:manualLayout>
          <c:xMode val="edge"/>
          <c:yMode val="edge"/>
          <c:x val="0.31750583145208644"/>
          <c:y val="8.4603084051698297E-3"/>
        </c:manualLayout>
      </c:layout>
      <c:overlay val="0"/>
      <c:spPr>
        <a:noFill/>
        <a:ln w="25400">
          <a:noFill/>
        </a:ln>
      </c:spPr>
    </c:title>
    <c:autoTitleDeleted val="0"/>
    <c:plotArea>
      <c:layout>
        <c:manualLayout>
          <c:layoutTarget val="inner"/>
          <c:xMode val="edge"/>
          <c:yMode val="edge"/>
          <c:x val="0.13873744215419789"/>
          <c:y val="0.11111142403388578"/>
          <c:w val="0.61626885108152052"/>
          <c:h val="0.74886048684433071"/>
        </c:manualLayout>
      </c:layout>
      <c:lineChart>
        <c:grouping val="standard"/>
        <c:varyColors val="0"/>
        <c:ser>
          <c:idx val="3"/>
          <c:order val="0"/>
          <c:tx>
            <c:strRef>
              <c:f>'Tabular results'!$CV$17</c:f>
              <c:strCache>
                <c:ptCount val="1"/>
                <c:pt idx="0">
                  <c:v>Arable crop</c:v>
                </c:pt>
              </c:strCache>
            </c:strRef>
          </c:tx>
          <c:spPr>
            <a:ln w="12700">
              <a:solidFill>
                <a:srgbClr val="FF0000"/>
              </a:solidFill>
              <a:prstDash val="solid"/>
            </a:ln>
          </c:spPr>
          <c:marker>
            <c:symbol val="square"/>
            <c:size val="6"/>
            <c:spPr>
              <a:solidFill>
                <a:srgbClr val="FF0000"/>
              </a:solidFill>
              <a:ln>
                <a:solidFill>
                  <a:srgbClr val="FF0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[0]!U_cum_net_arab</c:f>
              <c:numCache>
                <c:formatCode>0</c:formatCode>
                <c:ptCount val="31"/>
                <c:pt idx="1">
                  <c:v>27955.408145243575</c:v>
                </c:pt>
                <c:pt idx="2">
                  <c:v>44335.875087948181</c:v>
                </c:pt>
                <c:pt idx="3">
                  <c:v>66929.001115217368</c:v>
                </c:pt>
                <c:pt idx="4">
                  <c:v>75715.329420197406</c:v>
                </c:pt>
                <c:pt idx="5">
                  <c:v>104289.58435685182</c:v>
                </c:pt>
                <c:pt idx="6">
                  <c:v>127312.2940900059</c:v>
                </c:pt>
                <c:pt idx="7">
                  <c:v>144961.70750114086</c:v>
                </c:pt>
                <c:pt idx="8">
                  <c:v>151704.18583539609</c:v>
                </c:pt>
                <c:pt idx="9">
                  <c:v>179226.06489988707</c:v>
                </c:pt>
                <c:pt idx="10">
                  <c:v>200088.25195912033</c:v>
                </c:pt>
                <c:pt idx="11">
                  <c:v>229813.17568588167</c:v>
                </c:pt>
                <c:pt idx="12">
                  <c:v>240772.89938151414</c:v>
                </c:pt>
                <c:pt idx="13">
                  <c:v>256515.6970512332</c:v>
                </c:pt>
                <c:pt idx="14">
                  <c:v>280508.36097514478</c:v>
                </c:pt>
                <c:pt idx="15">
                  <c:v>303150.27639222075</c:v>
                </c:pt>
                <c:pt idx="16">
                  <c:v>314957.58416712825</c:v>
                </c:pt>
                <c:pt idx="17">
                  <c:v>338425.11407993973</c:v>
                </c:pt>
                <c:pt idx="18">
                  <c:v>347895.87825605221</c:v>
                </c:pt>
                <c:pt idx="19">
                  <c:v>375115.22107662854</c:v>
                </c:pt>
                <c:pt idx="20">
                  <c:v>387202.49411180272</c:v>
                </c:pt>
                <c:pt idx="21">
                  <c:v>402119.4171914701</c:v>
                </c:pt>
                <c:pt idx="22">
                  <c:v>422923.13354321977</c:v>
                </c:pt>
                <c:pt idx="23">
                  <c:v>412035.51509865525</c:v>
                </c:pt>
                <c:pt idx="24">
                  <c:v>419880.66054089268</c:v>
                </c:pt>
                <c:pt idx="25">
                  <c:v>446463.03808157565</c:v>
                </c:pt>
                <c:pt idx="26">
                  <c:v>457315.12940405629</c:v>
                </c:pt>
                <c:pt idx="27">
                  <c:v>439043.41169482045</c:v>
                </c:pt>
                <c:pt idx="28">
                  <c:v>452336.98668265279</c:v>
                </c:pt>
                <c:pt idx="29">
                  <c:v>468111.19869141665</c:v>
                </c:pt>
                <c:pt idx="30">
                  <c:v>495292.00863923668</c:v>
                </c:pt>
              </c:numCache>
            </c:numRef>
          </c:val>
          <c:smooth val="0"/>
          <c:extLst>
            <c:ext xmlns:c16="http://schemas.microsoft.com/office/drawing/2014/chart" uri="{C3380CC4-5D6E-409C-BE32-E72D297353CC}">
              <c16:uniqueId val="{00000000-4DC5-4AD7-B0B2-4D97EDC09491}"/>
            </c:ext>
          </c:extLst>
        </c:ser>
        <c:ser>
          <c:idx val="4"/>
          <c:order val="1"/>
          <c:tx>
            <c:strRef>
              <c:f>'Tabular results'!$CW$17</c:f>
              <c:strCache>
                <c:ptCount val="1"/>
                <c:pt idx="0">
                  <c:v>Forestry</c:v>
                </c:pt>
              </c:strCache>
            </c:strRef>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[0]!U_cum_net_tree</c:f>
              <c:numCache>
                <c:formatCode>0</c:formatCode>
                <c:ptCount val="31"/>
                <c:pt idx="1">
                  <c:v>-23553.765599999999</c:v>
                </c:pt>
                <c:pt idx="2">
                  <c:v>-25653.5556</c:v>
                </c:pt>
                <c:pt idx="3">
                  <c:v>-26577.334888537789</c:v>
                </c:pt>
                <c:pt idx="4">
                  <c:v>-26677.324888537791</c:v>
                </c:pt>
                <c:pt idx="5">
                  <c:v>-26777.314888537792</c:v>
                </c:pt>
                <c:pt idx="6">
                  <c:v>-29972.466955298278</c:v>
                </c:pt>
                <c:pt idx="7">
                  <c:v>-30072.456955298279</c:v>
                </c:pt>
                <c:pt idx="8">
                  <c:v>-35538.981800281457</c:v>
                </c:pt>
                <c:pt idx="9">
                  <c:v>-43276.879423487335</c:v>
                </c:pt>
                <c:pt idx="10">
                  <c:v>-43376.869423487333</c:v>
                </c:pt>
                <c:pt idx="11">
                  <c:v>-53386.139824915903</c:v>
                </c:pt>
                <c:pt idx="12">
                  <c:v>-53486.129824915901</c:v>
                </c:pt>
                <c:pt idx="13">
                  <c:v>-53586.119824915899</c:v>
                </c:pt>
                <c:pt idx="14">
                  <c:v>-53686.109824915897</c:v>
                </c:pt>
                <c:pt idx="15">
                  <c:v>-53786.099824915895</c:v>
                </c:pt>
                <c:pt idx="16">
                  <c:v>-53886.089824915893</c:v>
                </c:pt>
                <c:pt idx="17">
                  <c:v>-53986.079824915891</c:v>
                </c:pt>
                <c:pt idx="18">
                  <c:v>-54086.069824915889</c:v>
                </c:pt>
                <c:pt idx="19">
                  <c:v>-54186.059824915887</c:v>
                </c:pt>
                <c:pt idx="20">
                  <c:v>-54286.049824915885</c:v>
                </c:pt>
                <c:pt idx="21">
                  <c:v>-54386.039824915882</c:v>
                </c:pt>
                <c:pt idx="22">
                  <c:v>-54486.02982491588</c:v>
                </c:pt>
                <c:pt idx="23">
                  <c:v>-54586.019824915878</c:v>
                </c:pt>
                <c:pt idx="24">
                  <c:v>-54686.009824915876</c:v>
                </c:pt>
                <c:pt idx="25">
                  <c:v>-54785.999824915874</c:v>
                </c:pt>
                <c:pt idx="26">
                  <c:v>-54885.989824915872</c:v>
                </c:pt>
                <c:pt idx="27">
                  <c:v>-54985.97982491587</c:v>
                </c:pt>
                <c:pt idx="28">
                  <c:v>-55085.969824915868</c:v>
                </c:pt>
                <c:pt idx="29">
                  <c:v>-55185.959824915866</c:v>
                </c:pt>
                <c:pt idx="30">
                  <c:v>215151.40581489389</c:v>
                </c:pt>
              </c:numCache>
            </c:numRef>
          </c:val>
          <c:smooth val="0"/>
          <c:extLst>
            <c:ext xmlns:c16="http://schemas.microsoft.com/office/drawing/2014/chart" uri="{C3380CC4-5D6E-409C-BE32-E72D297353CC}">
              <c16:uniqueId val="{00000001-4DC5-4AD7-B0B2-4D97EDC09491}"/>
            </c:ext>
          </c:extLst>
        </c:ser>
        <c:ser>
          <c:idx val="1"/>
          <c:order val="2"/>
          <c:tx>
            <c:strRef>
              <c:f>'Tabular results'!$CX$17</c:f>
              <c:strCache>
                <c:ptCount val="1"/>
                <c:pt idx="0">
                  <c:v>Silvoarable (combined)</c:v>
                </c:pt>
              </c:strCache>
            </c:strRef>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[0]!U_cum_net_silv</c:f>
              <c:numCache>
                <c:formatCode>0</c:formatCode>
                <c:ptCount val="31"/>
                <c:pt idx="1">
                  <c:v>5366.5534812087972</c:v>
                </c:pt>
                <c:pt idx="2">
                  <c:v>13768.471829917604</c:v>
                </c:pt>
                <c:pt idx="3">
                  <c:v>23736.378769091225</c:v>
                </c:pt>
                <c:pt idx="4">
                  <c:v>24378.347220677024</c:v>
                </c:pt>
                <c:pt idx="5">
                  <c:v>39184.233441885823</c:v>
                </c:pt>
                <c:pt idx="6">
                  <c:v>45498.90886017125</c:v>
                </c:pt>
                <c:pt idx="7">
                  <c:v>41812.574229099853</c:v>
                </c:pt>
                <c:pt idx="8">
                  <c:v>33890.801991593864</c:v>
                </c:pt>
                <c:pt idx="9">
                  <c:v>34622.286505042488</c:v>
                </c:pt>
                <c:pt idx="10">
                  <c:v>33528.437858751298</c:v>
                </c:pt>
                <c:pt idx="11">
                  <c:v>28506.671784179907</c:v>
                </c:pt>
                <c:pt idx="12">
                  <c:v>21247.525664337139</c:v>
                </c:pt>
                <c:pt idx="13">
                  <c:v>16606.256795545942</c:v>
                </c:pt>
                <c:pt idx="14">
                  <c:v>13085.225891754752</c:v>
                </c:pt>
                <c:pt idx="15">
                  <c:v>12985.235891754752</c:v>
                </c:pt>
                <c:pt idx="16">
                  <c:v>12885.245891754752</c:v>
                </c:pt>
                <c:pt idx="17">
                  <c:v>12785.255891754752</c:v>
                </c:pt>
                <c:pt idx="18">
                  <c:v>12685.265891754752</c:v>
                </c:pt>
                <c:pt idx="19">
                  <c:v>12585.275891754753</c:v>
                </c:pt>
                <c:pt idx="20">
                  <c:v>12485.285891754753</c:v>
                </c:pt>
                <c:pt idx="21">
                  <c:v>12385.295891754753</c:v>
                </c:pt>
                <c:pt idx="22">
                  <c:v>12285.305891754753</c:v>
                </c:pt>
                <c:pt idx="23">
                  <c:v>12185.315891754753</c:v>
                </c:pt>
                <c:pt idx="24">
                  <c:v>12085.325891754754</c:v>
                </c:pt>
                <c:pt idx="25">
                  <c:v>11985.335891754754</c:v>
                </c:pt>
                <c:pt idx="26">
                  <c:v>11885.345891754754</c:v>
                </c:pt>
                <c:pt idx="27">
                  <c:v>11785.355891754754</c:v>
                </c:pt>
                <c:pt idx="28">
                  <c:v>11685.365891754755</c:v>
                </c:pt>
                <c:pt idx="29">
                  <c:v>11585.375891754755</c:v>
                </c:pt>
                <c:pt idx="30">
                  <c:v>319106.8883305093</c:v>
                </c:pt>
              </c:numCache>
            </c:numRef>
          </c:val>
          <c:smooth val="0"/>
          <c:extLst>
            <c:ext xmlns:c16="http://schemas.microsoft.com/office/drawing/2014/chart" uri="{C3380CC4-5D6E-409C-BE32-E72D297353CC}">
              <c16:uniqueId val="{00000002-4DC5-4AD7-B0B2-4D97EDC09491}"/>
            </c:ext>
          </c:extLst>
        </c:ser>
        <c:dLbls>
          <c:showLegendKey val="0"/>
          <c:showVal val="0"/>
          <c:showCatName val="0"/>
          <c:showSerName val="0"/>
          <c:showPercent val="0"/>
          <c:showBubbleSize val="0"/>
        </c:dLbls>
        <c:marker val="1"/>
        <c:smooth val="0"/>
        <c:axId val="1925436751"/>
        <c:axId val="1"/>
      </c:lineChart>
      <c:catAx>
        <c:axId val="1925436751"/>
        <c:scaling>
          <c:orientation val="minMax"/>
        </c:scaling>
        <c:delete val="0"/>
        <c:axPos val="b"/>
        <c:title>
          <c:tx>
            <c:rich>
              <a:bodyPr/>
              <a:lstStyle/>
              <a:p>
                <a:pPr>
                  <a:defRPr/>
                </a:pPr>
                <a:r>
                  <a:rPr lang="en-GB"/>
                  <a:t>Year from planting (a)</a:t>
                </a:r>
              </a:p>
            </c:rich>
          </c:tx>
          <c:layout>
            <c:manualLayout>
              <c:xMode val="edge"/>
              <c:yMode val="edge"/>
              <c:x val="0.391257819202252"/>
              <c:y val="0.8951396622988255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solidFill>
                      <a:sysClr val="windowText" lastClr="000000"/>
                    </a:solidFill>
                  </a:defRPr>
                </a:pPr>
                <a:r>
                  <a:rPr lang="en-GB">
                    <a:solidFill>
                      <a:sysClr val="windowText" lastClr="000000"/>
                    </a:solidFill>
                  </a:rPr>
                  <a:t>Net present value (£ unit</a:t>
                </a:r>
                <a:r>
                  <a:rPr lang="en-GB" baseline="30000">
                    <a:solidFill>
                      <a:sysClr val="windowText" lastClr="000000"/>
                    </a:solidFill>
                  </a:rPr>
                  <a:t>-1</a:t>
                </a:r>
                <a:r>
                  <a:rPr lang="en-GB">
                    <a:solidFill>
                      <a:sysClr val="windowText" lastClr="000000"/>
                    </a:solidFill>
                  </a:rPr>
                  <a:t>)</a:t>
                </a:r>
              </a:p>
            </c:rich>
          </c:tx>
          <c:layout>
            <c:manualLayout>
              <c:xMode val="edge"/>
              <c:yMode val="edge"/>
              <c:x val="1.706693378053915E-2"/>
              <c:y val="0.252109754232612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36751"/>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aseline="0"/>
              <a:t>Discounted c</a:t>
            </a:r>
            <a:r>
              <a:rPr lang="en-US" sz="1400"/>
              <a:t>umulative net margins</a:t>
            </a:r>
          </a:p>
        </c:rich>
      </c:tx>
      <c:layout>
        <c:manualLayout>
          <c:xMode val="edge"/>
          <c:yMode val="edge"/>
          <c:x val="0.35797454479163276"/>
          <c:y val="4.6296667963143176E-3"/>
        </c:manualLayout>
      </c:layout>
      <c:overlay val="0"/>
      <c:spPr>
        <a:noFill/>
        <a:ln w="25400">
          <a:noFill/>
        </a:ln>
      </c:spPr>
    </c:title>
    <c:autoTitleDeleted val="0"/>
    <c:plotArea>
      <c:layout>
        <c:manualLayout>
          <c:layoutTarget val="inner"/>
          <c:xMode val="edge"/>
          <c:yMode val="edge"/>
          <c:x val="0.11760534838805527"/>
          <c:y val="0.11111142403388578"/>
          <c:w val="0.56947639280938944"/>
          <c:h val="0.70324649903204839"/>
        </c:manualLayout>
      </c:layout>
      <c:lineChart>
        <c:grouping val="standard"/>
        <c:varyColors val="0"/>
        <c:ser>
          <c:idx val="3"/>
          <c:order val="0"/>
          <c:tx>
            <c:strRef>
              <c:f>'Tabular results'!$CV$17</c:f>
              <c:strCache>
                <c:ptCount val="1"/>
                <c:pt idx="0">
                  <c:v>Arable crop</c:v>
                </c:pt>
              </c:strCache>
            </c:strRef>
          </c:tx>
          <c:spPr>
            <a:ln w="12700">
              <a:solidFill>
                <a:srgbClr val="FF0000"/>
              </a:solidFill>
              <a:prstDash val="solid"/>
            </a:ln>
          </c:spPr>
          <c:marker>
            <c:symbol val="square"/>
            <c:size val="6"/>
            <c:spPr>
              <a:solidFill>
                <a:srgbClr val="FF0000"/>
              </a:solidFill>
              <a:ln>
                <a:solidFill>
                  <a:srgbClr val="FF0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[0]!Ha_dis_cum_net_arab</c:f>
              <c:numCache>
                <c:formatCode>0</c:formatCode>
                <c:ptCount val="31"/>
                <c:pt idx="1">
                  <c:v>838.49454544821765</c:v>
                </c:pt>
                <c:pt idx="2">
                  <c:v>1310.9135311521711</c:v>
                </c:pt>
                <c:pt idx="3">
                  <c:v>1937.4466757234006</c:v>
                </c:pt>
                <c:pt idx="4">
                  <c:v>2171.7302350879609</c:v>
                </c:pt>
                <c:pt idx="5">
                  <c:v>2904.3454982974395</c:v>
                </c:pt>
                <c:pt idx="6">
                  <c:v>3471.921659087232</c:v>
                </c:pt>
                <c:pt idx="7">
                  <c:v>3890.2956179785456</c:v>
                </c:pt>
                <c:pt idx="8">
                  <c:v>4043.9767634893287</c:v>
                </c:pt>
                <c:pt idx="9">
                  <c:v>4647.1551514819121</c:v>
                </c:pt>
                <c:pt idx="10">
                  <c:v>5086.7921011814205</c:v>
                </c:pt>
                <c:pt idx="11">
                  <c:v>5689.1044404399618</c:v>
                </c:pt>
                <c:pt idx="12">
                  <c:v>5902.6385594527083</c:v>
                </c:pt>
                <c:pt idx="13">
                  <c:v>6197.5667231192483</c:v>
                </c:pt>
                <c:pt idx="14">
                  <c:v>6629.7614504749672</c:v>
                </c:pt>
                <c:pt idx="15">
                  <c:v>7021.9372747317248</c:v>
                </c:pt>
                <c:pt idx="16">
                  <c:v>7218.5833119247836</c:v>
                </c:pt>
                <c:pt idx="17">
                  <c:v>7594.3933324287455</c:v>
                </c:pt>
                <c:pt idx="18">
                  <c:v>7740.2252744139741</c:v>
                </c:pt>
                <c:pt idx="19">
                  <c:v>8143.2316646864401</c:v>
                </c:pt>
                <c:pt idx="20">
                  <c:v>8315.3112259810223</c:v>
                </c:pt>
                <c:pt idx="21">
                  <c:v>8519.5070559464984</c:v>
                </c:pt>
                <c:pt idx="22">
                  <c:v>8793.3333842023731</c:v>
                </c:pt>
                <c:pt idx="23">
                  <c:v>8655.538265711657</c:v>
                </c:pt>
                <c:pt idx="24">
                  <c:v>8751.0086344766405</c:v>
                </c:pt>
                <c:pt idx="25">
                  <c:v>9062.0571143129728</c:v>
                </c:pt>
                <c:pt idx="26">
                  <c:v>9184.1567482258979</c:v>
                </c:pt>
                <c:pt idx="27">
                  <c:v>8986.4839274407568</c:v>
                </c:pt>
                <c:pt idx="28">
                  <c:v>9124.769232841556</c:v>
                </c:pt>
                <c:pt idx="29">
                  <c:v>9282.5480070502545</c:v>
                </c:pt>
                <c:pt idx="30">
                  <c:v>9543.9626789834456</c:v>
                </c:pt>
              </c:numCache>
            </c:numRef>
          </c:val>
          <c:smooth val="0"/>
          <c:extLst>
            <c:ext xmlns:c16="http://schemas.microsoft.com/office/drawing/2014/chart" uri="{C3380CC4-5D6E-409C-BE32-E72D297353CC}">
              <c16:uniqueId val="{00000000-7485-48BA-8DF3-CA998C421F77}"/>
            </c:ext>
          </c:extLst>
        </c:ser>
        <c:ser>
          <c:idx val="2"/>
          <c:order val="1"/>
          <c:tx>
            <c:v>Silvoarable (combined incl. stand)</c:v>
          </c:tx>
          <c:spPr>
            <a:ln w="12700">
              <a:solidFill>
                <a:srgbClr val="0000FF"/>
              </a:solidFill>
            </a:ln>
          </c:spPr>
          <c:marker>
            <c:symbol val="circle"/>
            <c:size val="6"/>
            <c:spPr>
              <a:solidFill>
                <a:srgbClr val="0000FF"/>
              </a:solidFill>
              <a:ln>
                <a:solidFill>
                  <a:srgbClr val="0000FF"/>
                </a:solidFill>
              </a:ln>
            </c:spPr>
          </c:marker>
          <c:val>
            <c:numRef>
              <c:f>[0]!Ha_dis_cum_net_sil_istand</c:f>
              <c:numCache>
                <c:formatCode>0</c:formatCode>
                <c:ptCount val="31"/>
                <c:pt idx="1">
                  <c:v>161.21246006997944</c:v>
                </c:pt>
                <c:pt idx="2">
                  <c:v>403.77877273899992</c:v>
                </c:pt>
                <c:pt idx="3">
                  <c:v>680.66590721293574</c:v>
                </c:pt>
                <c:pt idx="4">
                  <c:v>698.50334068403163</c:v>
                </c:pt>
                <c:pt idx="5">
                  <c:v>1079.5212107733171</c:v>
                </c:pt>
                <c:pt idx="6">
                  <c:v>1238.0000677340972</c:v>
                </c:pt>
                <c:pt idx="7">
                  <c:v>1158.2134828477381</c:v>
                </c:pt>
                <c:pt idx="8">
                  <c:v>985.36514166339384</c:v>
                </c:pt>
                <c:pt idx="9">
                  <c:v>1020.3244803464929</c:v>
                </c:pt>
                <c:pt idx="10">
                  <c:v>1024.049332628806</c:v>
                </c:pt>
                <c:pt idx="11">
                  <c:v>961.59851307287863</c:v>
                </c:pt>
                <c:pt idx="12">
                  <c:v>869.11714158338873</c:v>
                </c:pt>
                <c:pt idx="13">
                  <c:v>857.2319444901708</c:v>
                </c:pt>
                <c:pt idx="14">
                  <c:v>864.83851289354493</c:v>
                </c:pt>
                <c:pt idx="15">
                  <c:v>1005.6559082241945</c:v>
                </c:pt>
                <c:pt idx="16">
                  <c:v>1176.2970370816251</c:v>
                </c:pt>
                <c:pt idx="17">
                  <c:v>1380.6850586340202</c:v>
                </c:pt>
                <c:pt idx="18">
                  <c:v>1570.0104195621675</c:v>
                </c:pt>
                <c:pt idx="19">
                  <c:v>1758.2396956627149</c:v>
                </c:pt>
                <c:pt idx="20">
                  <c:v>1960.3539763978081</c:v>
                </c:pt>
                <c:pt idx="21">
                  <c:v>2197.1611289263546</c:v>
                </c:pt>
                <c:pt idx="22">
                  <c:v>2375.0006254170271</c:v>
                </c:pt>
                <c:pt idx="23">
                  <c:v>2548.3327336793441</c:v>
                </c:pt>
                <c:pt idx="24">
                  <c:v>2786.7116499051954</c:v>
                </c:pt>
                <c:pt idx="25">
                  <c:v>2957.3980384803267</c:v>
                </c:pt>
                <c:pt idx="26">
                  <c:v>3113.7378503226082</c:v>
                </c:pt>
                <c:pt idx="27">
                  <c:v>3326.0250271808436</c:v>
                </c:pt>
                <c:pt idx="28">
                  <c:v>3434.5161165755394</c:v>
                </c:pt>
                <c:pt idx="29">
                  <c:v>3519.2250526821681</c:v>
                </c:pt>
                <c:pt idx="30">
                  <c:v>3502.2203200429935</c:v>
                </c:pt>
              </c:numCache>
            </c:numRef>
          </c:val>
          <c:smooth val="0"/>
          <c:extLst>
            <c:ext xmlns:c16="http://schemas.microsoft.com/office/drawing/2014/chart" uri="{C3380CC4-5D6E-409C-BE32-E72D297353CC}">
              <c16:uniqueId val="{00000002-B174-49D1-A6B2-DE0D5D54FADC}"/>
            </c:ext>
          </c:extLst>
        </c:ser>
        <c:ser>
          <c:idx val="1"/>
          <c:order val="2"/>
          <c:tx>
            <c:v>Silvoarable (combined excl. stand)</c:v>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[0]!Ha_dis_cum_net_sil_estand</c:f>
              <c:numCache>
                <c:formatCode>0</c:formatCode>
                <c:ptCount val="31"/>
                <c:pt idx="1">
                  <c:v>161.01270570683465</c:v>
                </c:pt>
                <c:pt idx="2">
                  <c:v>403.39997372331345</c:v>
                </c:pt>
                <c:pt idx="3">
                  <c:v>679.90433290110309</c:v>
                </c:pt>
                <c:pt idx="4">
                  <c:v>697.02727367042132</c:v>
                </c:pt>
                <c:pt idx="5">
                  <c:v>1076.7492536823793</c:v>
                </c:pt>
                <c:pt idx="6">
                  <c:v>1232.4709127485578</c:v>
                </c:pt>
                <c:pt idx="7">
                  <c:v>1145.0612576139101</c:v>
                </c:pt>
                <c:pt idx="8">
                  <c:v>964.44632105794358</c:v>
                </c:pt>
                <c:pt idx="9">
                  <c:v>980.48258175664012</c:v>
                </c:pt>
                <c:pt idx="10">
                  <c:v>957.42456946695961</c:v>
                </c:pt>
                <c:pt idx="11">
                  <c:v>855.63863414726518</c:v>
                </c:pt>
                <c:pt idx="12">
                  <c:v>714.1623995573658</c:v>
                </c:pt>
                <c:pt idx="13">
                  <c:v>627.18601666643303</c:v>
                </c:pt>
                <c:pt idx="14">
                  <c:v>563.74047459333508</c:v>
                </c:pt>
                <c:pt idx="15">
                  <c:v>562.00804934486962</c:v>
                </c:pt>
                <c:pt idx="16">
                  <c:v>560.34225583672981</c:v>
                </c:pt>
                <c:pt idx="17">
                  <c:v>558.74053130967229</c:v>
                </c:pt>
                <c:pt idx="18">
                  <c:v>557.20041157211699</c:v>
                </c:pt>
                <c:pt idx="19">
                  <c:v>555.71952720908303</c:v>
                </c:pt>
                <c:pt idx="20">
                  <c:v>554.29559993693499</c:v>
                </c:pt>
                <c:pt idx="21">
                  <c:v>552.92643909833112</c:v>
                </c:pt>
                <c:pt idx="22">
                  <c:v>551.60993829198128</c:v>
                </c:pt>
                <c:pt idx="23">
                  <c:v>550.34407213202951</c:v>
                </c:pt>
                <c:pt idx="24">
                  <c:v>549.12689313207579</c:v>
                </c:pt>
                <c:pt idx="25">
                  <c:v>547.95652870904348</c:v>
                </c:pt>
                <c:pt idx="26">
                  <c:v>546.83117830228161</c:v>
                </c:pt>
                <c:pt idx="27">
                  <c:v>545.7491106034721</c:v>
                </c:pt>
                <c:pt idx="28">
                  <c:v>544.70866089307833</c:v>
                </c:pt>
                <c:pt idx="29">
                  <c:v>543.70822847923819</c:v>
                </c:pt>
                <c:pt idx="30">
                  <c:v>3502.2203200429931</c:v>
                </c:pt>
              </c:numCache>
            </c:numRef>
          </c:val>
          <c:smooth val="0"/>
          <c:extLst>
            <c:ext xmlns:c16="http://schemas.microsoft.com/office/drawing/2014/chart" uri="{C3380CC4-5D6E-409C-BE32-E72D297353CC}">
              <c16:uniqueId val="{00000002-7485-48BA-8DF3-CA998C421F77}"/>
            </c:ext>
          </c:extLst>
        </c:ser>
        <c:ser>
          <c:idx val="0"/>
          <c:order val="3"/>
          <c:tx>
            <c:v>Forestry (incl. stand)</c:v>
          </c:tx>
          <c:spPr>
            <a:ln w="12700">
              <a:solidFill>
                <a:srgbClr val="008000"/>
              </a:solidFill>
            </a:ln>
          </c:spPr>
          <c:marker>
            <c:symbol val="triangle"/>
            <c:size val="6"/>
            <c:spPr>
              <a:ln>
                <a:solidFill>
                  <a:srgbClr val="008000"/>
                </a:solidFill>
              </a:ln>
            </c:spPr>
          </c:marker>
          <c:val>
            <c:numRef>
              <c:f>[0]!Ha_dis_cum_net_for_istand</c:f>
              <c:numCache>
                <c:formatCode>0</c:formatCode>
                <c:ptCount val="31"/>
                <c:pt idx="1">
                  <c:v>-706.37202929513376</c:v>
                </c:pt>
                <c:pt idx="2">
                  <c:v>-766.66968793607464</c:v>
                </c:pt>
                <c:pt idx="3">
                  <c:v>-791.69791413196663</c:v>
                </c:pt>
                <c:pt idx="4">
                  <c:v>-793.2512728380151</c:v>
                </c:pt>
                <c:pt idx="5">
                  <c:v>-793.79717723829197</c:v>
                </c:pt>
                <c:pt idx="6">
                  <c:v>-868.30234672227562</c:v>
                </c:pt>
                <c:pt idx="7">
                  <c:v>-858.83999838728323</c:v>
                </c:pt>
                <c:pt idx="8">
                  <c:v>-971.49422698934745</c:v>
                </c:pt>
                <c:pt idx="9">
                  <c:v>-1112.0111052629718</c:v>
                </c:pt>
                <c:pt idx="10">
                  <c:v>-1073.3317905837125</c:v>
                </c:pt>
                <c:pt idx="11">
                  <c:v>-1216.6417896457619</c:v>
                </c:pt>
                <c:pt idx="12">
                  <c:v>-1146.0165686735684</c:v>
                </c:pt>
                <c:pt idx="13">
                  <c:v>-1036.7546077179636</c:v>
                </c:pt>
                <c:pt idx="14">
                  <c:v>-966.3395761474867</c:v>
                </c:pt>
                <c:pt idx="15">
                  <c:v>-838.34481429653817</c:v>
                </c:pt>
                <c:pt idx="16">
                  <c:v>-655.17352060210578</c:v>
                </c:pt>
                <c:pt idx="17">
                  <c:v>-433.46869132119809</c:v>
                </c:pt>
                <c:pt idx="18">
                  <c:v>-298.90138347945754</c:v>
                </c:pt>
                <c:pt idx="19">
                  <c:v>-115.68600273392212</c:v>
                </c:pt>
                <c:pt idx="20">
                  <c:v>55.272913304166991</c:v>
                </c:pt>
                <c:pt idx="21">
                  <c:v>243.79165514618114</c:v>
                </c:pt>
                <c:pt idx="22">
                  <c:v>411.96947057359824</c:v>
                </c:pt>
                <c:pt idx="23">
                  <c:v>497.37032791446154</c:v>
                </c:pt>
                <c:pt idx="24">
                  <c:v>649.55337977396312</c:v>
                </c:pt>
                <c:pt idx="25">
                  <c:v>808.54984080989971</c:v>
                </c:pt>
                <c:pt idx="26">
                  <c:v>958.77259011618105</c:v>
                </c:pt>
                <c:pt idx="27">
                  <c:v>1038.7437164883836</c:v>
                </c:pt>
                <c:pt idx="28">
                  <c:v>1138.3905975348785</c:v>
                </c:pt>
                <c:pt idx="29">
                  <c:v>1229.5288991349587</c:v>
                </c:pt>
                <c:pt idx="30">
                  <c:v>1196.5858755993759</c:v>
                </c:pt>
              </c:numCache>
            </c:numRef>
          </c:val>
          <c:smooth val="0"/>
          <c:extLst>
            <c:ext xmlns:c16="http://schemas.microsoft.com/office/drawing/2014/chart" uri="{C3380CC4-5D6E-409C-BE32-E72D297353CC}">
              <c16:uniqueId val="{00000001-B174-49D1-A6B2-DE0D5D54FADC}"/>
            </c:ext>
          </c:extLst>
        </c:ser>
        <c:ser>
          <c:idx val="4"/>
          <c:order val="4"/>
          <c:tx>
            <c:v>Forestry (excl. stand)</c:v>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[0]!Ha_dis_cum_net_for_estand</c:f>
              <c:numCache>
                <c:formatCode>0</c:formatCode>
                <c:ptCount val="31"/>
                <c:pt idx="1">
                  <c:v>-706.68363636363631</c:v>
                </c:pt>
                <c:pt idx="2">
                  <c:v>-767.2605594405594</c:v>
                </c:pt>
                <c:pt idx="3">
                  <c:v>-792.88569837469481</c:v>
                </c:pt>
                <c:pt idx="4">
                  <c:v>-795.55268745070759</c:v>
                </c:pt>
                <c:pt idx="5">
                  <c:v>-798.11710002379675</c:v>
                </c:pt>
                <c:pt idx="6">
                  <c:v>-876.91044217467015</c:v>
                </c:pt>
                <c:pt idx="7">
                  <c:v>-879.28138575186063</c:v>
                </c:pt>
                <c:pt idx="8">
                  <c:v>-1003.9171375074671</c:v>
                </c:pt>
                <c:pt idx="9">
                  <c:v>-1173.5542812393803</c:v>
                </c:pt>
                <c:pt idx="10">
                  <c:v>-1175.6620414461167</c:v>
                </c:pt>
                <c:pt idx="11">
                  <c:v>-1378.5394623670215</c:v>
                </c:pt>
                <c:pt idx="12">
                  <c:v>-1380.4882051617114</c:v>
                </c:pt>
                <c:pt idx="13">
                  <c:v>-1382.3619963104516</c:v>
                </c:pt>
                <c:pt idx="14">
                  <c:v>-1384.1637185688555</c:v>
                </c:pt>
                <c:pt idx="15">
                  <c:v>-1385.896143817321</c:v>
                </c:pt>
                <c:pt idx="16">
                  <c:v>-1387.5619373254608</c:v>
                </c:pt>
                <c:pt idx="17">
                  <c:v>-1389.1636618525183</c:v>
                </c:pt>
                <c:pt idx="18">
                  <c:v>-1390.7037815900737</c:v>
                </c:pt>
                <c:pt idx="19">
                  <c:v>-1392.1846659531077</c:v>
                </c:pt>
                <c:pt idx="20">
                  <c:v>-1393.6085932252556</c:v>
                </c:pt>
                <c:pt idx="21">
                  <c:v>-1394.9777540638595</c:v>
                </c:pt>
                <c:pt idx="22">
                  <c:v>-1396.2942548702094</c:v>
                </c:pt>
                <c:pt idx="23">
                  <c:v>-1397.5601210301613</c:v>
                </c:pt>
                <c:pt idx="24">
                  <c:v>-1398.7773000301149</c:v>
                </c:pt>
                <c:pt idx="25">
                  <c:v>-1399.9476644531474</c:v>
                </c:pt>
                <c:pt idx="26">
                  <c:v>-1401.0730148599093</c:v>
                </c:pt>
                <c:pt idx="27">
                  <c:v>-1402.155082558719</c:v>
                </c:pt>
                <c:pt idx="28">
                  <c:v>-1403.1955322691126</c:v>
                </c:pt>
                <c:pt idx="29">
                  <c:v>-1404.1959646829528</c:v>
                </c:pt>
                <c:pt idx="30">
                  <c:v>1196.5858755993754</c:v>
                </c:pt>
              </c:numCache>
            </c:numRef>
          </c:val>
          <c:smooth val="0"/>
          <c:extLst>
            <c:ext xmlns:c16="http://schemas.microsoft.com/office/drawing/2014/chart" uri="{C3380CC4-5D6E-409C-BE32-E72D297353CC}">
              <c16:uniqueId val="{00000001-7485-48BA-8DF3-CA998C421F77}"/>
            </c:ext>
          </c:extLst>
        </c:ser>
        <c:dLbls>
          <c:showLegendKey val="0"/>
          <c:showVal val="0"/>
          <c:showCatName val="0"/>
          <c:showSerName val="0"/>
          <c:showPercent val="0"/>
          <c:showBubbleSize val="0"/>
        </c:dLbls>
        <c:marker val="1"/>
        <c:smooth val="0"/>
        <c:axId val="1925436751"/>
        <c:axId val="1"/>
      </c:lineChart>
      <c:catAx>
        <c:axId val="1925436751"/>
        <c:scaling>
          <c:orientation val="minMax"/>
        </c:scaling>
        <c:delete val="0"/>
        <c:axPos val="b"/>
        <c:title>
          <c:tx>
            <c:rich>
              <a:bodyPr/>
              <a:lstStyle/>
              <a:p>
                <a:pPr>
                  <a:defRPr/>
                </a:pPr>
                <a:r>
                  <a:rPr lang="en-GB"/>
                  <a:t>Year from planting (a)</a:t>
                </a:r>
              </a:p>
            </c:rich>
          </c:tx>
          <c:layout>
            <c:manualLayout>
              <c:xMode val="edge"/>
              <c:yMode val="edge"/>
              <c:x val="0.391257819202252"/>
              <c:y val="0.8951396622988255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solidFill>
                      <a:sysClr val="windowText" lastClr="000000"/>
                    </a:solidFill>
                  </a:defRPr>
                </a:pPr>
                <a:r>
                  <a:rPr lang="en-GB">
                    <a:solidFill>
                      <a:sysClr val="windowText" lastClr="000000"/>
                    </a:solidFill>
                  </a:rPr>
                  <a:t>Discounted net present value (£ ha</a:t>
                </a:r>
                <a:r>
                  <a:rPr lang="en-GB" baseline="30000">
                    <a:solidFill>
                      <a:sysClr val="windowText" lastClr="000000"/>
                    </a:solidFill>
                  </a:rPr>
                  <a:t>-1</a:t>
                </a:r>
                <a:r>
                  <a:rPr lang="en-GB">
                    <a:solidFill>
                      <a:sysClr val="windowText" lastClr="000000"/>
                    </a:solidFill>
                  </a:rPr>
                  <a:t>)</a:t>
                </a:r>
              </a:p>
            </c:rich>
          </c:tx>
          <c:layout>
            <c:manualLayout>
              <c:xMode val="edge"/>
              <c:yMode val="edge"/>
              <c:x val="2.1515845559473296E-2"/>
              <c:y val="0.1362507284029393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925436751"/>
        <c:crosses val="autoZero"/>
        <c:crossBetween val="midCat"/>
      </c:valAx>
      <c:spPr>
        <a:noFill/>
        <a:ln w="25400">
          <a:noFill/>
        </a:ln>
      </c:spPr>
    </c:plotArea>
    <c:legend>
      <c:legendPos val="r"/>
      <c:layout>
        <c:manualLayout>
          <c:xMode val="edge"/>
          <c:yMode val="edge"/>
          <c:x val="0.69669472222592155"/>
          <c:y val="0.31450485561073432"/>
          <c:w val="0.29539070694530722"/>
          <c:h val="0.3543822851182712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Standing timber volume</a:t>
            </a:r>
          </a:p>
        </c:rich>
      </c:tx>
      <c:layout>
        <c:manualLayout>
          <c:xMode val="edge"/>
          <c:yMode val="edge"/>
          <c:x val="0.31274637312127029"/>
          <c:y val="2.9239907764565868E-2"/>
        </c:manualLayout>
      </c:layout>
      <c:overlay val="0"/>
      <c:spPr>
        <a:noFill/>
        <a:ln w="25400">
          <a:noFill/>
        </a:ln>
      </c:spPr>
    </c:title>
    <c:autoTitleDeleted val="0"/>
    <c:plotArea>
      <c:layout>
        <c:manualLayout>
          <c:layoutTarget val="inner"/>
          <c:xMode val="edge"/>
          <c:yMode val="edge"/>
          <c:x val="0.14244634513687457"/>
          <c:y val="9.68974976690542E-2"/>
          <c:w val="0.59252406057672724"/>
          <c:h val="0.70547839630929077"/>
        </c:manualLayout>
      </c:layout>
      <c:lineChart>
        <c:grouping val="standard"/>
        <c:varyColors val="0"/>
        <c:ser>
          <c:idx val="4"/>
          <c:order val="0"/>
          <c:tx>
            <c:strRef>
              <c:f>'Tabular results'!$CL$17</c:f>
              <c:strCache>
                <c:ptCount val="1"/>
                <c:pt idx="0">
                  <c:v>Forestry (standing trees)</c:v>
                </c:pt>
              </c:strCache>
            </c:strRef>
          </c:tx>
          <c:spPr>
            <a:ln w="12700">
              <a:solidFill>
                <a:srgbClr val="008000"/>
              </a:solidFill>
              <a:prstDash val="solid"/>
            </a:ln>
          </c:spPr>
          <c:marker>
            <c:symbol val="triangle"/>
            <c:size val="6"/>
            <c:spPr>
              <a:solidFill>
                <a:srgbClr val="FFFFFF"/>
              </a:solidFill>
              <a:ln>
                <a:solidFill>
                  <a:srgbClr val="008000"/>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[0]!U_for_stand_trees</c:f>
              <c:numCache>
                <c:formatCode>0</c:formatCode>
                <c:ptCount val="31"/>
                <c:pt idx="1">
                  <c:v>0.94214064288753763</c:v>
                </c:pt>
                <c:pt idx="2">
                  <c:v>1.8579534291226143</c:v>
                </c:pt>
                <c:pt idx="3">
                  <c:v>3.8842992117372823</c:v>
                </c:pt>
                <c:pt idx="4">
                  <c:v>7.8271439796564097</c:v>
                </c:pt>
                <c:pt idx="5">
                  <c:v>15.279803879810286</c:v>
                </c:pt>
                <c:pt idx="6">
                  <c:v>31.6651980822244</c:v>
                </c:pt>
                <c:pt idx="7">
                  <c:v>60.019001899464627</c:v>
                </c:pt>
                <c:pt idx="8">
                  <c:v>99.006506799004868</c:v>
                </c:pt>
                <c:pt idx="9">
                  <c:v>171.41953501075631</c:v>
                </c:pt>
                <c:pt idx="10">
                  <c:v>274.42691571967845</c:v>
                </c:pt>
                <c:pt idx="11">
                  <c:v>416.44761247516738</c:v>
                </c:pt>
                <c:pt idx="12">
                  <c:v>590.46002021310926</c:v>
                </c:pt>
                <c:pt idx="13">
                  <c:v>838.00341548339986</c:v>
                </c:pt>
                <c:pt idx="14">
                  <c:v>1014.8438155386398</c:v>
                </c:pt>
                <c:pt idx="15">
                  <c:v>1367.3732095032053</c:v>
                </c:pt>
                <c:pt idx="16">
                  <c:v>1730.0268722966291</c:v>
                </c:pt>
                <c:pt idx="17">
                  <c:v>2185.1430470808086</c:v>
                </c:pt>
                <c:pt idx="18">
                  <c:v>2596.1988629058651</c:v>
                </c:pt>
                <c:pt idx="19">
                  <c:v>2978.236454672227</c:v>
                </c:pt>
                <c:pt idx="20">
                  <c:v>3346.9104156871786</c:v>
                </c:pt>
                <c:pt idx="21">
                  <c:v>3772.4332085802894</c:v>
                </c:pt>
                <c:pt idx="22">
                  <c:v>4168.5882308667278</c:v>
                </c:pt>
                <c:pt idx="23">
                  <c:v>4543.1161632557514</c:v>
                </c:pt>
                <c:pt idx="24">
                  <c:v>4936.9126828016115</c:v>
                </c:pt>
                <c:pt idx="25">
                  <c:v>5367.7893348448642</c:v>
                </c:pt>
                <c:pt idx="26">
                  <c:v>5798.7939926533654</c:v>
                </c:pt>
                <c:pt idx="27">
                  <c:v>6237.8826959070748</c:v>
                </c:pt>
                <c:pt idx="28">
                  <c:v>6580.8528923531403</c:v>
                </c:pt>
                <c:pt idx="29">
                  <c:v>6922.0436813423585</c:v>
                </c:pt>
                <c:pt idx="30">
                  <c:v>7301.0038199025394</c:v>
                </c:pt>
              </c:numCache>
            </c:numRef>
          </c:val>
          <c:smooth val="0"/>
          <c:extLst>
            <c:ext xmlns:c16="http://schemas.microsoft.com/office/drawing/2014/chart" uri="{C3380CC4-5D6E-409C-BE32-E72D297353CC}">
              <c16:uniqueId val="{00000000-F870-46EF-B312-286861973B03}"/>
            </c:ext>
          </c:extLst>
        </c:ser>
        <c:ser>
          <c:idx val="1"/>
          <c:order val="1"/>
          <c:tx>
            <c:strRef>
              <c:f>'Tabular results'!$CO$17</c:f>
              <c:strCache>
                <c:ptCount val="1"/>
                <c:pt idx="0">
                  <c:v>Silvoarable (standing trees)</c:v>
                </c:pt>
              </c:strCache>
            </c:strRef>
          </c:tx>
          <c:spPr>
            <a:ln w="12700">
              <a:solidFill>
                <a:srgbClr val="0000FF"/>
              </a:solidFill>
              <a:prstDash val="solid"/>
            </a:ln>
          </c:spPr>
          <c:marker>
            <c:symbol val="circle"/>
            <c:size val="6"/>
            <c:spPr>
              <a:noFill/>
              <a:ln>
                <a:solidFill>
                  <a:srgbClr val="0000FF"/>
                </a:solidFill>
                <a:prstDash val="solid"/>
              </a:ln>
            </c:spPr>
          </c:marker>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[0]!U_sil_stand_trees</c:f>
              <c:numCache>
                <c:formatCode>0</c:formatCode>
                <c:ptCount val="31"/>
                <c:pt idx="1">
                  <c:v>0.60395518310048535</c:v>
                </c:pt>
                <c:pt idx="2">
                  <c:v>1.1911065685199751</c:v>
                </c:pt>
                <c:pt idx="3">
                  <c:v>2.4905049189207027</c:v>
                </c:pt>
                <c:pt idx="4">
                  <c:v>5.0201250028706506</c:v>
                </c:pt>
                <c:pt idx="5">
                  <c:v>9.8045642979776559</c:v>
                </c:pt>
                <c:pt idx="6">
                  <c:v>20.339201489189314</c:v>
                </c:pt>
                <c:pt idx="7">
                  <c:v>38.616920525620316</c:v>
                </c:pt>
                <c:pt idx="8">
                  <c:v>63.87765075387761</c:v>
                </c:pt>
                <c:pt idx="9">
                  <c:v>110.9737939562352</c:v>
                </c:pt>
                <c:pt idx="10">
                  <c:v>178.67275913985787</c:v>
                </c:pt>
                <c:pt idx="11">
                  <c:v>272.55943742133229</c:v>
                </c:pt>
                <c:pt idx="12">
                  <c:v>390.21598296145851</c:v>
                </c:pt>
                <c:pt idx="13">
                  <c:v>557.79847190029068</c:v>
                </c:pt>
                <c:pt idx="14">
                  <c:v>722.99753327026735</c:v>
                </c:pt>
                <c:pt idx="15">
                  <c:v>1007.6655997278147</c:v>
                </c:pt>
                <c:pt idx="16">
                  <c:v>1354.1789654644845</c:v>
                </c:pt>
                <c:pt idx="17">
                  <c:v>1773.0241067940392</c:v>
                </c:pt>
                <c:pt idx="18">
                  <c:v>2163.0797143815007</c:v>
                </c:pt>
                <c:pt idx="19">
                  <c:v>2559.3483502464828</c:v>
                </c:pt>
                <c:pt idx="20">
                  <c:v>2996.842376872381</c:v>
                </c:pt>
                <c:pt idx="21">
                  <c:v>3416.0876047908055</c:v>
                </c:pt>
                <c:pt idx="22">
                  <c:v>3830.0149189522331</c:v>
                </c:pt>
                <c:pt idx="23">
                  <c:v>4252.101999092919</c:v>
                </c:pt>
                <c:pt idx="24">
                  <c:v>4725.1736226601342</c:v>
                </c:pt>
                <c:pt idx="25">
                  <c:v>5179.9937198321304</c:v>
                </c:pt>
                <c:pt idx="26">
                  <c:v>5625.0460058445478</c:v>
                </c:pt>
                <c:pt idx="27">
                  <c:v>6105.6936283623645</c:v>
                </c:pt>
                <c:pt idx="28">
                  <c:v>6487.6220039569589</c:v>
                </c:pt>
                <c:pt idx="29">
                  <c:v>6834.2382309447958</c:v>
                </c:pt>
                <c:pt idx="30">
                  <c:v>7218.495212639009</c:v>
                </c:pt>
              </c:numCache>
            </c:numRef>
          </c:val>
          <c:smooth val="0"/>
          <c:extLst>
            <c:ext xmlns:c16="http://schemas.microsoft.com/office/drawing/2014/chart" uri="{C3380CC4-5D6E-409C-BE32-E72D297353CC}">
              <c16:uniqueId val="{00000001-F870-46EF-B312-286861973B03}"/>
            </c:ext>
          </c:extLst>
        </c:ser>
        <c:dLbls>
          <c:showLegendKey val="0"/>
          <c:showVal val="0"/>
          <c:showCatName val="0"/>
          <c:showSerName val="0"/>
          <c:showPercent val="0"/>
          <c:showBubbleSize val="0"/>
        </c:dLbls>
        <c:marker val="1"/>
        <c:smooth val="0"/>
        <c:axId val="1925431647"/>
        <c:axId val="1"/>
      </c:lineChart>
      <c:catAx>
        <c:axId val="1925431647"/>
        <c:scaling>
          <c:orientation val="minMax"/>
        </c:scaling>
        <c:delete val="0"/>
        <c:axPos val="b"/>
        <c:title>
          <c:tx>
            <c:rich>
              <a:bodyPr/>
              <a:lstStyle/>
              <a:p>
                <a:pPr>
                  <a:defRPr/>
                </a:pPr>
                <a:r>
                  <a:rPr lang="en-GB"/>
                  <a:t>Year from planting (a)</a:t>
                </a:r>
              </a:p>
            </c:rich>
          </c:tx>
          <c:layout>
            <c:manualLayout>
              <c:xMode val="edge"/>
              <c:yMode val="edge"/>
              <c:x val="0.3801455034347021"/>
              <c:y val="0.8667914867931035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Timber volume (m</a:t>
                </a:r>
                <a:r>
                  <a:rPr lang="en-GB" baseline="30000"/>
                  <a:t>3</a:t>
                </a:r>
                <a:r>
                  <a:rPr lang="en-GB"/>
                  <a:t> unit</a:t>
                </a:r>
                <a:r>
                  <a:rPr lang="en-GB" baseline="30000"/>
                  <a:t>-1</a:t>
                </a:r>
                <a:r>
                  <a:rPr lang="en-GB"/>
                  <a:t>)</a:t>
                </a:r>
              </a:p>
            </c:rich>
          </c:tx>
          <c:layout>
            <c:manualLayout>
              <c:xMode val="edge"/>
              <c:yMode val="edge"/>
              <c:x val="3.4165654666301039E-2"/>
              <c:y val="0.228070600486680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31647"/>
        <c:crosses val="autoZero"/>
        <c:crossBetween val="midCat"/>
      </c:valAx>
      <c:spPr>
        <a:noFill/>
        <a:ln w="25400">
          <a:noFill/>
        </a:ln>
      </c:spPr>
    </c:plotArea>
    <c:legend>
      <c:legendPos val="r"/>
      <c:overlay val="0"/>
      <c:spPr>
        <a:no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Production of arable and silvoarable crops</a:t>
            </a:r>
          </a:p>
        </c:rich>
      </c:tx>
      <c:layout>
        <c:manualLayout>
          <c:xMode val="edge"/>
          <c:yMode val="edge"/>
          <c:x val="0.31686559341389831"/>
          <c:y val="3.3715680958600121E-2"/>
        </c:manualLayout>
      </c:layout>
      <c:overlay val="0"/>
      <c:spPr>
        <a:noFill/>
        <a:ln w="25400">
          <a:noFill/>
        </a:ln>
      </c:spPr>
    </c:title>
    <c:autoTitleDeleted val="0"/>
    <c:plotArea>
      <c:layout>
        <c:manualLayout>
          <c:layoutTarget val="inner"/>
          <c:xMode val="edge"/>
          <c:yMode val="edge"/>
          <c:x val="0.13368317313230343"/>
          <c:y val="0.14893673286664677"/>
          <c:w val="0.68318440532012159"/>
          <c:h val="0.63085855231951427"/>
        </c:manualLayout>
      </c:layout>
      <c:barChart>
        <c:barDir val="col"/>
        <c:grouping val="stacked"/>
        <c:varyColors val="0"/>
        <c:ser>
          <c:idx val="2"/>
          <c:order val="0"/>
          <c:tx>
            <c:strRef>
              <c:f>'Tabular results'!$CN$17</c:f>
              <c:strCache>
                <c:ptCount val="1"/>
                <c:pt idx="0">
                  <c:v>Silvoarable (crop)</c:v>
                </c:pt>
              </c:strCache>
            </c:strRef>
          </c:tx>
          <c:spPr>
            <a:solidFill>
              <a:schemeClr val="accent1"/>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[0]!U_prod_sil_crop</c:f>
              <c:numCache>
                <c:formatCode>0</c:formatCode>
                <c:ptCount val="31"/>
                <c:pt idx="1">
                  <c:v>336.23637299999996</c:v>
                </c:pt>
                <c:pt idx="2">
                  <c:v>273.87261000000001</c:v>
                </c:pt>
                <c:pt idx="3">
                  <c:v>247.47524999999999</c:v>
                </c:pt>
                <c:pt idx="4">
                  <c:v>110.538945</c:v>
                </c:pt>
                <c:pt idx="5">
                  <c:v>300.59993699999995</c:v>
                </c:pt>
                <c:pt idx="6">
                  <c:v>266.28336899999999</c:v>
                </c:pt>
                <c:pt idx="7">
                  <c:v>176.20237799999998</c:v>
                </c:pt>
                <c:pt idx="8">
                  <c:v>96.350363999999999</c:v>
                </c:pt>
                <c:pt idx="9">
                  <c:v>252.09478799999997</c:v>
                </c:pt>
                <c:pt idx="10">
                  <c:v>216.45835199999999</c:v>
                </c:pt>
                <c:pt idx="11">
                  <c:v>169.27307099999999</c:v>
                </c:pt>
                <c:pt idx="12">
                  <c:v>106.249374</c:v>
                </c:pt>
                <c:pt idx="13">
                  <c:v>197.65023300000001</c:v>
                </c:pt>
                <c:pt idx="14">
                  <c:v>203.58963899999998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9CAB-4600-8F72-13FF89BB2A68}"/>
            </c:ext>
          </c:extLst>
        </c:ser>
        <c:ser>
          <c:idx val="0"/>
          <c:order val="1"/>
          <c:tx>
            <c:strRef>
              <c:f>'Tabular results'!$CK$17</c:f>
              <c:strCache>
                <c:ptCount val="1"/>
                <c:pt idx="0">
                  <c:v>Arable crop</c:v>
                </c:pt>
              </c:strCache>
            </c:strRef>
          </c:tx>
          <c:spPr>
            <a:solidFill>
              <a:srgbClr val="FF0000"/>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[0]!U_prod_arab_crop</c:f>
              <c:numCache>
                <c:formatCode>0</c:formatCode>
                <c:ptCount val="31"/>
                <c:pt idx="1">
                  <c:v>330.67643870662727</c:v>
                </c:pt>
                <c:pt idx="2">
                  <c:v>269.30708917917462</c:v>
                </c:pt>
                <c:pt idx="3">
                  <c:v>273.38119652537171</c:v>
                </c:pt>
                <c:pt idx="4">
                  <c:v>112.22922836516915</c:v>
                </c:pt>
                <c:pt idx="5">
                  <c:v>333.95751153295862</c:v>
                </c:pt>
                <c:pt idx="6">
                  <c:v>304.52369307551942</c:v>
                </c:pt>
                <c:pt idx="7">
                  <c:v>247.72918525687481</c:v>
                </c:pt>
                <c:pt idx="8">
                  <c:v>106.56933613854659</c:v>
                </c:pt>
                <c:pt idx="9">
                  <c:v>328.37790455241611</c:v>
                </c:pt>
                <c:pt idx="10">
                  <c:v>293.06878640966528</c:v>
                </c:pt>
                <c:pt idx="11">
                  <c:v>310.38677697819924</c:v>
                </c:pt>
                <c:pt idx="12">
                  <c:v>118.24786175466822</c:v>
                </c:pt>
                <c:pt idx="13">
                  <c:v>265.92622116334553</c:v>
                </c:pt>
                <c:pt idx="14">
                  <c:v>309.66630734168592</c:v>
                </c:pt>
                <c:pt idx="15">
                  <c:v>273.63435565380144</c:v>
                </c:pt>
                <c:pt idx="16">
                  <c:v>120.59501766650671</c:v>
                </c:pt>
                <c:pt idx="17">
                  <c:v>306.88209167164109</c:v>
                </c:pt>
                <c:pt idx="18">
                  <c:v>232.67243533568171</c:v>
                </c:pt>
                <c:pt idx="19">
                  <c:v>297.3857806359307</c:v>
                </c:pt>
                <c:pt idx="20">
                  <c:v>121.37030607955302</c:v>
                </c:pt>
                <c:pt idx="21">
                  <c:v>261.54750463288008</c:v>
                </c:pt>
                <c:pt idx="22">
                  <c:v>292.75877971313969</c:v>
                </c:pt>
                <c:pt idx="23">
                  <c:v>99.655800015424461</c:v>
                </c:pt>
                <c:pt idx="24">
                  <c:v>109.62287582218973</c:v>
                </c:pt>
                <c:pt idx="25">
                  <c:v>323.39674772515718</c:v>
                </c:pt>
                <c:pt idx="26">
                  <c:v>239.99611387312723</c:v>
                </c:pt>
                <c:pt idx="27">
                  <c:v>61.341073361033047</c:v>
                </c:pt>
                <c:pt idx="28">
                  <c:v>124.71083456383712</c:v>
                </c:pt>
                <c:pt idx="29">
                  <c:v>266.09277730555635</c:v>
                </c:pt>
                <c:pt idx="30">
                  <c:v>326.56958522986014</c:v>
                </c:pt>
              </c:numCache>
            </c:numRef>
          </c:val>
          <c:extLst>
            <c:ext xmlns:c16="http://schemas.microsoft.com/office/drawing/2014/chart" uri="{C3380CC4-5D6E-409C-BE32-E72D297353CC}">
              <c16:uniqueId val="{00000000-9CAB-4600-8F72-13FF89BB2A68}"/>
            </c:ext>
          </c:extLst>
        </c:ser>
        <c:dLbls>
          <c:showLegendKey val="0"/>
          <c:showVal val="0"/>
          <c:showCatName val="0"/>
          <c:showSerName val="0"/>
          <c:showPercent val="0"/>
          <c:showBubbleSize val="0"/>
        </c:dLbls>
        <c:gapWidth val="50"/>
        <c:overlap val="100"/>
        <c:axId val="1925420047"/>
        <c:axId val="1"/>
      </c:barChart>
      <c:catAx>
        <c:axId val="1925420047"/>
        <c:scaling>
          <c:orientation val="minMax"/>
        </c:scaling>
        <c:delete val="0"/>
        <c:axPos val="b"/>
        <c:title>
          <c:tx>
            <c:rich>
              <a:bodyPr/>
              <a:lstStyle/>
              <a:p>
                <a:pPr>
                  <a:defRPr/>
                </a:pPr>
                <a:r>
                  <a:rPr lang="en-GB"/>
                  <a:t>Year from planting (a)</a:t>
                </a:r>
              </a:p>
            </c:rich>
          </c:tx>
          <c:layout>
            <c:manualLayout>
              <c:xMode val="edge"/>
              <c:yMode val="edge"/>
              <c:x val="0.39822043062681217"/>
              <c:y val="0.9048255435268984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Crop production (t unit</a:t>
                </a:r>
                <a:r>
                  <a:rPr lang="en-GB" baseline="30000"/>
                  <a:t>-1</a:t>
                </a:r>
                <a:r>
                  <a:rPr lang="en-GB"/>
                  <a:t>)</a:t>
                </a:r>
              </a:p>
            </c:rich>
          </c:tx>
          <c:layout>
            <c:manualLayout>
              <c:xMode val="edge"/>
              <c:yMode val="edge"/>
              <c:x val="2.587924511727455E-2"/>
              <c:y val="0.2981684217183695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1925420047"/>
        <c:crosses val="autoZero"/>
        <c:crossBetween val="midCat"/>
      </c:valAx>
      <c:spPr>
        <a:noFill/>
        <a:ln w="25400">
          <a:noFill/>
        </a:ln>
      </c:spPr>
    </c:plotArea>
    <c:legend>
      <c:legendPos val="r"/>
      <c:layout>
        <c:manualLayout>
          <c:xMode val="edge"/>
          <c:yMode val="edge"/>
          <c:x val="0.84281153117016183"/>
          <c:y val="0.46821703460127956"/>
          <c:w val="0.1566523341885635"/>
          <c:h val="0.12436482098691876"/>
        </c:manualLayout>
      </c:layout>
      <c:overlay val="0"/>
      <c:spPr>
        <a:no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Pattern of arable revenue and costs</a:t>
            </a:r>
          </a:p>
        </c:rich>
      </c:tx>
      <c:layout>
        <c:manualLayout>
          <c:xMode val="edge"/>
          <c:yMode val="edge"/>
          <c:x val="0.39776699693960166"/>
          <c:y val="4.7811729532490049E-2"/>
        </c:manualLayout>
      </c:layout>
      <c:overlay val="0"/>
      <c:spPr>
        <a:noFill/>
        <a:ln w="25400">
          <a:noFill/>
        </a:ln>
      </c:spPr>
    </c:title>
    <c:autoTitleDeleted val="0"/>
    <c:plotArea>
      <c:layout>
        <c:manualLayout>
          <c:layoutTarget val="inner"/>
          <c:xMode val="edge"/>
          <c:yMode val="edge"/>
          <c:x val="0.14850577271070653"/>
          <c:y val="0.12616427466680286"/>
          <c:w val="0.60923075087437395"/>
          <c:h val="0.75193501198946555"/>
        </c:manualLayout>
      </c:layout>
      <c:barChart>
        <c:barDir val="col"/>
        <c:grouping val="stacked"/>
        <c:varyColors val="0"/>
        <c:ser>
          <c:idx val="0"/>
          <c:order val="0"/>
          <c:tx>
            <c:strRef>
              <c:f>'Tabular results'!$BV$17</c:f>
              <c:strCache>
                <c:ptCount val="1"/>
                <c:pt idx="0">
                  <c:v>Arable non-grant revenue</c:v>
                </c:pt>
              </c:strCache>
            </c:strRef>
          </c:tx>
          <c:spPr>
            <a:solidFill>
              <a:srgbClr val="9999FF"/>
            </a:solidFill>
            <a:ln w="12700">
              <a:solidFill>
                <a:srgbClr val="00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[0]!Ha_arab_ngrant</c:f>
              <c:numCache>
                <c:formatCode>0</c:formatCode>
                <c:ptCount val="31"/>
                <c:pt idx="1">
                  <c:v>1870.7033750066644</c:v>
                </c:pt>
                <c:pt idx="2">
                  <c:v>1464.9274756639982</c:v>
                </c:pt>
                <c:pt idx="3">
                  <c:v>1461.0603685884407</c:v>
                </c:pt>
                <c:pt idx="4">
                  <c:v>1080.6404382374064</c:v>
                </c:pt>
                <c:pt idx="5">
                  <c:v>1614.9516967339266</c:v>
                </c:pt>
                <c:pt idx="6">
                  <c:v>1415.9765776402235</c:v>
                </c:pt>
                <c:pt idx="7">
                  <c:v>1131.7313275096287</c:v>
                </c:pt>
                <c:pt idx="8">
                  <c:v>877.15055267813011</c:v>
                </c:pt>
                <c:pt idx="9">
                  <c:v>1357.4032692675023</c:v>
                </c:pt>
                <c:pt idx="10">
                  <c:v>1164.8531816946229</c:v>
                </c:pt>
                <c:pt idx="11">
                  <c:v>1212.0932076554141</c:v>
                </c:pt>
                <c:pt idx="12">
                  <c:v>831.95880034118557</c:v>
                </c:pt>
                <c:pt idx="13">
                  <c:v>939.64275315923817</c:v>
                </c:pt>
                <c:pt idx="14">
                  <c:v>1052.1126018679283</c:v>
                </c:pt>
                <c:pt idx="15">
                  <c:v>913.41906617214954</c:v>
                </c:pt>
                <c:pt idx="16">
                  <c:v>725.27804662883136</c:v>
                </c:pt>
                <c:pt idx="17">
                  <c:v>926.91475362032895</c:v>
                </c:pt>
                <c:pt idx="18">
                  <c:v>675.74033921250498</c:v>
                </c:pt>
                <c:pt idx="19">
                  <c:v>848.56729800766402</c:v>
                </c:pt>
                <c:pt idx="20">
                  <c:v>623.95641847274533</c:v>
                </c:pt>
                <c:pt idx="21">
                  <c:v>675.28246552966539</c:v>
                </c:pt>
                <c:pt idx="22">
                  <c:v>726.79424706759585</c:v>
                </c:pt>
                <c:pt idx="23">
                  <c:v>243.07221280034079</c:v>
                </c:pt>
                <c:pt idx="24">
                  <c:v>481.73660011021838</c:v>
                </c:pt>
                <c:pt idx="25">
                  <c:v>713.7353102546947</c:v>
                </c:pt>
                <c:pt idx="26">
                  <c:v>509.29850931519667</c:v>
                </c:pt>
                <c:pt idx="27">
                  <c:v>127.89417022876084</c:v>
                </c:pt>
                <c:pt idx="28">
                  <c:v>468.46729880796357</c:v>
                </c:pt>
                <c:pt idx="29">
                  <c:v>501.99716452279</c:v>
                </c:pt>
                <c:pt idx="30">
                  <c:v>592.39389338904869</c:v>
                </c:pt>
              </c:numCache>
            </c:numRef>
          </c:val>
          <c:extLst>
            <c:ext xmlns:c16="http://schemas.microsoft.com/office/drawing/2014/chart" uri="{C3380CC4-5D6E-409C-BE32-E72D297353CC}">
              <c16:uniqueId val="{00000000-2568-442A-8F3C-29F525C6AB0C}"/>
            </c:ext>
          </c:extLst>
        </c:ser>
        <c:ser>
          <c:idx val="4"/>
          <c:order val="1"/>
          <c:tx>
            <c:strRef>
              <c:f>'Tabular results'!$BY$17</c:f>
              <c:strCache>
                <c:ptCount val="1"/>
                <c:pt idx="0">
                  <c:v>Arable grant revenue</c:v>
                </c:pt>
              </c:strCache>
            </c:strRef>
          </c:tx>
          <c:spPr>
            <a:noFill/>
            <a:ln w="12700">
              <a:solidFill>
                <a:srgbClr val="008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[0]!Ha_arab_grant</c:f>
              <c:numCache>
                <c:formatCode>0</c:formatCode>
                <c:ptCount val="31"/>
                <c:pt idx="1">
                  <c:v>235.2</c:v>
                </c:pt>
                <c:pt idx="2">
                  <c:v>226.15384615384613</c:v>
                </c:pt>
                <c:pt idx="3">
                  <c:v>217.45562130177512</c:v>
                </c:pt>
                <c:pt idx="4">
                  <c:v>209.09194355939914</c:v>
                </c:pt>
                <c:pt idx="5">
                  <c:v>201.04994573019147</c:v>
                </c:pt>
                <c:pt idx="6">
                  <c:v>193.31725550979948</c:v>
                </c:pt>
                <c:pt idx="7">
                  <c:v>185.88197645173025</c:v>
                </c:pt>
                <c:pt idx="8">
                  <c:v>178.73266966512526</c:v>
                </c:pt>
                <c:pt idx="9">
                  <c:v>171.85833621646657</c:v>
                </c:pt>
                <c:pt idx="10">
                  <c:v>165.24840020814094</c:v>
                </c:pt>
                <c:pt idx="11">
                  <c:v>158.8926925078278</c:v>
                </c:pt>
                <c:pt idx="12">
                  <c:v>152.78143510368059</c:v>
                </c:pt>
                <c:pt idx="13">
                  <c:v>146.9052260612313</c:v>
                </c:pt>
                <c:pt idx="14">
                  <c:v>141.25502505887627</c:v>
                </c:pt>
                <c:pt idx="15">
                  <c:v>135.8221394796887</c:v>
                </c:pt>
                <c:pt idx="16">
                  <c:v>130.59821103816222</c:v>
                </c:pt>
                <c:pt idx="17">
                  <c:v>125.57520292130981</c:v>
                </c:pt>
                <c:pt idx="18">
                  <c:v>120.74538742433636</c:v>
                </c:pt>
                <c:pt idx="19">
                  <c:v>116.10133406186186</c:v>
                </c:pt>
                <c:pt idx="20">
                  <c:v>111.63589813640564</c:v>
                </c:pt>
                <c:pt idx="21">
                  <c:v>107.34220974654389</c:v>
                </c:pt>
                <c:pt idx="22">
                  <c:v>103.21366321783063</c:v>
                </c:pt>
                <c:pt idx="23">
                  <c:v>99.243906940221777</c:v>
                </c:pt>
                <c:pt idx="24">
                  <c:v>95.426833596367089</c:v>
                </c:pt>
                <c:pt idx="25">
                  <c:v>91.756570765737578</c:v>
                </c:pt>
                <c:pt idx="26">
                  <c:v>88.227471890132279</c:v>
                </c:pt>
                <c:pt idx="27">
                  <c:v>84.834107586665652</c:v>
                </c:pt>
                <c:pt idx="28">
                  <c:v>81.571257294870819</c:v>
                </c:pt>
                <c:pt idx="29">
                  <c:v>78.433901245068085</c:v>
                </c:pt>
                <c:pt idx="30">
                  <c:v>75.41721273564238</c:v>
                </c:pt>
              </c:numCache>
            </c:numRef>
          </c:val>
          <c:extLst>
            <c:ext xmlns:c16="http://schemas.microsoft.com/office/drawing/2014/chart" uri="{C3380CC4-5D6E-409C-BE32-E72D297353CC}">
              <c16:uniqueId val="{00000001-2568-442A-8F3C-29F525C6AB0C}"/>
            </c:ext>
          </c:extLst>
        </c:ser>
        <c:ser>
          <c:idx val="3"/>
          <c:order val="2"/>
          <c:tx>
            <c:strRef>
              <c:f>'Tabular results'!$CB$17</c:f>
              <c:strCache>
                <c:ptCount val="1"/>
                <c:pt idx="0">
                  <c:v>Arable costs</c:v>
                </c:pt>
              </c:strCache>
            </c:strRef>
          </c:tx>
          <c:spPr>
            <a:noFill/>
            <a:ln w="12700">
              <a:solidFill>
                <a:srgbClr val="FF0000"/>
              </a:solidFill>
              <a:prstDash val="solid"/>
            </a:ln>
          </c:spPr>
          <c:invertIfNegative val="0"/>
          <c:cat>
            <c:numRef>
              <c:f>[0]!Def_axis_labs</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[0]!Ha_arab_costs</c:f>
              <c:numCache>
                <c:formatCode>0</c:formatCode>
                <c:ptCount val="31"/>
                <c:pt idx="1">
                  <c:v>-1267.4088295584465</c:v>
                </c:pt>
                <c:pt idx="2">
                  <c:v>-1218.6623361138909</c:v>
                </c:pt>
                <c:pt idx="3">
                  <c:v>-1051.9828453189864</c:v>
                </c:pt>
                <c:pt idx="4">
                  <c:v>-1055.4488224322456</c:v>
                </c:pt>
                <c:pt idx="5">
                  <c:v>-1083.3863792546395</c:v>
                </c:pt>
                <c:pt idx="6">
                  <c:v>-1041.7176723602302</c:v>
                </c:pt>
                <c:pt idx="7">
                  <c:v>-899.23934507004526</c:v>
                </c:pt>
                <c:pt idx="8">
                  <c:v>-902.20207683247236</c:v>
                </c:pt>
                <c:pt idx="9">
                  <c:v>-926.08321749138565</c:v>
                </c:pt>
                <c:pt idx="10">
                  <c:v>-890.46463220325529</c:v>
                </c:pt>
                <c:pt idx="11">
                  <c:v>-768.67356090470037</c:v>
                </c:pt>
                <c:pt idx="12">
                  <c:v>-771.20611643211998</c:v>
                </c:pt>
                <c:pt idx="13">
                  <c:v>-791.61981555392936</c:v>
                </c:pt>
                <c:pt idx="14">
                  <c:v>-761.17289957108585</c:v>
                </c:pt>
                <c:pt idx="15">
                  <c:v>-657.06538139508098</c:v>
                </c:pt>
                <c:pt idx="16">
                  <c:v>-659.23022047393476</c:v>
                </c:pt>
                <c:pt idx="17">
                  <c:v>-676.67993603767729</c:v>
                </c:pt>
                <c:pt idx="18">
                  <c:v>-650.6537846516128</c:v>
                </c:pt>
                <c:pt idx="19">
                  <c:v>-561.66224179706035</c:v>
                </c:pt>
                <c:pt idx="20">
                  <c:v>-563.51275531456952</c:v>
                </c:pt>
                <c:pt idx="21">
                  <c:v>-578.42884531073332</c:v>
                </c:pt>
                <c:pt idx="22">
                  <c:v>-556.18158202955112</c:v>
                </c:pt>
                <c:pt idx="23">
                  <c:v>-480.11123823127838</c:v>
                </c:pt>
                <c:pt idx="24">
                  <c:v>-481.69306494160236</c:v>
                </c:pt>
                <c:pt idx="25">
                  <c:v>-494.44340118409968</c:v>
                </c:pt>
                <c:pt idx="26">
                  <c:v>-475.42634729240348</c:v>
                </c:pt>
                <c:pt idx="27">
                  <c:v>-410.40109860056782</c:v>
                </c:pt>
                <c:pt idx="28">
                  <c:v>-411.75325070203553</c:v>
                </c:pt>
                <c:pt idx="29">
                  <c:v>-422.6522915591604</c:v>
                </c:pt>
                <c:pt idx="30">
                  <c:v>-406.39643419150036</c:v>
                </c:pt>
              </c:numCache>
            </c:numRef>
          </c:val>
          <c:extLst>
            <c:ext xmlns:c16="http://schemas.microsoft.com/office/drawing/2014/chart" uri="{C3380CC4-5D6E-409C-BE32-E72D297353CC}">
              <c16:uniqueId val="{00000002-2568-442A-8F3C-29F525C6AB0C}"/>
            </c:ext>
          </c:extLst>
        </c:ser>
        <c:dLbls>
          <c:showLegendKey val="0"/>
          <c:showVal val="0"/>
          <c:showCatName val="0"/>
          <c:showSerName val="0"/>
          <c:showPercent val="0"/>
          <c:showBubbleSize val="0"/>
        </c:dLbls>
        <c:gapWidth val="0"/>
        <c:overlap val="100"/>
        <c:axId val="2000603327"/>
        <c:axId val="1"/>
      </c:barChart>
      <c:catAx>
        <c:axId val="2000603327"/>
        <c:scaling>
          <c:orientation val="minMax"/>
        </c:scaling>
        <c:delete val="0"/>
        <c:axPos val="b"/>
        <c:title>
          <c:tx>
            <c:rich>
              <a:bodyPr/>
              <a:lstStyle/>
              <a:p>
                <a:pPr>
                  <a:defRPr/>
                </a:pPr>
                <a:r>
                  <a:rPr lang="en-GB"/>
                  <a:t>Year from planting (a)</a:t>
                </a:r>
              </a:p>
            </c:rich>
          </c:tx>
          <c:layout>
            <c:manualLayout>
              <c:xMode val="edge"/>
              <c:yMode val="edge"/>
              <c:x val="0.40131222994901661"/>
              <c:y val="0.8774766987913624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a:pPr>
            <a:endParaRPr lang="en-US"/>
          </a:p>
        </c:txPr>
        <c:crossAx val="1"/>
        <c:crosses val="autoZero"/>
        <c:auto val="1"/>
        <c:lblAlgn val="ctr"/>
        <c:lblOffset val="100"/>
        <c:tickLblSkip val="10"/>
        <c:tickMarkSkip val="10"/>
        <c:noMultiLvlLbl val="0"/>
      </c:catAx>
      <c:valAx>
        <c:axId val="1"/>
        <c:scaling>
          <c:orientation val="minMax"/>
        </c:scaling>
        <c:delete val="0"/>
        <c:axPos val="l"/>
        <c:title>
          <c:tx>
            <c:rich>
              <a:bodyPr/>
              <a:lstStyle/>
              <a:p>
                <a:pPr>
                  <a:defRPr/>
                </a:pPr>
                <a:r>
                  <a:rPr lang="en-GB"/>
                  <a:t>Annual discounted values (£ ha</a:t>
                </a:r>
                <a:r>
                  <a:rPr lang="en-GB" baseline="30000"/>
                  <a:t>-1</a:t>
                </a:r>
                <a:r>
                  <a:rPr lang="en-GB"/>
                  <a:t>)</a:t>
                </a:r>
              </a:p>
            </c:rich>
          </c:tx>
          <c:layout>
            <c:manualLayout>
              <c:xMode val="edge"/>
              <c:yMode val="edge"/>
              <c:x val="3.9076534183722478E-2"/>
              <c:y val="0.24645451289584192"/>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a:pPr>
            <a:endParaRPr lang="en-US"/>
          </a:p>
        </c:txPr>
        <c:crossAx val="2000603327"/>
        <c:crosses val="autoZero"/>
        <c:crossBetween val="midCat"/>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mn-lt"/>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60</xdr:col>
      <xdr:colOff>166684</xdr:colOff>
      <xdr:row>39</xdr:row>
      <xdr:rowOff>95280</xdr:rowOff>
    </xdr:from>
    <xdr:to>
      <xdr:col>72</xdr:col>
      <xdr:colOff>119059</xdr:colOff>
      <xdr:row>53</xdr:row>
      <xdr:rowOff>333403</xdr:rowOff>
    </xdr:to>
    <xdr:graphicFrame macro="">
      <xdr:nvGraphicFramePr>
        <xdr:cNvPr id="2" name="Chart 18">
          <a:extLst>
            <a:ext uri="{FF2B5EF4-FFF2-40B4-BE49-F238E27FC236}">
              <a16:creationId xmlns:a16="http://schemas.microsoft.com/office/drawing/2014/main" id="{E6906E3C-0B9C-4931-B530-3E55F13BC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190496</xdr:colOff>
      <xdr:row>3</xdr:row>
      <xdr:rowOff>20</xdr:rowOff>
    </xdr:from>
    <xdr:to>
      <xdr:col>72</xdr:col>
      <xdr:colOff>142871</xdr:colOff>
      <xdr:row>21</xdr:row>
      <xdr:rowOff>224146</xdr:rowOff>
    </xdr:to>
    <xdr:graphicFrame macro="">
      <xdr:nvGraphicFramePr>
        <xdr:cNvPr id="3" name="Chart 23">
          <a:extLst>
            <a:ext uri="{FF2B5EF4-FFF2-40B4-BE49-F238E27FC236}">
              <a16:creationId xmlns:a16="http://schemas.microsoft.com/office/drawing/2014/main" id="{5B2CF038-55FD-47C2-96E4-9E4D7A3A1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702466</xdr:colOff>
      <xdr:row>57</xdr:row>
      <xdr:rowOff>21</xdr:rowOff>
    </xdr:from>
    <xdr:to>
      <xdr:col>55</xdr:col>
      <xdr:colOff>396876</xdr:colOff>
      <xdr:row>72</xdr:row>
      <xdr:rowOff>47625</xdr:rowOff>
    </xdr:to>
    <xdr:graphicFrame macro="">
      <xdr:nvGraphicFramePr>
        <xdr:cNvPr id="4" name="Chart 146">
          <a:extLst>
            <a:ext uri="{FF2B5EF4-FFF2-40B4-BE49-F238E27FC236}">
              <a16:creationId xmlns:a16="http://schemas.microsoft.com/office/drawing/2014/main" id="{2BB41881-9C0D-4CF1-9CEE-4FEA4924F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709836</xdr:colOff>
      <xdr:row>73</xdr:row>
      <xdr:rowOff>182023</xdr:rowOff>
    </xdr:from>
    <xdr:to>
      <xdr:col>55</xdr:col>
      <xdr:colOff>392340</xdr:colOff>
      <xdr:row>92</xdr:row>
      <xdr:rowOff>5696</xdr:rowOff>
    </xdr:to>
    <xdr:graphicFrame macro="">
      <xdr:nvGraphicFramePr>
        <xdr:cNvPr id="5" name="Chart 98">
          <a:extLst>
            <a:ext uri="{FF2B5EF4-FFF2-40B4-BE49-F238E27FC236}">
              <a16:creationId xmlns:a16="http://schemas.microsoft.com/office/drawing/2014/main" id="{3C7E1F79-F0BC-4098-ADFE-0C3466840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190500</xdr:colOff>
      <xdr:row>23</xdr:row>
      <xdr:rowOff>23813</xdr:rowOff>
    </xdr:from>
    <xdr:to>
      <xdr:col>72</xdr:col>
      <xdr:colOff>142875</xdr:colOff>
      <xdr:row>38</xdr:row>
      <xdr:rowOff>71437</xdr:rowOff>
    </xdr:to>
    <xdr:graphicFrame macro="">
      <xdr:nvGraphicFramePr>
        <xdr:cNvPr id="6" name="Chart 18">
          <a:extLst>
            <a:ext uri="{FF2B5EF4-FFF2-40B4-BE49-F238E27FC236}">
              <a16:creationId xmlns:a16="http://schemas.microsoft.com/office/drawing/2014/main" id="{422DF53E-FE71-48CD-93DF-2A7B27817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685800</xdr:colOff>
      <xdr:row>37</xdr:row>
      <xdr:rowOff>165100</xdr:rowOff>
    </xdr:from>
    <xdr:to>
      <xdr:col>55</xdr:col>
      <xdr:colOff>457200</xdr:colOff>
      <xdr:row>52</xdr:row>
      <xdr:rowOff>50799</xdr:rowOff>
    </xdr:to>
    <xdr:graphicFrame macro="">
      <xdr:nvGraphicFramePr>
        <xdr:cNvPr id="7" name="Chart 18">
          <a:extLst>
            <a:ext uri="{FF2B5EF4-FFF2-40B4-BE49-F238E27FC236}">
              <a16:creationId xmlns:a16="http://schemas.microsoft.com/office/drawing/2014/main" id="{8835BA1C-5496-4960-BE87-1C44E6598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60</xdr:col>
      <xdr:colOff>115659</xdr:colOff>
      <xdr:row>73</xdr:row>
      <xdr:rowOff>159885</xdr:rowOff>
    </xdr:from>
    <xdr:to>
      <xdr:col>72</xdr:col>
      <xdr:colOff>40822</xdr:colOff>
      <xdr:row>92</xdr:row>
      <xdr:rowOff>34019</xdr:rowOff>
    </xdr:to>
    <xdr:graphicFrame macro="">
      <xdr:nvGraphicFramePr>
        <xdr:cNvPr id="9" name="Chart 34">
          <a:extLst>
            <a:ext uri="{FF2B5EF4-FFF2-40B4-BE49-F238E27FC236}">
              <a16:creationId xmlns:a16="http://schemas.microsoft.com/office/drawing/2014/main" id="{CD9B27D9-A510-4C99-89A3-491ECF040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102053</xdr:colOff>
      <xdr:row>57</xdr:row>
      <xdr:rowOff>3401</xdr:rowOff>
    </xdr:from>
    <xdr:to>
      <xdr:col>72</xdr:col>
      <xdr:colOff>61232</xdr:colOff>
      <xdr:row>72</xdr:row>
      <xdr:rowOff>27214</xdr:rowOff>
    </xdr:to>
    <xdr:graphicFrame macro="">
      <xdr:nvGraphicFramePr>
        <xdr:cNvPr id="10" name="Chart 61">
          <a:extLst>
            <a:ext uri="{FF2B5EF4-FFF2-40B4-BE49-F238E27FC236}">
              <a16:creationId xmlns:a16="http://schemas.microsoft.com/office/drawing/2014/main" id="{D0C0AFF0-5382-4B9D-9661-CB2B5D48A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89</xdr:col>
      <xdr:colOff>214313</xdr:colOff>
      <xdr:row>23</xdr:row>
      <xdr:rowOff>95252</xdr:rowOff>
    </xdr:from>
    <xdr:to>
      <xdr:col>103</xdr:col>
      <xdr:colOff>95250</xdr:colOff>
      <xdr:row>38</xdr:row>
      <xdr:rowOff>71437</xdr:rowOff>
    </xdr:to>
    <xdr:graphicFrame macro="">
      <xdr:nvGraphicFramePr>
        <xdr:cNvPr id="11" name="Chart 138">
          <a:extLst>
            <a:ext uri="{FF2B5EF4-FFF2-40B4-BE49-F238E27FC236}">
              <a16:creationId xmlns:a16="http://schemas.microsoft.com/office/drawing/2014/main" id="{AB2C6E70-EBEF-473F-8368-E570D4D24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89</xdr:col>
      <xdr:colOff>230188</xdr:colOff>
      <xdr:row>39</xdr:row>
      <xdr:rowOff>117476</xdr:rowOff>
    </xdr:from>
    <xdr:to>
      <xdr:col>103</xdr:col>
      <xdr:colOff>119064</xdr:colOff>
      <xdr:row>53</xdr:row>
      <xdr:rowOff>285751</xdr:rowOff>
    </xdr:to>
    <xdr:graphicFrame macro="">
      <xdr:nvGraphicFramePr>
        <xdr:cNvPr id="12" name="Chart 144">
          <a:extLst>
            <a:ext uri="{FF2B5EF4-FFF2-40B4-BE49-F238E27FC236}">
              <a16:creationId xmlns:a16="http://schemas.microsoft.com/office/drawing/2014/main" id="{0A53F6A1-84B5-4934-A786-17D2C3501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89</xdr:col>
      <xdr:colOff>261937</xdr:colOff>
      <xdr:row>57</xdr:row>
      <xdr:rowOff>15876</xdr:rowOff>
    </xdr:from>
    <xdr:to>
      <xdr:col>103</xdr:col>
      <xdr:colOff>142875</xdr:colOff>
      <xdr:row>72</xdr:row>
      <xdr:rowOff>47624</xdr:rowOff>
    </xdr:to>
    <xdr:graphicFrame macro="">
      <xdr:nvGraphicFramePr>
        <xdr:cNvPr id="13" name="Chart 145">
          <a:extLst>
            <a:ext uri="{FF2B5EF4-FFF2-40B4-BE49-F238E27FC236}">
              <a16:creationId xmlns:a16="http://schemas.microsoft.com/office/drawing/2014/main" id="{85E0207F-2FFE-4C06-9B2D-6DD33BE98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89</xdr:col>
      <xdr:colOff>214311</xdr:colOff>
      <xdr:row>93</xdr:row>
      <xdr:rowOff>150813</xdr:rowOff>
    </xdr:from>
    <xdr:to>
      <xdr:col>103</xdr:col>
      <xdr:colOff>142874</xdr:colOff>
      <xdr:row>112</xdr:row>
      <xdr:rowOff>23812</xdr:rowOff>
    </xdr:to>
    <xdr:graphicFrame macro="">
      <xdr:nvGraphicFramePr>
        <xdr:cNvPr id="14" name="Chart 141">
          <a:extLst>
            <a:ext uri="{FF2B5EF4-FFF2-40B4-BE49-F238E27FC236}">
              <a16:creationId xmlns:a16="http://schemas.microsoft.com/office/drawing/2014/main" id="{5BE1C94E-E2DE-4A0E-80D1-C362C09BA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89</xdr:col>
      <xdr:colOff>269874</xdr:colOff>
      <xdr:row>74</xdr:row>
      <xdr:rowOff>23811</xdr:rowOff>
    </xdr:from>
    <xdr:to>
      <xdr:col>103</xdr:col>
      <xdr:colOff>166687</xdr:colOff>
      <xdr:row>91</xdr:row>
      <xdr:rowOff>142873</xdr:rowOff>
    </xdr:to>
    <xdr:graphicFrame macro="">
      <xdr:nvGraphicFramePr>
        <xdr:cNvPr id="15" name="Chart 142">
          <a:extLst>
            <a:ext uri="{FF2B5EF4-FFF2-40B4-BE49-F238E27FC236}">
              <a16:creationId xmlns:a16="http://schemas.microsoft.com/office/drawing/2014/main" id="{53C6B398-797C-4225-8E64-4CDD6C221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74</xdr:col>
      <xdr:colOff>365125</xdr:colOff>
      <xdr:row>39</xdr:row>
      <xdr:rowOff>119061</xdr:rowOff>
    </xdr:from>
    <xdr:to>
      <xdr:col>88</xdr:col>
      <xdr:colOff>365124</xdr:colOff>
      <xdr:row>53</xdr:row>
      <xdr:rowOff>309562</xdr:rowOff>
    </xdr:to>
    <xdr:graphicFrame macro="">
      <xdr:nvGraphicFramePr>
        <xdr:cNvPr id="16" name="Chart 5">
          <a:extLst>
            <a:ext uri="{FF2B5EF4-FFF2-40B4-BE49-F238E27FC236}">
              <a16:creationId xmlns:a16="http://schemas.microsoft.com/office/drawing/2014/main" id="{F97E37C0-8F4C-44C6-AE35-5E9EF01D6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74</xdr:col>
      <xdr:colOff>296862</xdr:colOff>
      <xdr:row>23</xdr:row>
      <xdr:rowOff>71437</xdr:rowOff>
    </xdr:from>
    <xdr:to>
      <xdr:col>88</xdr:col>
      <xdr:colOff>285750</xdr:colOff>
      <xdr:row>38</xdr:row>
      <xdr:rowOff>95250</xdr:rowOff>
    </xdr:to>
    <xdr:graphicFrame macro="">
      <xdr:nvGraphicFramePr>
        <xdr:cNvPr id="17" name="Chart 152">
          <a:extLst>
            <a:ext uri="{FF2B5EF4-FFF2-40B4-BE49-F238E27FC236}">
              <a16:creationId xmlns:a16="http://schemas.microsoft.com/office/drawing/2014/main" id="{6ABF8911-10C3-4419-A356-1D36AFAC3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74</xdr:col>
      <xdr:colOff>293687</xdr:colOff>
      <xdr:row>74</xdr:row>
      <xdr:rowOff>7939</xdr:rowOff>
    </xdr:from>
    <xdr:to>
      <xdr:col>88</xdr:col>
      <xdr:colOff>246062</xdr:colOff>
      <xdr:row>91</xdr:row>
      <xdr:rowOff>166687</xdr:rowOff>
    </xdr:to>
    <xdr:graphicFrame macro="">
      <xdr:nvGraphicFramePr>
        <xdr:cNvPr id="18" name="Chart 99">
          <a:extLst>
            <a:ext uri="{FF2B5EF4-FFF2-40B4-BE49-F238E27FC236}">
              <a16:creationId xmlns:a16="http://schemas.microsoft.com/office/drawing/2014/main" id="{DAE255CB-0214-4831-9A97-83078295D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74</xdr:col>
      <xdr:colOff>301625</xdr:colOff>
      <xdr:row>57</xdr:row>
      <xdr:rowOff>7941</xdr:rowOff>
    </xdr:from>
    <xdr:to>
      <xdr:col>88</xdr:col>
      <xdr:colOff>261937</xdr:colOff>
      <xdr:row>72</xdr:row>
      <xdr:rowOff>47625</xdr:rowOff>
    </xdr:to>
    <xdr:graphicFrame macro="">
      <xdr:nvGraphicFramePr>
        <xdr:cNvPr id="21" name="Chart 131">
          <a:extLst>
            <a:ext uri="{FF2B5EF4-FFF2-40B4-BE49-F238E27FC236}">
              <a16:creationId xmlns:a16="http://schemas.microsoft.com/office/drawing/2014/main" id="{80365388-9D25-4752-8C9F-AD5845CED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60</xdr:col>
      <xdr:colOff>112259</xdr:colOff>
      <xdr:row>93</xdr:row>
      <xdr:rowOff>108857</xdr:rowOff>
    </xdr:from>
    <xdr:to>
      <xdr:col>72</xdr:col>
      <xdr:colOff>13608</xdr:colOff>
      <xdr:row>112</xdr:row>
      <xdr:rowOff>47625</xdr:rowOff>
    </xdr:to>
    <xdr:graphicFrame macro="">
      <xdr:nvGraphicFramePr>
        <xdr:cNvPr id="27" name="Chart 39">
          <a:extLst>
            <a:ext uri="{FF2B5EF4-FFF2-40B4-BE49-F238E27FC236}">
              <a16:creationId xmlns:a16="http://schemas.microsoft.com/office/drawing/2014/main" id="{A6A56AAC-17F1-4774-BEAD-D0E8BF76B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60</xdr:col>
      <xdr:colOff>91849</xdr:colOff>
      <xdr:row>113</xdr:row>
      <xdr:rowOff>204106</xdr:rowOff>
    </xdr:from>
    <xdr:to>
      <xdr:col>72</xdr:col>
      <xdr:colOff>13608</xdr:colOff>
      <xdr:row>130</xdr:row>
      <xdr:rowOff>180294</xdr:rowOff>
    </xdr:to>
    <xdr:graphicFrame macro="">
      <xdr:nvGraphicFramePr>
        <xdr:cNvPr id="28" name="Chart 24">
          <a:extLst>
            <a:ext uri="{FF2B5EF4-FFF2-40B4-BE49-F238E27FC236}">
              <a16:creationId xmlns:a16="http://schemas.microsoft.com/office/drawing/2014/main" id="{DD55D302-5AC3-4033-AC6B-9CB5F8E98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74</xdr:col>
      <xdr:colOff>301625</xdr:colOff>
      <xdr:row>93</xdr:row>
      <xdr:rowOff>150813</xdr:rowOff>
    </xdr:from>
    <xdr:to>
      <xdr:col>88</xdr:col>
      <xdr:colOff>238125</xdr:colOff>
      <xdr:row>112</xdr:row>
      <xdr:rowOff>31750</xdr:rowOff>
    </xdr:to>
    <xdr:graphicFrame macro="">
      <xdr:nvGraphicFramePr>
        <xdr:cNvPr id="31" name="Chart 135">
          <a:extLst>
            <a:ext uri="{FF2B5EF4-FFF2-40B4-BE49-F238E27FC236}">
              <a16:creationId xmlns:a16="http://schemas.microsoft.com/office/drawing/2014/main" id="{918BB3D2-FBCD-4305-A9C2-4DF4E4319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74</xdr:col>
      <xdr:colOff>325437</xdr:colOff>
      <xdr:row>113</xdr:row>
      <xdr:rowOff>254000</xdr:rowOff>
    </xdr:from>
    <xdr:to>
      <xdr:col>88</xdr:col>
      <xdr:colOff>238125</xdr:colOff>
      <xdr:row>131</xdr:row>
      <xdr:rowOff>0</xdr:rowOff>
    </xdr:to>
    <xdr:graphicFrame macro="">
      <xdr:nvGraphicFramePr>
        <xdr:cNvPr id="32" name="Chart 137">
          <a:extLst>
            <a:ext uri="{FF2B5EF4-FFF2-40B4-BE49-F238E27FC236}">
              <a16:creationId xmlns:a16="http://schemas.microsoft.com/office/drawing/2014/main" id="{F23DF728-95D7-49AE-82EB-FF6D488C4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113</xdr:row>
      <xdr:rowOff>204107</xdr:rowOff>
    </xdr:from>
    <xdr:to>
      <xdr:col>55</xdr:col>
      <xdr:colOff>387804</xdr:colOff>
      <xdr:row>131</xdr:row>
      <xdr:rowOff>13606</xdr:rowOff>
    </xdr:to>
    <xdr:graphicFrame macro="">
      <xdr:nvGraphicFramePr>
        <xdr:cNvPr id="33" name="Chart 134">
          <a:extLst>
            <a:ext uri="{FF2B5EF4-FFF2-40B4-BE49-F238E27FC236}">
              <a16:creationId xmlns:a16="http://schemas.microsoft.com/office/drawing/2014/main" id="{37D1AE5F-2CA2-40E3-A4F4-F16F680F4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672935</xdr:colOff>
      <xdr:row>93</xdr:row>
      <xdr:rowOff>68036</xdr:rowOff>
    </xdr:from>
    <xdr:to>
      <xdr:col>55</xdr:col>
      <xdr:colOff>366775</xdr:colOff>
      <xdr:row>112</xdr:row>
      <xdr:rowOff>0</xdr:rowOff>
    </xdr:to>
    <xdr:graphicFrame macro="">
      <xdr:nvGraphicFramePr>
        <xdr:cNvPr id="34" name="Chart 129">
          <a:extLst>
            <a:ext uri="{FF2B5EF4-FFF2-40B4-BE49-F238E27FC236}">
              <a16:creationId xmlns:a16="http://schemas.microsoft.com/office/drawing/2014/main" id="{846D1CA0-3C18-4B15-A99C-20682A08E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695325</xdr:colOff>
      <xdr:row>21</xdr:row>
      <xdr:rowOff>200025</xdr:rowOff>
    </xdr:from>
    <xdr:to>
      <xdr:col>55</xdr:col>
      <xdr:colOff>403225</xdr:colOff>
      <xdr:row>36</xdr:row>
      <xdr:rowOff>76199</xdr:rowOff>
    </xdr:to>
    <xdr:graphicFrame macro="">
      <xdr:nvGraphicFramePr>
        <xdr:cNvPr id="19" name="Chart 18">
          <a:extLst>
            <a:ext uri="{FF2B5EF4-FFF2-40B4-BE49-F238E27FC236}">
              <a16:creationId xmlns:a16="http://schemas.microsoft.com/office/drawing/2014/main" id="{057401A5-24CF-4B47-8CB5-06B603174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89</xdr:col>
      <xdr:colOff>238125</xdr:colOff>
      <xdr:row>113</xdr:row>
      <xdr:rowOff>295275</xdr:rowOff>
    </xdr:from>
    <xdr:to>
      <xdr:col>103</xdr:col>
      <xdr:colOff>163513</xdr:colOff>
      <xdr:row>131</xdr:row>
      <xdr:rowOff>12700</xdr:rowOff>
    </xdr:to>
    <xdr:graphicFrame macro="">
      <xdr:nvGraphicFramePr>
        <xdr:cNvPr id="8" name="Chart 141">
          <a:extLst>
            <a:ext uri="{FF2B5EF4-FFF2-40B4-BE49-F238E27FC236}">
              <a16:creationId xmlns:a16="http://schemas.microsoft.com/office/drawing/2014/main" id="{7294E689-05BB-400D-8F00-BA81718A5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0.50249</cdr:x>
      <cdr:y>0.55987</cdr:y>
    </cdr:from>
    <cdr:to>
      <cdr:x>0.51556</cdr:x>
      <cdr:y>0.59176</cdr:y>
    </cdr:to>
    <cdr:sp macro="" textlink="'Tabular results'!#REF!">
      <cdr:nvSpPr>
        <cdr:cNvPr id="68610" name="Text Box 2"/>
        <cdr:cNvSpPr txBox="1">
          <a:spLocks xmlns:a="http://schemas.openxmlformats.org/drawingml/2006/main" noChangeArrowheads="1" noTextEdit="1"/>
        </cdr:cNvSpPr>
      </cdr:nvSpPr>
      <cdr:spPr bwMode="auto">
        <a:xfrm xmlns:a="http://schemas.openxmlformats.org/drawingml/2006/main">
          <a:off x="3789867" y="2919892"/>
          <a:ext cx="97212" cy="1763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3BC028B5-D268-41AB-8430-F0F58B74752A}" type="TxLink">
            <a:rPr lang="en-GB" sz="1000" b="0" i="0" u="none" strike="noStrike">
              <a:solidFill>
                <a:srgbClr val="000000"/>
              </a:solidFill>
              <a:latin typeface="Arial"/>
              <a:cs typeface="Arial"/>
            </a:rPr>
            <a:pPr/>
            <a:t> </a:t>
          </a:fld>
          <a:endParaRPr lang="en-GB"/>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DA325"/>
  <sheetViews>
    <sheetView tabSelected="1" zoomScaleNormal="100" workbookViewId="0">
      <selection activeCell="A8" sqref="A8"/>
    </sheetView>
  </sheetViews>
  <sheetFormatPr defaultColWidth="9.140625" defaultRowHeight="15" x14ac:dyDescent="0.25"/>
  <cols>
    <col min="1" max="1" width="11.28515625" style="1" customWidth="1"/>
    <col min="2" max="2" width="35.28515625" style="1" customWidth="1"/>
    <col min="3" max="3" width="9" style="1" customWidth="1"/>
    <col min="4" max="4" width="50.7109375" style="1" customWidth="1"/>
    <col min="5" max="5" width="5.5703125" style="1" customWidth="1"/>
    <col min="6" max="6" width="9.5703125" style="1" customWidth="1"/>
    <col min="7" max="7" width="25.5703125" style="1" customWidth="1"/>
    <col min="8" max="8" width="9.5703125" style="1" customWidth="1"/>
    <col min="9" max="9" width="10.5703125" style="1" customWidth="1"/>
    <col min="10" max="10" width="9.28515625" style="1" customWidth="1"/>
    <col min="11" max="11" width="10.5703125" style="1" customWidth="1"/>
    <col min="12" max="12" width="29.28515625" style="1" customWidth="1"/>
    <col min="13" max="13" width="8.42578125" style="1" customWidth="1"/>
    <col min="14" max="14" width="26" style="1" customWidth="1"/>
    <col min="15" max="15" width="12.140625" style="1" customWidth="1"/>
    <col min="16" max="16" width="6.42578125" style="1" customWidth="1"/>
    <col min="17" max="17" width="12.5703125" style="1" customWidth="1"/>
    <col min="18" max="18" width="24.5703125" style="1" customWidth="1"/>
    <col min="19" max="19" width="8.85546875" style="1" customWidth="1"/>
    <col min="20" max="20" width="12.28515625" style="1" customWidth="1"/>
    <col min="21" max="21" width="10.85546875" style="1" customWidth="1"/>
    <col min="22" max="22" width="37.7109375" style="1" customWidth="1"/>
    <col min="23" max="23" width="11.85546875" style="1" customWidth="1"/>
    <col min="24" max="24" width="12.28515625" style="1" customWidth="1"/>
    <col min="25" max="25" width="46.85546875" style="1" customWidth="1"/>
    <col min="26" max="26" width="14.42578125" style="1" customWidth="1"/>
    <col min="27" max="27" width="10.5703125" style="1" customWidth="1"/>
    <col min="28" max="28" width="7.28515625" style="1" customWidth="1"/>
    <col min="29" max="29" width="10.85546875" style="1" customWidth="1"/>
    <col min="30" max="30" width="7.5703125" style="1" customWidth="1"/>
    <col min="31" max="31" width="10.42578125" style="1" customWidth="1"/>
    <col min="32" max="32" width="5.42578125" style="1" customWidth="1"/>
    <col min="33" max="33" width="10.85546875" style="35" customWidth="1"/>
    <col min="34" max="34" width="5.5703125" style="1" customWidth="1"/>
    <col min="35" max="35" width="11.140625" style="1" customWidth="1"/>
    <col min="36" max="36" width="9.85546875" style="1" customWidth="1"/>
    <col min="37" max="37" width="7" style="1" customWidth="1"/>
    <col min="38" max="38" width="10.5703125" style="1" customWidth="1"/>
    <col min="39" max="44" width="7" style="1" customWidth="1"/>
    <col min="45" max="45" width="9.5703125" style="1" customWidth="1"/>
    <col min="46" max="57" width="7" style="1" customWidth="1"/>
    <col min="58" max="60" width="4" style="1" customWidth="1"/>
    <col min="61" max="61" width="9.140625" style="1"/>
    <col min="62" max="62" width="4.5703125" style="1" customWidth="1"/>
    <col min="63" max="63" width="9.140625" style="1"/>
    <col min="64" max="64" width="7.5703125" style="1" customWidth="1"/>
    <col min="65" max="69" width="9.140625" style="1"/>
    <col min="70" max="70" width="18.42578125" style="1" customWidth="1"/>
    <col min="71" max="71" width="16.28515625" style="1" customWidth="1"/>
    <col min="72" max="72" width="16.7109375" style="1" customWidth="1"/>
    <col min="73" max="73" width="9.140625" style="1"/>
    <col min="74" max="74" width="4.140625" style="1" customWidth="1"/>
    <col min="75" max="107" width="9.140625" style="1"/>
    <col min="108" max="108" width="9.140625" style="1" customWidth="1"/>
    <col min="109" max="16384" width="9.140625" style="1"/>
  </cols>
  <sheetData>
    <row r="1" spans="1:105" ht="21.75" thickBot="1" x14ac:dyDescent="0.4">
      <c r="A1" s="301" t="s">
        <v>663</v>
      </c>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3"/>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row>
    <row r="2" spans="1:105" ht="22.5" customHeight="1" thickBot="1" x14ac:dyDescent="0.3">
      <c r="A2" s="287" t="s">
        <v>671</v>
      </c>
      <c r="B2" s="303"/>
      <c r="C2" s="303"/>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94"/>
      <c r="AH2" s="287"/>
      <c r="AI2" s="287"/>
      <c r="AJ2" s="287"/>
      <c r="AK2" s="287"/>
      <c r="AL2" s="279"/>
      <c r="AM2" s="283"/>
      <c r="AN2" s="283"/>
      <c r="AO2" s="283"/>
      <c r="AP2" s="283"/>
      <c r="AQ2" s="283"/>
      <c r="AR2" s="283"/>
      <c r="AS2" s="283"/>
      <c r="AT2" s="283"/>
      <c r="AU2" s="283"/>
      <c r="AV2" s="283"/>
      <c r="AW2" s="283"/>
      <c r="AX2" s="299"/>
      <c r="AY2" s="287"/>
      <c r="AZ2" s="287"/>
      <c r="BA2" s="287"/>
      <c r="BB2" s="287"/>
      <c r="BC2" s="287"/>
      <c r="BD2" s="287"/>
      <c r="BE2" s="287"/>
      <c r="BF2" s="287"/>
      <c r="BG2" s="287"/>
      <c r="BH2" s="279"/>
      <c r="BI2" s="1076" t="s">
        <v>573</v>
      </c>
      <c r="BJ2" s="283"/>
      <c r="BK2" s="283"/>
      <c r="BL2" s="1461" t="str">
        <f ca="1">IF(MIN(INDIRECT("Unit!s7:s"&amp;FIXED(ROW(Unit!BT$8)+$C$35,0,TRUE)))&lt;BD$25,"Note: Excessive area planted","")</f>
        <v/>
      </c>
      <c r="BM2" s="1462"/>
      <c r="BN2" s="1462"/>
      <c r="BO2" s="1463"/>
      <c r="BP2" s="283"/>
      <c r="BQ2" s="283"/>
      <c r="BR2" s="283"/>
      <c r="BS2" s="283"/>
      <c r="BT2" s="283"/>
      <c r="BU2" s="299"/>
      <c r="BV2" s="287"/>
      <c r="BW2" s="287"/>
      <c r="BX2" s="289"/>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row>
    <row r="3" spans="1:105" ht="15.75" thickBot="1" x14ac:dyDescent="0.3">
      <c r="A3" s="287" t="s">
        <v>672</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94"/>
      <c r="AH3" s="287"/>
      <c r="AI3" s="287"/>
      <c r="AJ3" s="287"/>
      <c r="AK3" s="287"/>
      <c r="AL3" s="261"/>
      <c r="AM3" s="264"/>
      <c r="AN3" s="264"/>
      <c r="AO3" s="264"/>
      <c r="AP3" s="264"/>
      <c r="AQ3" s="264"/>
      <c r="AR3" s="264"/>
      <c r="AS3" s="264"/>
      <c r="AT3" s="264"/>
      <c r="AU3" s="264"/>
      <c r="AV3" s="264"/>
      <c r="AW3" s="264"/>
      <c r="AX3" s="274"/>
      <c r="AY3" s="287"/>
      <c r="AZ3" s="287"/>
      <c r="BA3" s="287"/>
      <c r="BB3" s="287"/>
      <c r="BC3" s="287"/>
      <c r="BD3" s="287"/>
      <c r="BE3" s="287"/>
      <c r="BF3" s="287"/>
      <c r="BG3" s="287"/>
      <c r="BH3" s="261"/>
      <c r="BI3" s="264"/>
      <c r="BJ3" s="264"/>
      <c r="BK3" s="264"/>
      <c r="BL3" s="264"/>
      <c r="BM3" s="264"/>
      <c r="BN3" s="264"/>
      <c r="BO3" s="264"/>
      <c r="BP3" s="264"/>
      <c r="BQ3" s="264"/>
      <c r="BR3" s="264"/>
      <c r="BS3" s="264"/>
      <c r="BT3" s="264"/>
      <c r="BU3" s="274"/>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row>
    <row r="4" spans="1:105" x14ac:dyDescent="0.25">
      <c r="A4" s="287" t="s">
        <v>514</v>
      </c>
      <c r="B4" s="303"/>
      <c r="C4" s="303"/>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94"/>
      <c r="AH4" s="287"/>
      <c r="AI4" s="287"/>
      <c r="AJ4" s="287"/>
      <c r="AK4" s="287"/>
      <c r="AL4" s="261"/>
      <c r="AM4" s="1466" t="s">
        <v>308</v>
      </c>
      <c r="AN4" s="1467"/>
      <c r="AO4" s="1467"/>
      <c r="AP4" s="1467"/>
      <c r="AQ4" s="1468"/>
      <c r="AR4" s="264"/>
      <c r="AS4" s="264"/>
      <c r="AT4" s="264"/>
      <c r="AU4" s="264"/>
      <c r="AV4" s="264"/>
      <c r="AW4" s="264"/>
      <c r="AX4" s="274"/>
      <c r="AY4" s="287"/>
      <c r="AZ4" s="287"/>
      <c r="BA4" s="287"/>
      <c r="BB4" s="287"/>
      <c r="BC4" s="287"/>
      <c r="BD4" s="287"/>
      <c r="BE4" s="287"/>
      <c r="BF4" s="287"/>
      <c r="BG4" s="287"/>
      <c r="BH4" s="261"/>
      <c r="BI4" s="264"/>
      <c r="BJ4" s="264"/>
      <c r="BK4" s="264"/>
      <c r="BL4" s="264"/>
      <c r="BM4" s="264"/>
      <c r="BN4" s="264"/>
      <c r="BO4" s="264"/>
      <c r="BP4" s="264"/>
      <c r="BQ4" s="264"/>
      <c r="BR4" s="264"/>
      <c r="BS4" s="264"/>
      <c r="BT4" s="264"/>
      <c r="BU4" s="274"/>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7"/>
      <c r="CZ4" s="287"/>
      <c r="DA4" s="287"/>
    </row>
    <row r="5" spans="1:105" ht="15.75" thickBot="1" x14ac:dyDescent="0.3">
      <c r="A5" s="287" t="s">
        <v>677</v>
      </c>
      <c r="B5" s="303"/>
      <c r="C5" s="303"/>
      <c r="D5" s="289"/>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94"/>
      <c r="AH5" s="287"/>
      <c r="AI5" s="287"/>
      <c r="AJ5" s="287"/>
      <c r="AK5" s="287"/>
      <c r="AL5" s="261"/>
      <c r="AM5" s="1469"/>
      <c r="AN5" s="1470"/>
      <c r="AO5" s="1470"/>
      <c r="AP5" s="1470"/>
      <c r="AQ5" s="1471"/>
      <c r="AR5" s="264"/>
      <c r="AS5" s="264"/>
      <c r="AT5" s="264"/>
      <c r="AU5" s="264"/>
      <c r="AV5" s="264"/>
      <c r="AW5" s="264"/>
      <c r="AX5" s="274"/>
      <c r="AY5" s="287"/>
      <c r="AZ5" s="287"/>
      <c r="BA5" s="287"/>
      <c r="BB5" s="287"/>
      <c r="BC5" s="287"/>
      <c r="BD5" s="287"/>
      <c r="BE5" s="287"/>
      <c r="BF5" s="287"/>
      <c r="BG5" s="287"/>
      <c r="BH5" s="261"/>
      <c r="BI5" s="264"/>
      <c r="BJ5" s="264"/>
      <c r="BK5" s="264"/>
      <c r="BL5" s="264"/>
      <c r="BM5" s="264"/>
      <c r="BN5" s="264"/>
      <c r="BO5" s="264"/>
      <c r="BP5" s="264"/>
      <c r="BQ5" s="264"/>
      <c r="BR5" s="264"/>
      <c r="BS5" s="264"/>
      <c r="BT5" s="264"/>
      <c r="BU5" s="274"/>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row>
    <row r="6" spans="1:105" ht="15" customHeight="1" x14ac:dyDescent="0.25">
      <c r="A6" s="287" t="s">
        <v>606</v>
      </c>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94"/>
      <c r="AH6" s="287"/>
      <c r="AI6" s="287"/>
      <c r="AJ6" s="287"/>
      <c r="AK6" s="287"/>
      <c r="AL6" s="261"/>
      <c r="AM6" s="264"/>
      <c r="AN6" s="264"/>
      <c r="AO6" s="264"/>
      <c r="AP6" s="264"/>
      <c r="AQ6" s="264"/>
      <c r="AR6" s="264"/>
      <c r="AS6" s="264"/>
      <c r="AT6" s="264"/>
      <c r="AU6" s="264"/>
      <c r="AV6" s="264"/>
      <c r="AW6" s="264"/>
      <c r="AX6" s="274"/>
      <c r="AY6" s="287"/>
      <c r="AZ6" s="287"/>
      <c r="BA6" s="287"/>
      <c r="BB6" s="287"/>
      <c r="BC6" s="287"/>
      <c r="BD6" s="287"/>
      <c r="BE6" s="287"/>
      <c r="BF6" s="287"/>
      <c r="BG6" s="287"/>
      <c r="BH6" s="261"/>
      <c r="BI6" s="264"/>
      <c r="BJ6" s="264"/>
      <c r="BK6" s="264"/>
      <c r="BL6" s="264"/>
      <c r="BM6" s="264"/>
      <c r="BN6" s="264"/>
      <c r="BO6" s="264"/>
      <c r="BP6" s="264"/>
      <c r="BQ6" s="264"/>
      <c r="BR6" s="264"/>
      <c r="BS6" s="264"/>
      <c r="BT6" s="264"/>
      <c r="BU6" s="274"/>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row>
    <row r="7" spans="1:105" ht="15" customHeight="1" x14ac:dyDescent="0.25">
      <c r="A7" s="287" t="s">
        <v>673</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94"/>
      <c r="AH7" s="287"/>
      <c r="AI7" s="287"/>
      <c r="AJ7" s="287"/>
      <c r="AK7" s="287"/>
      <c r="AL7" s="261"/>
      <c r="AM7" s="264"/>
      <c r="AN7" s="264"/>
      <c r="AO7" s="264"/>
      <c r="AP7" s="264"/>
      <c r="AQ7" s="264"/>
      <c r="AR7" s="264"/>
      <c r="AS7" s="264"/>
      <c r="AT7" s="264"/>
      <c r="AU7" s="264"/>
      <c r="AV7" s="264"/>
      <c r="AW7" s="264"/>
      <c r="AX7" s="274"/>
      <c r="AY7" s="287"/>
      <c r="AZ7" s="287"/>
      <c r="BA7" s="287"/>
      <c r="BB7" s="287"/>
      <c r="BC7" s="287"/>
      <c r="BD7" s="287"/>
      <c r="BE7" s="287"/>
      <c r="BF7" s="287"/>
      <c r="BG7" s="287"/>
      <c r="BH7" s="261"/>
      <c r="BI7" s="264"/>
      <c r="BJ7" s="264"/>
      <c r="BK7" s="264"/>
      <c r="BL7" s="264"/>
      <c r="BM7" s="264"/>
      <c r="BN7" s="264"/>
      <c r="BO7" s="264"/>
      <c r="BP7" s="264"/>
      <c r="BQ7" s="264"/>
      <c r="BR7" s="264"/>
      <c r="BS7" s="264"/>
      <c r="BT7" s="264"/>
      <c r="BU7" s="274"/>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row>
    <row r="8" spans="1:105" ht="15" customHeight="1" x14ac:dyDescent="0.25">
      <c r="A8" s="1167" t="s">
        <v>680</v>
      </c>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94"/>
      <c r="AH8" s="287"/>
      <c r="AI8" s="287"/>
      <c r="AJ8" s="287"/>
      <c r="AK8" s="287"/>
      <c r="AL8" s="261"/>
      <c r="AM8" s="264"/>
      <c r="AN8" s="264"/>
      <c r="AO8" s="264"/>
      <c r="AP8" s="264"/>
      <c r="AQ8" s="264"/>
      <c r="AR8" s="264"/>
      <c r="AS8" s="264"/>
      <c r="AT8" s="264"/>
      <c r="AU8" s="264"/>
      <c r="AV8" s="264"/>
      <c r="AW8" s="264"/>
      <c r="AX8" s="274"/>
      <c r="AY8" s="287"/>
      <c r="AZ8" s="287"/>
      <c r="BA8" s="287"/>
      <c r="BB8" s="287"/>
      <c r="BC8" s="287"/>
      <c r="BD8" s="287"/>
      <c r="BE8" s="287"/>
      <c r="BF8" s="287"/>
      <c r="BG8" s="287"/>
      <c r="BH8" s="261"/>
      <c r="BI8" s="264"/>
      <c r="BJ8" s="264"/>
      <c r="BK8" s="264"/>
      <c r="BL8" s="264"/>
      <c r="BM8" s="264"/>
      <c r="BN8" s="264"/>
      <c r="BO8" s="264"/>
      <c r="BP8" s="264"/>
      <c r="BQ8" s="264"/>
      <c r="BR8" s="264"/>
      <c r="BS8" s="264"/>
      <c r="BT8" s="264"/>
      <c r="BU8" s="274"/>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row>
    <row r="9" spans="1:105" ht="15" customHeight="1" thickBot="1" x14ac:dyDescent="0.3">
      <c r="A9" s="1203" t="s">
        <v>674</v>
      </c>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94"/>
      <c r="AH9" s="287"/>
      <c r="AI9" s="287"/>
      <c r="AJ9" s="287"/>
      <c r="AK9" s="287"/>
      <c r="AL9" s="261"/>
      <c r="AM9" s="264"/>
      <c r="AN9" s="264"/>
      <c r="AO9" s="264"/>
      <c r="AP9" s="264"/>
      <c r="AQ9" s="264"/>
      <c r="AR9" s="264"/>
      <c r="AS9" s="264"/>
      <c r="AT9" s="264"/>
      <c r="AU9" s="264"/>
      <c r="AV9" s="264"/>
      <c r="AW9" s="264"/>
      <c r="AX9" s="274"/>
      <c r="AY9" s="287"/>
      <c r="AZ9" s="287"/>
      <c r="BA9" s="287"/>
      <c r="BB9" s="287"/>
      <c r="BC9" s="287"/>
      <c r="BD9" s="287"/>
      <c r="BE9" s="287"/>
      <c r="BF9" s="287"/>
      <c r="BG9" s="287"/>
      <c r="BH9" s="261"/>
      <c r="BI9" s="264"/>
      <c r="BJ9" s="264"/>
      <c r="BK9" s="264"/>
      <c r="BL9" s="264"/>
      <c r="BM9" s="264"/>
      <c r="BN9" s="264"/>
      <c r="BO9" s="264"/>
      <c r="BP9" s="264"/>
      <c r="BQ9" s="264"/>
      <c r="BR9" s="264"/>
      <c r="BS9" s="264"/>
      <c r="BT9" s="264"/>
      <c r="BU9" s="274"/>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row>
    <row r="10" spans="1:105" ht="15.75" customHeight="1" thickBot="1" x14ac:dyDescent="0.3">
      <c r="A10" s="1" t="s">
        <v>676</v>
      </c>
      <c r="B10" s="1168"/>
      <c r="C10" s="1168"/>
      <c r="D10" s="1168"/>
      <c r="E10" s="1168"/>
      <c r="F10" s="1168"/>
      <c r="G10" s="1168"/>
      <c r="H10" s="1168"/>
      <c r="I10" s="1168"/>
      <c r="J10" s="1168"/>
      <c r="K10" s="1168"/>
      <c r="L10" s="1168"/>
      <c r="M10" s="1168"/>
      <c r="N10" s="1168"/>
      <c r="O10" s="1168"/>
      <c r="P10" s="1168"/>
      <c r="Q10" s="1168"/>
      <c r="R10" s="1168"/>
      <c r="S10" s="1168"/>
      <c r="T10" s="1168"/>
      <c r="U10" s="287"/>
      <c r="V10" s="287"/>
      <c r="W10" s="287"/>
      <c r="X10" s="287"/>
      <c r="Y10" s="287"/>
      <c r="Z10" s="287"/>
      <c r="AA10" s="287"/>
      <c r="AB10" s="287"/>
      <c r="AC10" s="287"/>
      <c r="AD10" s="287"/>
      <c r="AE10" s="287"/>
      <c r="AF10" s="287"/>
      <c r="AG10" s="294"/>
      <c r="AH10" s="287"/>
      <c r="AI10" s="287"/>
      <c r="AJ10" s="287"/>
      <c r="AK10" s="287"/>
      <c r="AL10" s="261"/>
      <c r="AM10" s="264"/>
      <c r="AN10" s="264"/>
      <c r="AO10" s="264"/>
      <c r="AP10" s="264"/>
      <c r="AQ10" s="264"/>
      <c r="AR10" s="1071" t="s">
        <v>570</v>
      </c>
      <c r="AS10" s="1456">
        <f>W20</f>
        <v>30</v>
      </c>
      <c r="AT10" s="266" t="s">
        <v>382</v>
      </c>
      <c r="AU10" s="264"/>
      <c r="AV10" s="264"/>
      <c r="AW10" s="264"/>
      <c r="AX10" s="274"/>
      <c r="AY10" s="287"/>
      <c r="AZ10" s="287"/>
      <c r="BA10" s="287"/>
      <c r="BB10" s="287"/>
      <c r="BC10" s="287"/>
      <c r="BD10" s="287"/>
      <c r="BE10" s="287"/>
      <c r="BF10" s="287"/>
      <c r="BG10" s="287"/>
      <c r="BH10" s="261"/>
      <c r="BI10" s="264"/>
      <c r="BJ10" s="264"/>
      <c r="BK10" s="264"/>
      <c r="BL10" s="264"/>
      <c r="BM10" s="264"/>
      <c r="BN10" s="264"/>
      <c r="BO10" s="264"/>
      <c r="BP10" s="264"/>
      <c r="BQ10" s="264"/>
      <c r="BR10" s="264"/>
      <c r="BS10" s="264"/>
      <c r="BT10" s="264"/>
      <c r="BU10" s="274"/>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row>
    <row r="11" spans="1:105" ht="18" customHeight="1" thickBot="1" x14ac:dyDescent="0.3">
      <c r="A11" s="1" t="s">
        <v>675</v>
      </c>
      <c r="B11" s="287"/>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94"/>
      <c r="AH11" s="287"/>
      <c r="AI11" s="287"/>
      <c r="AJ11" s="287"/>
      <c r="AK11" s="287"/>
      <c r="AL11" s="261"/>
      <c r="AM11" s="264"/>
      <c r="AN11" s="264"/>
      <c r="AO11" s="264"/>
      <c r="AP11" s="264"/>
      <c r="AQ11" s="264"/>
      <c r="AR11" s="264"/>
      <c r="AS11" s="264"/>
      <c r="AT11" s="264"/>
      <c r="AU11" s="264"/>
      <c r="AV11" s="264"/>
      <c r="AW11" s="264"/>
      <c r="AX11" s="274"/>
      <c r="AY11" s="287"/>
      <c r="AZ11" s="287"/>
      <c r="BA11" s="287"/>
      <c r="BB11" s="287"/>
      <c r="BC11" s="287"/>
      <c r="BD11" s="287"/>
      <c r="BE11" s="287"/>
      <c r="BF11" s="287"/>
      <c r="BG11" s="287"/>
      <c r="BH11" s="261"/>
      <c r="BI11" s="264"/>
      <c r="BJ11" s="264"/>
      <c r="BK11" s="264"/>
      <c r="BL11" s="264"/>
      <c r="BM11" s="264"/>
      <c r="BN11" s="264"/>
      <c r="BO11" s="264"/>
      <c r="BP11" s="264"/>
      <c r="BQ11" s="264"/>
      <c r="BR11" s="264"/>
      <c r="BS11" s="264"/>
      <c r="BT11" s="264"/>
      <c r="BU11" s="274"/>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row>
    <row r="12" spans="1:105" ht="18" customHeight="1" thickBot="1" x14ac:dyDescent="0.3">
      <c r="A12" s="304" t="s">
        <v>515</v>
      </c>
      <c r="B12" s="305"/>
      <c r="C12" s="305"/>
      <c r="D12" s="305"/>
      <c r="E12" s="305"/>
      <c r="F12" s="305"/>
      <c r="G12" s="305"/>
      <c r="H12" s="305"/>
      <c r="I12" s="305"/>
      <c r="J12" s="305"/>
      <c r="K12" s="305"/>
      <c r="L12" s="305"/>
      <c r="M12" s="305"/>
      <c r="N12" s="305"/>
      <c r="O12" s="305"/>
      <c r="P12" s="305"/>
      <c r="Q12" s="305"/>
      <c r="R12" s="305"/>
      <c r="S12" s="305"/>
      <c r="T12" s="305"/>
      <c r="U12" s="287"/>
      <c r="V12" s="287"/>
      <c r="W12" s="287"/>
      <c r="X12" s="287"/>
      <c r="Y12" s="287"/>
      <c r="Z12" s="287"/>
      <c r="AA12" s="287"/>
      <c r="AB12" s="287"/>
      <c r="AC12" s="287"/>
      <c r="AD12" s="287"/>
      <c r="AE12" s="287"/>
      <c r="AF12" s="287"/>
      <c r="AG12" s="294"/>
      <c r="AH12" s="287"/>
      <c r="AI12" s="287"/>
      <c r="AJ12" s="287"/>
      <c r="AK12" s="287"/>
      <c r="AL12" s="261"/>
      <c r="AM12" s="264"/>
      <c r="AN12" s="264"/>
      <c r="AO12" s="264"/>
      <c r="AP12" s="264"/>
      <c r="AQ12" s="264"/>
      <c r="AR12" s="1072" t="s">
        <v>571</v>
      </c>
      <c r="AS12" s="1067">
        <v>30</v>
      </c>
      <c r="AT12" s="266" t="s">
        <v>382</v>
      </c>
      <c r="AU12" s="264"/>
      <c r="AV12" s="264"/>
      <c r="AW12" s="264"/>
      <c r="AX12" s="274"/>
      <c r="AY12" s="287"/>
      <c r="AZ12" s="287"/>
      <c r="BA12" s="287"/>
      <c r="BB12" s="287"/>
      <c r="BC12" s="287"/>
      <c r="BD12" s="287"/>
      <c r="BE12" s="287"/>
      <c r="BF12" s="287"/>
      <c r="BG12" s="287"/>
      <c r="BH12" s="261"/>
      <c r="BI12" s="264"/>
      <c r="BJ12" s="264"/>
      <c r="BK12" s="264"/>
      <c r="BL12" s="264"/>
      <c r="BM12" s="264"/>
      <c r="BN12" s="264"/>
      <c r="BO12" s="264"/>
      <c r="BP12" s="264"/>
      <c r="BQ12" s="264"/>
      <c r="BR12" s="264"/>
      <c r="BS12" s="264"/>
      <c r="BT12" s="264"/>
      <c r="BU12" s="274"/>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c r="CZ12" s="287"/>
      <c r="DA12" s="287"/>
    </row>
    <row r="13" spans="1:105" ht="18" customHeight="1" thickBot="1" x14ac:dyDescent="0.3">
      <c r="A13" s="291"/>
      <c r="B13" s="292"/>
      <c r="C13" s="292"/>
      <c r="D13" s="292"/>
      <c r="E13" s="292"/>
      <c r="F13" s="292"/>
      <c r="G13" s="292"/>
      <c r="H13" s="292"/>
      <c r="I13" s="292"/>
      <c r="J13" s="292"/>
      <c r="K13" s="292"/>
      <c r="L13" s="292"/>
      <c r="M13" s="292"/>
      <c r="N13" s="292"/>
      <c r="O13" s="292"/>
      <c r="P13" s="292"/>
      <c r="Q13" s="292"/>
      <c r="R13" s="292"/>
      <c r="S13" s="292"/>
      <c r="T13" s="292"/>
      <c r="U13" s="287"/>
      <c r="V13" s="287"/>
      <c r="W13" s="287"/>
      <c r="X13" s="287"/>
      <c r="Y13" s="287"/>
      <c r="Z13" s="287"/>
      <c r="AA13" s="287"/>
      <c r="AB13" s="287"/>
      <c r="AC13" s="287"/>
      <c r="AD13" s="287"/>
      <c r="AE13" s="287"/>
      <c r="AF13" s="287"/>
      <c r="AG13" s="294"/>
      <c r="AH13" s="287"/>
      <c r="AI13" s="287"/>
      <c r="AJ13" s="287"/>
      <c r="AK13" s="287"/>
      <c r="AL13" s="261"/>
      <c r="AM13" s="264"/>
      <c r="AN13" s="264"/>
      <c r="AO13" s="264"/>
      <c r="AP13" s="264"/>
      <c r="AQ13" s="264"/>
      <c r="AR13" s="264"/>
      <c r="AS13" s="264"/>
      <c r="AT13" s="264"/>
      <c r="AU13" s="264"/>
      <c r="AV13" s="264"/>
      <c r="AW13" s="264"/>
      <c r="AX13" s="274"/>
      <c r="AY13" s="287"/>
      <c r="AZ13" s="287"/>
      <c r="BA13" s="287"/>
      <c r="BB13" s="287"/>
      <c r="BC13" s="287"/>
      <c r="BD13" s="287"/>
      <c r="BE13" s="287"/>
      <c r="BF13" s="287"/>
      <c r="BG13" s="287"/>
      <c r="BH13" s="261"/>
      <c r="BI13" s="264"/>
      <c r="BJ13" s="264"/>
      <c r="BK13" s="264"/>
      <c r="BL13" s="264"/>
      <c r="BM13" s="264"/>
      <c r="BN13" s="264"/>
      <c r="BO13" s="264"/>
      <c r="BP13" s="264"/>
      <c r="BQ13" s="264"/>
      <c r="BR13" s="264"/>
      <c r="BS13" s="264"/>
      <c r="BT13" s="264"/>
      <c r="BU13" s="274"/>
      <c r="BV13" s="287"/>
      <c r="BW13" s="287"/>
      <c r="BX13" s="287"/>
      <c r="BY13" s="287"/>
      <c r="BZ13" s="287"/>
      <c r="CA13" s="287"/>
      <c r="CB13" s="287"/>
      <c r="CC13" s="287"/>
      <c r="CD13" s="287"/>
      <c r="CE13" s="287"/>
      <c r="CF13" s="287"/>
      <c r="CG13" s="287"/>
      <c r="CH13" s="287"/>
      <c r="CI13" s="287"/>
      <c r="CJ13" s="287"/>
      <c r="CK13" s="287"/>
      <c r="CL13" s="287"/>
      <c r="CM13" s="287"/>
      <c r="CN13" s="287"/>
      <c r="CO13" s="287"/>
      <c r="CP13" s="287"/>
      <c r="CQ13" s="287"/>
      <c r="CR13" s="287"/>
      <c r="CS13" s="287"/>
      <c r="CT13" s="287"/>
      <c r="CU13" s="287"/>
      <c r="CV13" s="287"/>
      <c r="CW13" s="287"/>
      <c r="CX13" s="287"/>
      <c r="CY13" s="287"/>
      <c r="CZ13" s="287"/>
      <c r="DA13" s="287"/>
    </row>
    <row r="14" spans="1:105" ht="15.75" thickBot="1" x14ac:dyDescent="0.3">
      <c r="A14" s="2" t="s">
        <v>607</v>
      </c>
      <c r="B14" s="3"/>
      <c r="C14" s="3"/>
      <c r="D14" s="3"/>
      <c r="E14" s="95"/>
      <c r="F14" s="287"/>
      <c r="G14" s="1325" t="s">
        <v>610</v>
      </c>
      <c r="H14" s="1326"/>
      <c r="I14" s="1326"/>
      <c r="J14" s="1326"/>
      <c r="K14" s="1327"/>
      <c r="L14" s="1328"/>
      <c r="M14" s="286"/>
      <c r="N14" s="1325" t="s">
        <v>611</v>
      </c>
      <c r="O14" s="1326"/>
      <c r="P14" s="1326"/>
      <c r="Q14" s="1326"/>
      <c r="R14" s="1326"/>
      <c r="S14" s="1326"/>
      <c r="T14" s="1328"/>
      <c r="U14" s="287"/>
      <c r="V14" s="1329" t="s">
        <v>613</v>
      </c>
      <c r="W14" s="1330"/>
      <c r="X14" s="1330"/>
      <c r="Y14" s="1330"/>
      <c r="Z14" s="1331"/>
      <c r="AA14" s="1330"/>
      <c r="AB14" s="1330"/>
      <c r="AC14" s="1330"/>
      <c r="AD14" s="1330"/>
      <c r="AE14" s="1330"/>
      <c r="AF14" s="1330"/>
      <c r="AG14" s="1330"/>
      <c r="AH14" s="1330"/>
      <c r="AI14" s="1330"/>
      <c r="AJ14" s="1332"/>
      <c r="AK14" s="288"/>
      <c r="AL14" s="260"/>
      <c r="AM14" s="264"/>
      <c r="AN14" s="264"/>
      <c r="AO14" s="264"/>
      <c r="AP14" s="264"/>
      <c r="AQ14" s="264"/>
      <c r="AR14" s="1072" t="s">
        <v>569</v>
      </c>
      <c r="AS14" s="1457">
        <f>IF($AS$12 &gt; 0, $AS$12, AS10)</f>
        <v>30</v>
      </c>
      <c r="AT14" s="266" t="s">
        <v>382</v>
      </c>
      <c r="AU14" s="298"/>
      <c r="AV14" s="298"/>
      <c r="AW14" s="298"/>
      <c r="AX14" s="276"/>
      <c r="AY14" s="288"/>
      <c r="AZ14" s="288"/>
      <c r="BA14" s="288"/>
      <c r="BB14" s="288"/>
      <c r="BC14" s="288"/>
      <c r="BD14" s="288"/>
      <c r="BE14" s="288"/>
      <c r="BF14" s="287"/>
      <c r="BG14" s="287"/>
      <c r="BH14" s="261"/>
      <c r="BI14" s="264"/>
      <c r="BJ14" s="264"/>
      <c r="BK14" s="264"/>
      <c r="BL14" s="264"/>
      <c r="BM14" s="264"/>
      <c r="BN14" s="264"/>
      <c r="BO14" s="264"/>
      <c r="BP14" s="264"/>
      <c r="BQ14" s="264"/>
      <c r="BR14" s="264"/>
      <c r="BS14" s="264"/>
      <c r="BT14" s="264"/>
      <c r="BU14" s="274"/>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row>
    <row r="15" spans="1:105" x14ac:dyDescent="0.25">
      <c r="A15" s="1204"/>
      <c r="B15" s="1205"/>
      <c r="C15" s="1205"/>
      <c r="D15" s="1214"/>
      <c r="E15" s="299"/>
      <c r="G15" s="279"/>
      <c r="H15" s="283"/>
      <c r="I15" s="283"/>
      <c r="J15" s="283"/>
      <c r="K15" s="283"/>
      <c r="L15" s="299"/>
      <c r="M15" s="287"/>
      <c r="N15" s="279"/>
      <c r="O15" s="283"/>
      <c r="P15" s="283"/>
      <c r="Q15" s="283"/>
      <c r="R15" s="283"/>
      <c r="S15" s="283"/>
      <c r="T15" s="299"/>
      <c r="V15" s="279"/>
      <c r="W15" s="278"/>
      <c r="X15" s="283"/>
      <c r="Y15" s="283"/>
      <c r="Z15" s="283"/>
      <c r="AA15" s="1494" t="s">
        <v>50</v>
      </c>
      <c r="AB15" s="264"/>
      <c r="AC15" s="1472" t="s">
        <v>41</v>
      </c>
      <c r="AD15" s="264"/>
      <c r="AE15" s="1464" t="s">
        <v>362</v>
      </c>
      <c r="AF15" s="1464"/>
      <c r="AG15" s="1464"/>
      <c r="AH15" s="1464"/>
      <c r="AI15" s="1464"/>
      <c r="AJ15" s="299"/>
      <c r="AK15" s="287"/>
      <c r="AL15" s="261"/>
      <c r="AM15" s="264"/>
      <c r="AN15" s="264"/>
      <c r="AO15" s="264"/>
      <c r="AP15" s="264"/>
      <c r="AQ15" s="264"/>
      <c r="AR15" s="264"/>
      <c r="AS15" s="264"/>
      <c r="AT15" s="264"/>
      <c r="AU15" s="264"/>
      <c r="AV15" s="264"/>
      <c r="AW15" s="264"/>
      <c r="AX15" s="274"/>
      <c r="AY15" s="287"/>
      <c r="AZ15" s="287"/>
      <c r="BA15" s="287"/>
      <c r="BB15" s="287"/>
      <c r="BC15" s="287"/>
      <c r="BD15" s="287"/>
      <c r="BE15" s="287"/>
      <c r="BF15" s="287"/>
      <c r="BG15" s="287"/>
      <c r="BH15" s="261"/>
      <c r="BI15" s="264"/>
      <c r="BJ15" s="264"/>
      <c r="BK15" s="264"/>
      <c r="BL15" s="264"/>
      <c r="BM15" s="264"/>
      <c r="BN15" s="264"/>
      <c r="BO15" s="264"/>
      <c r="BP15" s="264"/>
      <c r="BQ15" s="264"/>
      <c r="BR15" s="264"/>
      <c r="BS15" s="264"/>
      <c r="BT15" s="264"/>
      <c r="BU15" s="274"/>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row>
    <row r="16" spans="1:105" ht="16.5" thickBot="1" x14ac:dyDescent="0.3">
      <c r="A16" s="1206"/>
      <c r="B16" s="282"/>
      <c r="C16" s="282"/>
      <c r="D16" s="300"/>
      <c r="E16" s="274"/>
      <c r="F16" s="287"/>
      <c r="G16" s="261"/>
      <c r="H16" s="266"/>
      <c r="I16" s="266"/>
      <c r="J16" s="1478" t="s">
        <v>254</v>
      </c>
      <c r="K16" s="1478"/>
      <c r="L16" s="274"/>
      <c r="M16" s="287"/>
      <c r="N16" s="261"/>
      <c r="O16" s="264"/>
      <c r="P16" s="264"/>
      <c r="Q16" s="264"/>
      <c r="R16" s="264"/>
      <c r="S16" s="264"/>
      <c r="T16" s="274"/>
      <c r="U16" s="287"/>
      <c r="V16" s="260"/>
      <c r="W16" s="300"/>
      <c r="X16" s="298"/>
      <c r="Y16" s="266"/>
      <c r="Z16" s="265"/>
      <c r="AA16" s="1495"/>
      <c r="AB16" s="267"/>
      <c r="AC16" s="1473"/>
      <c r="AD16" s="267"/>
      <c r="AE16" s="1465"/>
      <c r="AF16" s="1465"/>
      <c r="AG16" s="1465"/>
      <c r="AH16" s="1465"/>
      <c r="AI16" s="1465"/>
      <c r="AJ16" s="276"/>
      <c r="AK16" s="288"/>
      <c r="AL16" s="260"/>
      <c r="AM16" s="298"/>
      <c r="AN16" s="298"/>
      <c r="AO16" s="298"/>
      <c r="AP16" s="298"/>
      <c r="AQ16" s="298"/>
      <c r="AR16" s="298"/>
      <c r="AS16" s="298"/>
      <c r="AT16" s="298"/>
      <c r="AU16" s="298"/>
      <c r="AV16" s="298"/>
      <c r="AW16" s="298"/>
      <c r="AX16" s="276"/>
      <c r="AY16" s="288"/>
      <c r="AZ16" s="288"/>
      <c r="BA16" s="288"/>
      <c r="BB16" s="288"/>
      <c r="BC16" s="288"/>
      <c r="BD16" s="288"/>
      <c r="BE16" s="288"/>
      <c r="BF16" s="287"/>
      <c r="BG16" s="287"/>
      <c r="BH16" s="261"/>
      <c r="BI16" s="264"/>
      <c r="BJ16" s="264"/>
      <c r="BK16" s="264"/>
      <c r="BL16" s="264"/>
      <c r="BM16" s="264"/>
      <c r="BN16" s="264"/>
      <c r="BO16" s="264"/>
      <c r="BP16" s="264"/>
      <c r="BQ16" s="264"/>
      <c r="BR16" s="264"/>
      <c r="BS16" s="264"/>
      <c r="BT16" s="264"/>
      <c r="BU16" s="274"/>
      <c r="BV16" s="287"/>
      <c r="BW16" s="287"/>
      <c r="BX16" s="1181"/>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row>
    <row r="17" spans="1:105" ht="19.5" customHeight="1" thickBot="1" x14ac:dyDescent="0.3">
      <c r="A17" s="1166"/>
      <c r="B17" s="1207" t="s">
        <v>524</v>
      </c>
      <c r="C17" s="244">
        <v>1</v>
      </c>
      <c r="D17" s="1212" t="s">
        <v>525</v>
      </c>
      <c r="E17" s="274"/>
      <c r="G17" s="261"/>
      <c r="H17" s="1247" t="s">
        <v>50</v>
      </c>
      <c r="I17" s="1247" t="s">
        <v>41</v>
      </c>
      <c r="J17" s="1247" t="s">
        <v>10</v>
      </c>
      <c r="K17" s="1247" t="s">
        <v>385</v>
      </c>
      <c r="L17" s="274"/>
      <c r="M17" s="287"/>
      <c r="N17" s="261"/>
      <c r="O17" s="264"/>
      <c r="P17" s="264"/>
      <c r="Q17" s="264"/>
      <c r="R17" s="264"/>
      <c r="S17" s="264"/>
      <c r="T17" s="274"/>
      <c r="U17" s="287"/>
      <c r="V17" s="261"/>
      <c r="W17" s="265"/>
      <c r="X17" s="298"/>
      <c r="Y17" s="264"/>
      <c r="Z17" s="265"/>
      <c r="AA17" s="87"/>
      <c r="AB17" s="267"/>
      <c r="AC17" s="88"/>
      <c r="AD17" s="267"/>
      <c r="AE17" s="259" t="s">
        <v>10</v>
      </c>
      <c r="AF17" s="267"/>
      <c r="AG17" s="259" t="s">
        <v>385</v>
      </c>
      <c r="AH17" s="267"/>
      <c r="AI17" s="259" t="s">
        <v>465</v>
      </c>
      <c r="AJ17" s="274"/>
      <c r="AK17" s="287"/>
      <c r="AL17" s="262"/>
      <c r="AM17" s="270"/>
      <c r="AN17" s="270"/>
      <c r="AO17" s="270"/>
      <c r="AP17" s="270"/>
      <c r="AQ17" s="270"/>
      <c r="AR17" s="270"/>
      <c r="AS17" s="270"/>
      <c r="AT17" s="270"/>
      <c r="AU17" s="270"/>
      <c r="AV17" s="270"/>
      <c r="AW17" s="270"/>
      <c r="AX17" s="1073"/>
      <c r="AY17" s="287"/>
      <c r="AZ17" s="287"/>
      <c r="BA17" s="287"/>
      <c r="BB17" s="287"/>
      <c r="BC17" s="287"/>
      <c r="BD17" s="287"/>
      <c r="BE17" s="287"/>
      <c r="BF17" s="287"/>
      <c r="BG17" s="287"/>
      <c r="BH17" s="261"/>
      <c r="BI17" s="264"/>
      <c r="BJ17" s="264"/>
      <c r="BK17" s="264"/>
      <c r="BL17" s="264"/>
      <c r="BM17" s="264"/>
      <c r="BN17" s="264"/>
      <c r="BO17" s="264"/>
      <c r="BP17" s="264"/>
      <c r="BQ17" s="264"/>
      <c r="BR17" s="264"/>
      <c r="BS17" s="264"/>
      <c r="BT17" s="264"/>
      <c r="BU17" s="274"/>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row>
    <row r="18" spans="1:105" ht="18.75" customHeight="1" thickBot="1" x14ac:dyDescent="0.3">
      <c r="A18" s="1208"/>
      <c r="B18" s="1209" t="s">
        <v>379</v>
      </c>
      <c r="C18" s="1474" t="str">
        <f>IF(C17="none","No system selected",VLOOKUP('Options and results'!C17,Systemlist!$A$5:$D$34,2,FALSE))</f>
        <v>UK England standard   Cereals</v>
      </c>
      <c r="D18" s="1475"/>
      <c r="E18" s="274"/>
      <c r="F18" s="288"/>
      <c r="G18" s="1166" t="s">
        <v>505</v>
      </c>
      <c r="H18" s="96">
        <v>1</v>
      </c>
      <c r="I18" s="96">
        <v>1</v>
      </c>
      <c r="J18" s="96">
        <v>1</v>
      </c>
      <c r="K18" s="96">
        <v>1</v>
      </c>
      <c r="L18" s="1249" t="s">
        <v>414</v>
      </c>
      <c r="M18" s="1177"/>
      <c r="N18" s="261"/>
      <c r="O18" s="264"/>
      <c r="P18" s="264"/>
      <c r="Q18" s="1250"/>
      <c r="R18" s="264"/>
      <c r="S18" s="264"/>
      <c r="T18" s="274"/>
      <c r="U18" s="287"/>
      <c r="V18" s="1163" t="s">
        <v>595</v>
      </c>
      <c r="W18" s="243">
        <v>100</v>
      </c>
      <c r="X18" s="263" t="s">
        <v>598</v>
      </c>
      <c r="Y18" s="264"/>
      <c r="Z18" s="265"/>
      <c r="AA18" s="87"/>
      <c r="AB18" s="265"/>
      <c r="AC18" s="88"/>
      <c r="AD18" s="265"/>
      <c r="AE18" s="425"/>
      <c r="AF18" s="265"/>
      <c r="AG18" s="259"/>
      <c r="AH18" s="267"/>
      <c r="AI18" s="259"/>
      <c r="AJ18" s="275"/>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7"/>
      <c r="BG18" s="287"/>
      <c r="BH18" s="261"/>
      <c r="BI18" s="264"/>
      <c r="BJ18" s="264"/>
      <c r="BK18" s="264"/>
      <c r="BL18" s="264"/>
      <c r="BM18" s="264"/>
      <c r="BN18" s="264"/>
      <c r="BO18" s="264"/>
      <c r="BP18" s="264"/>
      <c r="BQ18" s="264"/>
      <c r="BR18" s="264"/>
      <c r="BS18" s="264"/>
      <c r="BT18" s="264"/>
      <c r="BU18" s="274"/>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row>
    <row r="19" spans="1:105" ht="18" customHeight="1" thickBot="1" x14ac:dyDescent="0.3">
      <c r="A19" s="264"/>
      <c r="B19" s="264"/>
      <c r="C19" s="264"/>
      <c r="D19" s="264"/>
      <c r="E19" s="274"/>
      <c r="F19" s="288"/>
      <c r="G19" s="1166"/>
      <c r="H19" s="97">
        <v>1</v>
      </c>
      <c r="I19" s="97">
        <v>1</v>
      </c>
      <c r="J19" s="97">
        <v>1</v>
      </c>
      <c r="K19" s="97">
        <v>1</v>
      </c>
      <c r="L19" s="1249" t="s">
        <v>504</v>
      </c>
      <c r="M19" s="287"/>
      <c r="N19" s="261"/>
      <c r="O19" s="267" t="s">
        <v>10</v>
      </c>
      <c r="P19" s="266"/>
      <c r="Q19" s="267" t="s">
        <v>499</v>
      </c>
      <c r="R19" s="264"/>
      <c r="S19" s="264"/>
      <c r="T19" s="274"/>
      <c r="U19" s="287"/>
      <c r="V19" s="1164"/>
      <c r="W19" s="1293"/>
      <c r="X19" s="263"/>
      <c r="Y19" s="266" t="s">
        <v>466</v>
      </c>
      <c r="Z19" s="267" t="s">
        <v>451</v>
      </c>
      <c r="AA19" s="1251">
        <f>VLOOKUP($W$20,Unit!$A$9:$BE$68,Unit!BA$3, FALSE)</f>
        <v>318195.71571730817</v>
      </c>
      <c r="AB19" s="1252"/>
      <c r="AC19" s="1253">
        <f>VLOOKUP($W$20,Unit!$A$9:$BE$68,Unit!BB$3, FALSE)</f>
        <v>39882.207233727211</v>
      </c>
      <c r="AD19" s="1252"/>
      <c r="AE19" s="1251">
        <f ca="1">VLOOKUP($W$20,Unit!$A$9:$BE$68,Unit!BC$3, FALSE)</f>
        <v>49737.825890328924</v>
      </c>
      <c r="AF19" s="1252"/>
      <c r="AG19" s="1253">
        <f>VLOOKUP($W$20,Unit!$A$9:$BE$68,Unit!BD$3, FALSE)</f>
        <v>66991.177376704014</v>
      </c>
      <c r="AH19" s="1252"/>
      <c r="AI19" s="1253">
        <f ca="1">AE19+AG19</f>
        <v>116729.00326703294</v>
      </c>
      <c r="AJ19" s="274"/>
      <c r="AK19" s="287"/>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287"/>
      <c r="BH19" s="261"/>
      <c r="BI19" s="264"/>
      <c r="BJ19" s="264"/>
      <c r="BK19" s="264"/>
      <c r="BL19" s="264"/>
      <c r="BM19" s="264"/>
      <c r="BN19" s="264"/>
      <c r="BO19" s="264"/>
      <c r="BP19" s="264"/>
      <c r="BQ19" s="264"/>
      <c r="BR19" s="264"/>
      <c r="BS19" s="264"/>
      <c r="BT19" s="264"/>
      <c r="BU19" s="274"/>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row>
    <row r="20" spans="1:105" ht="16.5" customHeight="1" thickBot="1" x14ac:dyDescent="0.3">
      <c r="A20" s="264"/>
      <c r="B20" s="282" t="s">
        <v>380</v>
      </c>
      <c r="C20" s="1345">
        <f>IF(MATCH(0,Plot!D8:D70,-1)&lt;60,(MATCH(0,Plot!D8:D70,-1))-1,(MATCH(0,Plot!D8:D70,-1)))</f>
        <v>30</v>
      </c>
      <c r="D20" s="266" t="s">
        <v>382</v>
      </c>
      <c r="E20" s="274"/>
      <c r="F20" s="287"/>
      <c r="G20" s="1166" t="s">
        <v>506</v>
      </c>
      <c r="H20" s="96">
        <v>1</v>
      </c>
      <c r="I20" s="96">
        <v>1</v>
      </c>
      <c r="J20" s="96">
        <v>1</v>
      </c>
      <c r="K20" s="96">
        <v>1</v>
      </c>
      <c r="L20" s="1249" t="s">
        <v>414</v>
      </c>
      <c r="M20" s="287"/>
      <c r="N20" s="1166" t="s">
        <v>500</v>
      </c>
      <c r="O20" s="255">
        <v>0</v>
      </c>
      <c r="P20" s="264"/>
      <c r="Q20" s="255">
        <v>0</v>
      </c>
      <c r="R20" s="264"/>
      <c r="S20" s="264"/>
      <c r="T20" s="274"/>
      <c r="U20" s="287"/>
      <c r="V20" s="1165" t="s">
        <v>596</v>
      </c>
      <c r="W20" s="1294">
        <v>30</v>
      </c>
      <c r="X20" s="298"/>
      <c r="Y20" s="266"/>
      <c r="Z20" s="265"/>
      <c r="AA20" s="1254"/>
      <c r="AB20" s="1255"/>
      <c r="AC20" s="1256"/>
      <c r="AD20" s="1255"/>
      <c r="AE20" s="1257"/>
      <c r="AF20" s="1255"/>
      <c r="AG20" s="1257"/>
      <c r="AH20" s="1255"/>
      <c r="AI20" s="1257"/>
      <c r="AJ20" s="276"/>
      <c r="AK20" s="288"/>
      <c r="AL20" s="1074"/>
      <c r="AM20" s="1075"/>
      <c r="AN20" s="1075"/>
      <c r="AO20" s="1075"/>
      <c r="AP20" s="1075"/>
      <c r="AQ20" s="1075"/>
      <c r="AR20" s="1075"/>
      <c r="AS20" s="1075"/>
      <c r="AT20" s="1075"/>
      <c r="AU20" s="1075"/>
      <c r="AV20" s="1075"/>
      <c r="AW20" s="1075"/>
      <c r="AX20" s="1075"/>
      <c r="AY20" s="1075"/>
      <c r="AZ20" s="1075"/>
      <c r="BA20" s="1075"/>
      <c r="BB20" s="1075"/>
      <c r="BC20" s="1075"/>
      <c r="BD20" s="1075"/>
      <c r="BE20" s="1075"/>
      <c r="BF20" s="299"/>
      <c r="BG20" s="287"/>
      <c r="BH20" s="261"/>
      <c r="BI20" s="264"/>
      <c r="BJ20" s="264"/>
      <c r="BK20" s="264"/>
      <c r="BL20" s="264"/>
      <c r="BM20" s="264"/>
      <c r="BN20" s="264"/>
      <c r="BO20" s="264"/>
      <c r="BP20" s="264"/>
      <c r="BQ20" s="264"/>
      <c r="BR20" s="264"/>
      <c r="BS20" s="264"/>
      <c r="BT20" s="264"/>
      <c r="BU20" s="274"/>
      <c r="BV20" s="287"/>
      <c r="BW20" s="279"/>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99"/>
      <c r="DA20" s="287"/>
    </row>
    <row r="21" spans="1:105" ht="18" customHeight="1" thickBot="1" x14ac:dyDescent="0.3">
      <c r="A21" s="1210"/>
      <c r="B21" s="264"/>
      <c r="C21" s="264"/>
      <c r="D21" s="264"/>
      <c r="E21" s="274"/>
      <c r="F21" s="287"/>
      <c r="G21" s="1166"/>
      <c r="H21" s="97">
        <v>1</v>
      </c>
      <c r="I21" s="97">
        <v>1</v>
      </c>
      <c r="J21" s="97">
        <v>1</v>
      </c>
      <c r="K21" s="97">
        <v>1</v>
      </c>
      <c r="L21" s="1249" t="s">
        <v>504</v>
      </c>
      <c r="M21" s="287"/>
      <c r="N21" s="1166" t="s">
        <v>501</v>
      </c>
      <c r="O21" s="255">
        <v>0</v>
      </c>
      <c r="P21" s="264"/>
      <c r="Q21" s="255">
        <v>0</v>
      </c>
      <c r="R21" s="264"/>
      <c r="S21" s="264"/>
      <c r="T21" s="274"/>
      <c r="U21" s="287"/>
      <c r="V21" s="260"/>
      <c r="W21" s="306" t="s">
        <v>48</v>
      </c>
      <c r="X21" s="298"/>
      <c r="Y21" s="268" t="s">
        <v>467</v>
      </c>
      <c r="Z21" s="267" t="s">
        <v>452</v>
      </c>
      <c r="AA21" s="1258">
        <f ca="1">SUM(INDIRECT("Unit!aa9:aa"&amp;FIXED(ROW(Unit!AA8)+$W$20,0,TRUE)))</f>
        <v>7062.2796162655432</v>
      </c>
      <c r="AB21" s="1259"/>
      <c r="AC21" s="1256"/>
      <c r="AD21" s="1255"/>
      <c r="AE21" s="1258">
        <f ca="1">(SUM(INDIRECT("Unit!ad9:ad"&amp;FIXED(ROW(Unit!AD$8)+$W$20,0,TRUE))))</f>
        <v>2952.8746829999995</v>
      </c>
      <c r="AF21" s="1259"/>
      <c r="AG21" s="1257"/>
      <c r="AH21" s="1255"/>
      <c r="AI21" s="1257"/>
      <c r="AJ21" s="274"/>
      <c r="AK21" s="287"/>
      <c r="AL21" s="261"/>
      <c r="AM21" s="266" t="s">
        <v>572</v>
      </c>
      <c r="AN21" s="266"/>
      <c r="AO21" s="264"/>
      <c r="AP21" s="264"/>
      <c r="AQ21" s="264"/>
      <c r="AR21" s="264"/>
      <c r="AS21" s="264"/>
      <c r="AT21" s="264"/>
      <c r="AU21" s="264"/>
      <c r="AV21" s="264"/>
      <c r="AW21" s="264"/>
      <c r="AX21" s="264"/>
      <c r="AY21" s="264"/>
      <c r="AZ21" s="264"/>
      <c r="BA21" s="264"/>
      <c r="BB21" s="264"/>
      <c r="BC21" s="264"/>
      <c r="BD21" s="264"/>
      <c r="BE21" s="264"/>
      <c r="BF21" s="274"/>
      <c r="BG21" s="287"/>
      <c r="BH21" s="261"/>
      <c r="BI21" s="264"/>
      <c r="BJ21" s="264"/>
      <c r="BK21" s="264"/>
      <c r="BL21" s="264"/>
      <c r="BM21" s="264"/>
      <c r="BN21" s="264"/>
      <c r="BO21" s="264"/>
      <c r="BP21" s="264"/>
      <c r="BQ21" s="264"/>
      <c r="BR21" s="264"/>
      <c r="BS21" s="264"/>
      <c r="BT21" s="264"/>
      <c r="BU21" s="274"/>
      <c r="BV21" s="287"/>
      <c r="BW21" s="261"/>
      <c r="BX21" s="266" t="s">
        <v>574</v>
      </c>
      <c r="BY21" s="264"/>
      <c r="BZ21" s="264"/>
      <c r="CA21" s="264"/>
      <c r="CB21" s="264"/>
      <c r="CC21" s="264"/>
      <c r="CD21" s="264"/>
      <c r="CE21" s="264"/>
      <c r="CF21" s="264"/>
      <c r="CG21" s="264"/>
      <c r="CH21" s="264"/>
      <c r="CI21" s="264"/>
      <c r="CJ21" s="264"/>
      <c r="CK21" s="264"/>
      <c r="CL21" s="264"/>
      <c r="CM21" s="264"/>
      <c r="CN21" s="264"/>
      <c r="CO21" s="264"/>
      <c r="CP21" s="264"/>
      <c r="CQ21" s="264"/>
      <c r="CR21" s="264"/>
      <c r="CS21" s="264"/>
      <c r="CT21" s="264"/>
      <c r="CU21" s="264"/>
      <c r="CV21" s="264"/>
      <c r="CW21" s="264"/>
      <c r="CX21" s="264"/>
      <c r="CY21" s="264"/>
      <c r="CZ21" s="274"/>
      <c r="DA21" s="287"/>
    </row>
    <row r="22" spans="1:105" ht="18" customHeight="1" thickBot="1" x14ac:dyDescent="0.3">
      <c r="A22" s="1476" t="s">
        <v>381</v>
      </c>
      <c r="B22" s="1477"/>
      <c r="C22" s="244">
        <v>1</v>
      </c>
      <c r="D22" s="266" t="s">
        <v>383</v>
      </c>
      <c r="E22" s="274"/>
      <c r="F22" s="287"/>
      <c r="G22" s="1166" t="s">
        <v>507</v>
      </c>
      <c r="H22" s="96">
        <v>1</v>
      </c>
      <c r="I22" s="96">
        <v>0</v>
      </c>
      <c r="J22" s="96">
        <v>0</v>
      </c>
      <c r="K22" s="96">
        <v>0</v>
      </c>
      <c r="L22" s="1249" t="s">
        <v>414</v>
      </c>
      <c r="M22" s="287"/>
      <c r="N22" s="1166" t="s">
        <v>502</v>
      </c>
      <c r="O22" s="255">
        <v>0</v>
      </c>
      <c r="P22" s="264"/>
      <c r="Q22" s="255">
        <v>0</v>
      </c>
      <c r="R22" s="264"/>
      <c r="S22" s="264"/>
      <c r="T22" s="274"/>
      <c r="U22" s="287"/>
      <c r="V22" s="260"/>
      <c r="W22" s="300"/>
      <c r="X22" s="298"/>
      <c r="Y22" s="268" t="s">
        <v>468</v>
      </c>
      <c r="Z22" s="267" t="s">
        <v>453</v>
      </c>
      <c r="AA22" s="1201"/>
      <c r="AB22" s="1260"/>
      <c r="AC22" s="1258">
        <f ca="1">SUM(INDIRECT("Unit!ac9:ac"&amp;FIXED(ROW(Unit!AC$8)+$W$20,0,TRUE)))</f>
        <v>7301.0038199025394</v>
      </c>
      <c r="AD22" s="1259"/>
      <c r="AE22" s="1202"/>
      <c r="AF22" s="1260"/>
      <c r="AG22" s="1258">
        <f ca="1">SUM(INDIRECT("Unit!af9:af"&amp;FIXED(ROW(Unit!AF$8)+$W$20,0,TRUE)))</f>
        <v>7218.4952126390099</v>
      </c>
      <c r="AH22" s="1259"/>
      <c r="AI22" s="1202"/>
      <c r="AJ22" s="275"/>
      <c r="AK22" s="288"/>
      <c r="AL22" s="260"/>
      <c r="AM22" s="298"/>
      <c r="AN22" s="298"/>
      <c r="AO22" s="298"/>
      <c r="AP22" s="298"/>
      <c r="AQ22" s="298"/>
      <c r="AR22" s="298"/>
      <c r="AS22" s="298"/>
      <c r="AT22" s="298"/>
      <c r="AU22" s="298"/>
      <c r="AV22" s="298"/>
      <c r="AW22" s="298"/>
      <c r="AX22" s="298"/>
      <c r="AY22" s="298"/>
      <c r="AZ22" s="298"/>
      <c r="BA22" s="298"/>
      <c r="BB22" s="298"/>
      <c r="BC22" s="298"/>
      <c r="BD22" s="298"/>
      <c r="BE22" s="298"/>
      <c r="BF22" s="274"/>
      <c r="BG22" s="287"/>
      <c r="BH22" s="261"/>
      <c r="BI22" s="264"/>
      <c r="BJ22" s="264"/>
      <c r="BK22" s="264"/>
      <c r="BL22" s="264"/>
      <c r="BM22" s="264"/>
      <c r="BN22" s="264"/>
      <c r="BO22" s="264"/>
      <c r="BP22" s="264"/>
      <c r="BQ22" s="264"/>
      <c r="BR22" s="264"/>
      <c r="BS22" s="264"/>
      <c r="BT22" s="264"/>
      <c r="BU22" s="274"/>
      <c r="BV22" s="287"/>
      <c r="BW22" s="261"/>
      <c r="BX22" s="264"/>
      <c r="BY22" s="264"/>
      <c r="BZ22" s="264"/>
      <c r="CA22" s="264"/>
      <c r="CB22" s="264"/>
      <c r="CC22" s="264"/>
      <c r="CD22" s="264"/>
      <c r="CE22" s="264"/>
      <c r="CF22" s="264"/>
      <c r="CG22" s="264"/>
      <c r="CH22" s="264"/>
      <c r="CI22" s="264"/>
      <c r="CJ22" s="264"/>
      <c r="CK22" s="264"/>
      <c r="CL22" s="264"/>
      <c r="CM22" s="264"/>
      <c r="CN22" s="264"/>
      <c r="CO22" s="264"/>
      <c r="CP22" s="264"/>
      <c r="CQ22" s="264"/>
      <c r="CR22" s="264"/>
      <c r="CS22" s="264"/>
      <c r="CT22" s="264"/>
      <c r="CU22" s="264"/>
      <c r="CV22" s="264"/>
      <c r="CW22" s="264"/>
      <c r="CX22" s="264"/>
      <c r="CY22" s="264"/>
      <c r="CZ22" s="274"/>
      <c r="DA22" s="287"/>
    </row>
    <row r="23" spans="1:105" ht="18.75" customHeight="1" thickBot="1" x14ac:dyDescent="0.3">
      <c r="A23" s="261"/>
      <c r="B23" s="282"/>
      <c r="C23" s="1483" t="str">
        <f>VLOOKUP(C22,Arablefinance!$B$6:$C$126,2,FALSE)</f>
        <v>UK - Agriculture (BPS: from 2015)</v>
      </c>
      <c r="D23" s="1484"/>
      <c r="E23" s="274"/>
      <c r="F23" s="287"/>
      <c r="G23" s="1166"/>
      <c r="H23" s="97">
        <v>1</v>
      </c>
      <c r="I23" s="97">
        <v>1</v>
      </c>
      <c r="J23" s="97">
        <v>1</v>
      </c>
      <c r="K23" s="97">
        <v>1</v>
      </c>
      <c r="L23" s="1249" t="s">
        <v>504</v>
      </c>
      <c r="M23" s="287"/>
      <c r="N23" s="1166" t="s">
        <v>503</v>
      </c>
      <c r="O23" s="255">
        <v>0</v>
      </c>
      <c r="P23" s="264"/>
      <c r="Q23" s="255">
        <v>0</v>
      </c>
      <c r="R23" s="264"/>
      <c r="S23" s="264"/>
      <c r="T23" s="274"/>
      <c r="U23" s="287"/>
      <c r="V23" s="260"/>
      <c r="W23" s="300"/>
      <c r="X23" s="298"/>
      <c r="Y23" s="266" t="s">
        <v>23</v>
      </c>
      <c r="Z23" s="267" t="s">
        <v>454</v>
      </c>
      <c r="AA23" s="1258">
        <f ca="1">SUM(INDIRECT("Unit!ag9:ag"&amp;FIXED(ROW(Unit!AG$8)+$W$20,0,TRUE)))</f>
        <v>10474.59356807929</v>
      </c>
      <c r="AB23" s="1259"/>
      <c r="AC23" s="1258">
        <f ca="1">SUM(INDIRECT("Unit!ah9:ah"&amp;FIXED(ROW(Unit!AH$8)+$W$20,0,TRUE)))</f>
        <v>2706.6159989668427</v>
      </c>
      <c r="AD23" s="1259"/>
      <c r="AE23" s="1258">
        <f ca="1">SUM(INDIRECT("Unit!ai9:ai"&amp;FIXED(ROW(Unit!AI$8)+$W$20,0,TRUE)))</f>
        <v>4881.5675896086514</v>
      </c>
      <c r="AF23" s="1259"/>
      <c r="AG23" s="1258">
        <f ca="1">SUM(INDIRECT("Unit!aj9:aj"&amp;FIXED(ROW(Unit!AJ$8)+$W$20,0,TRUE)))</f>
        <v>1810.1192942095145</v>
      </c>
      <c r="AH23" s="1259"/>
      <c r="AI23" s="1258">
        <f ca="1">AE23+AG23</f>
        <v>6691.6868838181654</v>
      </c>
      <c r="AJ23" s="275"/>
      <c r="AK23" s="289"/>
      <c r="AL23" s="280"/>
      <c r="AM23" s="266"/>
      <c r="AN23" s="266"/>
      <c r="AO23" s="266"/>
      <c r="AP23" s="266"/>
      <c r="AQ23" s="266"/>
      <c r="AR23" s="266"/>
      <c r="AS23" s="266"/>
      <c r="AT23" s="266"/>
      <c r="AU23" s="266"/>
      <c r="AV23" s="266"/>
      <c r="AW23" s="266"/>
      <c r="AX23" s="266"/>
      <c r="AY23" s="266"/>
      <c r="AZ23" s="266"/>
      <c r="BA23" s="266"/>
      <c r="BB23" s="266"/>
      <c r="BC23" s="266"/>
      <c r="BD23" s="266"/>
      <c r="BE23" s="266"/>
      <c r="BF23" s="274"/>
      <c r="BG23" s="287"/>
      <c r="BH23" s="261"/>
      <c r="BI23" s="264"/>
      <c r="BJ23" s="264"/>
      <c r="BK23" s="264"/>
      <c r="BL23" s="264"/>
      <c r="BM23" s="264"/>
      <c r="BN23" s="264"/>
      <c r="BO23" s="264"/>
      <c r="BP23" s="264"/>
      <c r="BQ23" s="264"/>
      <c r="BR23" s="264"/>
      <c r="BS23" s="264"/>
      <c r="BT23" s="264"/>
      <c r="BU23" s="274"/>
      <c r="BV23" s="287"/>
      <c r="BW23" s="261"/>
      <c r="BX23" s="264"/>
      <c r="BY23" s="264"/>
      <c r="BZ23" s="264"/>
      <c r="CA23" s="264"/>
      <c r="CB23" s="264"/>
      <c r="CC23" s="264"/>
      <c r="CD23" s="264"/>
      <c r="CE23" s="264"/>
      <c r="CF23" s="264"/>
      <c r="CG23" s="264"/>
      <c r="CH23" s="264"/>
      <c r="CI23" s="264"/>
      <c r="CJ23" s="264"/>
      <c r="CK23" s="264"/>
      <c r="CL23" s="264"/>
      <c r="CM23" s="264"/>
      <c r="CN23" s="264"/>
      <c r="CO23" s="264"/>
      <c r="CP23" s="264"/>
      <c r="CQ23" s="264"/>
      <c r="CR23" s="264"/>
      <c r="CS23" s="264"/>
      <c r="CT23" s="264"/>
      <c r="CU23" s="264"/>
      <c r="CV23" s="264"/>
      <c r="CW23" s="264"/>
      <c r="CX23" s="264"/>
      <c r="CY23" s="264"/>
      <c r="CZ23" s="274"/>
      <c r="DA23" s="287"/>
    </row>
    <row r="24" spans="1:105" ht="18.75" customHeight="1" thickBot="1" x14ac:dyDescent="0.3">
      <c r="A24" s="1211"/>
      <c r="B24" s="1212"/>
      <c r="C24" s="1212"/>
      <c r="D24" s="1212"/>
      <c r="E24" s="274"/>
      <c r="F24" s="287"/>
      <c r="G24" s="1166" t="s">
        <v>508</v>
      </c>
      <c r="H24" s="96">
        <v>1</v>
      </c>
      <c r="I24" s="96">
        <v>1</v>
      </c>
      <c r="J24" s="96">
        <v>1</v>
      </c>
      <c r="K24" s="96">
        <v>1</v>
      </c>
      <c r="L24" s="1249" t="s">
        <v>414</v>
      </c>
      <c r="M24" s="287"/>
      <c r="N24" s="261"/>
      <c r="O24" s="264"/>
      <c r="P24" s="264"/>
      <c r="Q24" s="264"/>
      <c r="R24" s="1072" t="s">
        <v>612</v>
      </c>
      <c r="S24" s="255">
        <v>0</v>
      </c>
      <c r="T24" s="274"/>
      <c r="U24" s="287"/>
      <c r="V24" s="262"/>
      <c r="W24" s="269"/>
      <c r="X24" s="270"/>
      <c r="Y24" s="270"/>
      <c r="Z24" s="269"/>
      <c r="AA24" s="90"/>
      <c r="AB24" s="273"/>
      <c r="AC24" s="91"/>
      <c r="AD24" s="273"/>
      <c r="AE24" s="428"/>
      <c r="AF24" s="272"/>
      <c r="AG24" s="428"/>
      <c r="AH24" s="272"/>
      <c r="AI24" s="428"/>
      <c r="AJ24" s="277"/>
      <c r="AK24" s="289"/>
      <c r="AL24" s="280"/>
      <c r="AM24" s="266"/>
      <c r="AN24" s="266"/>
      <c r="AO24" s="266"/>
      <c r="AP24" s="266"/>
      <c r="AQ24" s="266"/>
      <c r="AR24" s="266"/>
      <c r="AS24" s="266"/>
      <c r="AT24" s="266"/>
      <c r="AU24" s="266"/>
      <c r="AV24" s="266"/>
      <c r="AW24" s="266"/>
      <c r="AX24" s="266"/>
      <c r="AY24" s="266"/>
      <c r="AZ24" s="266"/>
      <c r="BA24" s="266"/>
      <c r="BB24" s="266"/>
      <c r="BC24" s="266"/>
      <c r="BD24" s="266"/>
      <c r="BE24" s="266"/>
      <c r="BF24" s="274"/>
      <c r="BG24" s="287"/>
      <c r="BH24" s="261"/>
      <c r="BI24" s="264"/>
      <c r="BJ24" s="264"/>
      <c r="BK24" s="264"/>
      <c r="BL24" s="264"/>
      <c r="BM24" s="264"/>
      <c r="BN24" s="264"/>
      <c r="BO24" s="264"/>
      <c r="BP24" s="264"/>
      <c r="BQ24" s="264"/>
      <c r="BR24" s="264"/>
      <c r="BS24" s="264"/>
      <c r="BT24" s="264"/>
      <c r="BU24" s="274"/>
      <c r="BV24" s="287"/>
      <c r="BW24" s="261"/>
      <c r="BX24" s="264"/>
      <c r="BY24" s="264"/>
      <c r="BZ24" s="264"/>
      <c r="CA24" s="264"/>
      <c r="CB24" s="264"/>
      <c r="CC24" s="264"/>
      <c r="CD24" s="264"/>
      <c r="CE24" s="264"/>
      <c r="CF24" s="264"/>
      <c r="CG24" s="264"/>
      <c r="CH24" s="264"/>
      <c r="CI24" s="264"/>
      <c r="CJ24" s="264"/>
      <c r="CK24" s="264"/>
      <c r="CL24" s="264"/>
      <c r="CM24" s="264"/>
      <c r="CN24" s="264"/>
      <c r="CO24" s="264"/>
      <c r="CP24" s="264"/>
      <c r="CQ24" s="264"/>
      <c r="CR24" s="264"/>
      <c r="CS24" s="264"/>
      <c r="CT24" s="264"/>
      <c r="CU24" s="264"/>
      <c r="CV24" s="264"/>
      <c r="CW24" s="264"/>
      <c r="CX24" s="264"/>
      <c r="CY24" s="264"/>
      <c r="CZ24" s="274"/>
      <c r="DA24" s="287"/>
    </row>
    <row r="25" spans="1:105" ht="18.75" customHeight="1" thickBot="1" x14ac:dyDescent="0.3">
      <c r="A25" s="260"/>
      <c r="B25" s="1213" t="s">
        <v>415</v>
      </c>
      <c r="C25" s="20">
        <v>0</v>
      </c>
      <c r="D25" s="266" t="s">
        <v>416</v>
      </c>
      <c r="E25" s="1215"/>
      <c r="F25" s="287"/>
      <c r="G25" s="1166"/>
      <c r="H25" s="97">
        <v>1</v>
      </c>
      <c r="I25" s="97">
        <v>1</v>
      </c>
      <c r="J25" s="97">
        <v>1</v>
      </c>
      <c r="K25" s="97">
        <v>1</v>
      </c>
      <c r="L25" s="1249" t="s">
        <v>504</v>
      </c>
      <c r="M25" s="287"/>
      <c r="N25" s="261"/>
      <c r="O25" s="264"/>
      <c r="P25" s="264"/>
      <c r="Q25" s="264"/>
      <c r="R25" s="264"/>
      <c r="S25" s="264"/>
      <c r="T25" s="274"/>
      <c r="U25" s="287"/>
      <c r="V25" s="1333" t="s">
        <v>469</v>
      </c>
      <c r="W25" s="1334"/>
      <c r="X25" s="1335"/>
      <c r="Y25" s="1335"/>
      <c r="Z25" s="1336"/>
      <c r="AA25" s="1336"/>
      <c r="AB25" s="1336"/>
      <c r="AC25" s="1336"/>
      <c r="AD25" s="1336"/>
      <c r="AE25" s="1336"/>
      <c r="AF25" s="1336"/>
      <c r="AG25" s="1336"/>
      <c r="AH25" s="1336"/>
      <c r="AI25" s="1336"/>
      <c r="AJ25" s="1337"/>
      <c r="AK25" s="289"/>
      <c r="AL25" s="280"/>
      <c r="AM25" s="266"/>
      <c r="AN25" s="266"/>
      <c r="AO25" s="266"/>
      <c r="AP25" s="266"/>
      <c r="AQ25" s="266"/>
      <c r="AR25" s="266"/>
      <c r="AS25" s="266"/>
      <c r="AT25" s="266"/>
      <c r="AU25" s="266"/>
      <c r="AV25" s="266"/>
      <c r="AW25" s="266"/>
      <c r="AX25" s="266"/>
      <c r="AY25" s="266"/>
      <c r="AZ25" s="266"/>
      <c r="BA25" s="266"/>
      <c r="BB25" s="266"/>
      <c r="BC25" s="266"/>
      <c r="BD25" s="266"/>
      <c r="BE25" s="266"/>
      <c r="BF25" s="274"/>
      <c r="BG25" s="287"/>
      <c r="BH25" s="261"/>
      <c r="BI25" s="264"/>
      <c r="BJ25" s="264"/>
      <c r="BK25" s="264"/>
      <c r="BL25" s="264"/>
      <c r="BM25" s="264"/>
      <c r="BN25" s="264"/>
      <c r="BO25" s="264"/>
      <c r="BP25" s="264"/>
      <c r="BQ25" s="264"/>
      <c r="BR25" s="264"/>
      <c r="BS25" s="264"/>
      <c r="BT25" s="264"/>
      <c r="BU25" s="274"/>
      <c r="BV25" s="287"/>
      <c r="BW25" s="261"/>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74"/>
      <c r="DA25" s="287"/>
    </row>
    <row r="26" spans="1:105" ht="18" customHeight="1" thickBot="1" x14ac:dyDescent="0.3">
      <c r="A26" s="264"/>
      <c r="B26" s="264"/>
      <c r="C26" s="264"/>
      <c r="D26" s="264"/>
      <c r="E26" s="274"/>
      <c r="F26" s="296"/>
      <c r="G26" s="1163" t="s">
        <v>509</v>
      </c>
      <c r="H26" s="96">
        <v>1</v>
      </c>
      <c r="I26" s="96">
        <v>1</v>
      </c>
      <c r="J26" s="96">
        <v>1</v>
      </c>
      <c r="K26" s="96">
        <v>1</v>
      </c>
      <c r="L26" s="1249" t="s">
        <v>414</v>
      </c>
      <c r="M26" s="287"/>
      <c r="N26" s="261"/>
      <c r="O26" s="264"/>
      <c r="P26" s="264"/>
      <c r="Q26" s="264"/>
      <c r="R26" s="264"/>
      <c r="S26" s="264"/>
      <c r="T26" s="274"/>
      <c r="U26" s="287"/>
      <c r="V26" s="260"/>
      <c r="W26" s="300"/>
      <c r="X26" s="298"/>
      <c r="Y26" s="283"/>
      <c r="Z26" s="278"/>
      <c r="AA26" s="1261"/>
      <c r="AB26" s="271"/>
      <c r="AC26" s="1264"/>
      <c r="AD26" s="271"/>
      <c r="AE26" s="1262"/>
      <c r="AF26" s="271"/>
      <c r="AG26" s="1262"/>
      <c r="AH26" s="271"/>
      <c r="AI26" s="1262"/>
      <c r="AJ26" s="284"/>
      <c r="AK26" s="289"/>
      <c r="AL26" s="280"/>
      <c r="AM26" s="266"/>
      <c r="AN26" s="266"/>
      <c r="AO26" s="266"/>
      <c r="AP26" s="266"/>
      <c r="AQ26" s="266"/>
      <c r="AR26" s="266"/>
      <c r="AS26" s="266"/>
      <c r="AT26" s="266"/>
      <c r="AU26" s="266"/>
      <c r="AV26" s="266"/>
      <c r="AW26" s="266"/>
      <c r="AX26" s="266"/>
      <c r="AY26" s="266"/>
      <c r="AZ26" s="266"/>
      <c r="BA26" s="266"/>
      <c r="BB26" s="266"/>
      <c r="BC26" s="266"/>
      <c r="BD26" s="266"/>
      <c r="BE26" s="266"/>
      <c r="BF26" s="274"/>
      <c r="BG26" s="287"/>
      <c r="BH26" s="261"/>
      <c r="BI26" s="264"/>
      <c r="BJ26" s="264"/>
      <c r="BK26" s="264"/>
      <c r="BL26" s="264"/>
      <c r="BM26" s="264"/>
      <c r="BN26" s="264"/>
      <c r="BO26" s="264"/>
      <c r="BP26" s="264"/>
      <c r="BQ26" s="264"/>
      <c r="BR26" s="264"/>
      <c r="BS26" s="264"/>
      <c r="BT26" s="264"/>
      <c r="BU26" s="274"/>
      <c r="BV26" s="287"/>
      <c r="BW26" s="261"/>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74"/>
      <c r="DA26" s="287"/>
    </row>
    <row r="27" spans="1:105" ht="18" thickBot="1" x14ac:dyDescent="0.3">
      <c r="A27" s="1164"/>
      <c r="B27" s="1213" t="s">
        <v>493</v>
      </c>
      <c r="C27" s="1176">
        <v>14.6</v>
      </c>
      <c r="D27" s="266" t="s">
        <v>533</v>
      </c>
      <c r="E27" s="274"/>
      <c r="F27" s="287"/>
      <c r="G27" s="1248"/>
      <c r="H27" s="97">
        <v>1</v>
      </c>
      <c r="I27" s="97">
        <v>1</v>
      </c>
      <c r="J27" s="97">
        <v>1</v>
      </c>
      <c r="K27" s="97">
        <v>1</v>
      </c>
      <c r="L27" s="1249" t="s">
        <v>504</v>
      </c>
      <c r="M27" s="287"/>
      <c r="N27" s="261"/>
      <c r="O27" s="264"/>
      <c r="P27" s="264"/>
      <c r="Q27" s="264"/>
      <c r="R27" s="264"/>
      <c r="S27" s="264"/>
      <c r="T27" s="274"/>
      <c r="U27" s="287"/>
      <c r="V27" s="1166" t="s">
        <v>599</v>
      </c>
      <c r="W27" s="86">
        <v>30</v>
      </c>
      <c r="X27" s="298"/>
      <c r="Y27" s="1268" t="s">
        <v>645</v>
      </c>
      <c r="Z27" s="1260" t="s">
        <v>440</v>
      </c>
      <c r="AA27" s="1251">
        <f>VLOOKUP($W$27,Plot!$A$8:$T$67,Plot!$T$2,FALSE)</f>
        <v>14855.789101356851</v>
      </c>
      <c r="AB27" s="1252"/>
      <c r="AC27" s="1253">
        <f>VLOOKUP($W$27,Plot!$V$8:$CI67,Plot!$CI$2,FALSE)</f>
        <v>6455.1876932161376</v>
      </c>
      <c r="AD27" s="1252"/>
      <c r="AE27" s="1251">
        <f ca="1">VLOOKUP($W$27,Plot!$CK$8:$DD$67,Plot!$DD$2,FALSE)</f>
        <v>1474.6409117075818</v>
      </c>
      <c r="AF27" s="1252"/>
      <c r="AG27" s="1251">
        <f>VLOOKUP($W$27,Plot!$DF$8:$FT$67,Plot!$FT$2,FALSE)</f>
        <v>8099.5231546143323</v>
      </c>
      <c r="AH27" s="1252"/>
      <c r="AI27" s="1251">
        <f ca="1">SUM(AE27,AG27)</f>
        <v>9574.164066321915</v>
      </c>
      <c r="AJ27" s="276"/>
      <c r="AK27" s="286"/>
      <c r="AL27" s="297"/>
      <c r="AM27" s="263"/>
      <c r="AN27" s="263"/>
      <c r="AO27" s="263"/>
      <c r="AP27" s="263"/>
      <c r="AQ27" s="263"/>
      <c r="AR27" s="263"/>
      <c r="AS27" s="263"/>
      <c r="AT27" s="263"/>
      <c r="AU27" s="263"/>
      <c r="AV27" s="263"/>
      <c r="AW27" s="263"/>
      <c r="AX27" s="263"/>
      <c r="AY27" s="263"/>
      <c r="AZ27" s="263"/>
      <c r="BA27" s="263"/>
      <c r="BB27" s="263"/>
      <c r="BC27" s="263"/>
      <c r="BD27" s="263"/>
      <c r="BE27" s="263"/>
      <c r="BF27" s="274"/>
      <c r="BG27" s="287"/>
      <c r="BH27" s="261"/>
      <c r="BI27" s="264"/>
      <c r="BJ27" s="264"/>
      <c r="BK27" s="264"/>
      <c r="BL27" s="264"/>
      <c r="BM27" s="264"/>
      <c r="BN27" s="264"/>
      <c r="BO27" s="264"/>
      <c r="BP27" s="264"/>
      <c r="BQ27" s="264"/>
      <c r="BR27" s="264"/>
      <c r="BS27" s="264"/>
      <c r="BT27" s="264"/>
      <c r="BU27" s="274"/>
      <c r="BV27" s="287"/>
      <c r="BW27" s="261"/>
      <c r="BX27" s="264"/>
      <c r="BY27" s="264"/>
      <c r="BZ27" s="264"/>
      <c r="CA27" s="264"/>
      <c r="CB27" s="264"/>
      <c r="CC27" s="264"/>
      <c r="CD27" s="264"/>
      <c r="CE27" s="264"/>
      <c r="CF27" s="264"/>
      <c r="CG27" s="264"/>
      <c r="CH27" s="264"/>
      <c r="CI27" s="264"/>
      <c r="CJ27" s="264"/>
      <c r="CK27" s="264"/>
      <c r="CL27" s="264"/>
      <c r="CM27" s="264"/>
      <c r="CN27" s="264"/>
      <c r="CO27" s="264"/>
      <c r="CP27" s="264"/>
      <c r="CQ27" s="264"/>
      <c r="CR27" s="264"/>
      <c r="CS27" s="264"/>
      <c r="CT27" s="264"/>
      <c r="CU27" s="264"/>
      <c r="CV27" s="264"/>
      <c r="CW27" s="264"/>
      <c r="CX27" s="264"/>
      <c r="CY27" s="264"/>
      <c r="CZ27" s="274"/>
      <c r="DA27" s="287"/>
    </row>
    <row r="28" spans="1:105" ht="18" customHeight="1" thickBot="1" x14ac:dyDescent="0.3">
      <c r="A28" s="1216"/>
      <c r="B28" s="1217"/>
      <c r="C28" s="1217"/>
      <c r="D28" s="1218"/>
      <c r="E28" s="1073"/>
      <c r="F28" s="287"/>
      <c r="G28" s="262"/>
      <c r="H28" s="270"/>
      <c r="I28" s="270"/>
      <c r="J28" s="270"/>
      <c r="K28" s="270"/>
      <c r="L28" s="1073"/>
      <c r="M28" s="287"/>
      <c r="N28" s="262"/>
      <c r="O28" s="270"/>
      <c r="P28" s="270"/>
      <c r="Q28" s="270"/>
      <c r="R28" s="270"/>
      <c r="S28" s="270"/>
      <c r="T28" s="1073"/>
      <c r="U28" s="287"/>
      <c r="V28" s="260"/>
      <c r="W28" s="300"/>
      <c r="X28" s="298"/>
      <c r="Y28" s="1268" t="s">
        <v>646</v>
      </c>
      <c r="Z28" s="1260" t="s">
        <v>440</v>
      </c>
      <c r="AA28" s="1251">
        <f>VLOOKUP($W$27,Plot!$A$8:$T$67,Plot!$Q$2,FALSE)</f>
        <v>44353.757582146078</v>
      </c>
      <c r="AB28" s="1252"/>
      <c r="AC28" s="1253">
        <f>VLOOKUP($W$27,Plot!$V$8:$CI68,Plot!$CB$2,FALSE)</f>
        <v>8697.8920624005332</v>
      </c>
      <c r="AD28" s="1252"/>
      <c r="AE28" s="1251">
        <f ca="1">VLOOKUP($W$27,Plot!$CK$8:$DD$67,Plot!$DA$2,FALSE)</f>
        <v>18417.950100000002</v>
      </c>
      <c r="AF28" s="1252"/>
      <c r="AG28" s="1251">
        <f>VLOOKUP($W$27,Plot!$DF$8:$FT$67,Plot!$FM$2,FALSE)</f>
        <v>9603.9013632989681</v>
      </c>
      <c r="AH28" s="1252"/>
      <c r="AI28" s="1251">
        <f t="shared" ref="AI28" ca="1" si="0">SUM(AE28,AG28)</f>
        <v>28021.851463298968</v>
      </c>
      <c r="AJ28" s="274"/>
      <c r="AK28" s="289"/>
      <c r="AL28" s="280"/>
      <c r="AM28" s="266"/>
      <c r="AN28" s="266"/>
      <c r="AO28" s="266"/>
      <c r="AP28" s="266"/>
      <c r="AQ28" s="266"/>
      <c r="AR28" s="266"/>
      <c r="AS28" s="266"/>
      <c r="AT28" s="266"/>
      <c r="AU28" s="266"/>
      <c r="AV28" s="266"/>
      <c r="AW28" s="266"/>
      <c r="AX28" s="266"/>
      <c r="AY28" s="266"/>
      <c r="AZ28" s="266"/>
      <c r="BA28" s="266"/>
      <c r="BB28" s="266"/>
      <c r="BC28" s="266"/>
      <c r="BD28" s="266"/>
      <c r="BE28" s="266"/>
      <c r="BF28" s="274"/>
      <c r="BG28" s="287"/>
      <c r="BH28" s="261"/>
      <c r="BI28" s="264"/>
      <c r="BJ28" s="264"/>
      <c r="BK28" s="264"/>
      <c r="BL28" s="264"/>
      <c r="BM28" s="264"/>
      <c r="BN28" s="264"/>
      <c r="BO28" s="264"/>
      <c r="BP28" s="264"/>
      <c r="BQ28" s="264"/>
      <c r="BR28" s="264"/>
      <c r="BS28" s="264"/>
      <c r="BT28" s="264"/>
      <c r="BU28" s="274"/>
      <c r="BV28" s="287"/>
      <c r="BW28" s="261"/>
      <c r="BX28" s="264"/>
      <c r="BY28" s="264"/>
      <c r="BZ28" s="264"/>
      <c r="CA28" s="264"/>
      <c r="CB28" s="264"/>
      <c r="CC28" s="264"/>
      <c r="CD28" s="264"/>
      <c r="CE28" s="264"/>
      <c r="CF28" s="264"/>
      <c r="CG28" s="264"/>
      <c r="CH28" s="264"/>
      <c r="CI28" s="264"/>
      <c r="CJ28" s="264"/>
      <c r="CK28" s="264"/>
      <c r="CL28" s="264"/>
      <c r="CM28" s="264"/>
      <c r="CN28" s="264"/>
      <c r="CO28" s="264"/>
      <c r="CP28" s="264"/>
      <c r="CQ28" s="264"/>
      <c r="CR28" s="264"/>
      <c r="CS28" s="264"/>
      <c r="CT28" s="264"/>
      <c r="CU28" s="264"/>
      <c r="CV28" s="264"/>
      <c r="CW28" s="264"/>
      <c r="CX28" s="264"/>
      <c r="CY28" s="264"/>
      <c r="CZ28" s="274"/>
      <c r="DA28" s="287"/>
    </row>
    <row r="29" spans="1:105" ht="21" customHeight="1" thickBot="1" x14ac:dyDescent="0.3">
      <c r="A29" s="287"/>
      <c r="B29" s="287"/>
      <c r="C29" s="287"/>
      <c r="D29" s="287"/>
      <c r="E29" s="287"/>
      <c r="F29" s="287"/>
      <c r="G29" s="287"/>
      <c r="H29" s="287"/>
      <c r="I29" s="287"/>
      <c r="J29" s="287"/>
      <c r="K29" s="287"/>
      <c r="L29" s="287"/>
      <c r="M29" s="287"/>
      <c r="N29" s="287"/>
      <c r="O29" s="287"/>
      <c r="P29" s="287"/>
      <c r="Q29" s="287"/>
      <c r="R29" s="287"/>
      <c r="S29" s="287"/>
      <c r="T29" s="287"/>
      <c r="U29" s="287"/>
      <c r="V29" s="260"/>
      <c r="W29" s="300"/>
      <c r="X29" s="298"/>
      <c r="Y29" s="1268" t="s">
        <v>647</v>
      </c>
      <c r="Z29" s="1260" t="s">
        <v>440</v>
      </c>
      <c r="AA29" s="1251">
        <f>VLOOKUP($W$27,Plot!$A$8:$T$67,Plot!$R$2,FALSE)</f>
        <v>7055.9999999999964</v>
      </c>
      <c r="AB29" s="1252"/>
      <c r="AC29" s="1253">
        <f>VLOOKUP($W$27,Plot!$V$8:$CI69,Plot!$CC$2,FALSE)</f>
        <v>0</v>
      </c>
      <c r="AD29" s="1252"/>
      <c r="AE29" s="1251">
        <f>VLOOKUP($W$27,Plot!$CK$8:$DD$67,Plot!$DB$2,FALSE)</f>
        <v>0</v>
      </c>
      <c r="AF29" s="1252"/>
      <c r="AG29" s="1251">
        <f>VLOOKUP($W$27,Plot!$DF$8:$FT$67,Plot!$FN$2,FALSE)</f>
        <v>0</v>
      </c>
      <c r="AH29" s="1252"/>
      <c r="AI29" s="1251">
        <f t="shared" ref="AI29" si="1">SUM(AE29,AG29)</f>
        <v>0</v>
      </c>
      <c r="AJ29" s="275"/>
      <c r="AK29" s="288"/>
      <c r="AL29" s="260"/>
      <c r="AM29" s="298"/>
      <c r="AN29" s="298"/>
      <c r="AO29" s="298"/>
      <c r="AP29" s="298"/>
      <c r="AQ29" s="298"/>
      <c r="AR29" s="298"/>
      <c r="AS29" s="298"/>
      <c r="AT29" s="298"/>
      <c r="AU29" s="298"/>
      <c r="AV29" s="298"/>
      <c r="AW29" s="298"/>
      <c r="AX29" s="298"/>
      <c r="AY29" s="298"/>
      <c r="AZ29" s="298"/>
      <c r="BA29" s="298"/>
      <c r="BB29" s="298"/>
      <c r="BC29" s="298"/>
      <c r="BD29" s="298"/>
      <c r="BE29" s="298"/>
      <c r="BF29" s="274"/>
      <c r="BG29" s="287"/>
      <c r="BH29" s="261"/>
      <c r="BI29" s="264"/>
      <c r="BJ29" s="264"/>
      <c r="BK29" s="264"/>
      <c r="BL29" s="264"/>
      <c r="BM29" s="264"/>
      <c r="BN29" s="264"/>
      <c r="BO29" s="264"/>
      <c r="BP29" s="264"/>
      <c r="BQ29" s="264"/>
      <c r="BR29" s="264"/>
      <c r="BS29" s="264"/>
      <c r="BT29" s="264"/>
      <c r="BU29" s="274"/>
      <c r="BV29" s="287"/>
      <c r="BW29" s="261"/>
      <c r="BX29" s="264"/>
      <c r="BY29" s="264"/>
      <c r="BZ29" s="264"/>
      <c r="CA29" s="264"/>
      <c r="CB29" s="264"/>
      <c r="CC29" s="264"/>
      <c r="CD29" s="264"/>
      <c r="CE29" s="264"/>
      <c r="CF29" s="264"/>
      <c r="CG29" s="264"/>
      <c r="CH29" s="264"/>
      <c r="CI29" s="264"/>
      <c r="CJ29" s="264"/>
      <c r="CK29" s="264"/>
      <c r="CL29" s="264"/>
      <c r="CM29" s="264"/>
      <c r="CN29" s="264"/>
      <c r="CO29" s="264"/>
      <c r="CP29" s="264"/>
      <c r="CQ29" s="264"/>
      <c r="CR29" s="264"/>
      <c r="CS29" s="264"/>
      <c r="CT29" s="264"/>
      <c r="CU29" s="264"/>
      <c r="CV29" s="264"/>
      <c r="CW29" s="264"/>
      <c r="CX29" s="264"/>
      <c r="CY29" s="264"/>
      <c r="CZ29" s="274"/>
      <c r="DA29" s="287"/>
    </row>
    <row r="30" spans="1:105" ht="22.5" customHeight="1" thickBot="1" x14ac:dyDescent="0.3">
      <c r="A30" s="1321" t="s">
        <v>608</v>
      </c>
      <c r="B30" s="1322"/>
      <c r="C30" s="1322"/>
      <c r="D30" s="1322"/>
      <c r="E30" s="1322"/>
      <c r="F30" s="1322"/>
      <c r="G30" s="1322"/>
      <c r="H30" s="1322"/>
      <c r="I30" s="1322"/>
      <c r="J30" s="1322"/>
      <c r="K30" s="1322"/>
      <c r="L30" s="1322"/>
      <c r="M30" s="1322"/>
      <c r="N30" s="1322"/>
      <c r="O30" s="1322"/>
      <c r="P30" s="1496" t="s">
        <v>516</v>
      </c>
      <c r="Q30" s="1496"/>
      <c r="R30" s="1323"/>
      <c r="S30" s="1322"/>
      <c r="T30" s="1324"/>
      <c r="U30" s="287"/>
      <c r="V30" s="260"/>
      <c r="W30" s="300"/>
      <c r="X30" s="298"/>
      <c r="Y30" s="1268" t="s">
        <v>648</v>
      </c>
      <c r="Z30" s="1260" t="s">
        <v>440</v>
      </c>
      <c r="AA30" s="1251">
        <f>VLOOKUP($W$27,Plot!$A$8:$T$67,Plot!$S$2,FALSE)</f>
        <v>36553.968480789226</v>
      </c>
      <c r="AB30" s="1252"/>
      <c r="AC30" s="1253">
        <f>VLOOKUP($W$27,Plot!$V$8:$CI70,Plot!$CD$2,FALSE)</f>
        <v>2242.7043691843955</v>
      </c>
      <c r="AD30" s="1252"/>
      <c r="AE30" s="1251">
        <f>VLOOKUP($W$27,Plot!$CK$8:$DD$67,Plot!$DC$2,FALSE)</f>
        <v>16943.30918829242</v>
      </c>
      <c r="AF30" s="1252"/>
      <c r="AG30" s="1251">
        <f>VLOOKUP($W$27,Plot!$DF$8:$FT$67,Plot!$FO$2,FALSE)</f>
        <v>1504.3782086846359</v>
      </c>
      <c r="AH30" s="1252"/>
      <c r="AI30" s="1251">
        <f t="shared" ref="AI30" si="2">SUM(AE30,AG30)</f>
        <v>18447.687396977057</v>
      </c>
      <c r="AJ30" s="275"/>
      <c r="AK30" s="289"/>
      <c r="AL30" s="280"/>
      <c r="AM30" s="266"/>
      <c r="AN30" s="266"/>
      <c r="AO30" s="266"/>
      <c r="AP30" s="266"/>
      <c r="AQ30" s="266"/>
      <c r="AR30" s="266"/>
      <c r="AS30" s="266"/>
      <c r="AT30" s="266"/>
      <c r="AU30" s="266"/>
      <c r="AV30" s="266"/>
      <c r="AW30" s="266"/>
      <c r="AX30" s="266"/>
      <c r="AY30" s="266"/>
      <c r="AZ30" s="266"/>
      <c r="BA30" s="266"/>
      <c r="BB30" s="266"/>
      <c r="BC30" s="266"/>
      <c r="BD30" s="266"/>
      <c r="BE30" s="266"/>
      <c r="BF30" s="274"/>
      <c r="BG30" s="287"/>
      <c r="BH30" s="261"/>
      <c r="BI30" s="264"/>
      <c r="BJ30" s="264"/>
      <c r="BK30" s="264"/>
      <c r="BL30" s="264"/>
      <c r="BM30" s="264"/>
      <c r="BN30" s="264"/>
      <c r="BO30" s="264"/>
      <c r="BP30" s="264"/>
      <c r="BQ30" s="264"/>
      <c r="BR30" s="264"/>
      <c r="BS30" s="264"/>
      <c r="BT30" s="264"/>
      <c r="BU30" s="274"/>
      <c r="BV30" s="287"/>
      <c r="BW30" s="261"/>
      <c r="BX30" s="264"/>
      <c r="BY30" s="264"/>
      <c r="BZ30" s="264"/>
      <c r="CA30" s="264"/>
      <c r="CB30" s="264"/>
      <c r="CC30" s="264"/>
      <c r="CD30" s="264"/>
      <c r="CE30" s="264"/>
      <c r="CF30" s="264"/>
      <c r="CG30" s="264"/>
      <c r="CH30" s="264"/>
      <c r="CI30" s="264"/>
      <c r="CJ30" s="264"/>
      <c r="CK30" s="264"/>
      <c r="CL30" s="264"/>
      <c r="CM30" s="264"/>
      <c r="CN30" s="264"/>
      <c r="CO30" s="264"/>
      <c r="CP30" s="264"/>
      <c r="CQ30" s="264"/>
      <c r="CR30" s="264"/>
      <c r="CS30" s="264"/>
      <c r="CT30" s="264"/>
      <c r="CU30" s="264"/>
      <c r="CV30" s="264"/>
      <c r="CW30" s="264"/>
      <c r="CX30" s="264"/>
      <c r="CY30" s="264"/>
      <c r="CZ30" s="274"/>
      <c r="DA30" s="287"/>
    </row>
    <row r="31" spans="1:105" ht="15.75" thickBot="1" x14ac:dyDescent="0.3">
      <c r="A31" s="1204"/>
      <c r="B31" s="1205"/>
      <c r="C31" s="1205"/>
      <c r="D31" s="1214"/>
      <c r="E31" s="299"/>
      <c r="F31" s="279"/>
      <c r="G31" s="1225"/>
      <c r="H31" s="282"/>
      <c r="I31" s="282"/>
      <c r="J31" s="300"/>
      <c r="K31" s="264"/>
      <c r="L31" s="1225"/>
      <c r="M31" s="282"/>
      <c r="N31" s="282"/>
      <c r="O31" s="300"/>
      <c r="P31" s="1502" t="s">
        <v>490</v>
      </c>
      <c r="Q31" s="1503"/>
      <c r="R31" s="1503"/>
      <c r="S31" s="1205"/>
      <c r="T31" s="1235"/>
      <c r="U31" s="287"/>
      <c r="V31" s="260"/>
      <c r="W31" s="300"/>
      <c r="X31" s="298"/>
      <c r="Y31" s="264"/>
      <c r="Z31" s="265"/>
      <c r="AA31" s="87"/>
      <c r="AB31" s="267"/>
      <c r="AC31" s="88"/>
      <c r="AD31" s="267"/>
      <c r="AE31" s="259"/>
      <c r="AF31" s="267"/>
      <c r="AG31" s="259"/>
      <c r="AH31" s="1252"/>
      <c r="AI31" s="259"/>
      <c r="AJ31" s="275"/>
      <c r="AK31" s="287"/>
      <c r="AL31" s="261"/>
      <c r="AM31" s="264"/>
      <c r="AN31" s="264"/>
      <c r="AO31" s="264"/>
      <c r="AP31" s="264"/>
      <c r="AQ31" s="264"/>
      <c r="AR31" s="264"/>
      <c r="AS31" s="264"/>
      <c r="AT31" s="264"/>
      <c r="AU31" s="264"/>
      <c r="AV31" s="264"/>
      <c r="AW31" s="264"/>
      <c r="AX31" s="264"/>
      <c r="AY31" s="264"/>
      <c r="AZ31" s="264"/>
      <c r="BA31" s="264"/>
      <c r="BB31" s="264"/>
      <c r="BC31" s="264"/>
      <c r="BD31" s="264"/>
      <c r="BE31" s="264"/>
      <c r="BF31" s="274"/>
      <c r="BG31" s="287"/>
      <c r="BH31" s="261"/>
      <c r="BI31" s="264"/>
      <c r="BJ31" s="264"/>
      <c r="BK31" s="264"/>
      <c r="BL31" s="264"/>
      <c r="BM31" s="264"/>
      <c r="BN31" s="264"/>
      <c r="BO31" s="264"/>
      <c r="BP31" s="264"/>
      <c r="BQ31" s="264"/>
      <c r="BR31" s="264"/>
      <c r="BS31" s="264"/>
      <c r="BT31" s="264"/>
      <c r="BU31" s="274"/>
      <c r="BV31" s="287"/>
      <c r="BW31" s="261"/>
      <c r="BX31" s="264"/>
      <c r="BY31" s="264"/>
      <c r="BZ31" s="264"/>
      <c r="CA31" s="264"/>
      <c r="CB31" s="264"/>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264"/>
      <c r="CY31" s="264"/>
      <c r="CZ31" s="274"/>
      <c r="DA31" s="287"/>
    </row>
    <row r="32" spans="1:105" ht="18" thickBot="1" x14ac:dyDescent="0.3">
      <c r="A32" s="1166" t="s">
        <v>385</v>
      </c>
      <c r="B32" s="285" t="s">
        <v>526</v>
      </c>
      <c r="C32" s="21">
        <v>1</v>
      </c>
      <c r="D32" s="1222" t="s">
        <v>525</v>
      </c>
      <c r="E32" s="1215"/>
      <c r="F32" s="1211"/>
      <c r="G32" s="1223" t="s">
        <v>498</v>
      </c>
      <c r="H32" s="1213"/>
      <c r="I32" s="1226"/>
      <c r="J32" s="264"/>
      <c r="K32" s="1223" t="s">
        <v>484</v>
      </c>
      <c r="L32" s="1213"/>
      <c r="M32" s="1227"/>
      <c r="N32" s="264"/>
      <c r="O32" s="1212"/>
      <c r="P32" s="1211"/>
      <c r="Q32" s="298"/>
      <c r="R32" s="1213" t="s">
        <v>397</v>
      </c>
      <c r="S32" s="17">
        <v>14.6</v>
      </c>
      <c r="T32" s="275" t="s">
        <v>413</v>
      </c>
      <c r="U32" s="287"/>
      <c r="V32" s="279"/>
      <c r="W32" s="278"/>
      <c r="X32" s="283"/>
      <c r="Y32" s="283"/>
      <c r="Z32" s="278"/>
      <c r="AA32" s="1261"/>
      <c r="AB32" s="271"/>
      <c r="AC32" s="1264"/>
      <c r="AD32" s="271"/>
      <c r="AE32" s="1262"/>
      <c r="AF32" s="271"/>
      <c r="AG32" s="1262"/>
      <c r="AH32" s="271"/>
      <c r="AI32" s="1262"/>
      <c r="AJ32" s="284"/>
      <c r="AK32" s="289"/>
      <c r="AL32" s="280"/>
      <c r="AM32" s="266"/>
      <c r="AN32" s="266"/>
      <c r="AO32" s="266"/>
      <c r="AP32" s="266"/>
      <c r="AQ32" s="266"/>
      <c r="AR32" s="266"/>
      <c r="AS32" s="266"/>
      <c r="AT32" s="266"/>
      <c r="AU32" s="266"/>
      <c r="AV32" s="266"/>
      <c r="AW32" s="266"/>
      <c r="AX32" s="266"/>
      <c r="AY32" s="266"/>
      <c r="AZ32" s="266"/>
      <c r="BA32" s="266"/>
      <c r="BB32" s="266"/>
      <c r="BC32" s="266"/>
      <c r="BD32" s="266"/>
      <c r="BE32" s="266"/>
      <c r="BF32" s="274"/>
      <c r="BG32" s="287"/>
      <c r="BH32" s="261"/>
      <c r="BI32" s="264"/>
      <c r="BJ32" s="264"/>
      <c r="BK32" s="264"/>
      <c r="BL32" s="264"/>
      <c r="BM32" s="264"/>
      <c r="BN32" s="264"/>
      <c r="BO32" s="264"/>
      <c r="BP32" s="264"/>
      <c r="BQ32" s="264"/>
      <c r="BR32" s="264"/>
      <c r="BS32" s="264"/>
      <c r="BT32" s="264"/>
      <c r="BU32" s="274"/>
      <c r="BV32" s="287"/>
      <c r="BW32" s="261"/>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74"/>
      <c r="DA32" s="287"/>
    </row>
    <row r="33" spans="1:105" ht="18.75" customHeight="1" thickBot="1" x14ac:dyDescent="0.3">
      <c r="A33" s="261"/>
      <c r="B33" s="282"/>
      <c r="C33" s="1483" t="str">
        <f>IF(C32="none","No system selected",VLOOKUP('Options and results'!C32,Systemlist!$A$5:$D$34,4,FALSE))</f>
        <v xml:space="preserve">UK Poplar 156 trees/ha </v>
      </c>
      <c r="D33" s="1484"/>
      <c r="E33" s="1215"/>
      <c r="F33" s="1211"/>
      <c r="G33" s="1213"/>
      <c r="H33" s="1213" t="s">
        <v>417</v>
      </c>
      <c r="I33" s="21">
        <v>1</v>
      </c>
      <c r="J33" s="266" t="s">
        <v>426</v>
      </c>
      <c r="K33" s="1213"/>
      <c r="L33" s="1213" t="s">
        <v>430</v>
      </c>
      <c r="M33" s="26">
        <v>0.1</v>
      </c>
      <c r="N33" s="266" t="s">
        <v>414</v>
      </c>
      <c r="O33" s="1212"/>
      <c r="P33" s="1211"/>
      <c r="Q33" s="298"/>
      <c r="R33" s="1213" t="s">
        <v>398</v>
      </c>
      <c r="S33" s="18">
        <v>14.6</v>
      </c>
      <c r="T33" s="275" t="s">
        <v>413</v>
      </c>
      <c r="U33" s="287"/>
      <c r="V33" s="1163" t="s">
        <v>597</v>
      </c>
      <c r="W33" s="1292">
        <v>0.04</v>
      </c>
      <c r="X33" s="264"/>
      <c r="Y33" s="268" t="s">
        <v>633</v>
      </c>
      <c r="Z33" s="267" t="s">
        <v>440</v>
      </c>
      <c r="AA33" s="1251">
        <f>VLOOKUP(W27,Plot!$HM$8:$HX$67,Plot!$HT$2,FALSE)</f>
        <v>9543.9626789834456</v>
      </c>
      <c r="AB33" s="1252"/>
      <c r="AC33" s="1253">
        <f>VLOOKUP(W27,Plot!$HM$8:$HY$67,Plot!$HY$2,FALSE)</f>
        <v>1196.5858755993759</v>
      </c>
      <c r="AD33" s="1252"/>
      <c r="AE33" s="1251">
        <f ca="1">VLOOKUP(W27,Plot!$HM$8:$HX$67,Plot!$HV$2,FALSE)</f>
        <v>1492.284005110379</v>
      </c>
      <c r="AF33" s="1252"/>
      <c r="AG33" s="1251">
        <f>VLOOKUP(W27,Plot!$HM$8:$HX$67,Plot!$HW$2,FALSE)</f>
        <v>2009.9363149326141</v>
      </c>
      <c r="AH33" s="1252"/>
      <c r="AI33" s="1251">
        <f ca="1">SUM(AE33,AG33)</f>
        <v>3502.2203200429931</v>
      </c>
      <c r="AJ33" s="276"/>
      <c r="AK33" s="289"/>
      <c r="AL33" s="280"/>
      <c r="AM33" s="266"/>
      <c r="AN33" s="266"/>
      <c r="AO33" s="266"/>
      <c r="AP33" s="266"/>
      <c r="AQ33" s="266"/>
      <c r="AR33" s="266"/>
      <c r="AS33" s="266"/>
      <c r="AT33" s="266"/>
      <c r="AU33" s="266"/>
      <c r="AV33" s="266"/>
      <c r="AW33" s="266"/>
      <c r="AX33" s="266"/>
      <c r="AY33" s="266"/>
      <c r="AZ33" s="266"/>
      <c r="BA33" s="266"/>
      <c r="BB33" s="266"/>
      <c r="BC33" s="266"/>
      <c r="BD33" s="266"/>
      <c r="BE33" s="266"/>
      <c r="BF33" s="274"/>
      <c r="BG33" s="287"/>
      <c r="BH33" s="261"/>
      <c r="BI33" s="264"/>
      <c r="BJ33" s="264"/>
      <c r="BK33" s="264"/>
      <c r="BL33" s="264"/>
      <c r="BM33" s="264"/>
      <c r="BN33" s="264"/>
      <c r="BO33" s="264"/>
      <c r="BP33" s="264"/>
      <c r="BQ33" s="264"/>
      <c r="BR33" s="264"/>
      <c r="BS33" s="264"/>
      <c r="BT33" s="264"/>
      <c r="BU33" s="274"/>
      <c r="BV33" s="287"/>
      <c r="BW33" s="261"/>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74"/>
      <c r="DA33" s="287"/>
    </row>
    <row r="34" spans="1:105" ht="20.25" customHeight="1" thickBot="1" x14ac:dyDescent="0.3">
      <c r="A34" s="1210"/>
      <c r="B34" s="1212"/>
      <c r="C34" s="1212"/>
      <c r="D34" s="1212"/>
      <c r="E34" s="1215"/>
      <c r="F34" s="1211"/>
      <c r="G34" s="1213"/>
      <c r="H34" s="1213"/>
      <c r="I34" s="22">
        <v>33.33</v>
      </c>
      <c r="J34" s="266" t="s">
        <v>416</v>
      </c>
      <c r="K34" s="1213"/>
      <c r="L34" s="1213" t="s">
        <v>431</v>
      </c>
      <c r="M34" s="27">
        <v>1</v>
      </c>
      <c r="N34" s="266" t="s">
        <v>382</v>
      </c>
      <c r="O34" s="1212"/>
      <c r="P34" s="1211"/>
      <c r="Q34" s="298"/>
      <c r="R34" s="1213" t="s">
        <v>399</v>
      </c>
      <c r="S34" s="18">
        <v>14.6</v>
      </c>
      <c r="T34" s="275" t="s">
        <v>413</v>
      </c>
      <c r="U34" s="287"/>
      <c r="V34" s="261"/>
      <c r="W34" s="265"/>
      <c r="X34" s="264"/>
      <c r="Y34" s="268" t="s">
        <v>668</v>
      </c>
      <c r="Z34" s="267" t="s">
        <v>440</v>
      </c>
      <c r="AA34" s="1251">
        <f>VLOOKUP(W27,Plot!$FV$8:$GJ$67,Plot!$GF$2,FALSE)</f>
        <v>27229.75342018481</v>
      </c>
      <c r="AB34" s="1252"/>
      <c r="AC34" s="1251">
        <f>VLOOKUP(W27,Plot!$FV$8:$GJ$67,Plot!$GG$2,FALSE)</f>
        <v>2788.9913946501542</v>
      </c>
      <c r="AD34" s="1252"/>
      <c r="AE34" s="1251">
        <f ca="1">VLOOKUP(W27,Plot!$FV$8:$GJ$67,Plot!$GH$2,FALSE)</f>
        <v>14787.259868716837</v>
      </c>
      <c r="AF34" s="1252"/>
      <c r="AG34" s="1251">
        <f>VLOOKUP(W27,Plot!$FV$8:$GJ$67,Plot!$GI$2,FALSE)</f>
        <v>3079.5045587076711</v>
      </c>
      <c r="AH34" s="1252"/>
      <c r="AI34" s="1251">
        <f t="shared" ref="AI34:AI36" ca="1" si="3">SUM(AE34,AG34)</f>
        <v>17866.76442742451</v>
      </c>
      <c r="AJ34" s="274"/>
      <c r="AK34" s="289"/>
      <c r="AL34" s="280"/>
      <c r="AM34" s="266"/>
      <c r="AN34" s="266"/>
      <c r="AO34" s="266"/>
      <c r="AP34" s="266"/>
      <c r="AQ34" s="266"/>
      <c r="AR34" s="266"/>
      <c r="AS34" s="266"/>
      <c r="AT34" s="266"/>
      <c r="AU34" s="266"/>
      <c r="AV34" s="266"/>
      <c r="AW34" s="266"/>
      <c r="AX34" s="266"/>
      <c r="AY34" s="266"/>
      <c r="AZ34" s="266"/>
      <c r="BA34" s="266"/>
      <c r="BB34" s="266"/>
      <c r="BC34" s="266"/>
      <c r="BD34" s="266"/>
      <c r="BE34" s="266"/>
      <c r="BF34" s="274"/>
      <c r="BG34" s="287"/>
      <c r="BH34" s="261"/>
      <c r="BI34" s="264"/>
      <c r="BJ34" s="264"/>
      <c r="BK34" s="264"/>
      <c r="BL34" s="264"/>
      <c r="BM34" s="264"/>
      <c r="BN34" s="264"/>
      <c r="BO34" s="264"/>
      <c r="BP34" s="264"/>
      <c r="BQ34" s="264"/>
      <c r="BR34" s="264"/>
      <c r="BS34" s="264"/>
      <c r="BT34" s="264"/>
      <c r="BU34" s="274"/>
      <c r="BV34" s="287"/>
      <c r="BW34" s="261"/>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74"/>
      <c r="DA34" s="287"/>
    </row>
    <row r="35" spans="1:105" ht="19.5" customHeight="1" thickBot="1" x14ac:dyDescent="0.3">
      <c r="A35" s="1211"/>
      <c r="B35" s="282" t="s">
        <v>384</v>
      </c>
      <c r="C35" s="1345">
        <f>IF((MATCH(0,Plot!$AB8:$AB67,-1))&lt;60,(MATCH(0,Plot!$AB8:$AB67,-1))-1,(MATCH(0,Plot!$AB8:$AB67,-1)))</f>
        <v>30</v>
      </c>
      <c r="D35" s="266" t="s">
        <v>382</v>
      </c>
      <c r="E35" s="1215"/>
      <c r="F35" s="1211"/>
      <c r="G35" s="1213"/>
      <c r="H35" s="1213" t="s">
        <v>418</v>
      </c>
      <c r="I35" s="21"/>
      <c r="J35" s="266" t="s">
        <v>426</v>
      </c>
      <c r="K35" s="1223" t="s">
        <v>248</v>
      </c>
      <c r="L35" s="1213"/>
      <c r="M35" s="1230"/>
      <c r="N35" s="264"/>
      <c r="O35" s="1212"/>
      <c r="P35" s="1211"/>
      <c r="Q35" s="298"/>
      <c r="R35" s="1213" t="s">
        <v>400</v>
      </c>
      <c r="S35" s="18">
        <v>14.6</v>
      </c>
      <c r="T35" s="275" t="s">
        <v>413</v>
      </c>
      <c r="U35" s="287"/>
      <c r="V35" s="261"/>
      <c r="W35" s="265"/>
      <c r="X35" s="264"/>
      <c r="Y35" s="268" t="s">
        <v>441</v>
      </c>
      <c r="Z35" s="267" t="s">
        <v>440</v>
      </c>
      <c r="AA35" s="1251">
        <f>VLOOKUP(W27,Plot!$GO$8:$GY$67,Plot!$GU$2,FALSE)</f>
        <v>4229.7696816089356</v>
      </c>
      <c r="AB35" s="1252"/>
      <c r="AC35" s="1251">
        <f>VLOOKUP(W27,Plot!$GO$8:$GY$67,Plot!$GV$2,FALSE)</f>
        <v>0</v>
      </c>
      <c r="AD35" s="1252"/>
      <c r="AE35" s="1251">
        <f>VLOOKUP(W27,Plot!$GO$8:$GY$67,Plot!$GW$2,FALSE)</f>
        <v>0</v>
      </c>
      <c r="AF35" s="1252"/>
      <c r="AG35" s="1251">
        <f>VLOOKUP(W27,Plot!$GO$8:$GY$67,Plot!$GX$2,FALSE)</f>
        <v>0</v>
      </c>
      <c r="AH35" s="1252"/>
      <c r="AI35" s="1251">
        <f t="shared" si="3"/>
        <v>0</v>
      </c>
      <c r="AJ35" s="275"/>
      <c r="AK35" s="289"/>
      <c r="AL35" s="280"/>
      <c r="AM35" s="266"/>
      <c r="AN35" s="266"/>
      <c r="AO35" s="266"/>
      <c r="AP35" s="266"/>
      <c r="AQ35" s="266"/>
      <c r="AR35" s="266"/>
      <c r="AS35" s="266"/>
      <c r="AT35" s="266"/>
      <c r="AU35" s="266"/>
      <c r="AV35" s="266"/>
      <c r="AW35" s="266"/>
      <c r="AX35" s="266"/>
      <c r="AY35" s="266"/>
      <c r="AZ35" s="266"/>
      <c r="BA35" s="266"/>
      <c r="BB35" s="266"/>
      <c r="BC35" s="266"/>
      <c r="BD35" s="266"/>
      <c r="BE35" s="266"/>
      <c r="BF35" s="274"/>
      <c r="BG35" s="287"/>
      <c r="BH35" s="261"/>
      <c r="BI35" s="264"/>
      <c r="BJ35" s="264"/>
      <c r="BK35" s="264"/>
      <c r="BL35" s="264"/>
      <c r="BM35" s="264"/>
      <c r="BN35" s="264"/>
      <c r="BO35" s="264"/>
      <c r="BP35" s="264"/>
      <c r="BQ35" s="264"/>
      <c r="BR35" s="264"/>
      <c r="BS35" s="264"/>
      <c r="BT35" s="264"/>
      <c r="BU35" s="274"/>
      <c r="BV35" s="287"/>
      <c r="BW35" s="261"/>
      <c r="BX35" s="264"/>
      <c r="BY35" s="264"/>
      <c r="BZ35" s="264"/>
      <c r="CA35" s="264"/>
      <c r="CB35" s="264"/>
      <c r="CC35" s="264"/>
      <c r="CD35" s="264"/>
      <c r="CE35" s="264"/>
      <c r="CF35" s="264"/>
      <c r="CG35" s="264"/>
      <c r="CH35" s="264"/>
      <c r="CI35" s="264"/>
      <c r="CJ35" s="264"/>
      <c r="CK35" s="264"/>
      <c r="CL35" s="264"/>
      <c r="CM35" s="264"/>
      <c r="CN35" s="264"/>
      <c r="CO35" s="264"/>
      <c r="CP35" s="264"/>
      <c r="CQ35" s="264"/>
      <c r="CR35" s="264"/>
      <c r="CS35" s="264"/>
      <c r="CT35" s="264"/>
      <c r="CU35" s="264"/>
      <c r="CV35" s="264"/>
      <c r="CW35" s="264"/>
      <c r="CX35" s="264"/>
      <c r="CY35" s="264"/>
      <c r="CZ35" s="274"/>
      <c r="DA35" s="287"/>
    </row>
    <row r="36" spans="1:105" ht="19.5" customHeight="1" thickBot="1" x14ac:dyDescent="0.3">
      <c r="A36" s="1211"/>
      <c r="B36" s="1212"/>
      <c r="C36" s="1212"/>
      <c r="D36" s="1212"/>
      <c r="E36" s="1215"/>
      <c r="F36" s="1211"/>
      <c r="G36" s="1213"/>
      <c r="H36" s="1213"/>
      <c r="I36" s="22"/>
      <c r="J36" s="266" t="s">
        <v>416</v>
      </c>
      <c r="K36" s="1213"/>
      <c r="L36" s="282" t="s">
        <v>432</v>
      </c>
      <c r="M36" s="28">
        <v>1</v>
      </c>
      <c r="N36" s="266" t="s">
        <v>437</v>
      </c>
      <c r="O36" s="1212"/>
      <c r="P36" s="1211"/>
      <c r="Q36" s="298"/>
      <c r="R36" s="1213" t="s">
        <v>401</v>
      </c>
      <c r="S36" s="19">
        <v>14.6</v>
      </c>
      <c r="T36" s="275" t="s">
        <v>413</v>
      </c>
      <c r="U36" s="287"/>
      <c r="V36" s="261"/>
      <c r="W36" s="265"/>
      <c r="X36" s="264"/>
      <c r="Y36" s="268" t="s">
        <v>442</v>
      </c>
      <c r="Z36" s="267" t="s">
        <v>440</v>
      </c>
      <c r="AA36" s="1251">
        <f>VLOOKUP(W27,Plot!$HA$8:$HK$67,Plot!$HG$2,FALSE)</f>
        <v>21915.560422810304</v>
      </c>
      <c r="AB36" s="1252"/>
      <c r="AC36" s="1253">
        <f>VLOOKUP(W27,Plot!$HA$8:$HK$67,Plot!$HH$2,FALSE)</f>
        <v>1592.4055190507786</v>
      </c>
      <c r="AD36" s="1252"/>
      <c r="AE36" s="1251">
        <f>VLOOKUP(W27,Plot!$HA$8:$HK$67,Plot!$HI$2,FALSE)</f>
        <v>13294.975863606456</v>
      </c>
      <c r="AF36" s="1252"/>
      <c r="AG36" s="1251">
        <f>VLOOKUP(W27,Plot!$HA$8:$HK$67,Plot!$HJ$2,FALSE)</f>
        <v>1069.5682437750568</v>
      </c>
      <c r="AH36" s="1252"/>
      <c r="AI36" s="1251">
        <f t="shared" si="3"/>
        <v>14364.544107381513</v>
      </c>
      <c r="AJ36" s="275"/>
      <c r="AK36" s="289"/>
      <c r="AL36" s="280"/>
      <c r="AM36" s="266"/>
      <c r="AN36" s="266"/>
      <c r="AO36" s="266"/>
      <c r="AP36" s="266"/>
      <c r="AQ36" s="266"/>
      <c r="AR36" s="266"/>
      <c r="AS36" s="266"/>
      <c r="AT36" s="266"/>
      <c r="AU36" s="266"/>
      <c r="AV36" s="266"/>
      <c r="AW36" s="266"/>
      <c r="AX36" s="266"/>
      <c r="AY36" s="266"/>
      <c r="AZ36" s="266"/>
      <c r="BA36" s="266"/>
      <c r="BB36" s="266"/>
      <c r="BC36" s="266"/>
      <c r="BD36" s="266"/>
      <c r="BE36" s="266"/>
      <c r="BF36" s="274"/>
      <c r="BG36" s="287"/>
      <c r="BH36" s="261"/>
      <c r="BI36" s="264"/>
      <c r="BJ36" s="264"/>
      <c r="BK36" s="264"/>
      <c r="BL36" s="264"/>
      <c r="BM36" s="264"/>
      <c r="BN36" s="264"/>
      <c r="BO36" s="264"/>
      <c r="BP36" s="264"/>
      <c r="BQ36" s="264"/>
      <c r="BR36" s="264"/>
      <c r="BS36" s="264"/>
      <c r="BT36" s="264"/>
      <c r="BU36" s="274"/>
      <c r="BV36" s="287"/>
      <c r="BW36" s="261"/>
      <c r="BX36" s="264"/>
      <c r="BY36" s="264"/>
      <c r="BZ36" s="264"/>
      <c r="CA36" s="264"/>
      <c r="CB36" s="264"/>
      <c r="CC36" s="264"/>
      <c r="CD36" s="264"/>
      <c r="CE36" s="264"/>
      <c r="CF36" s="264"/>
      <c r="CG36" s="264"/>
      <c r="CH36" s="264"/>
      <c r="CI36" s="264"/>
      <c r="CJ36" s="264"/>
      <c r="CK36" s="264"/>
      <c r="CL36" s="264"/>
      <c r="CM36" s="264"/>
      <c r="CN36" s="264"/>
      <c r="CO36" s="264"/>
      <c r="CP36" s="264"/>
      <c r="CQ36" s="264"/>
      <c r="CR36" s="264"/>
      <c r="CS36" s="264"/>
      <c r="CT36" s="264"/>
      <c r="CU36" s="264"/>
      <c r="CV36" s="264"/>
      <c r="CW36" s="264"/>
      <c r="CX36" s="264"/>
      <c r="CY36" s="264"/>
      <c r="CZ36" s="274"/>
      <c r="DA36" s="287"/>
    </row>
    <row r="37" spans="1:105" ht="15.75" thickBot="1" x14ac:dyDescent="0.3">
      <c r="A37" s="261"/>
      <c r="B37" s="282" t="s">
        <v>394</v>
      </c>
      <c r="C37" s="251">
        <v>2</v>
      </c>
      <c r="D37" s="263" t="s">
        <v>520</v>
      </c>
      <c r="E37" s="1215"/>
      <c r="F37" s="1211"/>
      <c r="G37" s="1213"/>
      <c r="H37" s="1213" t="s">
        <v>419</v>
      </c>
      <c r="I37" s="21"/>
      <c r="J37" s="266" t="s">
        <v>426</v>
      </c>
      <c r="K37" s="282"/>
      <c r="L37" s="282" t="s">
        <v>433</v>
      </c>
      <c r="M37" s="29">
        <v>1</v>
      </c>
      <c r="N37" s="266" t="s">
        <v>437</v>
      </c>
      <c r="O37" s="1212"/>
      <c r="P37" s="1504" t="s">
        <v>491</v>
      </c>
      <c r="Q37" s="1505"/>
      <c r="R37" s="1505"/>
      <c r="S37" s="1212"/>
      <c r="T37" s="1215"/>
      <c r="U37" s="287"/>
      <c r="V37" s="261"/>
      <c r="W37" s="265"/>
      <c r="X37" s="264"/>
      <c r="Y37" s="264"/>
      <c r="Z37" s="265"/>
      <c r="AA37" s="87"/>
      <c r="AB37" s="267"/>
      <c r="AC37" s="88"/>
      <c r="AD37" s="267"/>
      <c r="AE37" s="259"/>
      <c r="AF37" s="267"/>
      <c r="AG37" s="259"/>
      <c r="AH37" s="1252"/>
      <c r="AI37" s="259"/>
      <c r="AJ37" s="275"/>
      <c r="AK37" s="286"/>
      <c r="AL37" s="297"/>
      <c r="AM37" s="263"/>
      <c r="AN37" s="263"/>
      <c r="AO37" s="263"/>
      <c r="AP37" s="263"/>
      <c r="AQ37" s="263"/>
      <c r="AR37" s="263"/>
      <c r="AS37" s="263"/>
      <c r="AT37" s="263"/>
      <c r="AU37" s="263"/>
      <c r="AV37" s="263"/>
      <c r="AW37" s="263"/>
      <c r="AX37" s="263"/>
      <c r="AY37" s="263"/>
      <c r="AZ37" s="263"/>
      <c r="BA37" s="263"/>
      <c r="BB37" s="263"/>
      <c r="BC37" s="263"/>
      <c r="BD37" s="263"/>
      <c r="BE37" s="263"/>
      <c r="BF37" s="274"/>
      <c r="BG37" s="287"/>
      <c r="BH37" s="261"/>
      <c r="BI37" s="264"/>
      <c r="BJ37" s="264"/>
      <c r="BK37" s="264"/>
      <c r="BL37" s="264"/>
      <c r="BM37" s="264"/>
      <c r="BN37" s="264"/>
      <c r="BO37" s="264"/>
      <c r="BP37" s="264"/>
      <c r="BQ37" s="264"/>
      <c r="BR37" s="264"/>
      <c r="BS37" s="264"/>
      <c r="BT37" s="264"/>
      <c r="BU37" s="274"/>
      <c r="BV37" s="287"/>
      <c r="BW37" s="261"/>
      <c r="BX37" s="264"/>
      <c r="BY37" s="264"/>
      <c r="BZ37" s="264"/>
      <c r="CA37" s="264"/>
      <c r="CB37" s="264"/>
      <c r="CC37" s="264"/>
      <c r="CD37" s="264"/>
      <c r="CE37" s="264"/>
      <c r="CF37" s="264"/>
      <c r="CG37" s="264"/>
      <c r="CH37" s="264"/>
      <c r="CI37" s="264"/>
      <c r="CJ37" s="264"/>
      <c r="CK37" s="264"/>
      <c r="CL37" s="264"/>
      <c r="CM37" s="264"/>
      <c r="CN37" s="264"/>
      <c r="CO37" s="264"/>
      <c r="CP37" s="264"/>
      <c r="CQ37" s="264"/>
      <c r="CR37" s="264"/>
      <c r="CS37" s="264"/>
      <c r="CT37" s="264"/>
      <c r="CU37" s="264"/>
      <c r="CV37" s="264"/>
      <c r="CW37" s="264"/>
      <c r="CX37" s="264"/>
      <c r="CY37" s="264"/>
      <c r="CZ37" s="274"/>
      <c r="DA37" s="287"/>
    </row>
    <row r="38" spans="1:105" ht="18.75" customHeight="1" thickBot="1" x14ac:dyDescent="0.3">
      <c r="A38" s="261"/>
      <c r="B38" s="282"/>
      <c r="C38" s="1483" t="str">
        <f>VLOOKUP(C37,Treecost!$A$6:$B$49,2,FALSE)</f>
        <v>UK Poplar Forestry England standard EU</v>
      </c>
      <c r="D38" s="1484"/>
      <c r="E38" s="1215"/>
      <c r="F38" s="1211"/>
      <c r="G38" s="1213"/>
      <c r="H38" s="1213"/>
      <c r="I38" s="22"/>
      <c r="J38" s="266" t="s">
        <v>416</v>
      </c>
      <c r="K38" s="1228"/>
      <c r="L38" s="1213" t="s">
        <v>434</v>
      </c>
      <c r="M38" s="30">
        <v>0.7</v>
      </c>
      <c r="N38" s="266" t="s">
        <v>438</v>
      </c>
      <c r="O38" s="1212"/>
      <c r="P38" s="1211"/>
      <c r="Q38" s="1223"/>
      <c r="R38" s="1213" t="s">
        <v>402</v>
      </c>
      <c r="S38" s="17">
        <v>14.6</v>
      </c>
      <c r="T38" s="275" t="s">
        <v>413</v>
      </c>
      <c r="U38" s="287"/>
      <c r="V38" s="261"/>
      <c r="W38" s="265"/>
      <c r="X38" s="264"/>
      <c r="Y38" s="266" t="s">
        <v>664</v>
      </c>
      <c r="Z38" s="267" t="s">
        <v>667</v>
      </c>
      <c r="AA38" s="1251">
        <f>(AA33/(1-(1/((1+$W$33)^$W$27))))*$W$33</f>
        <v>551.92830785357637</v>
      </c>
      <c r="AB38" s="1252"/>
      <c r="AC38" s="1251">
        <f>(AC33/(1-(1/((1+$W$33)^$W$27))))*$W$33</f>
        <v>69.198679807850809</v>
      </c>
      <c r="AD38" s="1252"/>
      <c r="AE38" s="1251">
        <f ca="1">(AE33/(1-(1/((1+$W$33)^$W$27))))*$W$33</f>
        <v>86.298931951110362</v>
      </c>
      <c r="AF38" s="1252"/>
      <c r="AG38" s="1251">
        <f>(AG33/(1-(1/((1+$W$33)^$W$27))))*$W$33</f>
        <v>116.23481634489896</v>
      </c>
      <c r="AH38" s="1252"/>
      <c r="AI38" s="1251">
        <f ca="1">(AI33/(1-(1/((1+$W$33)^$W$27))))*$W$33</f>
        <v>202.53374829600929</v>
      </c>
      <c r="AJ38" s="276"/>
      <c r="AK38" s="289"/>
      <c r="AL38" s="280"/>
      <c r="AM38" s="266"/>
      <c r="AN38" s="266"/>
      <c r="AO38" s="266"/>
      <c r="AP38" s="266"/>
      <c r="AQ38" s="266"/>
      <c r="AR38" s="266"/>
      <c r="AS38" s="266"/>
      <c r="AT38" s="266"/>
      <c r="AU38" s="266"/>
      <c r="AV38" s="266"/>
      <c r="AW38" s="266"/>
      <c r="AX38" s="266"/>
      <c r="AY38" s="266"/>
      <c r="AZ38" s="266"/>
      <c r="BA38" s="266"/>
      <c r="BB38" s="266"/>
      <c r="BC38" s="266"/>
      <c r="BD38" s="266"/>
      <c r="BE38" s="266"/>
      <c r="BF38" s="274"/>
      <c r="BG38" s="287"/>
      <c r="BH38" s="261"/>
      <c r="BI38" s="264"/>
      <c r="BJ38" s="264"/>
      <c r="BK38" s="264"/>
      <c r="BL38" s="264"/>
      <c r="BM38" s="264"/>
      <c r="BN38" s="264"/>
      <c r="BO38" s="264"/>
      <c r="BP38" s="264"/>
      <c r="BQ38" s="264"/>
      <c r="BR38" s="264"/>
      <c r="BS38" s="264"/>
      <c r="BT38" s="264"/>
      <c r="BU38" s="274"/>
      <c r="BV38" s="287"/>
      <c r="BW38" s="261"/>
      <c r="BX38" s="264"/>
      <c r="BY38" s="264"/>
      <c r="BZ38" s="264"/>
      <c r="CA38" s="264"/>
      <c r="CB38" s="264"/>
      <c r="CC38" s="264"/>
      <c r="CD38" s="264"/>
      <c r="CE38" s="264"/>
      <c r="CF38" s="264"/>
      <c r="CG38" s="264"/>
      <c r="CH38" s="264"/>
      <c r="CI38" s="264"/>
      <c r="CJ38" s="264"/>
      <c r="CK38" s="264"/>
      <c r="CL38" s="264"/>
      <c r="CM38" s="264"/>
      <c r="CN38" s="264"/>
      <c r="CO38" s="264"/>
      <c r="CP38" s="264"/>
      <c r="CQ38" s="264"/>
      <c r="CR38" s="264"/>
      <c r="CS38" s="264"/>
      <c r="CT38" s="264"/>
      <c r="CU38" s="264"/>
      <c r="CV38" s="264"/>
      <c r="CW38" s="264"/>
      <c r="CX38" s="264"/>
      <c r="CY38" s="264"/>
      <c r="CZ38" s="274"/>
      <c r="DA38" s="287"/>
    </row>
    <row r="39" spans="1:105" ht="18.75" customHeight="1" thickBot="1" x14ac:dyDescent="0.3">
      <c r="A39" s="261"/>
      <c r="B39" s="282" t="s">
        <v>522</v>
      </c>
      <c r="C39" s="246">
        <v>1</v>
      </c>
      <c r="D39" s="263" t="s">
        <v>520</v>
      </c>
      <c r="E39" s="1215"/>
      <c r="F39" s="1211"/>
      <c r="G39" s="1213"/>
      <c r="H39" s="1213" t="s">
        <v>420</v>
      </c>
      <c r="I39" s="21"/>
      <c r="J39" s="266" t="s">
        <v>426</v>
      </c>
      <c r="K39" s="1228"/>
      <c r="L39" s="282" t="s">
        <v>435</v>
      </c>
      <c r="M39" s="252" t="s">
        <v>210</v>
      </c>
      <c r="N39" s="266" t="s">
        <v>439</v>
      </c>
      <c r="O39" s="1212"/>
      <c r="P39" s="1211"/>
      <c r="Q39" s="298"/>
      <c r="R39" s="1213" t="s">
        <v>403</v>
      </c>
      <c r="S39" s="18">
        <v>14.6</v>
      </c>
      <c r="T39" s="275" t="s">
        <v>413</v>
      </c>
      <c r="U39" s="287"/>
      <c r="V39" s="261"/>
      <c r="W39" s="265"/>
      <c r="X39" s="264"/>
      <c r="Y39" s="263" t="s">
        <v>665</v>
      </c>
      <c r="Z39" s="267" t="s">
        <v>667</v>
      </c>
      <c r="AA39" s="1251">
        <f>(AA34/(1-(1/((1+$W$33)^$W$27))))*$W$33</f>
        <v>1574.6993396744406</v>
      </c>
      <c r="AB39" s="1260"/>
      <c r="AC39" s="1251">
        <f>(AC34/(1-(1/((1+$W$33)^$W$27))))*$W$33</f>
        <v>161.28764883554672</v>
      </c>
      <c r="AD39" s="1260"/>
      <c r="AE39" s="1251">
        <f ca="1">(AE34/(1-(1/((1+$W$33)^$W$27))))*$W$33</f>
        <v>855.1487041231062</v>
      </c>
      <c r="AF39" s="1260"/>
      <c r="AG39" s="1251">
        <f>(AG34/(1-(1/((1+$W$33)^$W$27))))*$W$33</f>
        <v>178.08805391262652</v>
      </c>
      <c r="AH39" s="1260"/>
      <c r="AI39" s="1251">
        <f ca="1">(AI34/(1-(1/((1+$W$33)^$W$27))))*$W$33</f>
        <v>1033.2367580357327</v>
      </c>
      <c r="AJ39" s="274"/>
      <c r="AK39" s="288"/>
      <c r="AL39" s="260"/>
      <c r="AM39" s="298"/>
      <c r="AN39" s="298"/>
      <c r="AO39" s="298"/>
      <c r="AP39" s="298"/>
      <c r="AQ39" s="298"/>
      <c r="AR39" s="298"/>
      <c r="AS39" s="298"/>
      <c r="AT39" s="298"/>
      <c r="AU39" s="298"/>
      <c r="AV39" s="298"/>
      <c r="AW39" s="298"/>
      <c r="AX39" s="298"/>
      <c r="AY39" s="298"/>
      <c r="AZ39" s="298"/>
      <c r="BA39" s="298"/>
      <c r="BB39" s="298"/>
      <c r="BC39" s="298"/>
      <c r="BD39" s="298"/>
      <c r="BE39" s="298"/>
      <c r="BF39" s="274"/>
      <c r="BG39" s="287"/>
      <c r="BH39" s="261"/>
      <c r="BI39" s="264"/>
      <c r="BJ39" s="264"/>
      <c r="BK39" s="264"/>
      <c r="BL39" s="264"/>
      <c r="BM39" s="264"/>
      <c r="BN39" s="264"/>
      <c r="BO39" s="264"/>
      <c r="BP39" s="264"/>
      <c r="BQ39" s="264"/>
      <c r="BR39" s="264"/>
      <c r="BS39" s="264"/>
      <c r="BT39" s="264"/>
      <c r="BU39" s="274"/>
      <c r="BV39" s="287"/>
      <c r="BW39" s="261"/>
      <c r="BX39" s="264"/>
      <c r="BY39" s="264"/>
      <c r="BZ39" s="264"/>
      <c r="CA39" s="264"/>
      <c r="CB39" s="264"/>
      <c r="CC39" s="264"/>
      <c r="CD39" s="264"/>
      <c r="CE39" s="264"/>
      <c r="CF39" s="264"/>
      <c r="CG39" s="264"/>
      <c r="CH39" s="264"/>
      <c r="CI39" s="264"/>
      <c r="CJ39" s="264"/>
      <c r="CK39" s="264"/>
      <c r="CL39" s="264"/>
      <c r="CM39" s="264"/>
      <c r="CN39" s="264"/>
      <c r="CO39" s="264"/>
      <c r="CP39" s="264"/>
      <c r="CQ39" s="264"/>
      <c r="CR39" s="264"/>
      <c r="CS39" s="264"/>
      <c r="CT39" s="264"/>
      <c r="CU39" s="264"/>
      <c r="CV39" s="264"/>
      <c r="CW39" s="264"/>
      <c r="CX39" s="264"/>
      <c r="CY39" s="264"/>
      <c r="CZ39" s="274"/>
      <c r="DA39" s="287"/>
    </row>
    <row r="40" spans="1:105" ht="21" customHeight="1" thickBot="1" x14ac:dyDescent="0.3">
      <c r="A40" s="261"/>
      <c r="B40" s="282"/>
      <c r="C40" s="1483" t="str">
        <f>IF(VLOOKUP(C39,Treevalue!$A$5:$BB$34,4,FALSE)=" ","Record not valid",VLOOKUP(C39,Treevalue!$A$5:$BB$34,4,FALSE))</f>
        <v>UK poplar</v>
      </c>
      <c r="D40" s="1484"/>
      <c r="E40" s="1215"/>
      <c r="F40" s="1211"/>
      <c r="G40" s="1213"/>
      <c r="H40" s="1213"/>
      <c r="I40" s="22"/>
      <c r="J40" s="266" t="s">
        <v>416</v>
      </c>
      <c r="K40" s="1228"/>
      <c r="L40" s="1229" t="s">
        <v>436</v>
      </c>
      <c r="M40" s="1500" t="str">
        <f>IF(M39="yes",(MAX(Plot!$AG$8:$AG$67)-M36)/M37,"biophysically defined")</f>
        <v>biophysically defined</v>
      </c>
      <c r="N40" s="1501"/>
      <c r="O40" s="1212"/>
      <c r="P40" s="1211"/>
      <c r="Q40" s="298"/>
      <c r="R40" s="1213" t="s">
        <v>404</v>
      </c>
      <c r="S40" s="18">
        <v>14.6</v>
      </c>
      <c r="T40" s="275" t="s">
        <v>413</v>
      </c>
      <c r="U40" s="287"/>
      <c r="V40" s="261"/>
      <c r="W40" s="265"/>
      <c r="X40" s="264"/>
      <c r="Y40" s="263" t="s">
        <v>666</v>
      </c>
      <c r="Z40" s="267" t="s">
        <v>667</v>
      </c>
      <c r="AA40" s="1251">
        <f>(AA35/(1-(1/((1+$W$33)^$W$27))))*$W$33</f>
        <v>244.60799999999975</v>
      </c>
      <c r="AB40" s="1260"/>
      <c r="AC40" s="1251">
        <f>(AC35/(1-(1/((1+$W$33)^$W$27))))*$W$33</f>
        <v>0</v>
      </c>
      <c r="AD40" s="1260"/>
      <c r="AE40" s="1251">
        <f>(AE35/(1-(1/((1+$W$33)^$W$27))))*$W$33</f>
        <v>0</v>
      </c>
      <c r="AF40" s="1260"/>
      <c r="AG40" s="1251">
        <f>(AG35/(1-(1/((1+$W$33)^$W$27))))*$W$33</f>
        <v>0</v>
      </c>
      <c r="AH40" s="1260"/>
      <c r="AI40" s="1251">
        <f>(AI35/(1-(1/((1+$W$33)^$W$27))))*$W$33</f>
        <v>0</v>
      </c>
      <c r="AJ40" s="275"/>
      <c r="AK40" s="289"/>
      <c r="AL40" s="280"/>
      <c r="AM40" s="266"/>
      <c r="AN40" s="266"/>
      <c r="AO40" s="266"/>
      <c r="AP40" s="266"/>
      <c r="AQ40" s="266"/>
      <c r="AR40" s="266"/>
      <c r="AS40" s="266"/>
      <c r="AT40" s="266"/>
      <c r="AU40" s="266"/>
      <c r="AV40" s="266"/>
      <c r="AW40" s="266"/>
      <c r="AX40" s="266"/>
      <c r="AY40" s="266"/>
      <c r="AZ40" s="266"/>
      <c r="BA40" s="266"/>
      <c r="BB40" s="266"/>
      <c r="BC40" s="266"/>
      <c r="BD40" s="266"/>
      <c r="BE40" s="266"/>
      <c r="BF40" s="274"/>
      <c r="BG40" s="287"/>
      <c r="BH40" s="261"/>
      <c r="BI40" s="264"/>
      <c r="BJ40" s="264"/>
      <c r="BK40" s="264"/>
      <c r="BL40" s="264"/>
      <c r="BM40" s="264"/>
      <c r="BN40" s="264"/>
      <c r="BO40" s="264"/>
      <c r="BP40" s="264"/>
      <c r="BQ40" s="264"/>
      <c r="BR40" s="264"/>
      <c r="BS40" s="264"/>
      <c r="BT40" s="264"/>
      <c r="BU40" s="274"/>
      <c r="BV40" s="287"/>
      <c r="BW40" s="261"/>
      <c r="BX40" s="264"/>
      <c r="BY40" s="264"/>
      <c r="BZ40" s="264"/>
      <c r="CA40" s="264"/>
      <c r="CB40" s="264"/>
      <c r="CC40" s="264"/>
      <c r="CD40" s="264"/>
      <c r="CE40" s="264"/>
      <c r="CF40" s="264"/>
      <c r="CG40" s="264"/>
      <c r="CH40" s="264"/>
      <c r="CI40" s="264"/>
      <c r="CJ40" s="264"/>
      <c r="CK40" s="264"/>
      <c r="CL40" s="264"/>
      <c r="CM40" s="264"/>
      <c r="CN40" s="264"/>
      <c r="CO40" s="264"/>
      <c r="CP40" s="264"/>
      <c r="CQ40" s="264"/>
      <c r="CR40" s="264"/>
      <c r="CS40" s="264"/>
      <c r="CT40" s="264"/>
      <c r="CU40" s="264"/>
      <c r="CV40" s="264"/>
      <c r="CW40" s="264"/>
      <c r="CX40" s="264"/>
      <c r="CY40" s="264"/>
      <c r="CZ40" s="274"/>
      <c r="DA40" s="287"/>
    </row>
    <row r="41" spans="1:105" ht="20.25" customHeight="1" thickBot="1" x14ac:dyDescent="0.3">
      <c r="A41" s="261"/>
      <c r="B41" s="282" t="s">
        <v>523</v>
      </c>
      <c r="C41" s="247">
        <v>1</v>
      </c>
      <c r="D41" s="263" t="s">
        <v>521</v>
      </c>
      <c r="E41" s="1215"/>
      <c r="F41" s="1211"/>
      <c r="G41" s="1213"/>
      <c r="H41" s="1213" t="s">
        <v>421</v>
      </c>
      <c r="I41" s="23"/>
      <c r="J41" s="266" t="s">
        <v>426</v>
      </c>
      <c r="K41" s="306"/>
      <c r="L41" s="1213"/>
      <c r="M41" s="298"/>
      <c r="N41" s="266"/>
      <c r="O41" s="1212"/>
      <c r="P41" s="1211"/>
      <c r="Q41" s="298"/>
      <c r="R41" s="1213" t="s">
        <v>405</v>
      </c>
      <c r="S41" s="18">
        <v>14.6</v>
      </c>
      <c r="T41" s="275" t="s">
        <v>413</v>
      </c>
      <c r="U41" s="287"/>
      <c r="V41" s="261"/>
      <c r="W41" s="265"/>
      <c r="X41" s="264"/>
      <c r="Y41" s="263" t="s">
        <v>669</v>
      </c>
      <c r="Z41" s="267" t="s">
        <v>667</v>
      </c>
      <c r="AA41" s="1251">
        <f>(AA36/(1-(1/((1+$W$33)^$W$27))))*$W$33</f>
        <v>1267.3790318208642</v>
      </c>
      <c r="AB41" s="1260"/>
      <c r="AC41" s="1251">
        <f>(AC36/(1-(1/((1+$W$33)^$W$27))))*$W$33</f>
        <v>92.08896902769591</v>
      </c>
      <c r="AD41" s="1260"/>
      <c r="AE41" s="1251">
        <f>(AE36/(1-(1/((1+$W$33)^$W$27))))*$W$33</f>
        <v>768.8497721719956</v>
      </c>
      <c r="AF41" s="1260"/>
      <c r="AG41" s="1251">
        <f>(AG36/(1-(1/((1+$W$33)^$W$27))))*$W$33</f>
        <v>61.853237567727547</v>
      </c>
      <c r="AH41" s="1260"/>
      <c r="AI41" s="1251">
        <f>(AI36/(1-(1/((1+$W$33)^$W$27))))*$W$33</f>
        <v>830.70300973972326</v>
      </c>
      <c r="AJ41" s="275"/>
      <c r="AK41" s="287"/>
      <c r="AL41" s="261"/>
      <c r="AM41" s="264"/>
      <c r="AN41" s="264"/>
      <c r="AO41" s="264"/>
      <c r="AP41" s="264"/>
      <c r="AQ41" s="264"/>
      <c r="AR41" s="264"/>
      <c r="AS41" s="264"/>
      <c r="AT41" s="264"/>
      <c r="AU41" s="264"/>
      <c r="AV41" s="264"/>
      <c r="AW41" s="264"/>
      <c r="AX41" s="264"/>
      <c r="AY41" s="264"/>
      <c r="AZ41" s="264"/>
      <c r="BA41" s="264"/>
      <c r="BB41" s="264"/>
      <c r="BC41" s="264"/>
      <c r="BD41" s="264"/>
      <c r="BE41" s="264"/>
      <c r="BF41" s="274"/>
      <c r="BG41" s="287"/>
      <c r="BH41" s="261"/>
      <c r="BI41" s="264"/>
      <c r="BJ41" s="264"/>
      <c r="BK41" s="264"/>
      <c r="BL41" s="264"/>
      <c r="BM41" s="264"/>
      <c r="BN41" s="264"/>
      <c r="BO41" s="264"/>
      <c r="BP41" s="264"/>
      <c r="BQ41" s="264"/>
      <c r="BR41" s="264"/>
      <c r="BS41" s="264"/>
      <c r="BT41" s="264"/>
      <c r="BU41" s="274"/>
      <c r="BV41" s="287"/>
      <c r="BW41" s="261"/>
      <c r="BX41" s="264"/>
      <c r="BY41" s="264"/>
      <c r="BZ41" s="264"/>
      <c r="CA41" s="264"/>
      <c r="CB41" s="264"/>
      <c r="CC41" s="264"/>
      <c r="CD41" s="264"/>
      <c r="CE41" s="264"/>
      <c r="CF41" s="264"/>
      <c r="CG41" s="264"/>
      <c r="CH41" s="264"/>
      <c r="CI41" s="264"/>
      <c r="CJ41" s="264"/>
      <c r="CK41" s="264"/>
      <c r="CL41" s="264"/>
      <c r="CM41" s="264"/>
      <c r="CN41" s="264"/>
      <c r="CO41" s="264"/>
      <c r="CP41" s="264"/>
      <c r="CQ41" s="264"/>
      <c r="CR41" s="264"/>
      <c r="CS41" s="264"/>
      <c r="CT41" s="264"/>
      <c r="CU41" s="264"/>
      <c r="CV41" s="264"/>
      <c r="CW41" s="264"/>
      <c r="CX41" s="264"/>
      <c r="CY41" s="264"/>
      <c r="CZ41" s="274"/>
      <c r="DA41" s="287"/>
    </row>
    <row r="42" spans="1:105" ht="20.25" customHeight="1" thickBot="1" x14ac:dyDescent="0.3">
      <c r="A42" s="261"/>
      <c r="B42" s="282"/>
      <c r="C42" s="1483" t="str">
        <f>VLOOKUP(C41,Treegrant!$A$6:$L$42,2,FALSE)</f>
        <v>UK poplar</v>
      </c>
      <c r="D42" s="1484"/>
      <c r="E42" s="1215"/>
      <c r="F42" s="1211"/>
      <c r="G42" s="1213"/>
      <c r="H42" s="1213"/>
      <c r="I42" s="22"/>
      <c r="J42" s="266" t="s">
        <v>416</v>
      </c>
      <c r="K42" s="1212"/>
      <c r="L42" s="1212"/>
      <c r="M42" s="1212"/>
      <c r="N42" s="1212"/>
      <c r="O42" s="1212"/>
      <c r="P42" s="1211"/>
      <c r="Q42" s="298"/>
      <c r="R42" s="1213" t="s">
        <v>406</v>
      </c>
      <c r="S42" s="18">
        <v>14.6</v>
      </c>
      <c r="T42" s="275" t="s">
        <v>413</v>
      </c>
      <c r="U42" s="287"/>
      <c r="V42" s="261"/>
      <c r="W42" s="265"/>
      <c r="X42" s="264"/>
      <c r="Y42" s="264"/>
      <c r="Z42" s="265"/>
      <c r="AA42" s="87"/>
      <c r="AB42" s="267"/>
      <c r="AC42" s="88"/>
      <c r="AD42" s="267"/>
      <c r="AE42" s="259"/>
      <c r="AF42" s="267"/>
      <c r="AG42" s="259"/>
      <c r="AH42" s="267"/>
      <c r="AI42" s="259"/>
      <c r="AJ42" s="275"/>
      <c r="AK42" s="289"/>
      <c r="AL42" s="280"/>
      <c r="AM42" s="266"/>
      <c r="AN42" s="266"/>
      <c r="AO42" s="266"/>
      <c r="AP42" s="266"/>
      <c r="AQ42" s="266"/>
      <c r="AR42" s="266"/>
      <c r="AS42" s="266"/>
      <c r="AT42" s="266"/>
      <c r="AU42" s="266"/>
      <c r="AV42" s="266"/>
      <c r="AW42" s="266"/>
      <c r="AX42" s="266"/>
      <c r="AY42" s="266"/>
      <c r="AZ42" s="266"/>
      <c r="BA42" s="266"/>
      <c r="BB42" s="266"/>
      <c r="BC42" s="266"/>
      <c r="BD42" s="266"/>
      <c r="BE42" s="266"/>
      <c r="BF42" s="274"/>
      <c r="BG42" s="287"/>
      <c r="BH42" s="261"/>
      <c r="BI42" s="264"/>
      <c r="BJ42" s="264"/>
      <c r="BK42" s="264"/>
      <c r="BL42" s="264"/>
      <c r="BM42" s="264"/>
      <c r="BN42" s="264"/>
      <c r="BO42" s="264"/>
      <c r="BP42" s="264"/>
      <c r="BQ42" s="264"/>
      <c r="BR42" s="264"/>
      <c r="BS42" s="264"/>
      <c r="BT42" s="264"/>
      <c r="BU42" s="274"/>
      <c r="BV42" s="287"/>
      <c r="BW42" s="261"/>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74"/>
      <c r="DA42" s="287"/>
    </row>
    <row r="43" spans="1:105" ht="18" customHeight="1" thickBot="1" x14ac:dyDescent="0.3">
      <c r="A43" s="1481" t="s">
        <v>519</v>
      </c>
      <c r="B43" s="1482"/>
      <c r="C43" s="248" t="s">
        <v>34</v>
      </c>
      <c r="D43" s="1212" t="s">
        <v>486</v>
      </c>
      <c r="E43" s="1215"/>
      <c r="F43" s="1211"/>
      <c r="G43" s="1223" t="s">
        <v>497</v>
      </c>
      <c r="H43" s="1213"/>
      <c r="I43" s="266"/>
      <c r="J43" s="266"/>
      <c r="K43" s="1212"/>
      <c r="L43" s="1212"/>
      <c r="M43" s="1212"/>
      <c r="N43" s="1212"/>
      <c r="O43" s="1212"/>
      <c r="P43" s="1211"/>
      <c r="Q43" s="298"/>
      <c r="R43" s="1213" t="s">
        <v>407</v>
      </c>
      <c r="S43" s="18">
        <v>14.6</v>
      </c>
      <c r="T43" s="275" t="s">
        <v>413</v>
      </c>
      <c r="U43" s="287"/>
      <c r="V43" s="1333" t="s">
        <v>670</v>
      </c>
      <c r="W43" s="1339"/>
      <c r="X43" s="1340"/>
      <c r="Y43" s="1341"/>
      <c r="Z43" s="1338"/>
      <c r="AA43" s="1335"/>
      <c r="AB43" s="1335"/>
      <c r="AC43" s="1335"/>
      <c r="AD43" s="1335"/>
      <c r="AE43" s="1335"/>
      <c r="AF43" s="1335"/>
      <c r="AG43" s="1335"/>
      <c r="AH43" s="1335"/>
      <c r="AI43" s="1335"/>
      <c r="AJ43" s="1337"/>
      <c r="AK43" s="289"/>
      <c r="AL43" s="280"/>
      <c r="AM43" s="266"/>
      <c r="AN43" s="266"/>
      <c r="AO43" s="266"/>
      <c r="AP43" s="266"/>
      <c r="AQ43" s="266"/>
      <c r="AR43" s="266"/>
      <c r="AS43" s="266"/>
      <c r="AT43" s="266"/>
      <c r="AU43" s="266"/>
      <c r="AV43" s="266"/>
      <c r="AW43" s="266"/>
      <c r="AX43" s="266"/>
      <c r="AY43" s="266"/>
      <c r="AZ43" s="266"/>
      <c r="BA43" s="266"/>
      <c r="BB43" s="266"/>
      <c r="BC43" s="266"/>
      <c r="BD43" s="266"/>
      <c r="BE43" s="266"/>
      <c r="BF43" s="274"/>
      <c r="BG43" s="287"/>
      <c r="BH43" s="261"/>
      <c r="BI43" s="264"/>
      <c r="BJ43" s="264"/>
      <c r="BK43" s="264"/>
      <c r="BL43" s="264"/>
      <c r="BM43" s="264"/>
      <c r="BN43" s="264"/>
      <c r="BO43" s="264"/>
      <c r="BP43" s="264"/>
      <c r="BQ43" s="264"/>
      <c r="BR43" s="264"/>
      <c r="BS43" s="264"/>
      <c r="BT43" s="264"/>
      <c r="BU43" s="274"/>
      <c r="BV43" s="287"/>
      <c r="BW43" s="261"/>
      <c r="BX43" s="264"/>
      <c r="BY43" s="264"/>
      <c r="BZ43" s="264"/>
      <c r="CA43" s="264"/>
      <c r="CB43" s="264"/>
      <c r="CC43" s="264"/>
      <c r="CD43" s="264"/>
      <c r="CE43" s="264"/>
      <c r="CF43" s="264"/>
      <c r="CG43" s="264"/>
      <c r="CH43" s="264"/>
      <c r="CI43" s="264"/>
      <c r="CJ43" s="264"/>
      <c r="CK43" s="264"/>
      <c r="CL43" s="264"/>
      <c r="CM43" s="264"/>
      <c r="CN43" s="264"/>
      <c r="CO43" s="264"/>
      <c r="CP43" s="264"/>
      <c r="CQ43" s="264"/>
      <c r="CR43" s="264"/>
      <c r="CS43" s="264"/>
      <c r="CT43" s="264"/>
      <c r="CU43" s="264"/>
      <c r="CV43" s="264"/>
      <c r="CW43" s="264"/>
      <c r="CX43" s="264"/>
      <c r="CY43" s="264"/>
      <c r="CZ43" s="274"/>
      <c r="DA43" s="287"/>
    </row>
    <row r="44" spans="1:105" ht="35.25" customHeight="1" thickBot="1" x14ac:dyDescent="0.3">
      <c r="A44" s="1479" t="s">
        <v>386</v>
      </c>
      <c r="B44" s="1480"/>
      <c r="C44" s="247"/>
      <c r="D44" s="266" t="s">
        <v>382</v>
      </c>
      <c r="E44" s="1215"/>
      <c r="F44" s="1211"/>
      <c r="G44" s="298"/>
      <c r="H44" s="1213" t="s">
        <v>422</v>
      </c>
      <c r="I44" s="21"/>
      <c r="J44" s="266" t="s">
        <v>426</v>
      </c>
      <c r="K44" s="1212"/>
      <c r="L44" s="1212"/>
      <c r="M44" s="1212"/>
      <c r="N44" s="1212"/>
      <c r="O44" s="1212"/>
      <c r="P44" s="1211"/>
      <c r="Q44" s="298"/>
      <c r="R44" s="1213" t="s">
        <v>408</v>
      </c>
      <c r="S44" s="18">
        <v>14.6</v>
      </c>
      <c r="T44" s="275" t="s">
        <v>413</v>
      </c>
      <c r="U44" s="287"/>
      <c r="V44" s="261"/>
      <c r="W44" s="265"/>
      <c r="X44" s="264"/>
      <c r="Y44" s="264"/>
      <c r="Z44" s="267"/>
      <c r="AA44" s="87"/>
      <c r="AB44" s="267"/>
      <c r="AC44" s="88"/>
      <c r="AD44" s="267"/>
      <c r="AE44" s="259"/>
      <c r="AF44" s="267"/>
      <c r="AG44" s="259"/>
      <c r="AH44" s="267"/>
      <c r="AI44" s="259"/>
      <c r="AJ44" s="275"/>
      <c r="AK44" s="289"/>
      <c r="AL44" s="280"/>
      <c r="AM44" s="266"/>
      <c r="AN44" s="266"/>
      <c r="AO44" s="266"/>
      <c r="AP44" s="266"/>
      <c r="AQ44" s="266"/>
      <c r="AR44" s="266"/>
      <c r="AS44" s="266"/>
      <c r="AT44" s="266"/>
      <c r="AU44" s="266"/>
      <c r="AV44" s="266"/>
      <c r="AW44" s="266"/>
      <c r="AX44" s="266"/>
      <c r="AY44" s="266"/>
      <c r="AZ44" s="266"/>
      <c r="BA44" s="266"/>
      <c r="BB44" s="266"/>
      <c r="BC44" s="266"/>
      <c r="BD44" s="266"/>
      <c r="BE44" s="266"/>
      <c r="BF44" s="274"/>
      <c r="BG44" s="287"/>
      <c r="BH44" s="261"/>
      <c r="BI44" s="264"/>
      <c r="BJ44" s="264"/>
      <c r="BK44" s="264"/>
      <c r="BL44" s="264"/>
      <c r="BM44" s="264"/>
      <c r="BN44" s="264"/>
      <c r="BO44" s="264"/>
      <c r="BP44" s="264"/>
      <c r="BQ44" s="264"/>
      <c r="BR44" s="264"/>
      <c r="BS44" s="264"/>
      <c r="BT44" s="264"/>
      <c r="BU44" s="274"/>
      <c r="BV44" s="287"/>
      <c r="BW44" s="261"/>
      <c r="BX44" s="264"/>
      <c r="BY44" s="264"/>
      <c r="BZ44" s="264"/>
      <c r="CA44" s="264"/>
      <c r="CB44" s="264"/>
      <c r="CC44" s="264"/>
      <c r="CD44" s="264"/>
      <c r="CE44" s="264"/>
      <c r="CF44" s="264"/>
      <c r="CG44" s="264"/>
      <c r="CH44" s="264"/>
      <c r="CI44" s="264"/>
      <c r="CJ44" s="264"/>
      <c r="CK44" s="264"/>
      <c r="CL44" s="264"/>
      <c r="CM44" s="264"/>
      <c r="CN44" s="264"/>
      <c r="CO44" s="264"/>
      <c r="CP44" s="264"/>
      <c r="CQ44" s="264"/>
      <c r="CR44" s="264"/>
      <c r="CS44" s="264"/>
      <c r="CT44" s="264"/>
      <c r="CU44" s="264"/>
      <c r="CV44" s="264"/>
      <c r="CW44" s="264"/>
      <c r="CX44" s="264"/>
      <c r="CY44" s="264"/>
      <c r="CZ44" s="274"/>
      <c r="DA44" s="287"/>
    </row>
    <row r="45" spans="1:105" ht="16.5" customHeight="1" thickBot="1" x14ac:dyDescent="0.3">
      <c r="A45" s="1220"/>
      <c r="B45" s="1221"/>
      <c r="C45" s="248"/>
      <c r="D45" s="266" t="s">
        <v>517</v>
      </c>
      <c r="E45" s="1215"/>
      <c r="F45" s="1211"/>
      <c r="G45" s="298"/>
      <c r="H45" s="1213" t="s">
        <v>423</v>
      </c>
      <c r="I45" s="23"/>
      <c r="J45" s="266" t="s">
        <v>426</v>
      </c>
      <c r="K45" s="1212"/>
      <c r="L45" s="1212"/>
      <c r="M45" s="1212"/>
      <c r="N45" s="1212"/>
      <c r="O45" s="1212"/>
      <c r="P45" s="1211"/>
      <c r="Q45" s="298"/>
      <c r="R45" s="1213" t="s">
        <v>409</v>
      </c>
      <c r="S45" s="19">
        <v>14.6</v>
      </c>
      <c r="T45" s="275" t="s">
        <v>413</v>
      </c>
      <c r="U45" s="287"/>
      <c r="V45" s="261"/>
      <c r="W45" s="265"/>
      <c r="X45" s="264"/>
      <c r="Y45" s="268" t="s">
        <v>444</v>
      </c>
      <c r="Z45" s="267" t="s">
        <v>443</v>
      </c>
      <c r="AA45" s="89">
        <f ca="1">(SUM(INDIRECT("plot!e8:e"&amp;FIXED(ROW(Plot!$E7)+W$27,0,TRUE)))*(SUM(INDIRECT("plot!d8:d"&amp;FIXED(ROW(Plot!$D7)+W$27,0,TRUE)))/W$27))</f>
        <v>211.82602328330961</v>
      </c>
      <c r="AB45" s="272"/>
      <c r="AC45" s="427"/>
      <c r="AD45" s="265"/>
      <c r="AE45" s="89">
        <f ca="1">(SUM(INDIRECT("plot!co8:co"&amp;FIXED(ROW(Plot!$CO7)+W$27,0,TRUE)))*(SUM(INDIRECT("plot!cn8:cn"&amp;FIXED(ROW(Plot!$CN7)+W$27,0,TRUE)))/W$27))</f>
        <v>88.595099999999945</v>
      </c>
      <c r="AF45" s="272"/>
      <c r="AG45" s="425"/>
      <c r="AH45" s="265"/>
      <c r="AI45" s="425"/>
      <c r="AJ45" s="275"/>
      <c r="AK45" s="289"/>
      <c r="AL45" s="280"/>
      <c r="AM45" s="266"/>
      <c r="AN45" s="266"/>
      <c r="AO45" s="266"/>
      <c r="AP45" s="266"/>
      <c r="AQ45" s="266"/>
      <c r="AR45" s="266"/>
      <c r="AS45" s="266"/>
      <c r="AT45" s="266"/>
      <c r="AU45" s="266"/>
      <c r="AV45" s="266"/>
      <c r="AW45" s="266"/>
      <c r="AX45" s="266"/>
      <c r="AY45" s="266"/>
      <c r="AZ45" s="266"/>
      <c r="BA45" s="266"/>
      <c r="BB45" s="266"/>
      <c r="BC45" s="266"/>
      <c r="BD45" s="266"/>
      <c r="BE45" s="266"/>
      <c r="BF45" s="274"/>
      <c r="BG45" s="287"/>
      <c r="BH45" s="261"/>
      <c r="BI45" s="264"/>
      <c r="BJ45" s="264"/>
      <c r="BK45" s="264"/>
      <c r="BL45" s="264"/>
      <c r="BM45" s="264"/>
      <c r="BN45" s="264"/>
      <c r="BO45" s="264"/>
      <c r="BP45" s="264"/>
      <c r="BQ45" s="264"/>
      <c r="BR45" s="264"/>
      <c r="BS45" s="264"/>
      <c r="BT45" s="264"/>
      <c r="BU45" s="274"/>
      <c r="BV45" s="287"/>
      <c r="BW45" s="261"/>
      <c r="BX45" s="264"/>
      <c r="BY45" s="264"/>
      <c r="BZ45" s="264"/>
      <c r="CA45" s="264"/>
      <c r="CB45" s="264"/>
      <c r="CC45" s="264"/>
      <c r="CD45" s="264"/>
      <c r="CE45" s="264"/>
      <c r="CF45" s="264"/>
      <c r="CG45" s="264"/>
      <c r="CH45" s="264"/>
      <c r="CI45" s="264"/>
      <c r="CJ45" s="264"/>
      <c r="CK45" s="264"/>
      <c r="CL45" s="264"/>
      <c r="CM45" s="264"/>
      <c r="CN45" s="264"/>
      <c r="CO45" s="264"/>
      <c r="CP45" s="264"/>
      <c r="CQ45" s="264"/>
      <c r="CR45" s="264"/>
      <c r="CS45" s="264"/>
      <c r="CT45" s="264"/>
      <c r="CU45" s="264"/>
      <c r="CV45" s="264"/>
      <c r="CW45" s="264"/>
      <c r="CX45" s="264"/>
      <c r="CY45" s="264"/>
      <c r="CZ45" s="274"/>
      <c r="DA45" s="287"/>
    </row>
    <row r="46" spans="1:105" ht="18" thickBot="1" x14ac:dyDescent="0.3">
      <c r="A46" s="1220"/>
      <c r="B46" s="1221"/>
      <c r="C46" s="248"/>
      <c r="D46" s="266" t="s">
        <v>518</v>
      </c>
      <c r="E46" s="1215"/>
      <c r="F46" s="1211"/>
      <c r="G46" s="298"/>
      <c r="H46" s="1213" t="s">
        <v>424</v>
      </c>
      <c r="I46" s="23"/>
      <c r="J46" s="266" t="s">
        <v>426</v>
      </c>
      <c r="K46" s="1212"/>
      <c r="L46" s="1212"/>
      <c r="M46" s="1212"/>
      <c r="N46" s="1212"/>
      <c r="O46" s="1212"/>
      <c r="P46" s="1504" t="s">
        <v>492</v>
      </c>
      <c r="Q46" s="1505"/>
      <c r="R46" s="1505"/>
      <c r="S46" s="1212"/>
      <c r="T46" s="1215"/>
      <c r="U46" s="287"/>
      <c r="V46" s="281"/>
      <c r="W46" s="272"/>
      <c r="X46" s="264"/>
      <c r="Y46" s="268" t="s">
        <v>445</v>
      </c>
      <c r="Z46" s="267" t="s">
        <v>443</v>
      </c>
      <c r="AA46" s="89">
        <f ca="1">SUM(INDIRECT("plot!f8:f"&amp;FIXED(ROW(Plot!$F7)+W$27,0,TRUE)))*(SUM(INDIRECT("plot!d8:d"&amp;FIXED(ROW(Plot!$D7)+W$27,0,TRUE)))/W$27)</f>
        <v>96.549166953527049</v>
      </c>
      <c r="AB46" s="272"/>
      <c r="AC46" s="427"/>
      <c r="AD46" s="265"/>
      <c r="AE46" s="89">
        <f ca="1">(SUM(INDIRECT("plot!cp8:cp"&amp;FIXED(ROW(Plot!$CP7)+W$27,0,TRUE)))*(SUM(INDIRECT("plot!cn8:cn"&amp;FIXED(ROW(Plot!$CN7)+W$27,0,TRUE)))/W$27))</f>
        <v>40.198949999999982</v>
      </c>
      <c r="AF46" s="272"/>
      <c r="AG46" s="425"/>
      <c r="AH46" s="265"/>
      <c r="AI46" s="425"/>
      <c r="AJ46" s="285"/>
      <c r="AK46" s="289"/>
      <c r="AL46" s="280"/>
      <c r="AM46" s="266"/>
      <c r="AN46" s="266"/>
      <c r="AO46" s="266"/>
      <c r="AP46" s="266"/>
      <c r="AQ46" s="266"/>
      <c r="AR46" s="266"/>
      <c r="AS46" s="266"/>
      <c r="AT46" s="266"/>
      <c r="AU46" s="266"/>
      <c r="AV46" s="266"/>
      <c r="AW46" s="266"/>
      <c r="AX46" s="266"/>
      <c r="AY46" s="266"/>
      <c r="AZ46" s="266"/>
      <c r="BA46" s="266"/>
      <c r="BB46" s="266"/>
      <c r="BC46" s="266"/>
      <c r="BD46" s="266"/>
      <c r="BE46" s="266"/>
      <c r="BF46" s="274"/>
      <c r="BG46" s="287"/>
      <c r="BH46" s="261"/>
      <c r="BI46" s="264"/>
      <c r="BJ46" s="264"/>
      <c r="BK46" s="264"/>
      <c r="BL46" s="264"/>
      <c r="BM46" s="264"/>
      <c r="BN46" s="264"/>
      <c r="BO46" s="264"/>
      <c r="BP46" s="264"/>
      <c r="BQ46" s="264"/>
      <c r="BR46" s="264"/>
      <c r="BS46" s="264"/>
      <c r="BT46" s="264"/>
      <c r="BU46" s="274"/>
      <c r="BV46" s="287"/>
      <c r="BW46" s="261"/>
      <c r="BX46" s="264"/>
      <c r="BY46" s="264"/>
      <c r="BZ46" s="264"/>
      <c r="CA46" s="264"/>
      <c r="CB46" s="264"/>
      <c r="CC46" s="264"/>
      <c r="CD46" s="264"/>
      <c r="CE46" s="264"/>
      <c r="CF46" s="264"/>
      <c r="CG46" s="264"/>
      <c r="CH46" s="264"/>
      <c r="CI46" s="264"/>
      <c r="CJ46" s="264"/>
      <c r="CK46" s="264"/>
      <c r="CL46" s="264"/>
      <c r="CM46" s="264"/>
      <c r="CN46" s="264"/>
      <c r="CO46" s="264"/>
      <c r="CP46" s="264"/>
      <c r="CQ46" s="264"/>
      <c r="CR46" s="264"/>
      <c r="CS46" s="264"/>
      <c r="CT46" s="264"/>
      <c r="CU46" s="264"/>
      <c r="CV46" s="264"/>
      <c r="CW46" s="264"/>
      <c r="CX46" s="264"/>
      <c r="CY46" s="264"/>
      <c r="CZ46" s="274"/>
      <c r="DA46" s="287"/>
    </row>
    <row r="47" spans="1:105" ht="18.75" customHeight="1" thickBot="1" x14ac:dyDescent="0.3">
      <c r="A47" s="1220"/>
      <c r="B47" s="282" t="s">
        <v>387</v>
      </c>
      <c r="C47" s="249" t="s">
        <v>89</v>
      </c>
      <c r="D47" s="266" t="s">
        <v>485</v>
      </c>
      <c r="E47" s="1215"/>
      <c r="F47" s="1211"/>
      <c r="G47" s="298"/>
      <c r="H47" s="1213" t="s">
        <v>425</v>
      </c>
      <c r="I47" s="22"/>
      <c r="J47" s="266" t="s">
        <v>416</v>
      </c>
      <c r="K47" s="1212"/>
      <c r="L47" s="1212"/>
      <c r="M47" s="1212"/>
      <c r="N47" s="1212"/>
      <c r="O47" s="1212"/>
      <c r="P47" s="1211"/>
      <c r="Q47" s="1212"/>
      <c r="R47" s="1213" t="s">
        <v>410</v>
      </c>
      <c r="S47" s="17">
        <v>14.6</v>
      </c>
      <c r="T47" s="275" t="s">
        <v>413</v>
      </c>
      <c r="U47" s="287"/>
      <c r="V47" s="261"/>
      <c r="W47" s="272"/>
      <c r="X47" s="264"/>
      <c r="Y47" s="268" t="s">
        <v>446</v>
      </c>
      <c r="Z47" s="267" t="s">
        <v>448</v>
      </c>
      <c r="AA47" s="426"/>
      <c r="AB47" s="265"/>
      <c r="AC47" s="89">
        <f ca="1">SUM(INDIRECT("plot!af8:af"&amp;FIXED(ROW(Plot!$AJ$7)+C$35,0,TRUE)))</f>
        <v>8</v>
      </c>
      <c r="AD47" s="272"/>
      <c r="AE47" s="425"/>
      <c r="AF47" s="265"/>
      <c r="AG47" s="89">
        <f ca="1">SUM(INDIRECT("plot!dg8:dg"&amp;FIXED(ROW(Plot!$DU7)+W$27,0,TRUE)))</f>
        <v>0</v>
      </c>
      <c r="AH47" s="272"/>
      <c r="AI47" s="425"/>
      <c r="AJ47" s="285"/>
      <c r="AK47" s="286"/>
      <c r="AL47" s="297"/>
      <c r="AM47" s="263"/>
      <c r="AN47" s="263"/>
      <c r="AO47" s="263"/>
      <c r="AP47" s="263"/>
      <c r="AQ47" s="263"/>
      <c r="AR47" s="263"/>
      <c r="AS47" s="263"/>
      <c r="AT47" s="263"/>
      <c r="AU47" s="263"/>
      <c r="AV47" s="263"/>
      <c r="AW47" s="263"/>
      <c r="AX47" s="263"/>
      <c r="AY47" s="263"/>
      <c r="AZ47" s="263"/>
      <c r="BA47" s="263"/>
      <c r="BB47" s="263"/>
      <c r="BC47" s="263"/>
      <c r="BD47" s="263"/>
      <c r="BE47" s="263"/>
      <c r="BF47" s="274"/>
      <c r="BG47" s="287"/>
      <c r="BH47" s="261"/>
      <c r="BI47" s="264"/>
      <c r="BJ47" s="264"/>
      <c r="BK47" s="264"/>
      <c r="BL47" s="264"/>
      <c r="BM47" s="264"/>
      <c r="BN47" s="264"/>
      <c r="BO47" s="264"/>
      <c r="BP47" s="264"/>
      <c r="BQ47" s="264"/>
      <c r="BR47" s="264"/>
      <c r="BS47" s="264"/>
      <c r="BT47" s="264"/>
      <c r="BU47" s="274"/>
      <c r="BV47" s="287"/>
      <c r="BW47" s="261"/>
      <c r="BX47" s="264"/>
      <c r="BY47" s="264"/>
      <c r="BZ47" s="264"/>
      <c r="CA47" s="264"/>
      <c r="CB47" s="264"/>
      <c r="CC47" s="264"/>
      <c r="CD47" s="264"/>
      <c r="CE47" s="264"/>
      <c r="CF47" s="264"/>
      <c r="CG47" s="264"/>
      <c r="CH47" s="264"/>
      <c r="CI47" s="264"/>
      <c r="CJ47" s="264"/>
      <c r="CK47" s="264"/>
      <c r="CL47" s="264"/>
      <c r="CM47" s="264"/>
      <c r="CN47" s="264"/>
      <c r="CO47" s="264"/>
      <c r="CP47" s="264"/>
      <c r="CQ47" s="264"/>
      <c r="CR47" s="264"/>
      <c r="CS47" s="264"/>
      <c r="CT47" s="264"/>
      <c r="CU47" s="264"/>
      <c r="CV47" s="264"/>
      <c r="CW47" s="264"/>
      <c r="CX47" s="264"/>
      <c r="CY47" s="264"/>
      <c r="CZ47" s="274"/>
      <c r="DA47" s="287"/>
    </row>
    <row r="48" spans="1:105" ht="18" thickBot="1" x14ac:dyDescent="0.3">
      <c r="A48" s="1220"/>
      <c r="B48" s="282" t="s">
        <v>388</v>
      </c>
      <c r="C48" s="249" t="s">
        <v>89</v>
      </c>
      <c r="D48" s="266" t="s">
        <v>485</v>
      </c>
      <c r="E48" s="1215"/>
      <c r="F48" s="1211"/>
      <c r="G48" s="263"/>
      <c r="H48" s="1213"/>
      <c r="I48" s="1212"/>
      <c r="J48" s="1212"/>
      <c r="K48" s="1461" t="str">
        <f ca="1">IF(MIN(INDIRECT("Unit!s7:s"&amp;FIXED(ROW(Unit!S$8)+$C$35,0,TRUE)))&lt;C$25,"Note: Excessive area planted","")</f>
        <v/>
      </c>
      <c r="L48" s="1462"/>
      <c r="M48" s="1462"/>
      <c r="N48" s="1463"/>
      <c r="O48" s="1212"/>
      <c r="P48" s="1211"/>
      <c r="Q48" s="298"/>
      <c r="R48" s="1213" t="s">
        <v>411</v>
      </c>
      <c r="S48" s="18">
        <v>30</v>
      </c>
      <c r="T48" s="275" t="s">
        <v>413</v>
      </c>
      <c r="U48" s="287"/>
      <c r="V48" s="261"/>
      <c r="W48" s="282"/>
      <c r="X48" s="264"/>
      <c r="Y48" s="268" t="s">
        <v>447</v>
      </c>
      <c r="Z48" s="267" t="s">
        <v>448</v>
      </c>
      <c r="AA48" s="426"/>
      <c r="AB48" s="265"/>
      <c r="AC48" s="89">
        <f ca="1">SUM(INDIRECT("plot!ag8:ag"&amp;FIXED(ROW(Plot!$AL$7)+C$35,0,TRUE)))</f>
        <v>177</v>
      </c>
      <c r="AD48" s="272"/>
      <c r="AE48" s="425"/>
      <c r="AF48" s="265"/>
      <c r="AG48" s="89">
        <f ca="1">SUM(INDIRECT("plot!dh8:dh"&amp;FIXED(ROW(Plot!$DW7)+W$27,0,TRUE)))</f>
        <v>100</v>
      </c>
      <c r="AH48" s="272"/>
      <c r="AI48" s="425"/>
      <c r="AJ48" s="274"/>
      <c r="AK48" s="289"/>
      <c r="AL48" s="280"/>
      <c r="AM48" s="266"/>
      <c r="AN48" s="266"/>
      <c r="AO48" s="266"/>
      <c r="AP48" s="266"/>
      <c r="AQ48" s="266"/>
      <c r="AR48" s="266"/>
      <c r="AS48" s="266"/>
      <c r="AT48" s="266"/>
      <c r="AU48" s="266"/>
      <c r="AV48" s="266"/>
      <c r="AW48" s="266"/>
      <c r="AX48" s="266"/>
      <c r="AY48" s="266"/>
      <c r="AZ48" s="266"/>
      <c r="BA48" s="266"/>
      <c r="BB48" s="266"/>
      <c r="BC48" s="266"/>
      <c r="BD48" s="266"/>
      <c r="BE48" s="266"/>
      <c r="BF48" s="274"/>
      <c r="BG48" s="287"/>
      <c r="BH48" s="261"/>
      <c r="BI48" s="264"/>
      <c r="BJ48" s="264"/>
      <c r="BK48" s="264"/>
      <c r="BL48" s="264"/>
      <c r="BM48" s="264"/>
      <c r="BN48" s="264"/>
      <c r="BO48" s="264"/>
      <c r="BP48" s="264"/>
      <c r="BQ48" s="264"/>
      <c r="BR48" s="264"/>
      <c r="BS48" s="264"/>
      <c r="BT48" s="264"/>
      <c r="BU48" s="274"/>
      <c r="BV48" s="287"/>
      <c r="BW48" s="261"/>
      <c r="BX48" s="264"/>
      <c r="BY48" s="264"/>
      <c r="BZ48" s="264"/>
      <c r="CA48" s="264"/>
      <c r="CB48" s="264"/>
      <c r="CC48" s="264"/>
      <c r="CD48" s="264"/>
      <c r="CE48" s="264"/>
      <c r="CF48" s="264"/>
      <c r="CG48" s="264"/>
      <c r="CH48" s="264"/>
      <c r="CI48" s="264"/>
      <c r="CJ48" s="264"/>
      <c r="CK48" s="264"/>
      <c r="CL48" s="264"/>
      <c r="CM48" s="264"/>
      <c r="CN48" s="264"/>
      <c r="CO48" s="264"/>
      <c r="CP48" s="264"/>
      <c r="CQ48" s="264"/>
      <c r="CR48" s="264"/>
      <c r="CS48" s="264"/>
      <c r="CT48" s="264"/>
      <c r="CU48" s="264"/>
      <c r="CV48" s="264"/>
      <c r="CW48" s="264"/>
      <c r="CX48" s="264"/>
      <c r="CY48" s="264"/>
      <c r="CZ48" s="274"/>
      <c r="DA48" s="287"/>
    </row>
    <row r="49" spans="1:105" ht="18" thickBot="1" x14ac:dyDescent="0.3">
      <c r="A49" s="1220"/>
      <c r="B49" s="282" t="s">
        <v>489</v>
      </c>
      <c r="C49" s="249" t="s">
        <v>89</v>
      </c>
      <c r="D49" s="266" t="s">
        <v>485</v>
      </c>
      <c r="E49" s="274"/>
      <c r="F49" s="261"/>
      <c r="G49" s="306"/>
      <c r="H49" s="1213"/>
      <c r="I49" s="298"/>
      <c r="J49" s="266"/>
      <c r="K49" s="1212"/>
      <c r="L49" s="1212"/>
      <c r="M49" s="1212"/>
      <c r="N49" s="1212"/>
      <c r="O49" s="1212"/>
      <c r="P49" s="1211"/>
      <c r="Q49" s="298"/>
      <c r="R49" s="1213" t="s">
        <v>412</v>
      </c>
      <c r="S49" s="19">
        <v>14.6</v>
      </c>
      <c r="T49" s="275" t="s">
        <v>413</v>
      </c>
      <c r="U49" s="287"/>
      <c r="V49" s="261"/>
      <c r="W49" s="282"/>
      <c r="X49" s="282"/>
      <c r="Y49" s="268" t="s">
        <v>449</v>
      </c>
      <c r="Z49" s="267" t="s">
        <v>443</v>
      </c>
      <c r="AA49" s="426"/>
      <c r="AB49" s="265"/>
      <c r="AC49" s="89">
        <f ca="1">SUM(INDIRECT("plot!ah8:ah"&amp;FIXED(ROW(Plot!$AM$7)+C$35,0,TRUE)))</f>
        <v>2201.0017679873476</v>
      </c>
      <c r="AD49" s="272"/>
      <c r="AE49" s="425"/>
      <c r="AF49" s="265"/>
      <c r="AG49" s="89">
        <f ca="1">SUM(INDIRECT("plot!di8:di"&amp;FIXED(ROW(Plot!$DX7)+W$27,0,TRUE)))</f>
        <v>0.1</v>
      </c>
      <c r="AH49" s="272"/>
      <c r="AI49" s="425"/>
      <c r="AJ49" s="275"/>
      <c r="AK49" s="289"/>
      <c r="AL49" s="280"/>
      <c r="AM49" s="266"/>
      <c r="AN49" s="266"/>
      <c r="AO49" s="266"/>
      <c r="AP49" s="266"/>
      <c r="AQ49" s="266"/>
      <c r="AR49" s="266"/>
      <c r="AS49" s="266"/>
      <c r="AT49" s="266"/>
      <c r="AU49" s="266"/>
      <c r="AV49" s="266"/>
      <c r="AW49" s="266"/>
      <c r="AX49" s="266"/>
      <c r="AY49" s="266"/>
      <c r="AZ49" s="266"/>
      <c r="BA49" s="266"/>
      <c r="BB49" s="266"/>
      <c r="BC49" s="266"/>
      <c r="BD49" s="266"/>
      <c r="BE49" s="266"/>
      <c r="BF49" s="274"/>
      <c r="BG49" s="287"/>
      <c r="BH49" s="261"/>
      <c r="BI49" s="264"/>
      <c r="BJ49" s="264"/>
      <c r="BK49" s="264"/>
      <c r="BL49" s="264"/>
      <c r="BM49" s="264"/>
      <c r="BN49" s="264"/>
      <c r="BO49" s="264"/>
      <c r="BP49" s="264"/>
      <c r="BQ49" s="264"/>
      <c r="BR49" s="264"/>
      <c r="BS49" s="264"/>
      <c r="BT49" s="264"/>
      <c r="BU49" s="274"/>
      <c r="BV49" s="287"/>
      <c r="BW49" s="261"/>
      <c r="BX49" s="264"/>
      <c r="BY49" s="264"/>
      <c r="BZ49" s="264"/>
      <c r="CA49" s="264"/>
      <c r="CB49" s="264"/>
      <c r="CC49" s="264"/>
      <c r="CD49" s="264"/>
      <c r="CE49" s="264"/>
      <c r="CF49" s="264"/>
      <c r="CG49" s="264"/>
      <c r="CH49" s="264"/>
      <c r="CI49" s="264"/>
      <c r="CJ49" s="264"/>
      <c r="CK49" s="264"/>
      <c r="CL49" s="264"/>
      <c r="CM49" s="264"/>
      <c r="CN49" s="264"/>
      <c r="CO49" s="264"/>
      <c r="CP49" s="264"/>
      <c r="CQ49" s="264"/>
      <c r="CR49" s="264"/>
      <c r="CS49" s="264"/>
      <c r="CT49" s="264"/>
      <c r="CU49" s="264"/>
      <c r="CV49" s="264"/>
      <c r="CW49" s="264"/>
      <c r="CX49" s="264"/>
      <c r="CY49" s="264"/>
      <c r="CZ49" s="274"/>
      <c r="DA49" s="287"/>
    </row>
    <row r="50" spans="1:105" ht="18" customHeight="1" thickBot="1" x14ac:dyDescent="0.3">
      <c r="A50" s="1216"/>
      <c r="B50" s="1217"/>
      <c r="C50" s="1217"/>
      <c r="D50" s="1218"/>
      <c r="E50" s="1073"/>
      <c r="F50" s="262"/>
      <c r="G50" s="1224"/>
      <c r="H50" s="1217"/>
      <c r="I50" s="1232"/>
      <c r="J50" s="1233"/>
      <c r="K50" s="1231"/>
      <c r="L50" s="1231"/>
      <c r="M50" s="1231"/>
      <c r="N50" s="1231"/>
      <c r="O50" s="1231"/>
      <c r="P50" s="1234"/>
      <c r="Q50" s="1231"/>
      <c r="R50" s="1231"/>
      <c r="S50" s="1231"/>
      <c r="T50" s="1236"/>
      <c r="U50" s="287"/>
      <c r="V50" s="261"/>
      <c r="W50" s="265"/>
      <c r="X50" s="264"/>
      <c r="Y50" s="268" t="s">
        <v>23</v>
      </c>
      <c r="Z50" s="267" t="s">
        <v>450</v>
      </c>
      <c r="AA50" s="89">
        <f ca="1">SUM(INDIRECT("plot!n8:n"&amp;FIXED(ROW(Plot!N7)+W$27,0,TRUE)))</f>
        <v>314.17497204796905</v>
      </c>
      <c r="AB50" s="267"/>
      <c r="AC50" s="89">
        <f ca="1">SUM(INDIRECT("plot!bq8:bq"&amp;FIXED(ROW(Plot!BW7)+W$27,0,TRUE)))</f>
        <v>0</v>
      </c>
      <c r="AD50" s="267"/>
      <c r="AE50" s="89">
        <f ca="1">SUM(INDIRECT("plot!cn8:cn"&amp;FIXED(ROW(Plot!CX7)+W$27,0,TRUE)))</f>
        <v>29.699999999999982</v>
      </c>
      <c r="AF50" s="267"/>
      <c r="AG50" s="89">
        <f ca="1">SUM(INDIRECT("plot!er8:er"&amp;FIXED(ROW(Plot!FH7)+W$27,0,TRUE)))</f>
        <v>14.696666666666665</v>
      </c>
      <c r="AH50" s="267"/>
      <c r="AI50" s="89">
        <f ca="1">SUM(AE50,AG50)</f>
        <v>44.396666666666647</v>
      </c>
      <c r="AJ50" s="274"/>
      <c r="AK50" s="289"/>
      <c r="AL50" s="280"/>
      <c r="AM50" s="266"/>
      <c r="AN50" s="266"/>
      <c r="AO50" s="266"/>
      <c r="AP50" s="266"/>
      <c r="AQ50" s="266"/>
      <c r="AR50" s="266"/>
      <c r="AS50" s="266"/>
      <c r="AT50" s="266"/>
      <c r="AU50" s="266"/>
      <c r="AV50" s="266"/>
      <c r="AW50" s="266"/>
      <c r="AX50" s="266"/>
      <c r="AY50" s="266"/>
      <c r="AZ50" s="266"/>
      <c r="BA50" s="266"/>
      <c r="BB50" s="266"/>
      <c r="BC50" s="266"/>
      <c r="BD50" s="266"/>
      <c r="BE50" s="266"/>
      <c r="BF50" s="274"/>
      <c r="BG50" s="287"/>
      <c r="BH50" s="261"/>
      <c r="BI50" s="264"/>
      <c r="BJ50" s="264"/>
      <c r="BK50" s="264"/>
      <c r="BL50" s="264"/>
      <c r="BM50" s="264"/>
      <c r="BN50" s="264"/>
      <c r="BO50" s="264"/>
      <c r="BP50" s="264"/>
      <c r="BQ50" s="264"/>
      <c r="BR50" s="264"/>
      <c r="BS50" s="264"/>
      <c r="BT50" s="264"/>
      <c r="BU50" s="274"/>
      <c r="BV50" s="287"/>
      <c r="BW50" s="261"/>
      <c r="BX50" s="264"/>
      <c r="BY50" s="264"/>
      <c r="BZ50" s="264"/>
      <c r="CA50" s="264"/>
      <c r="CB50" s="264"/>
      <c r="CC50" s="264"/>
      <c r="CD50" s="264"/>
      <c r="CE50" s="264"/>
      <c r="CF50" s="264"/>
      <c r="CG50" s="264"/>
      <c r="CH50" s="264"/>
      <c r="CI50" s="264"/>
      <c r="CJ50" s="264"/>
      <c r="CK50" s="264"/>
      <c r="CL50" s="264"/>
      <c r="CM50" s="264"/>
      <c r="CN50" s="264"/>
      <c r="CO50" s="264"/>
      <c r="CP50" s="264"/>
      <c r="CQ50" s="264"/>
      <c r="CR50" s="264"/>
      <c r="CS50" s="264"/>
      <c r="CT50" s="264"/>
      <c r="CU50" s="264"/>
      <c r="CV50" s="264"/>
      <c r="CW50" s="264"/>
      <c r="CX50" s="264"/>
      <c r="CY50" s="264"/>
      <c r="CZ50" s="274"/>
      <c r="DA50" s="287"/>
    </row>
    <row r="51" spans="1:105" ht="17.25" customHeight="1" thickBot="1" x14ac:dyDescent="0.3">
      <c r="A51" s="1311"/>
      <c r="B51" s="1312"/>
      <c r="C51" s="1312"/>
      <c r="D51" s="1313"/>
      <c r="E51" s="1111"/>
      <c r="F51" s="1111"/>
      <c r="G51" s="1314"/>
      <c r="H51" s="1312"/>
      <c r="I51" s="1315"/>
      <c r="J51" s="1316"/>
      <c r="K51" s="1317"/>
      <c r="L51" s="1317"/>
      <c r="M51" s="1317"/>
      <c r="N51" s="1317"/>
      <c r="O51" s="1317"/>
      <c r="P51" s="296"/>
      <c r="Q51" s="296"/>
      <c r="R51" s="296"/>
      <c r="S51" s="296"/>
      <c r="T51" s="296"/>
      <c r="U51" s="287"/>
      <c r="V51" s="262"/>
      <c r="W51" s="269"/>
      <c r="X51" s="270"/>
      <c r="Y51" s="270"/>
      <c r="Z51" s="273"/>
      <c r="AA51" s="90"/>
      <c r="AB51" s="273"/>
      <c r="AC51" s="91"/>
      <c r="AD51" s="273"/>
      <c r="AE51" s="428"/>
      <c r="AF51" s="273"/>
      <c r="AG51" s="428"/>
      <c r="AH51" s="273"/>
      <c r="AI51" s="428"/>
      <c r="AJ51" s="277"/>
      <c r="AK51" s="302"/>
      <c r="AL51" s="281"/>
      <c r="AM51" s="282"/>
      <c r="AN51" s="282"/>
      <c r="AO51" s="282"/>
      <c r="AP51" s="282"/>
      <c r="AQ51" s="282"/>
      <c r="AR51" s="282"/>
      <c r="AS51" s="282"/>
      <c r="AT51" s="282"/>
      <c r="AU51" s="282"/>
      <c r="AV51" s="282"/>
      <c r="AW51" s="282"/>
      <c r="AX51" s="282"/>
      <c r="AY51" s="282"/>
      <c r="AZ51" s="282"/>
      <c r="BA51" s="282"/>
      <c r="BB51" s="282"/>
      <c r="BC51" s="282"/>
      <c r="BD51" s="282"/>
      <c r="BE51" s="282"/>
      <c r="BF51" s="274"/>
      <c r="BG51" s="287"/>
      <c r="BH51" s="261"/>
      <c r="BI51" s="264"/>
      <c r="BJ51" s="264"/>
      <c r="BK51" s="264"/>
      <c r="BL51" s="264"/>
      <c r="BM51" s="264"/>
      <c r="BN51" s="264"/>
      <c r="BO51" s="264"/>
      <c r="BP51" s="264"/>
      <c r="BQ51" s="264"/>
      <c r="BR51" s="264"/>
      <c r="BS51" s="264"/>
      <c r="BT51" s="264"/>
      <c r="BU51" s="274"/>
      <c r="BV51" s="287"/>
      <c r="BW51" s="261"/>
      <c r="BX51" s="264"/>
      <c r="BY51" s="264"/>
      <c r="BZ51" s="264"/>
      <c r="CA51" s="264"/>
      <c r="CB51" s="264"/>
      <c r="CC51" s="264"/>
      <c r="CD51" s="264"/>
      <c r="CE51" s="264"/>
      <c r="CF51" s="264"/>
      <c r="CG51" s="264"/>
      <c r="CH51" s="264"/>
      <c r="CI51" s="264"/>
      <c r="CJ51" s="264"/>
      <c r="CK51" s="264"/>
      <c r="CL51" s="264"/>
      <c r="CM51" s="264"/>
      <c r="CN51" s="264"/>
      <c r="CO51" s="264"/>
      <c r="CP51" s="264"/>
      <c r="CQ51" s="264"/>
      <c r="CR51" s="264"/>
      <c r="CS51" s="264"/>
      <c r="CT51" s="264"/>
      <c r="CU51" s="264"/>
      <c r="CV51" s="264"/>
      <c r="CW51" s="264"/>
      <c r="CX51" s="264"/>
      <c r="CY51" s="264"/>
      <c r="CZ51" s="274"/>
      <c r="DA51" s="287"/>
    </row>
    <row r="52" spans="1:105" ht="17.25" customHeight="1" thickBot="1" x14ac:dyDescent="0.3">
      <c r="A52" s="1318" t="s">
        <v>609</v>
      </c>
      <c r="B52" s="1319"/>
      <c r="C52" s="1319"/>
      <c r="D52" s="1319"/>
      <c r="E52" s="1319"/>
      <c r="F52" s="1319"/>
      <c r="G52" s="1319"/>
      <c r="H52" s="1319"/>
      <c r="I52" s="1319"/>
      <c r="J52" s="1319"/>
      <c r="K52" s="1319"/>
      <c r="L52" s="1319"/>
      <c r="M52" s="1319"/>
      <c r="N52" s="1319"/>
      <c r="O52" s="1320"/>
      <c r="P52" s="295"/>
      <c r="Q52" s="287"/>
      <c r="R52" s="287"/>
      <c r="S52" s="287"/>
      <c r="T52" s="287"/>
      <c r="U52" s="287"/>
      <c r="V52" s="1333" t="s">
        <v>587</v>
      </c>
      <c r="W52" s="1341"/>
      <c r="X52" s="1341"/>
      <c r="Y52" s="1341"/>
      <c r="Z52" s="1341"/>
      <c r="AA52" s="1341"/>
      <c r="AB52" s="1341"/>
      <c r="AC52" s="1341"/>
      <c r="AD52" s="1340"/>
      <c r="AE52" s="1341"/>
      <c r="AF52" s="1340"/>
      <c r="AG52" s="1341"/>
      <c r="AH52" s="1340"/>
      <c r="AI52" s="1341"/>
      <c r="AJ52" s="1342"/>
      <c r="AK52" s="289"/>
      <c r="AL52" s="280"/>
      <c r="AM52" s="266"/>
      <c r="AN52" s="266"/>
      <c r="AO52" s="266"/>
      <c r="AP52" s="266"/>
      <c r="AQ52" s="266"/>
      <c r="AR52" s="266"/>
      <c r="AS52" s="266"/>
      <c r="AT52" s="266"/>
      <c r="AU52" s="266"/>
      <c r="AV52" s="266"/>
      <c r="AW52" s="266"/>
      <c r="AX52" s="266"/>
      <c r="AY52" s="266"/>
      <c r="AZ52" s="266"/>
      <c r="BA52" s="266"/>
      <c r="BB52" s="266"/>
      <c r="BC52" s="266"/>
      <c r="BD52" s="266"/>
      <c r="BE52" s="266"/>
      <c r="BF52" s="274"/>
      <c r="BG52" s="287"/>
      <c r="BH52" s="261"/>
      <c r="BI52" s="264"/>
      <c r="BJ52" s="264"/>
      <c r="BK52" s="264"/>
      <c r="BL52" s="264"/>
      <c r="BM52" s="264"/>
      <c r="BN52" s="264"/>
      <c r="BO52" s="264"/>
      <c r="BP52" s="264"/>
      <c r="BQ52" s="264"/>
      <c r="BR52" s="264"/>
      <c r="BS52" s="264"/>
      <c r="BT52" s="264"/>
      <c r="BU52" s="274"/>
      <c r="BV52" s="287"/>
      <c r="BW52" s="261"/>
      <c r="BX52" s="264"/>
      <c r="BY52" s="264"/>
      <c r="BZ52" s="264"/>
      <c r="CA52" s="264"/>
      <c r="CB52" s="264"/>
      <c r="CC52" s="264"/>
      <c r="CD52" s="264"/>
      <c r="CE52" s="264"/>
      <c r="CF52" s="264"/>
      <c r="CG52" s="264"/>
      <c r="CH52" s="264"/>
      <c r="CI52" s="264"/>
      <c r="CJ52" s="264"/>
      <c r="CK52" s="264"/>
      <c r="CL52" s="264"/>
      <c r="CM52" s="264"/>
      <c r="CN52" s="264"/>
      <c r="CO52" s="264"/>
      <c r="CP52" s="264"/>
      <c r="CQ52" s="264"/>
      <c r="CR52" s="264"/>
      <c r="CS52" s="264"/>
      <c r="CT52" s="264"/>
      <c r="CU52" s="264"/>
      <c r="CV52" s="264"/>
      <c r="CW52" s="264"/>
      <c r="CX52" s="264"/>
      <c r="CY52" s="264"/>
      <c r="CZ52" s="274"/>
      <c r="DA52" s="287"/>
    </row>
    <row r="53" spans="1:105" ht="19.5" customHeight="1" thickBot="1" x14ac:dyDescent="0.3">
      <c r="A53" s="1206"/>
      <c r="B53" s="282"/>
      <c r="C53" s="282"/>
      <c r="D53" s="300"/>
      <c r="E53" s="264"/>
      <c r="F53" s="279"/>
      <c r="G53" s="1237"/>
      <c r="H53" s="1205"/>
      <c r="I53" s="1205"/>
      <c r="J53" s="1214"/>
      <c r="K53" s="283"/>
      <c r="L53" s="1237"/>
      <c r="M53" s="1205"/>
      <c r="N53" s="1205"/>
      <c r="O53" s="1238"/>
      <c r="P53" s="296"/>
      <c r="Q53" s="287"/>
      <c r="R53" s="287"/>
      <c r="S53" s="287"/>
      <c r="T53" s="287"/>
      <c r="U53" s="287"/>
      <c r="V53" s="279"/>
      <c r="W53" s="278"/>
      <c r="X53" s="283"/>
      <c r="Y53" s="283"/>
      <c r="Z53" s="283"/>
      <c r="AA53" s="1494" t="s">
        <v>50</v>
      </c>
      <c r="AB53" s="264"/>
      <c r="AC53" s="1472" t="s">
        <v>41</v>
      </c>
      <c r="AD53" s="264"/>
      <c r="AE53" s="1464" t="s">
        <v>362</v>
      </c>
      <c r="AF53" s="1464"/>
      <c r="AG53" s="1464"/>
      <c r="AH53" s="265"/>
      <c r="AI53" s="265"/>
      <c r="AJ53" s="299"/>
      <c r="AK53" s="302"/>
      <c r="AL53" s="281"/>
      <c r="AM53" s="282"/>
      <c r="AN53" s="282"/>
      <c r="AO53" s="282"/>
      <c r="AP53" s="282"/>
      <c r="AQ53" s="282"/>
      <c r="AR53" s="282"/>
      <c r="AS53" s="282"/>
      <c r="AT53" s="282"/>
      <c r="AU53" s="282"/>
      <c r="AV53" s="282"/>
      <c r="AW53" s="282"/>
      <c r="AX53" s="282"/>
      <c r="AY53" s="282"/>
      <c r="AZ53" s="282"/>
      <c r="BA53" s="282"/>
      <c r="BB53" s="282"/>
      <c r="BC53" s="282"/>
      <c r="BD53" s="282"/>
      <c r="BE53" s="282"/>
      <c r="BF53" s="274"/>
      <c r="BG53" s="287"/>
      <c r="BH53" s="261"/>
      <c r="BI53" s="264"/>
      <c r="BJ53" s="264"/>
      <c r="BK53" s="264"/>
      <c r="BL53" s="264"/>
      <c r="BM53" s="264"/>
      <c r="BN53" s="264"/>
      <c r="BO53" s="264"/>
      <c r="BP53" s="264"/>
      <c r="BQ53" s="264"/>
      <c r="BR53" s="264"/>
      <c r="BS53" s="264"/>
      <c r="BT53" s="264"/>
      <c r="BU53" s="274"/>
      <c r="BV53" s="287"/>
      <c r="BW53" s="261"/>
      <c r="BX53" s="264"/>
      <c r="BY53" s="264"/>
      <c r="BZ53" s="264"/>
      <c r="CA53" s="264"/>
      <c r="CB53" s="264"/>
      <c r="CC53" s="264"/>
      <c r="CD53" s="264"/>
      <c r="CE53" s="264"/>
      <c r="CF53" s="264"/>
      <c r="CG53" s="264"/>
      <c r="CH53" s="264"/>
      <c r="CI53" s="264"/>
      <c r="CJ53" s="264"/>
      <c r="CK53" s="264"/>
      <c r="CL53" s="264"/>
      <c r="CM53" s="264"/>
      <c r="CN53" s="264"/>
      <c r="CO53" s="264"/>
      <c r="CP53" s="264"/>
      <c r="CQ53" s="264"/>
      <c r="CR53" s="264"/>
      <c r="CS53" s="264"/>
      <c r="CT53" s="264"/>
      <c r="CU53" s="264"/>
      <c r="CV53" s="264"/>
      <c r="CW53" s="264"/>
      <c r="CX53" s="264"/>
      <c r="CY53" s="264"/>
      <c r="CZ53" s="274"/>
      <c r="DA53" s="287"/>
    </row>
    <row r="54" spans="1:105" ht="32.25" customHeight="1" thickBot="1" x14ac:dyDescent="0.3">
      <c r="A54" s="1163"/>
      <c r="B54" s="1213" t="s">
        <v>390</v>
      </c>
      <c r="C54" s="256">
        <v>2</v>
      </c>
      <c r="D54" s="264"/>
      <c r="E54" s="1212"/>
      <c r="F54" s="1211"/>
      <c r="G54" s="1223" t="s">
        <v>496</v>
      </c>
      <c r="H54" s="1213"/>
      <c r="I54" s="298"/>
      <c r="J54" s="264"/>
      <c r="K54" s="1212"/>
      <c r="L54" s="1212"/>
      <c r="M54" s="1212"/>
      <c r="N54" s="1212"/>
      <c r="O54" s="1215"/>
      <c r="P54" s="296"/>
      <c r="Q54" s="287"/>
      <c r="R54" s="287"/>
      <c r="S54" s="287"/>
      <c r="T54" s="287"/>
      <c r="U54" s="287"/>
      <c r="V54" s="260"/>
      <c r="W54" s="300"/>
      <c r="X54" s="298"/>
      <c r="Y54" s="266"/>
      <c r="Z54" s="265"/>
      <c r="AA54" s="1495"/>
      <c r="AB54" s="267"/>
      <c r="AC54" s="1473"/>
      <c r="AD54" s="267"/>
      <c r="AE54" s="1465"/>
      <c r="AF54" s="1465"/>
      <c r="AG54" s="1465"/>
      <c r="AH54" s="265"/>
      <c r="AI54" s="265"/>
      <c r="AJ54" s="276"/>
      <c r="AK54" s="289"/>
      <c r="AL54" s="280"/>
      <c r="AM54" s="266"/>
      <c r="AN54" s="266"/>
      <c r="AO54" s="266"/>
      <c r="AP54" s="266"/>
      <c r="AQ54" s="266"/>
      <c r="AR54" s="266"/>
      <c r="AS54" s="266"/>
      <c r="AT54" s="266"/>
      <c r="AU54" s="266"/>
      <c r="AV54" s="266"/>
      <c r="AW54" s="266"/>
      <c r="AX54" s="266"/>
      <c r="AY54" s="266"/>
      <c r="AZ54" s="266"/>
      <c r="BA54" s="266"/>
      <c r="BB54" s="266"/>
      <c r="BC54" s="266"/>
      <c r="BD54" s="266"/>
      <c r="BE54" s="266"/>
      <c r="BF54" s="274"/>
      <c r="BG54" s="287"/>
      <c r="BH54" s="261"/>
      <c r="BI54" s="264"/>
      <c r="BJ54" s="264"/>
      <c r="BK54" s="264"/>
      <c r="BL54" s="264"/>
      <c r="BM54" s="264"/>
      <c r="BN54" s="264"/>
      <c r="BO54" s="264"/>
      <c r="BP54" s="264"/>
      <c r="BQ54" s="264"/>
      <c r="BR54" s="264"/>
      <c r="BS54" s="264"/>
      <c r="BT54" s="264"/>
      <c r="BU54" s="274"/>
      <c r="BV54" s="287"/>
      <c r="BW54" s="261"/>
      <c r="BX54" s="264"/>
      <c r="BY54" s="264"/>
      <c r="BZ54" s="264"/>
      <c r="CA54" s="264"/>
      <c r="CB54" s="264"/>
      <c r="CC54" s="264"/>
      <c r="CD54" s="264"/>
      <c r="CE54" s="264"/>
      <c r="CF54" s="264"/>
      <c r="CG54" s="264"/>
      <c r="CH54" s="264"/>
      <c r="CI54" s="264"/>
      <c r="CJ54" s="264"/>
      <c r="CK54" s="264"/>
      <c r="CL54" s="264"/>
      <c r="CM54" s="264"/>
      <c r="CN54" s="264"/>
      <c r="CO54" s="264"/>
      <c r="CP54" s="264"/>
      <c r="CQ54" s="264"/>
      <c r="CR54" s="264"/>
      <c r="CS54" s="264"/>
      <c r="CT54" s="264"/>
      <c r="CU54" s="264"/>
      <c r="CV54" s="264"/>
      <c r="CW54" s="264"/>
      <c r="CX54" s="264"/>
      <c r="CY54" s="264"/>
      <c r="CZ54" s="274"/>
      <c r="DA54" s="287"/>
    </row>
    <row r="55" spans="1:105" ht="30" customHeight="1" thickBot="1" x14ac:dyDescent="0.3">
      <c r="A55" s="260"/>
      <c r="B55" s="1239"/>
      <c r="C55" s="1485" t="str">
        <f>IF(C54="None","No system selected",VLOOKUP('Options and results'!C54,Systemlist!$A$5:$F$34,6,FALSE))</f>
        <v>UK Silsoe Silsoe_02 Poplar 100 trees/ha wwbo 14yr 99% WWBO</v>
      </c>
      <c r="D55" s="1487"/>
      <c r="E55" s="1212"/>
      <c r="F55" s="1497" t="s">
        <v>679</v>
      </c>
      <c r="G55" s="1498"/>
      <c r="H55" s="1498"/>
      <c r="I55" s="1498"/>
      <c r="J55" s="1499"/>
      <c r="K55" s="309" t="s">
        <v>267</v>
      </c>
      <c r="L55" s="1212" t="s">
        <v>428</v>
      </c>
      <c r="M55" s="1212"/>
      <c r="N55" s="1212"/>
      <c r="O55" s="1215"/>
      <c r="P55" s="296"/>
      <c r="Q55" s="287"/>
      <c r="R55" s="287"/>
      <c r="S55" s="287"/>
      <c r="T55" s="287"/>
      <c r="U55" s="287"/>
      <c r="V55" s="261"/>
      <c r="W55" s="265"/>
      <c r="X55" s="298"/>
      <c r="Y55" s="264"/>
      <c r="Z55" s="265"/>
      <c r="AA55" s="87"/>
      <c r="AB55" s="267"/>
      <c r="AC55" s="88"/>
      <c r="AD55" s="267"/>
      <c r="AE55" s="259" t="s">
        <v>10</v>
      </c>
      <c r="AF55" s="267"/>
      <c r="AG55" s="259" t="s">
        <v>385</v>
      </c>
      <c r="AH55" s="267"/>
      <c r="AI55" s="265"/>
      <c r="AJ55" s="274"/>
      <c r="AK55" s="287"/>
      <c r="AL55" s="261"/>
      <c r="AM55" s="264"/>
      <c r="AN55" s="264"/>
      <c r="AO55" s="264"/>
      <c r="AP55" s="264"/>
      <c r="AQ55" s="264"/>
      <c r="AR55" s="264"/>
      <c r="AS55" s="264"/>
      <c r="AT55" s="264"/>
      <c r="AU55" s="264"/>
      <c r="AV55" s="264"/>
      <c r="AW55" s="264"/>
      <c r="AX55" s="264"/>
      <c r="AY55" s="264"/>
      <c r="AZ55" s="264"/>
      <c r="BA55" s="264"/>
      <c r="BB55" s="264"/>
      <c r="BC55" s="264"/>
      <c r="BD55" s="264"/>
      <c r="BE55" s="264"/>
      <c r="BF55" s="274"/>
      <c r="BG55" s="287"/>
      <c r="BH55" s="261"/>
      <c r="BI55" s="264"/>
      <c r="BJ55" s="264"/>
      <c r="BK55" s="264"/>
      <c r="BL55" s="264"/>
      <c r="BM55" s="264"/>
      <c r="BN55" s="264"/>
      <c r="BO55" s="264"/>
      <c r="BP55" s="264"/>
      <c r="BQ55" s="264"/>
      <c r="BR55" s="264"/>
      <c r="BS55" s="264"/>
      <c r="BT55" s="264"/>
      <c r="BU55" s="274"/>
      <c r="BV55" s="287"/>
      <c r="BW55" s="261"/>
      <c r="BX55" s="264"/>
      <c r="BY55" s="264"/>
      <c r="BZ55" s="264"/>
      <c r="CA55" s="264"/>
      <c r="CB55" s="264"/>
      <c r="CC55" s="264"/>
      <c r="CD55" s="264"/>
      <c r="CE55" s="264"/>
      <c r="CF55" s="264"/>
      <c r="CG55" s="264"/>
      <c r="CH55" s="264"/>
      <c r="CI55" s="264"/>
      <c r="CJ55" s="264"/>
      <c r="CK55" s="264"/>
      <c r="CL55" s="264"/>
      <c r="CM55" s="264"/>
      <c r="CN55" s="264"/>
      <c r="CO55" s="264"/>
      <c r="CP55" s="264"/>
      <c r="CQ55" s="264"/>
      <c r="CR55" s="264"/>
      <c r="CS55" s="264"/>
      <c r="CT55" s="264"/>
      <c r="CU55" s="264"/>
      <c r="CV55" s="264"/>
      <c r="CW55" s="264"/>
      <c r="CX55" s="264"/>
      <c r="CY55" s="264"/>
      <c r="CZ55" s="274"/>
      <c r="DA55" s="287"/>
    </row>
    <row r="56" spans="1:105" ht="18" customHeight="1" thickBot="1" x14ac:dyDescent="0.3">
      <c r="A56" s="1166" t="s">
        <v>50</v>
      </c>
      <c r="B56" s="282"/>
      <c r="C56" s="282"/>
      <c r="D56" s="300"/>
      <c r="E56" s="1212"/>
      <c r="F56" s="1211"/>
      <c r="G56" s="1213"/>
      <c r="H56" s="1241"/>
      <c r="I56" s="1242"/>
      <c r="J56" s="1215"/>
      <c r="K56" s="1485" t="str">
        <f>IF(K55="None","No overide crop",VLOOKUP(K55,Arablefinance!$A$6:$E$126,5,FALSE))</f>
        <v>No overide crop</v>
      </c>
      <c r="L56" s="1486"/>
      <c r="M56" s="1486"/>
      <c r="N56" s="1487"/>
      <c r="O56" s="1215"/>
      <c r="P56" s="296"/>
      <c r="Q56" s="287"/>
      <c r="R56" s="287"/>
      <c r="S56" s="287"/>
      <c r="T56" s="287"/>
      <c r="U56" s="287"/>
      <c r="V56" s="1104"/>
      <c r="W56" s="265"/>
      <c r="X56" s="265"/>
      <c r="Y56" s="265"/>
      <c r="Z56" s="265"/>
      <c r="AA56" s="87"/>
      <c r="AB56" s="265"/>
      <c r="AC56" s="88"/>
      <c r="AD56" s="265"/>
      <c r="AE56" s="259"/>
      <c r="AF56" s="265"/>
      <c r="AG56" s="259"/>
      <c r="AH56" s="265"/>
      <c r="AI56" s="265"/>
      <c r="AJ56" s="1105"/>
      <c r="AK56" s="289"/>
      <c r="AL56" s="261"/>
      <c r="AM56" s="264"/>
      <c r="AN56" s="264"/>
      <c r="AO56" s="264"/>
      <c r="AP56" s="264"/>
      <c r="AQ56" s="264"/>
      <c r="AR56" s="264"/>
      <c r="AS56" s="264"/>
      <c r="AT56" s="264"/>
      <c r="AU56" s="264"/>
      <c r="AV56" s="264"/>
      <c r="AW56" s="264"/>
      <c r="AX56" s="264"/>
      <c r="AY56" s="264"/>
      <c r="AZ56" s="264"/>
      <c r="BA56" s="264"/>
      <c r="BB56" s="264"/>
      <c r="BC56" s="264"/>
      <c r="BD56" s="264"/>
      <c r="BE56" s="264"/>
      <c r="BF56" s="274"/>
      <c r="BG56" s="287"/>
      <c r="BH56" s="261"/>
      <c r="BI56" s="264"/>
      <c r="BJ56" s="264"/>
      <c r="BK56" s="264"/>
      <c r="BL56" s="264"/>
      <c r="BM56" s="264"/>
      <c r="BN56" s="264"/>
      <c r="BO56" s="264"/>
      <c r="BP56" s="264"/>
      <c r="BQ56" s="264"/>
      <c r="BR56" s="264"/>
      <c r="BS56" s="264"/>
      <c r="BT56" s="264"/>
      <c r="BU56" s="274"/>
      <c r="BV56" s="287"/>
      <c r="BW56" s="261"/>
      <c r="BX56" s="264"/>
      <c r="BY56" s="264"/>
      <c r="BZ56" s="264"/>
      <c r="CA56" s="264"/>
      <c r="CB56" s="264"/>
      <c r="CC56" s="264"/>
      <c r="CD56" s="264"/>
      <c r="CE56" s="264"/>
      <c r="CF56" s="264"/>
      <c r="CG56" s="264"/>
      <c r="CH56" s="264"/>
      <c r="CI56" s="264"/>
      <c r="CJ56" s="264"/>
      <c r="CK56" s="264"/>
      <c r="CL56" s="264"/>
      <c r="CM56" s="264"/>
      <c r="CN56" s="264"/>
      <c r="CO56" s="264"/>
      <c r="CP56" s="264"/>
      <c r="CQ56" s="264"/>
      <c r="CR56" s="264"/>
      <c r="CS56" s="264"/>
      <c r="CT56" s="264"/>
      <c r="CU56" s="264"/>
      <c r="CV56" s="264"/>
      <c r="CW56" s="264"/>
      <c r="CX56" s="264"/>
      <c r="CY56" s="264"/>
      <c r="CZ56" s="274"/>
      <c r="DA56" s="287"/>
    </row>
    <row r="57" spans="1:105" ht="19.5" customHeight="1" thickBot="1" x14ac:dyDescent="0.3">
      <c r="A57" s="1210"/>
      <c r="B57" s="1213" t="s">
        <v>391</v>
      </c>
      <c r="C57" s="1346">
        <f>IF((MATCH(0,Plot!$CN8:$CN67,-1))&lt;60,(MATCH(0,Plot!$CN8:$CN67,-1))-1,(MATCH(0,Plot!$CN8:$CN67,-1)))</f>
        <v>30</v>
      </c>
      <c r="D57" s="266" t="s">
        <v>382</v>
      </c>
      <c r="E57" s="264"/>
      <c r="F57" s="1211"/>
      <c r="G57" s="1492" t="s">
        <v>427</v>
      </c>
      <c r="H57" s="1492"/>
      <c r="I57" s="1492"/>
      <c r="J57" s="1493"/>
      <c r="K57" s="308" t="s">
        <v>267</v>
      </c>
      <c r="L57" s="266" t="s">
        <v>429</v>
      </c>
      <c r="M57" s="1212"/>
      <c r="N57" s="1212"/>
      <c r="O57" s="1215"/>
      <c r="P57" s="296"/>
      <c r="Q57" s="287"/>
      <c r="R57" s="287"/>
      <c r="S57" s="287"/>
      <c r="T57" s="287"/>
      <c r="U57" s="287"/>
      <c r="V57" s="1104"/>
      <c r="W57" s="265"/>
      <c r="X57" s="267"/>
      <c r="Y57" s="1072" t="s">
        <v>586</v>
      </c>
      <c r="Z57" s="267" t="s">
        <v>588</v>
      </c>
      <c r="AA57" s="87"/>
      <c r="AB57" s="265"/>
      <c r="AC57" s="1160">
        <f ca="1">Systemlist!AA4</f>
        <v>219.0520197990561</v>
      </c>
      <c r="AD57" s="265"/>
      <c r="AE57" s="259"/>
      <c r="AF57" s="265"/>
      <c r="AG57" s="1160">
        <f ca="1">Systemlist!AX4</f>
        <v>216.57651403057335</v>
      </c>
      <c r="AH57" s="265"/>
      <c r="AI57" s="265"/>
      <c r="AJ57" s="1105"/>
      <c r="AK57" s="289"/>
      <c r="AL57" s="261"/>
      <c r="AM57" s="264"/>
      <c r="AN57" s="264"/>
      <c r="AO57" s="264"/>
      <c r="AP57" s="264"/>
      <c r="AQ57" s="264"/>
      <c r="AR57" s="264"/>
      <c r="AS57" s="264"/>
      <c r="AT57" s="264"/>
      <c r="AU57" s="264"/>
      <c r="AV57" s="264"/>
      <c r="AW57" s="264"/>
      <c r="AX57" s="264"/>
      <c r="AY57" s="264"/>
      <c r="AZ57" s="264"/>
      <c r="BA57" s="264"/>
      <c r="BB57" s="264"/>
      <c r="BC57" s="264"/>
      <c r="BD57" s="264"/>
      <c r="BE57" s="264"/>
      <c r="BF57" s="274"/>
      <c r="BG57" s="287"/>
      <c r="BH57" s="261"/>
      <c r="BI57" s="264"/>
      <c r="BJ57" s="264"/>
      <c r="BK57" s="264"/>
      <c r="BL57" s="264"/>
      <c r="BM57" s="264"/>
      <c r="BN57" s="264"/>
      <c r="BO57" s="264"/>
      <c r="BP57" s="264"/>
      <c r="BQ57" s="264"/>
      <c r="BR57" s="264"/>
      <c r="BS57" s="264"/>
      <c r="BT57" s="264"/>
      <c r="BU57" s="274"/>
      <c r="BV57" s="287"/>
      <c r="BW57" s="261"/>
      <c r="BX57" s="264"/>
      <c r="BY57" s="264"/>
      <c r="BZ57" s="264"/>
      <c r="CA57" s="264"/>
      <c r="CB57" s="264"/>
      <c r="CC57" s="264"/>
      <c r="CD57" s="264"/>
      <c r="CE57" s="264"/>
      <c r="CF57" s="264"/>
      <c r="CG57" s="264"/>
      <c r="CH57" s="264"/>
      <c r="CI57" s="264"/>
      <c r="CJ57" s="264"/>
      <c r="CK57" s="264"/>
      <c r="CL57" s="264"/>
      <c r="CM57" s="264"/>
      <c r="CN57" s="264"/>
      <c r="CO57" s="264"/>
      <c r="CP57" s="264"/>
      <c r="CQ57" s="264"/>
      <c r="CR57" s="264"/>
      <c r="CS57" s="264"/>
      <c r="CT57" s="264"/>
      <c r="CU57" s="264"/>
      <c r="CV57" s="264"/>
      <c r="CW57" s="264"/>
      <c r="CX57" s="264"/>
      <c r="CY57" s="264"/>
      <c r="CZ57" s="274"/>
      <c r="DA57" s="287"/>
    </row>
    <row r="58" spans="1:105" ht="20.25" customHeight="1" thickBot="1" x14ac:dyDescent="0.3">
      <c r="A58" s="1206"/>
      <c r="B58" s="282"/>
      <c r="C58" s="282"/>
      <c r="D58" s="300"/>
      <c r="E58" s="1212"/>
      <c r="F58" s="1211"/>
      <c r="G58" s="1223" t="s">
        <v>494</v>
      </c>
      <c r="H58" s="1213"/>
      <c r="I58" s="298"/>
      <c r="J58" s="266"/>
      <c r="K58" s="1212"/>
      <c r="L58" s="1212"/>
      <c r="M58" s="1212"/>
      <c r="N58" s="1212"/>
      <c r="O58" s="1215"/>
      <c r="P58" s="296"/>
      <c r="Q58" s="287"/>
      <c r="R58" s="287"/>
      <c r="S58" s="287"/>
      <c r="T58" s="287"/>
      <c r="U58" s="287"/>
      <c r="V58" s="281"/>
      <c r="W58" s="282"/>
      <c r="X58" s="1072"/>
      <c r="Y58" s="1072" t="s">
        <v>590</v>
      </c>
      <c r="Z58" s="267" t="s">
        <v>588</v>
      </c>
      <c r="AA58" s="87"/>
      <c r="AB58" s="282"/>
      <c r="AC58" s="1160">
        <f ca="1">Systemlist!AB4</f>
        <v>103.65</v>
      </c>
      <c r="AD58" s="265"/>
      <c r="AE58" s="259"/>
      <c r="AF58" s="282"/>
      <c r="AG58" s="1160">
        <f ca="1">Systemlist!AY4</f>
        <v>102.68</v>
      </c>
      <c r="AH58" s="282"/>
      <c r="AI58" s="265"/>
      <c r="AJ58" s="1105"/>
      <c r="AK58" s="289"/>
      <c r="AL58" s="261"/>
      <c r="AM58" s="264"/>
      <c r="AN58" s="264"/>
      <c r="AO58" s="264"/>
      <c r="AP58" s="264"/>
      <c r="AQ58" s="264"/>
      <c r="AR58" s="264"/>
      <c r="AS58" s="264"/>
      <c r="AT58" s="264"/>
      <c r="AU58" s="264"/>
      <c r="AV58" s="264"/>
      <c r="AW58" s="264"/>
      <c r="AX58" s="264"/>
      <c r="AY58" s="264"/>
      <c r="AZ58" s="264"/>
      <c r="BA58" s="264"/>
      <c r="BB58" s="264"/>
      <c r="BC58" s="264"/>
      <c r="BD58" s="264"/>
      <c r="BE58" s="264"/>
      <c r="BF58" s="274"/>
      <c r="BG58" s="287"/>
      <c r="BH58" s="261"/>
      <c r="BI58" s="264"/>
      <c r="BJ58" s="264"/>
      <c r="BK58" s="264"/>
      <c r="BL58" s="264"/>
      <c r="BM58" s="264"/>
      <c r="BN58" s="264"/>
      <c r="BO58" s="264"/>
      <c r="BP58" s="264"/>
      <c r="BQ58" s="264"/>
      <c r="BR58" s="264"/>
      <c r="BS58" s="264"/>
      <c r="BT58" s="264"/>
      <c r="BU58" s="274"/>
      <c r="BV58" s="287"/>
      <c r="BW58" s="261"/>
      <c r="BX58" s="264"/>
      <c r="BY58" s="264"/>
      <c r="BZ58" s="264"/>
      <c r="CA58" s="264"/>
      <c r="CB58" s="264"/>
      <c r="CC58" s="264"/>
      <c r="CD58" s="264"/>
      <c r="CE58" s="264"/>
      <c r="CF58" s="264"/>
      <c r="CG58" s="264"/>
      <c r="CH58" s="264"/>
      <c r="CI58" s="264"/>
      <c r="CJ58" s="264"/>
      <c r="CK58" s="264"/>
      <c r="CL58" s="264"/>
      <c r="CM58" s="264"/>
      <c r="CN58" s="264"/>
      <c r="CO58" s="264"/>
      <c r="CP58" s="264"/>
      <c r="CQ58" s="264"/>
      <c r="CR58" s="264"/>
      <c r="CS58" s="264"/>
      <c r="CT58" s="264"/>
      <c r="CU58" s="264"/>
      <c r="CV58" s="264"/>
      <c r="CW58" s="264"/>
      <c r="CX58" s="264"/>
      <c r="CY58" s="264"/>
      <c r="CZ58" s="274"/>
      <c r="DA58" s="287"/>
    </row>
    <row r="59" spans="1:105" ht="19.5" customHeight="1" thickBot="1" x14ac:dyDescent="0.3">
      <c r="A59" s="1163"/>
      <c r="B59" s="1213" t="s">
        <v>381</v>
      </c>
      <c r="C59" s="244">
        <v>1</v>
      </c>
      <c r="D59" s="266" t="s">
        <v>383</v>
      </c>
      <c r="E59" s="1212"/>
      <c r="F59" s="1211"/>
      <c r="G59" s="1213"/>
      <c r="H59" s="1213" t="s">
        <v>417</v>
      </c>
      <c r="I59" s="21">
        <v>1</v>
      </c>
      <c r="J59" s="266" t="s">
        <v>426</v>
      </c>
      <c r="K59" s="1223" t="s">
        <v>484</v>
      </c>
      <c r="L59" s="1213"/>
      <c r="M59" s="264"/>
      <c r="N59" s="266"/>
      <c r="O59" s="1215"/>
      <c r="P59" s="296"/>
      <c r="Q59" s="287"/>
      <c r="R59" s="287"/>
      <c r="S59" s="287"/>
      <c r="T59" s="287"/>
      <c r="U59" s="287"/>
      <c r="V59" s="1104"/>
      <c r="W59" s="265"/>
      <c r="X59" s="267"/>
      <c r="Y59" s="1072"/>
      <c r="Z59" s="267"/>
      <c r="AA59" s="87"/>
      <c r="AB59" s="265"/>
      <c r="AC59" s="88"/>
      <c r="AD59" s="265"/>
      <c r="AE59" s="259"/>
      <c r="AF59" s="265"/>
      <c r="AG59" s="259"/>
      <c r="AH59" s="265"/>
      <c r="AI59" s="265"/>
      <c r="AJ59" s="1105"/>
      <c r="AK59" s="286"/>
      <c r="AL59" s="261"/>
      <c r="AM59" s="264"/>
      <c r="AN59" s="264"/>
      <c r="AO59" s="264"/>
      <c r="AP59" s="264"/>
      <c r="AQ59" s="264"/>
      <c r="AR59" s="264"/>
      <c r="AS59" s="264"/>
      <c r="AT59" s="264"/>
      <c r="AU59" s="264"/>
      <c r="AV59" s="264"/>
      <c r="AW59" s="264"/>
      <c r="AX59" s="264"/>
      <c r="AY59" s="264"/>
      <c r="AZ59" s="264"/>
      <c r="BA59" s="264"/>
      <c r="BB59" s="264"/>
      <c r="BC59" s="264"/>
      <c r="BD59" s="264"/>
      <c r="BE59" s="264"/>
      <c r="BF59" s="274"/>
      <c r="BG59" s="287"/>
      <c r="BH59" s="261"/>
      <c r="BI59" s="264"/>
      <c r="BJ59" s="264"/>
      <c r="BK59" s="264"/>
      <c r="BL59" s="264"/>
      <c r="BM59" s="264"/>
      <c r="BN59" s="264"/>
      <c r="BO59" s="264"/>
      <c r="BP59" s="264"/>
      <c r="BQ59" s="264"/>
      <c r="BR59" s="264"/>
      <c r="BS59" s="264"/>
      <c r="BT59" s="264"/>
      <c r="BU59" s="274"/>
      <c r="BV59" s="287"/>
      <c r="BW59" s="261"/>
      <c r="BX59" s="264"/>
      <c r="BY59" s="264"/>
      <c r="BZ59" s="264"/>
      <c r="CA59" s="264"/>
      <c r="CB59" s="264"/>
      <c r="CC59" s="264"/>
      <c r="CD59" s="264"/>
      <c r="CE59" s="264"/>
      <c r="CF59" s="264"/>
      <c r="CG59" s="264"/>
      <c r="CH59" s="264"/>
      <c r="CI59" s="264"/>
      <c r="CJ59" s="264"/>
      <c r="CK59" s="264"/>
      <c r="CL59" s="264"/>
      <c r="CM59" s="264"/>
      <c r="CN59" s="264"/>
      <c r="CO59" s="264"/>
      <c r="CP59" s="264"/>
      <c r="CQ59" s="264"/>
      <c r="CR59" s="264"/>
      <c r="CS59" s="264"/>
      <c r="CT59" s="264"/>
      <c r="CU59" s="264"/>
      <c r="CV59" s="264"/>
      <c r="CW59" s="264"/>
      <c r="CX59" s="264"/>
      <c r="CY59" s="264"/>
      <c r="CZ59" s="274"/>
      <c r="DA59" s="287"/>
    </row>
    <row r="60" spans="1:105" ht="20.25" customHeight="1" thickBot="1" x14ac:dyDescent="0.3">
      <c r="A60" s="260"/>
      <c r="B60" s="1239"/>
      <c r="C60" s="1485" t="str">
        <f>VLOOKUP(C59,Arablefinance!$B$6:$C$126,2,FALSE)</f>
        <v>UK - Agriculture (BPS: from 2015)</v>
      </c>
      <c r="D60" s="1487"/>
      <c r="E60" s="1212"/>
      <c r="F60" s="1211"/>
      <c r="G60" s="1213"/>
      <c r="H60" s="1213"/>
      <c r="I60" s="22">
        <v>33.33</v>
      </c>
      <c r="J60" s="266" t="s">
        <v>416</v>
      </c>
      <c r="K60" s="298"/>
      <c r="L60" s="1213" t="s">
        <v>430</v>
      </c>
      <c r="M60" s="26">
        <v>0.1</v>
      </c>
      <c r="N60" s="266" t="s">
        <v>414</v>
      </c>
      <c r="O60" s="1215"/>
      <c r="P60" s="296"/>
      <c r="Q60" s="287"/>
      <c r="R60" s="287"/>
      <c r="S60" s="287"/>
      <c r="T60" s="287"/>
      <c r="U60" s="287"/>
      <c r="V60" s="1104"/>
      <c r="W60" s="265"/>
      <c r="X60" s="267"/>
      <c r="Y60" s="1072" t="s">
        <v>593</v>
      </c>
      <c r="Z60" s="267" t="s">
        <v>589</v>
      </c>
      <c r="AA60" s="87"/>
      <c r="AB60" s="265"/>
      <c r="AC60" s="265"/>
      <c r="AD60" s="282"/>
      <c r="AE60" s="259"/>
      <c r="AF60" s="265"/>
      <c r="AG60" s="265"/>
      <c r="AH60" s="265"/>
      <c r="AI60" s="265"/>
      <c r="AJ60" s="1105"/>
      <c r="AK60" s="289"/>
      <c r="AL60" s="261"/>
      <c r="AM60" s="264"/>
      <c r="AN60" s="264"/>
      <c r="AO60" s="264"/>
      <c r="AP60" s="264"/>
      <c r="AQ60" s="264"/>
      <c r="AR60" s="264"/>
      <c r="AS60" s="264"/>
      <c r="AT60" s="264"/>
      <c r="AU60" s="264"/>
      <c r="AV60" s="264"/>
      <c r="AW60" s="264"/>
      <c r="AX60" s="264"/>
      <c r="AY60" s="264"/>
      <c r="AZ60" s="264"/>
      <c r="BA60" s="264"/>
      <c r="BB60" s="264"/>
      <c r="BC60" s="264"/>
      <c r="BD60" s="264"/>
      <c r="BE60" s="264"/>
      <c r="BF60" s="274"/>
      <c r="BG60" s="287"/>
      <c r="BH60" s="261"/>
      <c r="BI60" s="264"/>
      <c r="BJ60" s="264"/>
      <c r="BK60" s="264"/>
      <c r="BL60" s="264"/>
      <c r="BM60" s="264"/>
      <c r="BN60" s="264"/>
      <c r="BO60" s="264"/>
      <c r="BP60" s="264"/>
      <c r="BQ60" s="264"/>
      <c r="BR60" s="264"/>
      <c r="BS60" s="264"/>
      <c r="BT60" s="264"/>
      <c r="BU60" s="274"/>
      <c r="BV60" s="287"/>
      <c r="BW60" s="261"/>
      <c r="BX60" s="264"/>
      <c r="BY60" s="264"/>
      <c r="BZ60" s="264"/>
      <c r="CA60" s="264"/>
      <c r="CB60" s="264"/>
      <c r="CC60" s="264"/>
      <c r="CD60" s="264"/>
      <c r="CE60" s="264"/>
      <c r="CF60" s="264"/>
      <c r="CG60" s="264"/>
      <c r="CH60" s="264"/>
      <c r="CI60" s="264"/>
      <c r="CJ60" s="264"/>
      <c r="CK60" s="264"/>
      <c r="CL60" s="264"/>
      <c r="CM60" s="264"/>
      <c r="CN60" s="264"/>
      <c r="CO60" s="264"/>
      <c r="CP60" s="264"/>
      <c r="CQ60" s="264"/>
      <c r="CR60" s="264"/>
      <c r="CS60" s="264"/>
      <c r="CT60" s="264"/>
      <c r="CU60" s="264"/>
      <c r="CV60" s="264"/>
      <c r="CW60" s="264"/>
      <c r="CX60" s="264"/>
      <c r="CY60" s="264"/>
      <c r="CZ60" s="274"/>
      <c r="DA60" s="287"/>
    </row>
    <row r="61" spans="1:105" ht="21" customHeight="1" thickBot="1" x14ac:dyDescent="0.3">
      <c r="A61" s="1163"/>
      <c r="B61" s="1213" t="s">
        <v>393</v>
      </c>
      <c r="C61" s="254">
        <v>1</v>
      </c>
      <c r="D61" s="1243" t="s">
        <v>487</v>
      </c>
      <c r="E61" s="1212"/>
      <c r="F61" s="1211"/>
      <c r="G61" s="1213"/>
      <c r="H61" s="1213" t="s">
        <v>418</v>
      </c>
      <c r="I61" s="24"/>
      <c r="J61" s="266" t="s">
        <v>426</v>
      </c>
      <c r="K61" s="298"/>
      <c r="L61" s="1213" t="s">
        <v>431</v>
      </c>
      <c r="M61" s="27">
        <v>1</v>
      </c>
      <c r="N61" s="266" t="s">
        <v>382</v>
      </c>
      <c r="O61" s="1215"/>
      <c r="P61" s="296"/>
      <c r="Q61" s="287"/>
      <c r="R61" s="287"/>
      <c r="S61" s="287"/>
      <c r="T61" s="287"/>
      <c r="U61" s="287"/>
      <c r="V61" s="1104"/>
      <c r="W61" s="265"/>
      <c r="X61" s="265"/>
      <c r="Y61" s="282"/>
      <c r="Z61" s="1110" t="str">
        <f ca="1">Systemlist!N4</f>
        <v>Wheat</v>
      </c>
      <c r="AA61" s="1157">
        <f ca="1">Systemlist!O4</f>
        <v>8.7834057953067539</v>
      </c>
      <c r="AB61" s="1460" t="str">
        <f ca="1">Systemlist!AU4</f>
        <v>Wheat</v>
      </c>
      <c r="AC61" s="1460"/>
      <c r="AD61" s="1460"/>
      <c r="AE61" s="1157">
        <f ca="1">Systemlist!AV4</f>
        <v>7.753750000000001</v>
      </c>
      <c r="AF61" s="265"/>
      <c r="AG61" s="267"/>
      <c r="AH61" s="265"/>
      <c r="AI61" s="265"/>
      <c r="AJ61" s="285"/>
      <c r="AK61" s="287"/>
      <c r="AL61" s="261"/>
      <c r="AM61" s="264"/>
      <c r="AN61" s="264"/>
      <c r="AO61" s="264"/>
      <c r="AP61" s="264"/>
      <c r="AQ61" s="264"/>
      <c r="AR61" s="264"/>
      <c r="AS61" s="264"/>
      <c r="AT61" s="264"/>
      <c r="AU61" s="264"/>
      <c r="AV61" s="264"/>
      <c r="AW61" s="264"/>
      <c r="AX61" s="264"/>
      <c r="AY61" s="264"/>
      <c r="AZ61" s="264"/>
      <c r="BA61" s="264"/>
      <c r="BB61" s="264"/>
      <c r="BC61" s="264"/>
      <c r="BD61" s="264"/>
      <c r="BE61" s="264"/>
      <c r="BF61" s="274"/>
      <c r="BG61" s="287"/>
      <c r="BH61" s="261"/>
      <c r="BI61" s="264"/>
      <c r="BJ61" s="264"/>
      <c r="BK61" s="264"/>
      <c r="BL61" s="264"/>
      <c r="BM61" s="264"/>
      <c r="BN61" s="264"/>
      <c r="BO61" s="264"/>
      <c r="BP61" s="264"/>
      <c r="BQ61" s="264"/>
      <c r="BR61" s="264"/>
      <c r="BS61" s="264"/>
      <c r="BT61" s="264"/>
      <c r="BU61" s="274"/>
      <c r="BV61" s="287"/>
      <c r="BW61" s="261"/>
      <c r="BX61" s="264"/>
      <c r="BY61" s="264"/>
      <c r="BZ61" s="264"/>
      <c r="CA61" s="264"/>
      <c r="CB61" s="264"/>
      <c r="CC61" s="264"/>
      <c r="CD61" s="264"/>
      <c r="CE61" s="264"/>
      <c r="CF61" s="264"/>
      <c r="CG61" s="264"/>
      <c r="CH61" s="264"/>
      <c r="CI61" s="264"/>
      <c r="CJ61" s="264"/>
      <c r="CK61" s="264"/>
      <c r="CL61" s="264"/>
      <c r="CM61" s="264"/>
      <c r="CN61" s="264"/>
      <c r="CO61" s="264"/>
      <c r="CP61" s="264"/>
      <c r="CQ61" s="264"/>
      <c r="CR61" s="264"/>
      <c r="CS61" s="264"/>
      <c r="CT61" s="264"/>
      <c r="CU61" s="264"/>
      <c r="CV61" s="264"/>
      <c r="CW61" s="264"/>
      <c r="CX61" s="264"/>
      <c r="CY61" s="264"/>
      <c r="CZ61" s="274"/>
      <c r="DA61" s="287"/>
    </row>
    <row r="62" spans="1:105" ht="21" customHeight="1" thickBot="1" x14ac:dyDescent="0.3">
      <c r="A62" s="1163" t="s">
        <v>385</v>
      </c>
      <c r="B62" s="1213"/>
      <c r="C62" s="1213"/>
      <c r="D62" s="1244"/>
      <c r="E62" s="1212"/>
      <c r="F62" s="1211"/>
      <c r="G62" s="1213"/>
      <c r="H62" s="1213"/>
      <c r="I62" s="25"/>
      <c r="J62" s="266" t="s">
        <v>416</v>
      </c>
      <c r="K62" s="298"/>
      <c r="L62" s="1213"/>
      <c r="M62" s="1230"/>
      <c r="N62" s="264"/>
      <c r="O62" s="1215"/>
      <c r="P62" s="296"/>
      <c r="Q62" s="287"/>
      <c r="R62" s="287"/>
      <c r="S62" s="287"/>
      <c r="T62" s="287"/>
      <c r="U62" s="287"/>
      <c r="V62" s="1104"/>
      <c r="W62" s="265"/>
      <c r="X62" s="265"/>
      <c r="Y62" s="282"/>
      <c r="Z62" s="1110" t="str">
        <f ca="1">Systemlist!N5</f>
        <v>Barley</v>
      </c>
      <c r="AA62" s="1158">
        <f ca="1">Systemlist!O5</f>
        <v>6.6994351205186193</v>
      </c>
      <c r="AB62" s="1460" t="str">
        <f ca="1">Systemlist!AU5</f>
        <v>Barley</v>
      </c>
      <c r="AC62" s="1460"/>
      <c r="AD62" s="1460"/>
      <c r="AE62" s="1158">
        <f ca="1">Systemlist!AV5</f>
        <v>5.9899999999999993</v>
      </c>
      <c r="AF62" s="265"/>
      <c r="AG62" s="267"/>
      <c r="AH62" s="265"/>
      <c r="AI62" s="265"/>
      <c r="AJ62" s="1105"/>
      <c r="AK62" s="289"/>
      <c r="AL62" s="261"/>
      <c r="AM62" s="264"/>
      <c r="AN62" s="264"/>
      <c r="AO62" s="264"/>
      <c r="AP62" s="264"/>
      <c r="AQ62" s="264"/>
      <c r="AR62" s="264"/>
      <c r="AS62" s="264"/>
      <c r="AT62" s="264"/>
      <c r="AU62" s="264"/>
      <c r="AV62" s="264"/>
      <c r="AW62" s="264"/>
      <c r="AX62" s="264"/>
      <c r="AY62" s="264"/>
      <c r="AZ62" s="264"/>
      <c r="BA62" s="264"/>
      <c r="BB62" s="264"/>
      <c r="BC62" s="264"/>
      <c r="BD62" s="264"/>
      <c r="BE62" s="264"/>
      <c r="BF62" s="274"/>
      <c r="BG62" s="287"/>
      <c r="BH62" s="261"/>
      <c r="BI62" s="264"/>
      <c r="BJ62" s="264"/>
      <c r="BK62" s="264"/>
      <c r="BL62" s="264"/>
      <c r="BM62" s="264"/>
      <c r="BN62" s="264"/>
      <c r="BO62" s="264"/>
      <c r="BP62" s="264"/>
      <c r="BQ62" s="264"/>
      <c r="BR62" s="264"/>
      <c r="BS62" s="264"/>
      <c r="BT62" s="264"/>
      <c r="BU62" s="274"/>
      <c r="BV62" s="287"/>
      <c r="BW62" s="261"/>
      <c r="BX62" s="264"/>
      <c r="BY62" s="264"/>
      <c r="BZ62" s="264"/>
      <c r="CA62" s="264"/>
      <c r="CB62" s="264"/>
      <c r="CC62" s="264"/>
      <c r="CD62" s="264"/>
      <c r="CE62" s="264"/>
      <c r="CF62" s="264"/>
      <c r="CG62" s="264"/>
      <c r="CH62" s="264"/>
      <c r="CI62" s="264"/>
      <c r="CJ62" s="264"/>
      <c r="CK62" s="264"/>
      <c r="CL62" s="264"/>
      <c r="CM62" s="264"/>
      <c r="CN62" s="264"/>
      <c r="CO62" s="264"/>
      <c r="CP62" s="264"/>
      <c r="CQ62" s="264"/>
      <c r="CR62" s="264"/>
      <c r="CS62" s="264"/>
      <c r="CT62" s="264"/>
      <c r="CU62" s="264"/>
      <c r="CV62" s="264"/>
      <c r="CW62" s="264"/>
      <c r="CX62" s="264"/>
      <c r="CY62" s="264"/>
      <c r="CZ62" s="274"/>
      <c r="DA62" s="287"/>
    </row>
    <row r="63" spans="1:105" ht="17.25" customHeight="1" thickBot="1" x14ac:dyDescent="0.3">
      <c r="A63" s="1210"/>
      <c r="B63" s="1213" t="s">
        <v>392</v>
      </c>
      <c r="C63" s="1346">
        <f>IF((MATCH(0,Plot!$DL8:$DL67,-1))&lt;60,(MATCH(0,Plot!$DL8:$DL67,-1))-1,(MATCH(0,Plot!$DL8:$DL67,-1)))</f>
        <v>30</v>
      </c>
      <c r="D63" s="266" t="s">
        <v>382</v>
      </c>
      <c r="E63" s="264"/>
      <c r="F63" s="1211"/>
      <c r="G63" s="1213"/>
      <c r="H63" s="1213" t="s">
        <v>419</v>
      </c>
      <c r="I63" s="24"/>
      <c r="J63" s="266" t="s">
        <v>426</v>
      </c>
      <c r="K63" s="1223" t="s">
        <v>248</v>
      </c>
      <c r="L63" s="1213"/>
      <c r="M63" s="1230"/>
      <c r="N63" s="266"/>
      <c r="O63" s="1215"/>
      <c r="P63" s="296"/>
      <c r="Q63" s="287"/>
      <c r="R63" s="287"/>
      <c r="S63" s="287"/>
      <c r="T63" s="287"/>
      <c r="U63" s="287"/>
      <c r="V63" s="1104"/>
      <c r="W63" s="265"/>
      <c r="X63" s="265"/>
      <c r="Y63" s="282"/>
      <c r="Z63" s="1110" t="str">
        <f ca="1">Systemlist!N6</f>
        <v>Oilseed</v>
      </c>
      <c r="AA63" s="1158">
        <f ca="1">Systemlist!O6</f>
        <v>3.4850692449673084</v>
      </c>
      <c r="AB63" s="1460" t="str">
        <f ca="1">Systemlist!AU6</f>
        <v>Oilseed</v>
      </c>
      <c r="AC63" s="1460"/>
      <c r="AD63" s="1460"/>
      <c r="AE63" s="1158">
        <f ca="1">Systemlist!AV6</f>
        <v>3.1633333333333336</v>
      </c>
      <c r="AF63" s="265"/>
      <c r="AG63" s="267"/>
      <c r="AH63" s="265"/>
      <c r="AI63" s="265"/>
      <c r="AJ63" s="1105"/>
      <c r="AK63" s="287"/>
      <c r="AL63" s="261"/>
      <c r="AM63" s="264"/>
      <c r="AN63" s="264"/>
      <c r="AO63" s="264"/>
      <c r="AP63" s="264"/>
      <c r="AQ63" s="264"/>
      <c r="AR63" s="264"/>
      <c r="AS63" s="264"/>
      <c r="AT63" s="264"/>
      <c r="AU63" s="264"/>
      <c r="AV63" s="264"/>
      <c r="AW63" s="264"/>
      <c r="AX63" s="264"/>
      <c r="AY63" s="264"/>
      <c r="AZ63" s="264"/>
      <c r="BA63" s="264"/>
      <c r="BB63" s="264"/>
      <c r="BC63" s="264"/>
      <c r="BD63" s="264"/>
      <c r="BE63" s="264"/>
      <c r="BF63" s="274"/>
      <c r="BG63" s="287"/>
      <c r="BH63" s="261"/>
      <c r="BI63" s="264"/>
      <c r="BJ63" s="264"/>
      <c r="BK63" s="264"/>
      <c r="BL63" s="264"/>
      <c r="BM63" s="264"/>
      <c r="BN63" s="264"/>
      <c r="BO63" s="264"/>
      <c r="BP63" s="264"/>
      <c r="BQ63" s="264"/>
      <c r="BR63" s="264"/>
      <c r="BS63" s="264"/>
      <c r="BT63" s="264"/>
      <c r="BU63" s="274"/>
      <c r="BV63" s="287"/>
      <c r="BW63" s="261"/>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74"/>
      <c r="DA63" s="287"/>
    </row>
    <row r="64" spans="1:105" ht="21" customHeight="1" thickBot="1" x14ac:dyDescent="0.3">
      <c r="A64" s="1163"/>
      <c r="B64" s="1213" t="s">
        <v>394</v>
      </c>
      <c r="C64" s="245">
        <v>1</v>
      </c>
      <c r="D64" s="264"/>
      <c r="E64" s="1212"/>
      <c r="F64" s="1211"/>
      <c r="G64" s="1213"/>
      <c r="H64" s="1213"/>
      <c r="I64" s="25"/>
      <c r="J64" s="266" t="s">
        <v>416</v>
      </c>
      <c r="K64" s="298"/>
      <c r="L64" s="282" t="s">
        <v>432</v>
      </c>
      <c r="M64" s="28">
        <v>1</v>
      </c>
      <c r="N64" s="266" t="s">
        <v>437</v>
      </c>
      <c r="O64" s="1215"/>
      <c r="P64" s="296"/>
      <c r="Q64" s="287"/>
      <c r="R64" s="287"/>
      <c r="S64" s="287"/>
      <c r="T64" s="287"/>
      <c r="U64" s="287"/>
      <c r="V64" s="281"/>
      <c r="W64" s="282"/>
      <c r="X64" s="282"/>
      <c r="Y64" s="282"/>
      <c r="Z64" s="1110">
        <f>Systemlist!N7</f>
        <v>0</v>
      </c>
      <c r="AA64" s="1158" t="str">
        <f ca="1">Systemlist!O7</f>
        <v/>
      </c>
      <c r="AB64" s="1460" t="str">
        <f ca="1">Systemlist!AU7</f>
        <v>Agroforestry fallow</v>
      </c>
      <c r="AC64" s="1460"/>
      <c r="AD64" s="1460"/>
      <c r="AE64" s="1158">
        <f ca="1">Systemlist!AV7</f>
        <v>0</v>
      </c>
      <c r="AF64" s="282"/>
      <c r="AG64" s="265"/>
      <c r="AH64" s="282"/>
      <c r="AI64" s="265"/>
      <c r="AJ64" s="285"/>
      <c r="AK64" s="287"/>
      <c r="AL64" s="261"/>
      <c r="AM64" s="264"/>
      <c r="AN64" s="264"/>
      <c r="AO64" s="264"/>
      <c r="AP64" s="264"/>
      <c r="AQ64" s="264"/>
      <c r="AR64" s="264"/>
      <c r="AS64" s="264"/>
      <c r="AT64" s="264"/>
      <c r="AU64" s="264"/>
      <c r="AV64" s="264"/>
      <c r="AW64" s="264"/>
      <c r="AX64" s="264"/>
      <c r="AY64" s="264"/>
      <c r="AZ64" s="264"/>
      <c r="BA64" s="264"/>
      <c r="BB64" s="264"/>
      <c r="BC64" s="264"/>
      <c r="BD64" s="264"/>
      <c r="BE64" s="264"/>
      <c r="BF64" s="274"/>
      <c r="BG64" s="287"/>
      <c r="BH64" s="261"/>
      <c r="BI64" s="264"/>
      <c r="BJ64" s="264"/>
      <c r="BK64" s="264"/>
      <c r="BL64" s="264"/>
      <c r="BM64" s="264"/>
      <c r="BN64" s="264"/>
      <c r="BO64" s="264"/>
      <c r="BP64" s="264"/>
      <c r="BQ64" s="264"/>
      <c r="BR64" s="264"/>
      <c r="BS64" s="264"/>
      <c r="BT64" s="264"/>
      <c r="BU64" s="274"/>
      <c r="BV64" s="287"/>
      <c r="BW64" s="261"/>
      <c r="BX64" s="264"/>
      <c r="BY64" s="264"/>
      <c r="BZ64" s="264"/>
      <c r="CA64" s="264"/>
      <c r="CB64" s="264"/>
      <c r="CC64" s="264"/>
      <c r="CD64" s="264"/>
      <c r="CE64" s="264"/>
      <c r="CF64" s="264"/>
      <c r="CG64" s="264"/>
      <c r="CH64" s="264"/>
      <c r="CI64" s="264"/>
      <c r="CJ64" s="264"/>
      <c r="CK64" s="264"/>
      <c r="CL64" s="264"/>
      <c r="CM64" s="264"/>
      <c r="CN64" s="264"/>
      <c r="CO64" s="264"/>
      <c r="CP64" s="264"/>
      <c r="CQ64" s="264"/>
      <c r="CR64" s="264"/>
      <c r="CS64" s="264"/>
      <c r="CT64" s="264"/>
      <c r="CU64" s="264"/>
      <c r="CV64" s="264"/>
      <c r="CW64" s="264"/>
      <c r="CX64" s="264"/>
      <c r="CY64" s="264"/>
      <c r="CZ64" s="274"/>
      <c r="DA64" s="287"/>
    </row>
    <row r="65" spans="1:105" ht="16.5" customHeight="1" x14ac:dyDescent="0.25">
      <c r="A65" s="260"/>
      <c r="B65" s="1239"/>
      <c r="C65" s="1488" t="str">
        <f>VLOOKUP(C64,Treecost!$A$6:$B$49,2,FALSE)</f>
        <v>UK Poplar Agroforestry England standard EU</v>
      </c>
      <c r="D65" s="1489"/>
      <c r="E65" s="1212"/>
      <c r="F65" s="1211"/>
      <c r="G65" s="1213"/>
      <c r="H65" s="1213" t="s">
        <v>420</v>
      </c>
      <c r="I65" s="24"/>
      <c r="J65" s="266" t="s">
        <v>426</v>
      </c>
      <c r="K65" s="1245"/>
      <c r="L65" s="282" t="s">
        <v>433</v>
      </c>
      <c r="M65" s="29">
        <v>1</v>
      </c>
      <c r="N65" s="266" t="s">
        <v>437</v>
      </c>
      <c r="O65" s="1215"/>
      <c r="P65" s="296"/>
      <c r="Q65" s="287"/>
      <c r="R65" s="287"/>
      <c r="S65" s="287"/>
      <c r="T65" s="287"/>
      <c r="U65" s="286"/>
      <c r="V65" s="1104"/>
      <c r="W65" s="265"/>
      <c r="X65" s="265"/>
      <c r="Y65" s="282"/>
      <c r="Z65" s="1110">
        <f>Systemlist!N8</f>
        <v>0</v>
      </c>
      <c r="AA65" s="1158" t="str">
        <f ca="1">Systemlist!O8</f>
        <v/>
      </c>
      <c r="AB65" s="1460">
        <f>Systemlist!AU8</f>
        <v>0</v>
      </c>
      <c r="AC65" s="1460"/>
      <c r="AD65" s="1460"/>
      <c r="AE65" s="1158" t="str">
        <f ca="1">Systemlist!AW13</f>
        <v/>
      </c>
      <c r="AF65" s="265"/>
      <c r="AG65" s="265"/>
      <c r="AH65" s="265"/>
      <c r="AI65" s="265"/>
      <c r="AJ65" s="1105"/>
      <c r="AK65" s="287"/>
      <c r="AL65" s="261"/>
      <c r="AM65" s="264"/>
      <c r="AN65" s="264"/>
      <c r="AO65" s="264"/>
      <c r="AP65" s="264"/>
      <c r="AQ65" s="264"/>
      <c r="AR65" s="264"/>
      <c r="AS65" s="264"/>
      <c r="AT65" s="264"/>
      <c r="AU65" s="264"/>
      <c r="AV65" s="264"/>
      <c r="AW65" s="264"/>
      <c r="AX65" s="264"/>
      <c r="AY65" s="264"/>
      <c r="AZ65" s="264"/>
      <c r="BA65" s="264"/>
      <c r="BB65" s="264"/>
      <c r="BC65" s="264"/>
      <c r="BD65" s="264"/>
      <c r="BE65" s="264"/>
      <c r="BF65" s="274"/>
      <c r="BG65" s="287"/>
      <c r="BH65" s="261"/>
      <c r="BI65" s="264"/>
      <c r="BJ65" s="264"/>
      <c r="BK65" s="264"/>
      <c r="BL65" s="264"/>
      <c r="BM65" s="264"/>
      <c r="BN65" s="264"/>
      <c r="BO65" s="264"/>
      <c r="BP65" s="264"/>
      <c r="BQ65" s="264"/>
      <c r="BR65" s="264"/>
      <c r="BS65" s="264"/>
      <c r="BT65" s="264"/>
      <c r="BU65" s="274"/>
      <c r="BV65" s="287"/>
      <c r="BW65" s="261"/>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74"/>
      <c r="DA65" s="287"/>
    </row>
    <row r="66" spans="1:105" ht="21.75" customHeight="1" thickBot="1" x14ac:dyDescent="0.3">
      <c r="A66" s="260"/>
      <c r="B66" s="1213" t="s">
        <v>395</v>
      </c>
      <c r="C66" s="1347">
        <v>1</v>
      </c>
      <c r="D66" s="264"/>
      <c r="E66" s="1212"/>
      <c r="F66" s="1211"/>
      <c r="G66" s="1213"/>
      <c r="H66" s="1213"/>
      <c r="I66" s="25"/>
      <c r="J66" s="266" t="s">
        <v>416</v>
      </c>
      <c r="K66" s="1246"/>
      <c r="L66" s="1213" t="s">
        <v>434</v>
      </c>
      <c r="M66" s="30">
        <v>0.7</v>
      </c>
      <c r="N66" s="266" t="s">
        <v>438</v>
      </c>
      <c r="O66" s="1215"/>
      <c r="P66" s="296"/>
      <c r="Q66" s="286"/>
      <c r="R66" s="288"/>
      <c r="S66" s="288"/>
      <c r="T66" s="288"/>
      <c r="U66" s="286"/>
      <c r="V66" s="1104"/>
      <c r="W66" s="265"/>
      <c r="X66" s="265"/>
      <c r="Y66" s="282"/>
      <c r="Z66" s="1110"/>
      <c r="AA66" s="1158" t="str">
        <f ca="1">Systemlist!O9</f>
        <v/>
      </c>
      <c r="AB66" s="1460">
        <f>Systemlist!AU9</f>
        <v>0</v>
      </c>
      <c r="AC66" s="1460"/>
      <c r="AD66" s="1460"/>
      <c r="AE66" s="1158" t="str">
        <f ca="1">Systemlist!AV9</f>
        <v xml:space="preserve"> </v>
      </c>
      <c r="AF66" s="265"/>
      <c r="AG66" s="265"/>
      <c r="AH66" s="265"/>
      <c r="AI66" s="265"/>
      <c r="AJ66" s="1105"/>
      <c r="AK66" s="287"/>
      <c r="AL66" s="261"/>
      <c r="AM66" s="264"/>
      <c r="AN66" s="264"/>
      <c r="AO66" s="264"/>
      <c r="AP66" s="264"/>
      <c r="AQ66" s="264"/>
      <c r="AR66" s="264"/>
      <c r="AS66" s="264"/>
      <c r="AT66" s="264"/>
      <c r="AU66" s="264"/>
      <c r="AV66" s="264"/>
      <c r="AW66" s="264"/>
      <c r="AX66" s="264"/>
      <c r="AY66" s="264"/>
      <c r="AZ66" s="264"/>
      <c r="BA66" s="264"/>
      <c r="BB66" s="264"/>
      <c r="BC66" s="264"/>
      <c r="BD66" s="264"/>
      <c r="BE66" s="264"/>
      <c r="BF66" s="274"/>
      <c r="BG66" s="287"/>
      <c r="BH66" s="261"/>
      <c r="BI66" s="264"/>
      <c r="BJ66" s="264"/>
      <c r="BK66" s="264"/>
      <c r="BL66" s="264"/>
      <c r="BM66" s="264"/>
      <c r="BN66" s="264"/>
      <c r="BO66" s="264"/>
      <c r="BP66" s="264"/>
      <c r="BQ66" s="264"/>
      <c r="BR66" s="264"/>
      <c r="BS66" s="264"/>
      <c r="BT66" s="264"/>
      <c r="BU66" s="274"/>
      <c r="BV66" s="287"/>
      <c r="BW66" s="261"/>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74"/>
      <c r="DA66" s="287"/>
    </row>
    <row r="67" spans="1:105" ht="22.5" customHeight="1" thickBot="1" x14ac:dyDescent="0.3">
      <c r="A67" s="260"/>
      <c r="B67" s="1239"/>
      <c r="C67" s="1485" t="str">
        <f>VLOOKUP(C66,Treevalue!$A$5:$BB$34,4,FALSE)</f>
        <v>UK poplar</v>
      </c>
      <c r="D67" s="1487"/>
      <c r="E67" s="1212"/>
      <c r="F67" s="1211"/>
      <c r="G67" s="1213"/>
      <c r="H67" s="1213" t="s">
        <v>421</v>
      </c>
      <c r="I67" s="24"/>
      <c r="J67" s="266" t="s">
        <v>426</v>
      </c>
      <c r="K67" s="1246"/>
      <c r="L67" s="282" t="s">
        <v>435</v>
      </c>
      <c r="M67" s="252" t="s">
        <v>210</v>
      </c>
      <c r="N67" s="266" t="s">
        <v>439</v>
      </c>
      <c r="O67" s="1215"/>
      <c r="P67" s="296"/>
      <c r="Q67" s="286"/>
      <c r="R67" s="288"/>
      <c r="S67" s="288"/>
      <c r="T67" s="288"/>
      <c r="U67" s="294"/>
      <c r="V67" s="1104"/>
      <c r="W67" s="265"/>
      <c r="X67" s="265"/>
      <c r="Y67" s="282"/>
      <c r="Z67" s="1110">
        <f>Systemlist!N10</f>
        <v>0</v>
      </c>
      <c r="AA67" s="1158" t="str">
        <f ca="1">Systemlist!O10</f>
        <v/>
      </c>
      <c r="AB67" s="1460">
        <f>Systemlist!AU10</f>
        <v>0</v>
      </c>
      <c r="AC67" s="1460"/>
      <c r="AD67" s="1460"/>
      <c r="AE67" s="1158" t="str">
        <f ca="1">Systemlist!AV10</f>
        <v xml:space="preserve"> </v>
      </c>
      <c r="AF67" s="265"/>
      <c r="AG67" s="265"/>
      <c r="AH67" s="265"/>
      <c r="AI67" s="265"/>
      <c r="AJ67" s="1105"/>
      <c r="AK67" s="287"/>
      <c r="AL67" s="261"/>
      <c r="AM67" s="264"/>
      <c r="AN67" s="264"/>
      <c r="AO67" s="264"/>
      <c r="AP67" s="264"/>
      <c r="AQ67" s="264"/>
      <c r="AR67" s="264"/>
      <c r="AS67" s="264"/>
      <c r="AT67" s="264"/>
      <c r="AU67" s="264"/>
      <c r="AV67" s="264"/>
      <c r="AW67" s="264"/>
      <c r="AX67" s="264"/>
      <c r="AY67" s="264"/>
      <c r="AZ67" s="264"/>
      <c r="BA67" s="264"/>
      <c r="BB67" s="264"/>
      <c r="BC67" s="264"/>
      <c r="BD67" s="264"/>
      <c r="BE67" s="264"/>
      <c r="BF67" s="274"/>
      <c r="BG67" s="287"/>
      <c r="BH67" s="261"/>
      <c r="BI67" s="264"/>
      <c r="BJ67" s="264"/>
      <c r="BK67" s="264"/>
      <c r="BL67" s="264"/>
      <c r="BM67" s="264"/>
      <c r="BN67" s="264"/>
      <c r="BO67" s="264"/>
      <c r="BP67" s="264"/>
      <c r="BQ67" s="264"/>
      <c r="BR67" s="264"/>
      <c r="BS67" s="264"/>
      <c r="BT67" s="264"/>
      <c r="BU67" s="274"/>
      <c r="BV67" s="287"/>
      <c r="BW67" s="261"/>
      <c r="BX67" s="264"/>
      <c r="BY67" s="264"/>
      <c r="BZ67" s="264"/>
      <c r="CA67" s="264"/>
      <c r="CB67" s="264"/>
      <c r="CC67" s="264"/>
      <c r="CD67" s="264"/>
      <c r="CE67" s="264"/>
      <c r="CF67" s="264"/>
      <c r="CG67" s="264"/>
      <c r="CH67" s="264"/>
      <c r="CI67" s="264"/>
      <c r="CJ67" s="264"/>
      <c r="CK67" s="264"/>
      <c r="CL67" s="264"/>
      <c r="CM67" s="264"/>
      <c r="CN67" s="264"/>
      <c r="CO67" s="264"/>
      <c r="CP67" s="264"/>
      <c r="CQ67" s="264"/>
      <c r="CR67" s="264"/>
      <c r="CS67" s="264"/>
      <c r="CT67" s="264"/>
      <c r="CU67" s="264"/>
      <c r="CV67" s="264"/>
      <c r="CW67" s="264"/>
      <c r="CX67" s="264"/>
      <c r="CY67" s="264"/>
      <c r="CZ67" s="274"/>
      <c r="DA67" s="287"/>
    </row>
    <row r="68" spans="1:105" ht="31.5" customHeight="1" thickBot="1" x14ac:dyDescent="0.3">
      <c r="A68" s="260"/>
      <c r="B68" s="1213" t="s">
        <v>396</v>
      </c>
      <c r="C68" s="307">
        <v>2</v>
      </c>
      <c r="D68" s="264"/>
      <c r="E68" s="1212"/>
      <c r="F68" s="1211"/>
      <c r="G68" s="1213"/>
      <c r="H68" s="1213"/>
      <c r="I68" s="25"/>
      <c r="J68" s="266" t="s">
        <v>416</v>
      </c>
      <c r="K68" s="1246"/>
      <c r="L68" s="282" t="s">
        <v>436</v>
      </c>
      <c r="M68" s="1485" t="str">
        <f>IF(M67="Yes",(MAX(Plot!$DR$8:$DR$67)-M64)/M65,"biophysically defined")</f>
        <v>biophysically defined</v>
      </c>
      <c r="N68" s="1487"/>
      <c r="O68" s="1215"/>
      <c r="P68" s="296"/>
      <c r="Q68" s="294"/>
      <c r="R68" s="294"/>
      <c r="S68" s="294"/>
      <c r="T68" s="294"/>
      <c r="U68" s="294"/>
      <c r="V68" s="281"/>
      <c r="W68" s="282"/>
      <c r="X68" s="282"/>
      <c r="Y68" s="282"/>
      <c r="Z68" s="1110">
        <f>Systemlist!N11</f>
        <v>0</v>
      </c>
      <c r="AA68" s="1159" t="str">
        <f ca="1">Systemlist!O11</f>
        <v/>
      </c>
      <c r="AB68" s="1460">
        <f>Systemlist!AU11</f>
        <v>0</v>
      </c>
      <c r="AC68" s="1460"/>
      <c r="AD68" s="1460"/>
      <c r="AE68" s="1159" t="str">
        <f ca="1">Systemlist!AV11</f>
        <v xml:space="preserve"> </v>
      </c>
      <c r="AF68" s="282"/>
      <c r="AG68" s="265"/>
      <c r="AH68" s="282"/>
      <c r="AI68" s="265"/>
      <c r="AJ68" s="285"/>
      <c r="AK68" s="287"/>
      <c r="AL68" s="261"/>
      <c r="AM68" s="264"/>
      <c r="AN68" s="264"/>
      <c r="AO68" s="264"/>
      <c r="AP68" s="264"/>
      <c r="AQ68" s="264"/>
      <c r="AR68" s="264"/>
      <c r="AS68" s="264"/>
      <c r="AT68" s="264"/>
      <c r="AU68" s="264"/>
      <c r="AV68" s="264"/>
      <c r="AW68" s="264"/>
      <c r="AX68" s="264"/>
      <c r="AY68" s="264"/>
      <c r="AZ68" s="264"/>
      <c r="BA68" s="264"/>
      <c r="BB68" s="264"/>
      <c r="BC68" s="264"/>
      <c r="BD68" s="264"/>
      <c r="BE68" s="264"/>
      <c r="BF68" s="274"/>
      <c r="BG68" s="287"/>
      <c r="BH68" s="261"/>
      <c r="BI68" s="264"/>
      <c r="BJ68" s="264"/>
      <c r="BK68" s="264"/>
      <c r="BL68" s="264"/>
      <c r="BM68" s="264"/>
      <c r="BN68" s="264"/>
      <c r="BO68" s="264"/>
      <c r="BP68" s="264"/>
      <c r="BQ68" s="264"/>
      <c r="BR68" s="264"/>
      <c r="BS68" s="264"/>
      <c r="BT68" s="264"/>
      <c r="BU68" s="274"/>
      <c r="BV68" s="287"/>
      <c r="BW68" s="261"/>
      <c r="BX68" s="264"/>
      <c r="BY68" s="264"/>
      <c r="BZ68" s="264"/>
      <c r="CA68" s="264"/>
      <c r="CB68" s="264"/>
      <c r="CC68" s="264"/>
      <c r="CD68" s="264"/>
      <c r="CE68" s="264"/>
      <c r="CF68" s="264"/>
      <c r="CG68" s="264"/>
      <c r="CH68" s="264"/>
      <c r="CI68" s="264"/>
      <c r="CJ68" s="264"/>
      <c r="CK68" s="264"/>
      <c r="CL68" s="264"/>
      <c r="CM68" s="264"/>
      <c r="CN68" s="264"/>
      <c r="CO68" s="264"/>
      <c r="CP68" s="264"/>
      <c r="CQ68" s="264"/>
      <c r="CR68" s="264"/>
      <c r="CS68" s="264"/>
      <c r="CT68" s="264"/>
      <c r="CU68" s="264"/>
      <c r="CV68" s="264"/>
      <c r="CW68" s="264"/>
      <c r="CX68" s="264"/>
      <c r="CY68" s="264"/>
      <c r="CZ68" s="274"/>
      <c r="DA68" s="287"/>
    </row>
    <row r="69" spans="1:105" ht="31.5" customHeight="1" thickBot="1" x14ac:dyDescent="0.3">
      <c r="A69" s="260"/>
      <c r="B69" s="1239"/>
      <c r="C69" s="1485" t="str">
        <f>VLOOKUP(C68,Treegrant!$A$6:$L$42,2,FALSE)</f>
        <v>UK poplar agroforestry</v>
      </c>
      <c r="D69" s="1487"/>
      <c r="E69" s="1212"/>
      <c r="F69" s="1211"/>
      <c r="G69" s="1223" t="s">
        <v>495</v>
      </c>
      <c r="H69" s="264"/>
      <c r="I69" s="264"/>
      <c r="J69" s="266"/>
      <c r="K69" s="1212"/>
      <c r="L69" s="1212"/>
      <c r="M69" s="1212"/>
      <c r="N69" s="1212"/>
      <c r="O69" s="1215"/>
      <c r="P69" s="296"/>
      <c r="Q69" s="294"/>
      <c r="R69" s="1108"/>
      <c r="S69" s="1108"/>
      <c r="T69" s="294"/>
      <c r="U69" s="294"/>
      <c r="V69" s="281"/>
      <c r="W69" s="282"/>
      <c r="X69" s="282"/>
      <c r="Y69" s="1110" t="s">
        <v>594</v>
      </c>
      <c r="Z69" s="267" t="s">
        <v>589</v>
      </c>
      <c r="AA69" s="87"/>
      <c r="AB69" s="282"/>
      <c r="AC69" s="282"/>
      <c r="AD69" s="282"/>
      <c r="AE69" s="259"/>
      <c r="AF69" s="265"/>
      <c r="AG69" s="265"/>
      <c r="AH69" s="265"/>
      <c r="AI69" s="265"/>
      <c r="AJ69" s="1105"/>
      <c r="AK69" s="287"/>
      <c r="AL69" s="261"/>
      <c r="AM69" s="264"/>
      <c r="AN69" s="264"/>
      <c r="AO69" s="264"/>
      <c r="AP69" s="264"/>
      <c r="AQ69" s="264"/>
      <c r="AR69" s="264"/>
      <c r="AS69" s="264"/>
      <c r="AT69" s="264"/>
      <c r="AU69" s="264"/>
      <c r="AV69" s="264"/>
      <c r="AW69" s="264"/>
      <c r="AX69" s="264"/>
      <c r="AY69" s="264"/>
      <c r="AZ69" s="264"/>
      <c r="BA69" s="264"/>
      <c r="BB69" s="264"/>
      <c r="BC69" s="264"/>
      <c r="BD69" s="264"/>
      <c r="BE69" s="264"/>
      <c r="BF69" s="274"/>
      <c r="BG69" s="287"/>
      <c r="BH69" s="261"/>
      <c r="BI69" s="264"/>
      <c r="BJ69" s="264"/>
      <c r="BK69" s="264"/>
      <c r="BL69" s="264"/>
      <c r="BM69" s="264"/>
      <c r="BN69" s="264"/>
      <c r="BO69" s="264"/>
      <c r="BP69" s="264"/>
      <c r="BQ69" s="264"/>
      <c r="BR69" s="264"/>
      <c r="BS69" s="264"/>
      <c r="BT69" s="264"/>
      <c r="BU69" s="274"/>
      <c r="BV69" s="287"/>
      <c r="BW69" s="261"/>
      <c r="BX69" s="264"/>
      <c r="BY69" s="264"/>
      <c r="BZ69" s="264"/>
      <c r="CA69" s="264"/>
      <c r="CB69" s="264"/>
      <c r="CC69" s="264"/>
      <c r="CD69" s="264"/>
      <c r="CE69" s="264"/>
      <c r="CF69" s="264"/>
      <c r="CG69" s="264"/>
      <c r="CH69" s="264"/>
      <c r="CI69" s="264"/>
      <c r="CJ69" s="264"/>
      <c r="CK69" s="264"/>
      <c r="CL69" s="264"/>
      <c r="CM69" s="264"/>
      <c r="CN69" s="264"/>
      <c r="CO69" s="264"/>
      <c r="CP69" s="264"/>
      <c r="CQ69" s="264"/>
      <c r="CR69" s="264"/>
      <c r="CS69" s="264"/>
      <c r="CT69" s="264"/>
      <c r="CU69" s="264"/>
      <c r="CV69" s="264"/>
      <c r="CW69" s="264"/>
      <c r="CX69" s="264"/>
      <c r="CY69" s="264"/>
      <c r="CZ69" s="274"/>
      <c r="DA69" s="287"/>
    </row>
    <row r="70" spans="1:105" ht="30.75" customHeight="1" x14ac:dyDescent="0.25">
      <c r="A70" s="1490" t="s">
        <v>548</v>
      </c>
      <c r="B70" s="1491"/>
      <c r="C70" s="424" t="s">
        <v>34</v>
      </c>
      <c r="D70" s="1212" t="s">
        <v>486</v>
      </c>
      <c r="E70" s="1212"/>
      <c r="F70" s="1211"/>
      <c r="G70" s="298"/>
      <c r="H70" s="1213" t="s">
        <v>422</v>
      </c>
      <c r="I70" s="21"/>
      <c r="J70" s="266" t="s">
        <v>426</v>
      </c>
      <c r="K70" s="1212"/>
      <c r="L70" s="1212"/>
      <c r="M70" s="1212"/>
      <c r="N70" s="1212"/>
      <c r="O70" s="1215"/>
      <c r="P70" s="296"/>
      <c r="Q70" s="294"/>
      <c r="R70" s="1108"/>
      <c r="S70" s="1108"/>
      <c r="T70" s="294"/>
      <c r="U70" s="294"/>
      <c r="V70" s="281"/>
      <c r="W70" s="282"/>
      <c r="X70" s="282"/>
      <c r="Y70" s="265"/>
      <c r="Z70" s="1110" t="str">
        <f ca="1">Systemlist!N4</f>
        <v>Wheat</v>
      </c>
      <c r="AA70" s="1157">
        <f ca="1">Systemlist!P4</f>
        <v>3.5133623181227027</v>
      </c>
      <c r="AB70" s="1459" t="str">
        <f ca="1">Systemlist!AU4</f>
        <v>Wheat</v>
      </c>
      <c r="AC70" s="1460"/>
      <c r="AD70" s="1460"/>
      <c r="AE70" s="1157">
        <f ca="1">Systemlist!AW4</f>
        <v>3.1040000000000001</v>
      </c>
      <c r="AF70" s="282"/>
      <c r="AG70" s="265"/>
      <c r="AH70" s="282"/>
      <c r="AI70" s="265"/>
      <c r="AJ70" s="285"/>
      <c r="AK70" s="287"/>
      <c r="AL70" s="261"/>
      <c r="AM70" s="264"/>
      <c r="AN70" s="264"/>
      <c r="AO70" s="264"/>
      <c r="AP70" s="264"/>
      <c r="AQ70" s="264"/>
      <c r="AR70" s="264"/>
      <c r="AS70" s="264"/>
      <c r="AT70" s="264"/>
      <c r="AU70" s="264"/>
      <c r="AV70" s="264"/>
      <c r="AW70" s="264"/>
      <c r="AX70" s="264"/>
      <c r="AY70" s="264"/>
      <c r="AZ70" s="264"/>
      <c r="BA70" s="264"/>
      <c r="BB70" s="264"/>
      <c r="BC70" s="264"/>
      <c r="BD70" s="264"/>
      <c r="BE70" s="264"/>
      <c r="BF70" s="274"/>
      <c r="BG70" s="287"/>
      <c r="BH70" s="261"/>
      <c r="BI70" s="264"/>
      <c r="BJ70" s="264"/>
      <c r="BK70" s="264"/>
      <c r="BL70" s="264"/>
      <c r="BM70" s="264"/>
      <c r="BN70" s="264"/>
      <c r="BO70" s="264"/>
      <c r="BP70" s="264"/>
      <c r="BQ70" s="264"/>
      <c r="BR70" s="264"/>
      <c r="BS70" s="264"/>
      <c r="BT70" s="264"/>
      <c r="BU70" s="274"/>
      <c r="BV70" s="287"/>
      <c r="BW70" s="261"/>
      <c r="BX70" s="264"/>
      <c r="BY70" s="264"/>
      <c r="BZ70" s="264"/>
      <c r="CA70" s="264"/>
      <c r="CB70" s="264"/>
      <c r="CC70" s="264"/>
      <c r="CD70" s="264"/>
      <c r="CE70" s="264"/>
      <c r="CF70" s="264"/>
      <c r="CG70" s="264"/>
      <c r="CH70" s="264"/>
      <c r="CI70" s="264"/>
      <c r="CJ70" s="264"/>
      <c r="CK70" s="264"/>
      <c r="CL70" s="264"/>
      <c r="CM70" s="264"/>
      <c r="CN70" s="264"/>
      <c r="CO70" s="264"/>
      <c r="CP70" s="264"/>
      <c r="CQ70" s="264"/>
      <c r="CR70" s="264"/>
      <c r="CS70" s="264"/>
      <c r="CT70" s="264"/>
      <c r="CU70" s="264"/>
      <c r="CV70" s="264"/>
      <c r="CW70" s="264"/>
      <c r="CX70" s="264"/>
      <c r="CY70" s="264"/>
      <c r="CZ70" s="274"/>
      <c r="DA70" s="287"/>
    </row>
    <row r="71" spans="1:105" ht="21.75" customHeight="1" x14ac:dyDescent="0.25">
      <c r="A71" s="1479" t="s">
        <v>547</v>
      </c>
      <c r="B71" s="1480"/>
      <c r="C71" s="12"/>
      <c r="D71" s="266" t="s">
        <v>382</v>
      </c>
      <c r="E71" s="1212"/>
      <c r="F71" s="1211"/>
      <c r="G71" s="298"/>
      <c r="H71" s="1213" t="s">
        <v>423</v>
      </c>
      <c r="I71" s="23"/>
      <c r="J71" s="266" t="s">
        <v>426</v>
      </c>
      <c r="K71" s="1212"/>
      <c r="L71" s="1212"/>
      <c r="M71" s="1212"/>
      <c r="N71" s="1212"/>
      <c r="O71" s="1215"/>
      <c r="P71" s="296"/>
      <c r="Q71" s="294"/>
      <c r="R71" s="1106"/>
      <c r="S71" s="1106"/>
      <c r="T71" s="294"/>
      <c r="U71" s="294"/>
      <c r="V71" s="1104"/>
      <c r="W71" s="265"/>
      <c r="X71" s="265"/>
      <c r="Y71" s="265"/>
      <c r="Z71" s="1110" t="str">
        <f ca="1">Systemlist!N5</f>
        <v>Barley</v>
      </c>
      <c r="AA71" s="1158">
        <f ca="1">Systemlist!P5</f>
        <v>4.0196610723111714</v>
      </c>
      <c r="AB71" s="1459" t="str">
        <f ca="1">Systemlist!AU5</f>
        <v>Barley</v>
      </c>
      <c r="AC71" s="1460"/>
      <c r="AD71" s="1460"/>
      <c r="AE71" s="1158">
        <f ca="1">Systemlist!AW5</f>
        <v>3.6759999999999997</v>
      </c>
      <c r="AF71" s="265"/>
      <c r="AG71" s="272"/>
      <c r="AH71" s="265"/>
      <c r="AI71" s="272"/>
      <c r="AJ71" s="1105"/>
      <c r="AK71" s="287"/>
      <c r="AL71" s="261"/>
      <c r="AM71" s="264"/>
      <c r="AN71" s="264"/>
      <c r="AO71" s="264"/>
      <c r="AP71" s="264"/>
      <c r="AQ71" s="264"/>
      <c r="AR71" s="264"/>
      <c r="AS71" s="264"/>
      <c r="AT71" s="264"/>
      <c r="AU71" s="264"/>
      <c r="AV71" s="264"/>
      <c r="AW71" s="264"/>
      <c r="AX71" s="264"/>
      <c r="AY71" s="264"/>
      <c r="AZ71" s="264"/>
      <c r="BA71" s="264"/>
      <c r="BB71" s="264"/>
      <c r="BC71" s="264"/>
      <c r="BD71" s="264"/>
      <c r="BE71" s="264"/>
      <c r="BF71" s="274"/>
      <c r="BG71" s="287"/>
      <c r="BH71" s="261"/>
      <c r="BI71" s="264"/>
      <c r="BJ71" s="264"/>
      <c r="BK71" s="264"/>
      <c r="BL71" s="264"/>
      <c r="BM71" s="264"/>
      <c r="BN71" s="264"/>
      <c r="BO71" s="264"/>
      <c r="BP71" s="264"/>
      <c r="BQ71" s="264"/>
      <c r="BR71" s="264"/>
      <c r="BS71" s="264"/>
      <c r="BT71" s="264"/>
      <c r="BU71" s="274"/>
      <c r="BV71" s="287"/>
      <c r="BW71" s="261"/>
      <c r="BX71" s="264"/>
      <c r="BY71" s="264"/>
      <c r="BZ71" s="264"/>
      <c r="CA71" s="264"/>
      <c r="CB71" s="264"/>
      <c r="CC71" s="264"/>
      <c r="CD71" s="264"/>
      <c r="CE71" s="264"/>
      <c r="CF71" s="264"/>
      <c r="CG71" s="264"/>
      <c r="CH71" s="264"/>
      <c r="CI71" s="264"/>
      <c r="CJ71" s="264"/>
      <c r="CK71" s="264"/>
      <c r="CL71" s="264"/>
      <c r="CM71" s="264"/>
      <c r="CN71" s="264"/>
      <c r="CO71" s="264"/>
      <c r="CP71" s="264"/>
      <c r="CQ71" s="264"/>
      <c r="CR71" s="264"/>
      <c r="CS71" s="264"/>
      <c r="CT71" s="264"/>
      <c r="CU71" s="264"/>
      <c r="CV71" s="264"/>
      <c r="CW71" s="264"/>
      <c r="CX71" s="264"/>
      <c r="CY71" s="264"/>
      <c r="CZ71" s="274"/>
      <c r="DA71" s="287"/>
    </row>
    <row r="72" spans="1:105" ht="21" customHeight="1" x14ac:dyDescent="0.25">
      <c r="A72" s="1219"/>
      <c r="B72" s="1240" t="s">
        <v>545</v>
      </c>
      <c r="C72" s="13">
        <v>1</v>
      </c>
      <c r="D72" s="266" t="s">
        <v>389</v>
      </c>
      <c r="E72" s="1212"/>
      <c r="F72" s="1211"/>
      <c r="G72" s="298"/>
      <c r="H72" s="1213" t="s">
        <v>424</v>
      </c>
      <c r="I72" s="23"/>
      <c r="J72" s="266" t="s">
        <v>426</v>
      </c>
      <c r="K72" s="1212"/>
      <c r="L72" s="1212"/>
      <c r="M72" s="1212"/>
      <c r="N72" s="1212"/>
      <c r="O72" s="1215"/>
      <c r="P72" s="296"/>
      <c r="Q72" s="294"/>
      <c r="R72" s="1106"/>
      <c r="S72" s="1106"/>
      <c r="T72" s="294"/>
      <c r="U72" s="294"/>
      <c r="V72" s="281"/>
      <c r="W72" s="282"/>
      <c r="X72" s="282"/>
      <c r="Y72" s="265"/>
      <c r="Z72" s="1110" t="str">
        <f ca="1">Systemlist!N6</f>
        <v>Oilseed</v>
      </c>
      <c r="AA72" s="1158">
        <f ca="1">Systemlist!P6</f>
        <v>1.7425346224836542</v>
      </c>
      <c r="AB72" s="1459" t="str">
        <f ca="1">Systemlist!AU6</f>
        <v>Oilseed</v>
      </c>
      <c r="AC72" s="1460"/>
      <c r="AD72" s="1460"/>
      <c r="AE72" s="1158">
        <f ca="1">Systemlist!AW6</f>
        <v>1.5816666666666668</v>
      </c>
      <c r="AF72" s="282"/>
      <c r="AG72" s="265"/>
      <c r="AH72" s="282"/>
      <c r="AI72" s="265"/>
      <c r="AJ72" s="285"/>
      <c r="AK72" s="287"/>
      <c r="AL72" s="261"/>
      <c r="AM72" s="264"/>
      <c r="AN72" s="264"/>
      <c r="AO72" s="264"/>
      <c r="AP72" s="264"/>
      <c r="AQ72" s="264"/>
      <c r="AR72" s="264"/>
      <c r="AS72" s="264"/>
      <c r="AT72" s="264"/>
      <c r="AU72" s="264"/>
      <c r="AV72" s="264"/>
      <c r="AW72" s="264"/>
      <c r="AX72" s="264"/>
      <c r="AY72" s="264"/>
      <c r="AZ72" s="264"/>
      <c r="BA72" s="264"/>
      <c r="BB72" s="264"/>
      <c r="BC72" s="264"/>
      <c r="BD72" s="264"/>
      <c r="BE72" s="264"/>
      <c r="BF72" s="274"/>
      <c r="BG72" s="287"/>
      <c r="BH72" s="261"/>
      <c r="BI72" s="264"/>
      <c r="BJ72" s="264"/>
      <c r="BK72" s="264"/>
      <c r="BL72" s="264"/>
      <c r="BM72" s="264"/>
      <c r="BN72" s="264"/>
      <c r="BO72" s="264"/>
      <c r="BP72" s="264"/>
      <c r="BQ72" s="264"/>
      <c r="BR72" s="264"/>
      <c r="BS72" s="264"/>
      <c r="BT72" s="264"/>
      <c r="BU72" s="274"/>
      <c r="BV72" s="287"/>
      <c r="BW72" s="261"/>
      <c r="BX72" s="264"/>
      <c r="BY72" s="264"/>
      <c r="BZ72" s="264"/>
      <c r="CA72" s="264"/>
      <c r="CB72" s="264"/>
      <c r="CC72" s="264"/>
      <c r="CD72" s="264"/>
      <c r="CE72" s="264"/>
      <c r="CF72" s="264"/>
      <c r="CG72" s="264"/>
      <c r="CH72" s="264"/>
      <c r="CI72" s="264"/>
      <c r="CJ72" s="264"/>
      <c r="CK72" s="264"/>
      <c r="CL72" s="264"/>
      <c r="CM72" s="264"/>
      <c r="CN72" s="264"/>
      <c r="CO72" s="264"/>
      <c r="CP72" s="264"/>
      <c r="CQ72" s="264"/>
      <c r="CR72" s="264"/>
      <c r="CS72" s="264"/>
      <c r="CT72" s="264"/>
      <c r="CU72" s="264"/>
      <c r="CV72" s="264"/>
      <c r="CW72" s="264"/>
      <c r="CX72" s="264"/>
      <c r="CY72" s="264"/>
      <c r="CZ72" s="274"/>
      <c r="DA72" s="287"/>
    </row>
    <row r="73" spans="1:105" ht="18.75" customHeight="1" thickBot="1" x14ac:dyDescent="0.3">
      <c r="A73" s="1219"/>
      <c r="B73" s="1240" t="s">
        <v>546</v>
      </c>
      <c r="C73" s="250"/>
      <c r="D73" s="266" t="s">
        <v>389</v>
      </c>
      <c r="E73" s="1212"/>
      <c r="F73" s="1211"/>
      <c r="G73" s="298"/>
      <c r="H73" s="1213" t="s">
        <v>425</v>
      </c>
      <c r="I73" s="22"/>
      <c r="J73" s="266" t="s">
        <v>416</v>
      </c>
      <c r="K73" s="1212"/>
      <c r="L73" s="1212"/>
      <c r="M73" s="1212"/>
      <c r="N73" s="1212"/>
      <c r="O73" s="1215"/>
      <c r="P73" s="296"/>
      <c r="Q73" s="294"/>
      <c r="R73" s="1106"/>
      <c r="S73" s="1106"/>
      <c r="T73" s="294"/>
      <c r="U73" s="294"/>
      <c r="V73" s="281"/>
      <c r="W73" s="282"/>
      <c r="X73" s="282"/>
      <c r="Y73" s="282"/>
      <c r="Z73" s="1110">
        <f>Systemlist!N7</f>
        <v>0</v>
      </c>
      <c r="AA73" s="1158" t="str">
        <f ca="1">Systemlist!P7</f>
        <v/>
      </c>
      <c r="AB73" s="1459" t="str">
        <f ca="1">Systemlist!AU7</f>
        <v>Agroforestry fallow</v>
      </c>
      <c r="AC73" s="1460"/>
      <c r="AD73" s="1460"/>
      <c r="AE73" s="1158">
        <f ca="1">Systemlist!AW7</f>
        <v>0</v>
      </c>
      <c r="AF73" s="282"/>
      <c r="AG73" s="272"/>
      <c r="AH73" s="282"/>
      <c r="AI73" s="272"/>
      <c r="AJ73" s="285"/>
      <c r="AK73" s="287"/>
      <c r="AL73" s="261"/>
      <c r="AM73" s="264"/>
      <c r="AN73" s="264"/>
      <c r="AO73" s="264"/>
      <c r="AP73" s="264"/>
      <c r="AQ73" s="264"/>
      <c r="AR73" s="264"/>
      <c r="AS73" s="264"/>
      <c r="AT73" s="264"/>
      <c r="AU73" s="264"/>
      <c r="AV73" s="264"/>
      <c r="AW73" s="264"/>
      <c r="AX73" s="264"/>
      <c r="AY73" s="264"/>
      <c r="AZ73" s="264"/>
      <c r="BA73" s="264"/>
      <c r="BB73" s="264"/>
      <c r="BC73" s="264"/>
      <c r="BD73" s="264"/>
      <c r="BE73" s="264"/>
      <c r="BF73" s="274"/>
      <c r="BG73" s="287"/>
      <c r="BH73" s="261"/>
      <c r="BI73" s="264"/>
      <c r="BJ73" s="264"/>
      <c r="BK73" s="264"/>
      <c r="BL73" s="264"/>
      <c r="BM73" s="264"/>
      <c r="BN73" s="264"/>
      <c r="BO73" s="264"/>
      <c r="BP73" s="264"/>
      <c r="BQ73" s="264"/>
      <c r="BR73" s="264"/>
      <c r="BS73" s="264"/>
      <c r="BT73" s="264"/>
      <c r="BU73" s="274"/>
      <c r="BV73" s="287"/>
      <c r="BW73" s="261"/>
      <c r="BX73" s="264"/>
      <c r="BY73" s="264"/>
      <c r="BZ73" s="264"/>
      <c r="CA73" s="264"/>
      <c r="CB73" s="264"/>
      <c r="CC73" s="264"/>
      <c r="CD73" s="264"/>
      <c r="CE73" s="264"/>
      <c r="CF73" s="264"/>
      <c r="CG73" s="264"/>
      <c r="CH73" s="264"/>
      <c r="CI73" s="264"/>
      <c r="CJ73" s="264"/>
      <c r="CK73" s="264"/>
      <c r="CL73" s="264"/>
      <c r="CM73" s="264"/>
      <c r="CN73" s="264"/>
      <c r="CO73" s="264"/>
      <c r="CP73" s="264"/>
      <c r="CQ73" s="264"/>
      <c r="CR73" s="264"/>
      <c r="CS73" s="264"/>
      <c r="CT73" s="264"/>
      <c r="CU73" s="264"/>
      <c r="CV73" s="264"/>
      <c r="CW73" s="264"/>
      <c r="CX73" s="264"/>
      <c r="CY73" s="264"/>
      <c r="CZ73" s="274"/>
      <c r="DA73" s="287"/>
    </row>
    <row r="74" spans="1:105" ht="17.25" customHeight="1" thickBot="1" x14ac:dyDescent="0.3">
      <c r="A74" s="1220"/>
      <c r="B74" s="1213" t="s">
        <v>549</v>
      </c>
      <c r="C74" s="14"/>
      <c r="D74" s="266" t="s">
        <v>488</v>
      </c>
      <c r="E74" s="1212"/>
      <c r="F74" s="1211"/>
      <c r="G74" s="263"/>
      <c r="H74" s="1213"/>
      <c r="I74" s="1212"/>
      <c r="J74" s="1212"/>
      <c r="K74" s="1461" t="str">
        <f ca="1">IF(MIN(INDIRECT("Unit!s7:s"&amp;FIXED(ROW(Unit!S$8)+$C$35,0,TRUE)))&lt;C$25,"Note: Excessive area planted","")</f>
        <v/>
      </c>
      <c r="L74" s="1462"/>
      <c r="M74" s="1462"/>
      <c r="N74" s="1463"/>
      <c r="O74" s="1215"/>
      <c r="P74" s="296"/>
      <c r="Q74" s="294"/>
      <c r="R74" s="1107"/>
      <c r="S74" s="1107"/>
      <c r="T74" s="294"/>
      <c r="U74" s="294"/>
      <c r="V74" s="281"/>
      <c r="W74" s="282"/>
      <c r="X74" s="282"/>
      <c r="Y74" s="265"/>
      <c r="Z74" s="1110">
        <f>Systemlist!N8</f>
        <v>0</v>
      </c>
      <c r="AA74" s="1158" t="str">
        <f ca="1">Systemlist!P8</f>
        <v/>
      </c>
      <c r="AB74" s="1459">
        <f>Systemlist!AU8</f>
        <v>0</v>
      </c>
      <c r="AC74" s="1460"/>
      <c r="AD74" s="1460"/>
      <c r="AE74" s="1158" t="str">
        <f ca="1">Systemlist!AW8</f>
        <v/>
      </c>
      <c r="AF74" s="282"/>
      <c r="AG74" s="265"/>
      <c r="AH74" s="282"/>
      <c r="AI74" s="265"/>
      <c r="AJ74" s="285"/>
      <c r="AK74" s="287"/>
      <c r="AL74" s="261"/>
      <c r="AM74" s="264"/>
      <c r="AN74" s="264"/>
      <c r="AO74" s="264"/>
      <c r="AP74" s="264"/>
      <c r="AQ74" s="264"/>
      <c r="AR74" s="264"/>
      <c r="AS74" s="264"/>
      <c r="AT74" s="264"/>
      <c r="AU74" s="264"/>
      <c r="AV74" s="264"/>
      <c r="AW74" s="264"/>
      <c r="AX74" s="264"/>
      <c r="AY74" s="264"/>
      <c r="AZ74" s="264"/>
      <c r="BA74" s="264"/>
      <c r="BB74" s="264"/>
      <c r="BC74" s="264"/>
      <c r="BD74" s="264"/>
      <c r="BE74" s="264"/>
      <c r="BF74" s="274"/>
      <c r="BG74" s="287"/>
      <c r="BH74" s="261"/>
      <c r="BI74" s="264"/>
      <c r="BJ74" s="264"/>
      <c r="BK74" s="264"/>
      <c r="BL74" s="264"/>
      <c r="BM74" s="264"/>
      <c r="BN74" s="264"/>
      <c r="BO74" s="264"/>
      <c r="BP74" s="264"/>
      <c r="BQ74" s="264"/>
      <c r="BR74" s="264"/>
      <c r="BS74" s="264"/>
      <c r="BT74" s="264"/>
      <c r="BU74" s="274"/>
      <c r="BV74" s="287"/>
      <c r="BW74" s="261"/>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74"/>
      <c r="DA74" s="287"/>
    </row>
    <row r="75" spans="1:105" ht="19.5" customHeight="1" x14ac:dyDescent="0.25">
      <c r="A75" s="1220"/>
      <c r="B75" s="1213" t="s">
        <v>550</v>
      </c>
      <c r="C75" s="15"/>
      <c r="D75" s="266" t="s">
        <v>488</v>
      </c>
      <c r="E75" s="1212"/>
      <c r="F75" s="1211"/>
      <c r="G75" s="1212"/>
      <c r="H75" s="1212"/>
      <c r="I75" s="1212"/>
      <c r="J75" s="1212"/>
      <c r="K75" s="1212"/>
      <c r="L75" s="1212"/>
      <c r="M75" s="1212"/>
      <c r="N75" s="1212"/>
      <c r="O75" s="1215"/>
      <c r="P75" s="296"/>
      <c r="Q75" s="294"/>
      <c r="R75" s="1107"/>
      <c r="S75" s="1107"/>
      <c r="T75" s="294"/>
      <c r="U75" s="294"/>
      <c r="V75" s="1104"/>
      <c r="W75" s="265"/>
      <c r="X75" s="265"/>
      <c r="Y75" s="265"/>
      <c r="Z75" s="1110">
        <f>Systemlist!N9</f>
        <v>0</v>
      </c>
      <c r="AA75" s="1158" t="str">
        <f ca="1">Systemlist!P9</f>
        <v/>
      </c>
      <c r="AB75" s="1459">
        <f>Systemlist!AU9</f>
        <v>0</v>
      </c>
      <c r="AC75" s="1460"/>
      <c r="AD75" s="1460"/>
      <c r="AE75" s="1158" t="str">
        <f ca="1">Systemlist!AW9</f>
        <v/>
      </c>
      <c r="AF75" s="265"/>
      <c r="AG75" s="282"/>
      <c r="AH75" s="265"/>
      <c r="AI75" s="282"/>
      <c r="AJ75" s="1105"/>
      <c r="AK75" s="287"/>
      <c r="AL75" s="261"/>
      <c r="AM75" s="264"/>
      <c r="AN75" s="264"/>
      <c r="AO75" s="264"/>
      <c r="AP75" s="264"/>
      <c r="AQ75" s="264"/>
      <c r="AR75" s="264"/>
      <c r="AS75" s="264"/>
      <c r="AT75" s="264"/>
      <c r="AU75" s="264"/>
      <c r="AV75" s="264"/>
      <c r="AW75" s="264"/>
      <c r="AX75" s="264"/>
      <c r="AY75" s="264"/>
      <c r="AZ75" s="264"/>
      <c r="BA75" s="264"/>
      <c r="BB75" s="264"/>
      <c r="BC75" s="264"/>
      <c r="BD75" s="264"/>
      <c r="BE75" s="264"/>
      <c r="BF75" s="274"/>
      <c r="BG75" s="287"/>
      <c r="BH75" s="261"/>
      <c r="BI75" s="264"/>
      <c r="BJ75" s="264"/>
      <c r="BK75" s="264"/>
      <c r="BL75" s="264"/>
      <c r="BM75" s="264"/>
      <c r="BN75" s="264"/>
      <c r="BO75" s="264"/>
      <c r="BP75" s="264"/>
      <c r="BQ75" s="264"/>
      <c r="BR75" s="264"/>
      <c r="BS75" s="264"/>
      <c r="BT75" s="264"/>
      <c r="BU75" s="274"/>
      <c r="BV75" s="287"/>
      <c r="BW75" s="261"/>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64"/>
      <c r="CZ75" s="274"/>
      <c r="DA75" s="287"/>
    </row>
    <row r="76" spans="1:105" ht="19.5" customHeight="1" thickBot="1" x14ac:dyDescent="0.3">
      <c r="A76" s="1220"/>
      <c r="B76" s="1213" t="s">
        <v>489</v>
      </c>
      <c r="C76" s="16"/>
      <c r="D76" s="266" t="s">
        <v>488</v>
      </c>
      <c r="E76" s="1212"/>
      <c r="F76" s="1211"/>
      <c r="G76" s="1212"/>
      <c r="H76" s="1212"/>
      <c r="I76" s="1212"/>
      <c r="J76" s="1212"/>
      <c r="K76" s="1212"/>
      <c r="L76" s="1212"/>
      <c r="M76" s="1212"/>
      <c r="N76" s="1212"/>
      <c r="O76" s="1215"/>
      <c r="P76" s="288"/>
      <c r="Q76" s="294"/>
      <c r="R76" s="1107"/>
      <c r="S76" s="1107"/>
      <c r="T76" s="294"/>
      <c r="U76" s="294"/>
      <c r="V76" s="281"/>
      <c r="W76" s="282"/>
      <c r="X76" s="282"/>
      <c r="Y76" s="265"/>
      <c r="Z76" s="1110">
        <f>Systemlist!N10</f>
        <v>0</v>
      </c>
      <c r="AA76" s="1158" t="str">
        <f ca="1">Systemlist!P10</f>
        <v/>
      </c>
      <c r="AB76" s="1459">
        <f>Systemlist!AU10</f>
        <v>0</v>
      </c>
      <c r="AC76" s="1460"/>
      <c r="AD76" s="1460"/>
      <c r="AE76" s="1158" t="str">
        <f ca="1">Systemlist!AW10</f>
        <v/>
      </c>
      <c r="AF76" s="282"/>
      <c r="AG76" s="265"/>
      <c r="AH76" s="282"/>
      <c r="AI76" s="265"/>
      <c r="AJ76" s="285"/>
      <c r="AK76" s="287"/>
      <c r="AL76" s="261"/>
      <c r="AM76" s="264"/>
      <c r="AN76" s="264"/>
      <c r="AO76" s="264"/>
      <c r="AP76" s="264"/>
      <c r="AQ76" s="264"/>
      <c r="AR76" s="264"/>
      <c r="AS76" s="264"/>
      <c r="AT76" s="264"/>
      <c r="AU76" s="264"/>
      <c r="AV76" s="264"/>
      <c r="AW76" s="264"/>
      <c r="AX76" s="264"/>
      <c r="AY76" s="264"/>
      <c r="AZ76" s="264"/>
      <c r="BA76" s="264"/>
      <c r="BB76" s="264"/>
      <c r="BC76" s="264"/>
      <c r="BD76" s="264"/>
      <c r="BE76" s="264"/>
      <c r="BF76" s="274"/>
      <c r="BG76" s="287"/>
      <c r="BH76" s="261"/>
      <c r="BI76" s="264"/>
      <c r="BJ76" s="264"/>
      <c r="BK76" s="264"/>
      <c r="BL76" s="264"/>
      <c r="BM76" s="264"/>
      <c r="BN76" s="264"/>
      <c r="BO76" s="264"/>
      <c r="BP76" s="264"/>
      <c r="BQ76" s="264"/>
      <c r="BR76" s="264"/>
      <c r="BS76" s="264"/>
      <c r="BT76" s="264"/>
      <c r="BU76" s="274"/>
      <c r="BV76" s="287"/>
      <c r="BW76" s="261"/>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74"/>
      <c r="DA76" s="287"/>
    </row>
    <row r="77" spans="1:105" ht="17.25" customHeight="1" thickBot="1" x14ac:dyDescent="0.3">
      <c r="A77" s="1212"/>
      <c r="B77" s="1212"/>
      <c r="C77" s="1212"/>
      <c r="D77" s="1212"/>
      <c r="E77" s="1212"/>
      <c r="F77" s="1234"/>
      <c r="G77" s="1231"/>
      <c r="H77" s="1231"/>
      <c r="I77" s="1231"/>
      <c r="J77" s="1231"/>
      <c r="K77" s="1231"/>
      <c r="L77" s="1231"/>
      <c r="M77" s="1231"/>
      <c r="N77" s="1231"/>
      <c r="O77" s="1236"/>
      <c r="P77" s="287"/>
      <c r="Q77" s="294"/>
      <c r="R77" s="1107"/>
      <c r="S77" s="1107"/>
      <c r="T77" s="294"/>
      <c r="U77" s="294"/>
      <c r="V77" s="281"/>
      <c r="W77" s="282"/>
      <c r="X77" s="282"/>
      <c r="Y77" s="282"/>
      <c r="Z77" s="1110">
        <f>Systemlist!N11</f>
        <v>0</v>
      </c>
      <c r="AA77" s="1159" t="str">
        <f ca="1">Systemlist!P11</f>
        <v/>
      </c>
      <c r="AB77" s="1459">
        <f>Systemlist!AU11</f>
        <v>0</v>
      </c>
      <c r="AC77" s="1460"/>
      <c r="AD77" s="1460"/>
      <c r="AE77" s="1159" t="str">
        <f ca="1">Systemlist!AW11</f>
        <v/>
      </c>
      <c r="AF77" s="282"/>
      <c r="AG77" s="282"/>
      <c r="AH77" s="282"/>
      <c r="AI77" s="282"/>
      <c r="AJ77" s="285"/>
      <c r="AK77" s="287"/>
      <c r="AL77" s="261"/>
      <c r="AM77" s="264"/>
      <c r="AN77" s="264"/>
      <c r="AO77" s="264"/>
      <c r="AP77" s="264"/>
      <c r="AQ77" s="264"/>
      <c r="AR77" s="264"/>
      <c r="AS77" s="264"/>
      <c r="AT77" s="264"/>
      <c r="AU77" s="264"/>
      <c r="AV77" s="264"/>
      <c r="AW77" s="264"/>
      <c r="AX77" s="264"/>
      <c r="AY77" s="264"/>
      <c r="AZ77" s="264"/>
      <c r="BA77" s="264"/>
      <c r="BB77" s="264"/>
      <c r="BC77" s="264"/>
      <c r="BD77" s="264"/>
      <c r="BE77" s="264"/>
      <c r="BF77" s="274"/>
      <c r="BG77" s="287"/>
      <c r="BH77" s="261"/>
      <c r="BI77" s="264"/>
      <c r="BJ77" s="264"/>
      <c r="BK77" s="264"/>
      <c r="BL77" s="264"/>
      <c r="BM77" s="264"/>
      <c r="BN77" s="264"/>
      <c r="BO77" s="264"/>
      <c r="BP77" s="264"/>
      <c r="BQ77" s="264"/>
      <c r="BR77" s="264"/>
      <c r="BS77" s="264"/>
      <c r="BT77" s="264"/>
      <c r="BU77" s="274"/>
      <c r="BV77" s="287"/>
      <c r="BW77" s="261"/>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74"/>
      <c r="DA77" s="287"/>
    </row>
    <row r="78" spans="1:105" ht="18" customHeight="1" thickBot="1" x14ac:dyDescent="0.3">
      <c r="A78" s="1318"/>
      <c r="B78" s="1319"/>
      <c r="C78" s="1319"/>
      <c r="D78" s="1319"/>
      <c r="E78" s="1319"/>
      <c r="F78" s="1343"/>
      <c r="G78" s="1343"/>
      <c r="H78" s="1343"/>
      <c r="I78" s="1343"/>
      <c r="J78" s="1343"/>
      <c r="K78" s="1343"/>
      <c r="L78" s="1343"/>
      <c r="M78" s="1343"/>
      <c r="N78" s="1343"/>
      <c r="O78" s="1344"/>
      <c r="P78" s="287"/>
      <c r="Q78" s="294"/>
      <c r="R78" s="1107"/>
      <c r="S78" s="1107"/>
      <c r="T78" s="294"/>
      <c r="U78" s="294"/>
      <c r="V78" s="281"/>
      <c r="W78" s="282"/>
      <c r="X78" s="282"/>
      <c r="Y78" s="268"/>
      <c r="Z78" s="267"/>
      <c r="AA78" s="87"/>
      <c r="AB78" s="282"/>
      <c r="AC78" s="282"/>
      <c r="AD78" s="268"/>
      <c r="AE78" s="259"/>
      <c r="AF78" s="282"/>
      <c r="AG78" s="282"/>
      <c r="AH78" s="282"/>
      <c r="AI78" s="268"/>
      <c r="AJ78" s="1122"/>
      <c r="AK78" s="287"/>
      <c r="AL78" s="261"/>
      <c r="AM78" s="264"/>
      <c r="AN78" s="264"/>
      <c r="AO78" s="264"/>
      <c r="AP78" s="264"/>
      <c r="AQ78" s="264"/>
      <c r="AR78" s="264"/>
      <c r="AS78" s="264"/>
      <c r="AT78" s="264"/>
      <c r="AU78" s="264"/>
      <c r="AV78" s="264"/>
      <c r="AW78" s="264"/>
      <c r="AX78" s="264"/>
      <c r="AY78" s="264"/>
      <c r="AZ78" s="264"/>
      <c r="BA78" s="264"/>
      <c r="BB78" s="264"/>
      <c r="BC78" s="264"/>
      <c r="BD78" s="264"/>
      <c r="BE78" s="264"/>
      <c r="BF78" s="274"/>
      <c r="BG78" s="287"/>
      <c r="BH78" s="261"/>
      <c r="BI78" s="264"/>
      <c r="BJ78" s="264"/>
      <c r="BK78" s="264"/>
      <c r="BL78" s="264"/>
      <c r="BM78" s="264"/>
      <c r="BN78" s="264"/>
      <c r="BO78" s="264"/>
      <c r="BP78" s="264"/>
      <c r="BQ78" s="264"/>
      <c r="BR78" s="264"/>
      <c r="BS78" s="264"/>
      <c r="BT78" s="264"/>
      <c r="BU78" s="274"/>
      <c r="BV78" s="287"/>
      <c r="BW78" s="261"/>
      <c r="BX78" s="264"/>
      <c r="BY78" s="264"/>
      <c r="BZ78" s="264"/>
      <c r="CA78" s="264"/>
      <c r="CB78" s="264"/>
      <c r="CC78" s="264"/>
      <c r="CD78" s="264"/>
      <c r="CE78" s="264"/>
      <c r="CF78" s="264"/>
      <c r="CG78" s="264"/>
      <c r="CH78" s="264"/>
      <c r="CI78" s="264"/>
      <c r="CJ78" s="264"/>
      <c r="CK78" s="264"/>
      <c r="CL78" s="264"/>
      <c r="CM78" s="264"/>
      <c r="CN78" s="264"/>
      <c r="CO78" s="264"/>
      <c r="CP78" s="264"/>
      <c r="CQ78" s="264"/>
      <c r="CR78" s="264"/>
      <c r="CS78" s="264"/>
      <c r="CT78" s="264"/>
      <c r="CU78" s="264"/>
      <c r="CV78" s="264"/>
      <c r="CW78" s="264"/>
      <c r="CX78" s="264"/>
      <c r="CY78" s="264"/>
      <c r="CZ78" s="274"/>
      <c r="DA78" s="287"/>
    </row>
    <row r="79" spans="1:105" ht="20.25" customHeight="1" thickBot="1" x14ac:dyDescent="0.3">
      <c r="A79" s="287"/>
      <c r="B79" s="287"/>
      <c r="C79" s="287"/>
      <c r="D79" s="287"/>
      <c r="E79" s="287"/>
      <c r="F79" s="287"/>
      <c r="G79" s="289"/>
      <c r="H79" s="289"/>
      <c r="I79" s="289"/>
      <c r="J79" s="289"/>
      <c r="K79" s="289"/>
      <c r="L79" s="289"/>
      <c r="M79" s="289"/>
      <c r="N79" s="289"/>
      <c r="O79" s="289"/>
      <c r="P79" s="287"/>
      <c r="Q79" s="294"/>
      <c r="R79" s="1107"/>
      <c r="S79" s="1107"/>
      <c r="T79" s="294"/>
      <c r="U79" s="294"/>
      <c r="V79" s="1333"/>
      <c r="W79" s="1341"/>
      <c r="X79" s="1341"/>
      <c r="Y79" s="1341"/>
      <c r="Z79" s="1341"/>
      <c r="AA79" s="1341"/>
      <c r="AB79" s="1341"/>
      <c r="AC79" s="1341"/>
      <c r="AD79" s="1340"/>
      <c r="AE79" s="1341"/>
      <c r="AF79" s="1340"/>
      <c r="AG79" s="1341"/>
      <c r="AH79" s="1340"/>
      <c r="AI79" s="1341"/>
      <c r="AJ79" s="1342"/>
      <c r="AK79" s="287"/>
      <c r="AL79" s="261"/>
      <c r="AM79" s="264"/>
      <c r="AN79" s="264"/>
      <c r="AO79" s="264"/>
      <c r="AP79" s="264"/>
      <c r="AQ79" s="264"/>
      <c r="AR79" s="264"/>
      <c r="AS79" s="264"/>
      <c r="AT79" s="264"/>
      <c r="AU79" s="264"/>
      <c r="AV79" s="264"/>
      <c r="AW79" s="264"/>
      <c r="AX79" s="264"/>
      <c r="AY79" s="264"/>
      <c r="AZ79" s="264"/>
      <c r="BA79" s="264"/>
      <c r="BB79" s="264"/>
      <c r="BC79" s="264"/>
      <c r="BD79" s="264"/>
      <c r="BE79" s="264"/>
      <c r="BF79" s="274"/>
      <c r="BG79" s="287"/>
      <c r="BH79" s="261"/>
      <c r="BI79" s="264"/>
      <c r="BJ79" s="264"/>
      <c r="BK79" s="264"/>
      <c r="BL79" s="264"/>
      <c r="BM79" s="264"/>
      <c r="BN79" s="264"/>
      <c r="BO79" s="264"/>
      <c r="BP79" s="264"/>
      <c r="BQ79" s="264"/>
      <c r="BR79" s="264"/>
      <c r="BS79" s="264"/>
      <c r="BT79" s="264"/>
      <c r="BU79" s="274"/>
      <c r="BV79" s="287"/>
      <c r="BW79" s="261"/>
      <c r="BX79" s="264"/>
      <c r="BY79" s="264"/>
      <c r="BZ79" s="264"/>
      <c r="CA79" s="264"/>
      <c r="CB79" s="264"/>
      <c r="CC79" s="264"/>
      <c r="CD79" s="264"/>
      <c r="CE79" s="264"/>
      <c r="CF79" s="264"/>
      <c r="CG79" s="264"/>
      <c r="CH79" s="264"/>
      <c r="CI79" s="264"/>
      <c r="CJ79" s="264"/>
      <c r="CK79" s="264"/>
      <c r="CL79" s="264"/>
      <c r="CM79" s="264"/>
      <c r="CN79" s="264"/>
      <c r="CO79" s="264"/>
      <c r="CP79" s="264"/>
      <c r="CQ79" s="264"/>
      <c r="CR79" s="264"/>
      <c r="CS79" s="264"/>
      <c r="CT79" s="264"/>
      <c r="CU79" s="264"/>
      <c r="CV79" s="264"/>
      <c r="CW79" s="264"/>
      <c r="CX79" s="264"/>
      <c r="CY79" s="264"/>
      <c r="CZ79" s="274"/>
      <c r="DA79" s="287"/>
    </row>
    <row r="80" spans="1:105" ht="28.5" customHeight="1" x14ac:dyDescent="0.25">
      <c r="A80" s="287"/>
      <c r="B80" s="287"/>
      <c r="C80" s="287"/>
      <c r="D80" s="287"/>
      <c r="E80" s="287"/>
      <c r="F80" s="287"/>
      <c r="G80" s="287"/>
      <c r="H80" s="287"/>
      <c r="I80" s="287"/>
      <c r="J80" s="287"/>
      <c r="K80" s="287"/>
      <c r="L80" s="287"/>
      <c r="M80" s="287"/>
      <c r="N80" s="287"/>
      <c r="O80" s="287"/>
      <c r="P80" s="287"/>
      <c r="Q80" s="294"/>
      <c r="R80" s="1107"/>
      <c r="S80" s="1107"/>
      <c r="T80" s="294"/>
      <c r="U80" s="294"/>
      <c r="V80" s="287"/>
      <c r="W80" s="287"/>
      <c r="X80" s="287"/>
      <c r="Y80" s="287"/>
      <c r="Z80" s="287"/>
      <c r="AA80" s="287"/>
      <c r="AB80" s="287"/>
      <c r="AC80" s="287"/>
      <c r="AD80" s="287"/>
      <c r="AE80" s="287"/>
      <c r="AF80" s="287"/>
      <c r="AG80" s="294"/>
      <c r="AH80" s="287"/>
      <c r="AI80" s="287"/>
      <c r="AJ80" s="287"/>
      <c r="AK80" s="287"/>
      <c r="AL80" s="261"/>
      <c r="AM80" s="264"/>
      <c r="AN80" s="264"/>
      <c r="AO80" s="264"/>
      <c r="AP80" s="264"/>
      <c r="AQ80" s="264"/>
      <c r="AR80" s="264"/>
      <c r="AS80" s="264"/>
      <c r="AT80" s="264"/>
      <c r="AU80" s="264"/>
      <c r="AV80" s="264"/>
      <c r="AW80" s="264"/>
      <c r="AX80" s="264"/>
      <c r="AY80" s="264"/>
      <c r="AZ80" s="264"/>
      <c r="BA80" s="264"/>
      <c r="BB80" s="264"/>
      <c r="BC80" s="264"/>
      <c r="BD80" s="264"/>
      <c r="BE80" s="264"/>
      <c r="BF80" s="274"/>
      <c r="BG80" s="287"/>
      <c r="BH80" s="261"/>
      <c r="BI80" s="264"/>
      <c r="BJ80" s="264"/>
      <c r="BK80" s="264"/>
      <c r="BL80" s="264"/>
      <c r="BM80" s="264"/>
      <c r="BN80" s="264"/>
      <c r="BO80" s="264"/>
      <c r="BP80" s="264"/>
      <c r="BQ80" s="264"/>
      <c r="BR80" s="264"/>
      <c r="BS80" s="264"/>
      <c r="BT80" s="264"/>
      <c r="BU80" s="274"/>
      <c r="BV80" s="287"/>
      <c r="BW80" s="261"/>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4"/>
      <c r="CT80" s="264"/>
      <c r="CU80" s="264"/>
      <c r="CV80" s="264"/>
      <c r="CW80" s="264"/>
      <c r="CX80" s="264"/>
      <c r="CY80" s="264"/>
      <c r="CZ80" s="274"/>
      <c r="DA80" s="287"/>
    </row>
    <row r="81" spans="1:105" ht="18.75" customHeight="1" x14ac:dyDescent="0.25">
      <c r="A81" s="287"/>
      <c r="B81" s="287"/>
      <c r="C81" s="287"/>
      <c r="D81" s="287"/>
      <c r="E81" s="287"/>
      <c r="F81" s="287"/>
      <c r="G81" s="287"/>
      <c r="H81" s="287"/>
      <c r="I81" s="287"/>
      <c r="J81" s="287"/>
      <c r="K81" s="287"/>
      <c r="L81" s="287"/>
      <c r="M81" s="287"/>
      <c r="N81" s="287"/>
      <c r="O81" s="287"/>
      <c r="P81" s="287"/>
      <c r="Q81" s="294"/>
      <c r="R81" s="1107"/>
      <c r="S81" s="1107"/>
      <c r="T81" s="294"/>
      <c r="U81" s="294"/>
      <c r="V81" s="287"/>
      <c r="W81" s="287"/>
      <c r="X81" s="287"/>
      <c r="Y81" s="287"/>
      <c r="Z81" s="287"/>
      <c r="AA81" s="287"/>
      <c r="AB81" s="287"/>
      <c r="AC81" s="287"/>
      <c r="AD81" s="287"/>
      <c r="AE81" s="287"/>
      <c r="AF81" s="287"/>
      <c r="AG81" s="294"/>
      <c r="AH81" s="287"/>
      <c r="AI81" s="287"/>
      <c r="AJ81" s="287"/>
      <c r="AK81" s="287"/>
      <c r="AL81" s="261"/>
      <c r="AM81" s="264"/>
      <c r="AN81" s="264"/>
      <c r="AO81" s="264"/>
      <c r="AP81" s="264"/>
      <c r="AQ81" s="264"/>
      <c r="AR81" s="264"/>
      <c r="AS81" s="264"/>
      <c r="AT81" s="264"/>
      <c r="AU81" s="264"/>
      <c r="AV81" s="264"/>
      <c r="AW81" s="264"/>
      <c r="AX81" s="264"/>
      <c r="AY81" s="264"/>
      <c r="AZ81" s="264"/>
      <c r="BA81" s="264"/>
      <c r="BB81" s="264"/>
      <c r="BC81" s="264"/>
      <c r="BD81" s="264"/>
      <c r="BE81" s="264"/>
      <c r="BF81" s="274"/>
      <c r="BG81" s="287"/>
      <c r="BH81" s="261"/>
      <c r="BI81" s="264"/>
      <c r="BJ81" s="264"/>
      <c r="BK81" s="264"/>
      <c r="BL81" s="264"/>
      <c r="BM81" s="264"/>
      <c r="BN81" s="264"/>
      <c r="BO81" s="264"/>
      <c r="BP81" s="264"/>
      <c r="BQ81" s="264"/>
      <c r="BR81" s="264"/>
      <c r="BS81" s="264"/>
      <c r="BT81" s="264"/>
      <c r="BU81" s="274"/>
      <c r="BV81" s="287"/>
      <c r="BW81" s="261"/>
      <c r="BX81" s="264"/>
      <c r="BY81" s="264"/>
      <c r="BZ81" s="264"/>
      <c r="CA81" s="264"/>
      <c r="CB81" s="264"/>
      <c r="CC81" s="264"/>
      <c r="CD81" s="264"/>
      <c r="CE81" s="264"/>
      <c r="CF81" s="264"/>
      <c r="CG81" s="264"/>
      <c r="CH81" s="264"/>
      <c r="CI81" s="264"/>
      <c r="CJ81" s="264"/>
      <c r="CK81" s="264"/>
      <c r="CL81" s="264"/>
      <c r="CM81" s="264"/>
      <c r="CN81" s="264"/>
      <c r="CO81" s="264"/>
      <c r="CP81" s="264"/>
      <c r="CQ81" s="264"/>
      <c r="CR81" s="264"/>
      <c r="CS81" s="264"/>
      <c r="CT81" s="264"/>
      <c r="CU81" s="264"/>
      <c r="CV81" s="264"/>
      <c r="CW81" s="264"/>
      <c r="CX81" s="264"/>
      <c r="CY81" s="264"/>
      <c r="CZ81" s="274"/>
      <c r="DA81" s="287"/>
    </row>
    <row r="82" spans="1:105" ht="17.25" customHeight="1" x14ac:dyDescent="0.25">
      <c r="A82" s="287"/>
      <c r="B82" s="287"/>
      <c r="C82" s="287"/>
      <c r="D82" s="287"/>
      <c r="E82" s="287"/>
      <c r="F82" s="287"/>
      <c r="G82" s="287"/>
      <c r="H82" s="287"/>
      <c r="I82" s="287"/>
      <c r="J82" s="287"/>
      <c r="K82" s="287"/>
      <c r="L82" s="287"/>
      <c r="M82" s="287"/>
      <c r="N82" s="287"/>
      <c r="O82" s="287"/>
      <c r="P82" s="1066"/>
      <c r="Q82" s="294"/>
      <c r="R82" s="1107"/>
      <c r="S82" s="1107"/>
      <c r="T82" s="294"/>
      <c r="U82" s="294"/>
      <c r="V82" s="287"/>
      <c r="W82" s="287"/>
      <c r="X82" s="287"/>
      <c r="Y82" s="287"/>
      <c r="Z82" s="287"/>
      <c r="AA82" s="287"/>
      <c r="AB82" s="287"/>
      <c r="AC82" s="287"/>
      <c r="AD82" s="287"/>
      <c r="AE82" s="287"/>
      <c r="AF82" s="287"/>
      <c r="AG82" s="294"/>
      <c r="AH82" s="287"/>
      <c r="AI82" s="287"/>
      <c r="AJ82" s="287"/>
      <c r="AK82" s="287"/>
      <c r="AL82" s="261"/>
      <c r="AM82" s="264"/>
      <c r="AN82" s="264"/>
      <c r="AO82" s="264"/>
      <c r="AP82" s="264"/>
      <c r="AQ82" s="264"/>
      <c r="AR82" s="264"/>
      <c r="AS82" s="264"/>
      <c r="AT82" s="264"/>
      <c r="AU82" s="264"/>
      <c r="AV82" s="264"/>
      <c r="AW82" s="264"/>
      <c r="AX82" s="264"/>
      <c r="AY82" s="264"/>
      <c r="AZ82" s="264"/>
      <c r="BA82" s="264"/>
      <c r="BB82" s="264"/>
      <c r="BC82" s="264"/>
      <c r="BD82" s="264"/>
      <c r="BE82" s="264"/>
      <c r="BF82" s="274"/>
      <c r="BG82" s="287"/>
      <c r="BH82" s="261"/>
      <c r="BI82" s="264"/>
      <c r="BJ82" s="264"/>
      <c r="BK82" s="264"/>
      <c r="BL82" s="264"/>
      <c r="BM82" s="264"/>
      <c r="BN82" s="264"/>
      <c r="BO82" s="264"/>
      <c r="BP82" s="264"/>
      <c r="BQ82" s="264"/>
      <c r="BR82" s="264"/>
      <c r="BS82" s="264"/>
      <c r="BT82" s="264"/>
      <c r="BU82" s="274"/>
      <c r="BV82" s="287"/>
      <c r="BW82" s="261"/>
      <c r="BX82" s="264"/>
      <c r="BY82" s="264"/>
      <c r="BZ82" s="264"/>
      <c r="CA82" s="264"/>
      <c r="CB82" s="264"/>
      <c r="CC82" s="264"/>
      <c r="CD82" s="264"/>
      <c r="CE82" s="264"/>
      <c r="CF82" s="264"/>
      <c r="CG82" s="264"/>
      <c r="CH82" s="264"/>
      <c r="CI82" s="264"/>
      <c r="CJ82" s="264"/>
      <c r="CK82" s="264"/>
      <c r="CL82" s="264"/>
      <c r="CM82" s="264"/>
      <c r="CN82" s="264"/>
      <c r="CO82" s="264"/>
      <c r="CP82" s="264"/>
      <c r="CQ82" s="264"/>
      <c r="CR82" s="264"/>
      <c r="CS82" s="264"/>
      <c r="CT82" s="264"/>
      <c r="CU82" s="264"/>
      <c r="CV82" s="264"/>
      <c r="CW82" s="264"/>
      <c r="CX82" s="264"/>
      <c r="CY82" s="264"/>
      <c r="CZ82" s="274"/>
      <c r="DA82" s="287"/>
    </row>
    <row r="83" spans="1:105" ht="17.25" customHeight="1" x14ac:dyDescent="0.25">
      <c r="A83" s="287"/>
      <c r="B83" s="287"/>
      <c r="C83" s="287"/>
      <c r="D83" s="287"/>
      <c r="E83" s="287"/>
      <c r="F83" s="287"/>
      <c r="G83" s="287"/>
      <c r="H83" s="287"/>
      <c r="I83" s="287"/>
      <c r="J83" s="287"/>
      <c r="K83" s="287"/>
      <c r="L83" s="287"/>
      <c r="M83" s="287"/>
      <c r="N83" s="287"/>
      <c r="O83" s="287"/>
      <c r="P83" s="289"/>
      <c r="Q83" s="294"/>
      <c r="R83" s="294"/>
      <c r="S83" s="294"/>
      <c r="T83" s="294"/>
      <c r="U83" s="294"/>
      <c r="V83" s="294"/>
      <c r="W83" s="294"/>
      <c r="X83" s="294"/>
      <c r="Y83" s="1109">
        <f>Systemlist!N18</f>
        <v>0</v>
      </c>
      <c r="Z83" s="1103"/>
      <c r="AA83" s="1103"/>
      <c r="AB83" s="294"/>
      <c r="AC83" s="1103"/>
      <c r="AD83" s="302"/>
      <c r="AE83" s="1103"/>
      <c r="AF83" s="294"/>
      <c r="AG83" s="1103"/>
      <c r="AH83" s="294"/>
      <c r="AI83" s="1103"/>
      <c r="AJ83" s="302"/>
      <c r="AK83" s="287"/>
      <c r="AL83" s="261"/>
      <c r="AM83" s="264"/>
      <c r="AN83" s="264"/>
      <c r="AO83" s="264"/>
      <c r="AP83" s="264"/>
      <c r="AQ83" s="264"/>
      <c r="AR83" s="264"/>
      <c r="AS83" s="264"/>
      <c r="AT83" s="264"/>
      <c r="AU83" s="264"/>
      <c r="AV83" s="264"/>
      <c r="AW83" s="264"/>
      <c r="AX83" s="264"/>
      <c r="AY83" s="264"/>
      <c r="AZ83" s="264"/>
      <c r="BA83" s="264"/>
      <c r="BB83" s="264"/>
      <c r="BC83" s="264"/>
      <c r="BD83" s="264"/>
      <c r="BE83" s="264"/>
      <c r="BF83" s="274"/>
      <c r="BG83" s="287"/>
      <c r="BH83" s="261"/>
      <c r="BI83" s="264"/>
      <c r="BJ83" s="264"/>
      <c r="BK83" s="264"/>
      <c r="BL83" s="264"/>
      <c r="BM83" s="264"/>
      <c r="BN83" s="264"/>
      <c r="BO83" s="264"/>
      <c r="BP83" s="264"/>
      <c r="BQ83" s="264"/>
      <c r="BR83" s="264"/>
      <c r="BS83" s="264"/>
      <c r="BT83" s="264"/>
      <c r="BU83" s="274"/>
      <c r="BV83" s="287"/>
      <c r="BW83" s="261"/>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74"/>
      <c r="DA83" s="287"/>
    </row>
    <row r="84" spans="1:105" ht="18" customHeight="1" x14ac:dyDescent="0.25">
      <c r="A84" s="287"/>
      <c r="B84" s="287"/>
      <c r="C84" s="287"/>
      <c r="D84" s="287"/>
      <c r="E84" s="287"/>
      <c r="F84" s="287"/>
      <c r="G84" s="287"/>
      <c r="H84" s="287"/>
      <c r="I84" s="287"/>
      <c r="J84" s="287"/>
      <c r="K84" s="287"/>
      <c r="L84" s="287"/>
      <c r="M84" s="287"/>
      <c r="N84" s="287"/>
      <c r="O84" s="287"/>
      <c r="P84" s="289"/>
      <c r="Q84" s="294"/>
      <c r="R84" s="294"/>
      <c r="S84" s="294"/>
      <c r="T84" s="294"/>
      <c r="U84" s="289"/>
      <c r="V84" s="302"/>
      <c r="W84" s="302"/>
      <c r="X84" s="302"/>
      <c r="Y84" s="1109">
        <f>Systemlist!N19</f>
        <v>0</v>
      </c>
      <c r="Z84" s="1103"/>
      <c r="AA84" s="1103"/>
      <c r="AB84" s="302"/>
      <c r="AC84" s="1103"/>
      <c r="AD84" s="294"/>
      <c r="AE84" s="1103"/>
      <c r="AF84" s="302"/>
      <c r="AG84" s="1103"/>
      <c r="AH84" s="302"/>
      <c r="AI84" s="1103"/>
      <c r="AJ84" s="294"/>
      <c r="AK84" s="287"/>
      <c r="AL84" s="261"/>
      <c r="AM84" s="264"/>
      <c r="AN84" s="264"/>
      <c r="AO84" s="264"/>
      <c r="AP84" s="264"/>
      <c r="AQ84" s="264"/>
      <c r="AR84" s="264"/>
      <c r="AS84" s="264"/>
      <c r="AT84" s="264"/>
      <c r="AU84" s="264"/>
      <c r="AV84" s="264"/>
      <c r="AW84" s="264"/>
      <c r="AX84" s="264"/>
      <c r="AY84" s="264"/>
      <c r="AZ84" s="264"/>
      <c r="BA84" s="264"/>
      <c r="BB84" s="264"/>
      <c r="BC84" s="264"/>
      <c r="BD84" s="264"/>
      <c r="BE84" s="264"/>
      <c r="BF84" s="274"/>
      <c r="BG84" s="287"/>
      <c r="BH84" s="261"/>
      <c r="BI84" s="264"/>
      <c r="BJ84" s="264"/>
      <c r="BK84" s="264"/>
      <c r="BL84" s="264"/>
      <c r="BM84" s="264"/>
      <c r="BN84" s="264"/>
      <c r="BO84" s="264"/>
      <c r="BP84" s="264"/>
      <c r="BQ84" s="264"/>
      <c r="BR84" s="264"/>
      <c r="BS84" s="264"/>
      <c r="BT84" s="264"/>
      <c r="BU84" s="274"/>
      <c r="BV84" s="287"/>
      <c r="BW84" s="261"/>
      <c r="BX84" s="264"/>
      <c r="BY84" s="264"/>
      <c r="BZ84" s="264"/>
      <c r="CA84" s="264"/>
      <c r="CB84" s="264"/>
      <c r="CC84" s="264"/>
      <c r="CD84" s="264"/>
      <c r="CE84" s="264"/>
      <c r="CF84" s="264"/>
      <c r="CG84" s="264"/>
      <c r="CH84" s="264"/>
      <c r="CI84" s="264"/>
      <c r="CJ84" s="264"/>
      <c r="CK84" s="264"/>
      <c r="CL84" s="264"/>
      <c r="CM84" s="264"/>
      <c r="CN84" s="264"/>
      <c r="CO84" s="264"/>
      <c r="CP84" s="264"/>
      <c r="CQ84" s="264"/>
      <c r="CR84" s="264"/>
      <c r="CS84" s="264"/>
      <c r="CT84" s="264"/>
      <c r="CU84" s="264"/>
      <c r="CV84" s="264"/>
      <c r="CW84" s="264"/>
      <c r="CX84" s="264"/>
      <c r="CY84" s="264"/>
      <c r="CZ84" s="274"/>
      <c r="DA84" s="287"/>
    </row>
    <row r="85" spans="1:105" ht="17.25" customHeight="1" x14ac:dyDescent="0.25">
      <c r="A85" s="287"/>
      <c r="B85" s="287"/>
      <c r="C85" s="287"/>
      <c r="D85" s="287"/>
      <c r="E85" s="287"/>
      <c r="F85" s="287"/>
      <c r="G85" s="1066"/>
      <c r="H85" s="1066"/>
      <c r="I85" s="1066"/>
      <c r="J85" s="1066"/>
      <c r="K85" s="1066"/>
      <c r="L85" s="1066"/>
      <c r="M85" s="1066"/>
      <c r="N85" s="1066"/>
      <c r="O85" s="1066"/>
      <c r="P85" s="289"/>
      <c r="Q85" s="289"/>
      <c r="R85" s="289"/>
      <c r="S85" s="289"/>
      <c r="T85" s="287"/>
      <c r="U85" s="287"/>
      <c r="V85" s="294"/>
      <c r="W85" s="294"/>
      <c r="X85" s="294"/>
      <c r="Y85" s="1109">
        <f>Systemlist!N20</f>
        <v>0</v>
      </c>
      <c r="Z85" s="1103"/>
      <c r="AA85" s="1103"/>
      <c r="AB85" s="294"/>
      <c r="AC85" s="1103"/>
      <c r="AD85" s="294"/>
      <c r="AE85" s="1103"/>
      <c r="AF85" s="294"/>
      <c r="AG85" s="1103"/>
      <c r="AH85" s="294"/>
      <c r="AI85" s="1103"/>
      <c r="AJ85" s="294"/>
      <c r="AK85" s="287"/>
      <c r="AL85" s="261"/>
      <c r="AM85" s="264"/>
      <c r="AN85" s="264"/>
      <c r="AO85" s="264"/>
      <c r="AP85" s="264"/>
      <c r="AQ85" s="264"/>
      <c r="AR85" s="264"/>
      <c r="AS85" s="264"/>
      <c r="AT85" s="264"/>
      <c r="AU85" s="264"/>
      <c r="AV85" s="264"/>
      <c r="AW85" s="264"/>
      <c r="AX85" s="264"/>
      <c r="AY85" s="264"/>
      <c r="AZ85" s="264"/>
      <c r="BA85" s="264"/>
      <c r="BB85" s="264"/>
      <c r="BC85" s="264"/>
      <c r="BD85" s="264"/>
      <c r="BE85" s="264"/>
      <c r="BF85" s="274"/>
      <c r="BG85" s="287"/>
      <c r="BH85" s="261"/>
      <c r="BI85" s="264"/>
      <c r="BJ85" s="264"/>
      <c r="BK85" s="264"/>
      <c r="BL85" s="264"/>
      <c r="BM85" s="264"/>
      <c r="BN85" s="264"/>
      <c r="BO85" s="264"/>
      <c r="BP85" s="264"/>
      <c r="BQ85" s="264"/>
      <c r="BR85" s="264"/>
      <c r="BS85" s="264"/>
      <c r="BT85" s="264"/>
      <c r="BU85" s="274"/>
      <c r="BV85" s="287"/>
      <c r="BW85" s="261"/>
      <c r="BX85" s="264"/>
      <c r="BY85" s="264"/>
      <c r="BZ85" s="264"/>
      <c r="CA85" s="264"/>
      <c r="CB85" s="264"/>
      <c r="CC85" s="264"/>
      <c r="CD85" s="264"/>
      <c r="CE85" s="264"/>
      <c r="CF85" s="264"/>
      <c r="CG85" s="264"/>
      <c r="CH85" s="264"/>
      <c r="CI85" s="264"/>
      <c r="CJ85" s="264"/>
      <c r="CK85" s="264"/>
      <c r="CL85" s="264"/>
      <c r="CM85" s="264"/>
      <c r="CN85" s="264"/>
      <c r="CO85" s="264"/>
      <c r="CP85" s="264"/>
      <c r="CQ85" s="264"/>
      <c r="CR85" s="264"/>
      <c r="CS85" s="264"/>
      <c r="CT85" s="264"/>
      <c r="CU85" s="264"/>
      <c r="CV85" s="264"/>
      <c r="CW85" s="264"/>
      <c r="CX85" s="264"/>
      <c r="CY85" s="264"/>
      <c r="CZ85" s="274"/>
      <c r="DA85" s="287"/>
    </row>
    <row r="86" spans="1:105" ht="17.25" customHeight="1" x14ac:dyDescent="0.25">
      <c r="A86" s="287"/>
      <c r="B86" s="287"/>
      <c r="C86" s="287"/>
      <c r="D86" s="287"/>
      <c r="E86" s="287"/>
      <c r="F86" s="287"/>
      <c r="G86" s="289"/>
      <c r="H86" s="289"/>
      <c r="I86" s="289"/>
      <c r="J86" s="289"/>
      <c r="K86" s="289"/>
      <c r="L86" s="289"/>
      <c r="M86" s="289"/>
      <c r="N86" s="289"/>
      <c r="O86" s="289"/>
      <c r="P86" s="289"/>
      <c r="Q86" s="289"/>
      <c r="R86" s="289"/>
      <c r="S86" s="289"/>
      <c r="T86" s="289"/>
      <c r="U86" s="287"/>
      <c r="V86" s="294"/>
      <c r="W86" s="294"/>
      <c r="X86" s="294"/>
      <c r="Y86" s="1109">
        <f>Systemlist!N21</f>
        <v>0</v>
      </c>
      <c r="Z86" s="1103"/>
      <c r="AA86" s="1103"/>
      <c r="AB86" s="294"/>
      <c r="AC86" s="1103"/>
      <c r="AD86" s="294"/>
      <c r="AE86" s="1103"/>
      <c r="AF86" s="294"/>
      <c r="AG86" s="1103"/>
      <c r="AH86" s="294"/>
      <c r="AI86" s="1103"/>
      <c r="AJ86" s="294"/>
      <c r="AK86" s="287"/>
      <c r="AL86" s="261"/>
      <c r="AM86" s="264"/>
      <c r="AN86" s="264"/>
      <c r="AO86" s="264"/>
      <c r="AP86" s="264"/>
      <c r="AQ86" s="264"/>
      <c r="AR86" s="264"/>
      <c r="AS86" s="264"/>
      <c r="AT86" s="264"/>
      <c r="AU86" s="264"/>
      <c r="AV86" s="264"/>
      <c r="AW86" s="264"/>
      <c r="AX86" s="264"/>
      <c r="AY86" s="264"/>
      <c r="AZ86" s="264"/>
      <c r="BA86" s="264"/>
      <c r="BB86" s="264"/>
      <c r="BC86" s="264"/>
      <c r="BD86" s="264"/>
      <c r="BE86" s="264"/>
      <c r="BF86" s="274"/>
      <c r="BG86" s="287"/>
      <c r="BH86" s="261"/>
      <c r="BI86" s="264"/>
      <c r="BJ86" s="264"/>
      <c r="BK86" s="264"/>
      <c r="BL86" s="264"/>
      <c r="BM86" s="264"/>
      <c r="BN86" s="264"/>
      <c r="BO86" s="264"/>
      <c r="BP86" s="264"/>
      <c r="BQ86" s="264"/>
      <c r="BR86" s="264"/>
      <c r="BS86" s="264"/>
      <c r="BT86" s="264"/>
      <c r="BU86" s="274"/>
      <c r="BV86" s="287"/>
      <c r="BW86" s="261"/>
      <c r="BX86" s="264"/>
      <c r="BY86" s="264"/>
      <c r="BZ86" s="264"/>
      <c r="CA86" s="264"/>
      <c r="CB86" s="264"/>
      <c r="CC86" s="264"/>
      <c r="CD86" s="264"/>
      <c r="CE86" s="264"/>
      <c r="CF86" s="264"/>
      <c r="CG86" s="264"/>
      <c r="CH86" s="264"/>
      <c r="CI86" s="264"/>
      <c r="CJ86" s="264"/>
      <c r="CK86" s="264"/>
      <c r="CL86" s="264"/>
      <c r="CM86" s="264"/>
      <c r="CN86" s="264"/>
      <c r="CO86" s="264"/>
      <c r="CP86" s="264"/>
      <c r="CQ86" s="264"/>
      <c r="CR86" s="264"/>
      <c r="CS86" s="264"/>
      <c r="CT86" s="264"/>
      <c r="CU86" s="264"/>
      <c r="CV86" s="264"/>
      <c r="CW86" s="264"/>
      <c r="CX86" s="264"/>
      <c r="CY86" s="264"/>
      <c r="CZ86" s="274"/>
      <c r="DA86" s="287"/>
    </row>
    <row r="87" spans="1:105" ht="18.75" customHeight="1" x14ac:dyDescent="0.25">
      <c r="A87" s="287"/>
      <c r="B87" s="287"/>
      <c r="C87" s="287"/>
      <c r="D87" s="287"/>
      <c r="E87" s="287"/>
      <c r="F87" s="287"/>
      <c r="G87" s="289"/>
      <c r="H87" s="289"/>
      <c r="I87" s="289"/>
      <c r="J87" s="289"/>
      <c r="K87" s="289"/>
      <c r="L87" s="289"/>
      <c r="M87" s="289"/>
      <c r="N87" s="289"/>
      <c r="O87" s="289"/>
      <c r="P87" s="289"/>
      <c r="Q87" s="289"/>
      <c r="R87" s="289"/>
      <c r="S87" s="289"/>
      <c r="T87" s="289"/>
      <c r="U87" s="289"/>
      <c r="V87" s="294"/>
      <c r="W87" s="294"/>
      <c r="X87" s="294"/>
      <c r="Y87" s="1109"/>
      <c r="Z87" s="1103"/>
      <c r="AA87" s="1103"/>
      <c r="AB87" s="294"/>
      <c r="AC87" s="1103"/>
      <c r="AD87" s="302"/>
      <c r="AE87" s="1103"/>
      <c r="AF87" s="294"/>
      <c r="AG87" s="1103"/>
      <c r="AH87" s="302"/>
      <c r="AI87" s="1103"/>
      <c r="AJ87" s="294"/>
      <c r="AK87" s="287"/>
      <c r="AL87" s="261"/>
      <c r="AM87" s="264"/>
      <c r="AN87" s="264"/>
      <c r="AO87" s="264"/>
      <c r="AP87" s="264"/>
      <c r="AQ87" s="264"/>
      <c r="AR87" s="264"/>
      <c r="AS87" s="264"/>
      <c r="AT87" s="264"/>
      <c r="AU87" s="264"/>
      <c r="AV87" s="264"/>
      <c r="AW87" s="264"/>
      <c r="AX87" s="264"/>
      <c r="AY87" s="264"/>
      <c r="AZ87" s="264"/>
      <c r="BA87" s="264"/>
      <c r="BB87" s="264"/>
      <c r="BC87" s="264"/>
      <c r="BD87" s="264"/>
      <c r="BE87" s="264"/>
      <c r="BF87" s="274"/>
      <c r="BG87" s="287"/>
      <c r="BH87" s="261"/>
      <c r="BI87" s="264"/>
      <c r="BJ87" s="264"/>
      <c r="BK87" s="264"/>
      <c r="BL87" s="264"/>
      <c r="BM87" s="264"/>
      <c r="BN87" s="264"/>
      <c r="BO87" s="264"/>
      <c r="BP87" s="264"/>
      <c r="BQ87" s="264"/>
      <c r="BR87" s="264"/>
      <c r="BS87" s="264"/>
      <c r="BT87" s="264"/>
      <c r="BU87" s="274"/>
      <c r="BV87" s="287"/>
      <c r="BW87" s="261"/>
      <c r="BX87" s="264"/>
      <c r="BY87" s="264"/>
      <c r="BZ87" s="264"/>
      <c r="CA87" s="264"/>
      <c r="CB87" s="264"/>
      <c r="CC87" s="264"/>
      <c r="CD87" s="264"/>
      <c r="CE87" s="264"/>
      <c r="CF87" s="264"/>
      <c r="CG87" s="264"/>
      <c r="CH87" s="264"/>
      <c r="CI87" s="264"/>
      <c r="CJ87" s="264"/>
      <c r="CK87" s="264"/>
      <c r="CL87" s="264"/>
      <c r="CM87" s="264"/>
      <c r="CN87" s="264"/>
      <c r="CO87" s="264"/>
      <c r="CP87" s="264"/>
      <c r="CQ87" s="264"/>
      <c r="CR87" s="264"/>
      <c r="CS87" s="264"/>
      <c r="CT87" s="264"/>
      <c r="CU87" s="264"/>
      <c r="CV87" s="264"/>
      <c r="CW87" s="264"/>
      <c r="CX87" s="264"/>
      <c r="CY87" s="264"/>
      <c r="CZ87" s="274"/>
      <c r="DA87" s="287"/>
    </row>
    <row r="88" spans="1:105" ht="18.75" customHeight="1" x14ac:dyDescent="0.25">
      <c r="A88" s="287"/>
      <c r="B88" s="287"/>
      <c r="C88" s="287"/>
      <c r="D88" s="287"/>
      <c r="E88" s="287"/>
      <c r="F88" s="287"/>
      <c r="G88" s="289"/>
      <c r="H88" s="289"/>
      <c r="I88" s="289"/>
      <c r="J88" s="289"/>
      <c r="K88" s="289"/>
      <c r="L88" s="289"/>
      <c r="M88" s="289"/>
      <c r="N88" s="289"/>
      <c r="O88" s="289"/>
      <c r="P88" s="289"/>
      <c r="Q88" s="289"/>
      <c r="R88" s="287"/>
      <c r="S88" s="287"/>
      <c r="T88" s="287"/>
      <c r="U88" s="289"/>
      <c r="V88" s="302"/>
      <c r="W88" s="302"/>
      <c r="X88" s="302"/>
      <c r="Y88" s="1109"/>
      <c r="Z88" s="1103"/>
      <c r="AA88" s="1103"/>
      <c r="AB88" s="302"/>
      <c r="AC88" s="1103"/>
      <c r="AD88" s="294"/>
      <c r="AE88" s="1103"/>
      <c r="AF88" s="302"/>
      <c r="AG88" s="1103"/>
      <c r="AH88" s="294"/>
      <c r="AI88" s="1103"/>
      <c r="AJ88" s="294"/>
      <c r="AK88" s="287"/>
      <c r="AL88" s="261"/>
      <c r="AM88" s="264"/>
      <c r="AN88" s="264"/>
      <c r="AO88" s="264"/>
      <c r="AP88" s="264"/>
      <c r="AQ88" s="264"/>
      <c r="AR88" s="264"/>
      <c r="AS88" s="264"/>
      <c r="AT88" s="264"/>
      <c r="AU88" s="264"/>
      <c r="AV88" s="264"/>
      <c r="AW88" s="264"/>
      <c r="AX88" s="264"/>
      <c r="AY88" s="264"/>
      <c r="AZ88" s="264"/>
      <c r="BA88" s="264"/>
      <c r="BB88" s="264"/>
      <c r="BC88" s="264"/>
      <c r="BD88" s="264"/>
      <c r="BE88" s="264"/>
      <c r="BF88" s="274"/>
      <c r="BG88" s="287"/>
      <c r="BH88" s="261"/>
      <c r="BI88" s="264"/>
      <c r="BJ88" s="264"/>
      <c r="BK88" s="264"/>
      <c r="BL88" s="264"/>
      <c r="BM88" s="264"/>
      <c r="BN88" s="264"/>
      <c r="BO88" s="264"/>
      <c r="BP88" s="264"/>
      <c r="BQ88" s="264"/>
      <c r="BR88" s="264"/>
      <c r="BS88" s="264"/>
      <c r="BT88" s="264"/>
      <c r="BU88" s="274"/>
      <c r="BV88" s="287"/>
      <c r="BW88" s="261"/>
      <c r="BX88" s="264"/>
      <c r="BY88" s="264"/>
      <c r="BZ88" s="264"/>
      <c r="CA88" s="264"/>
      <c r="CB88" s="264"/>
      <c r="CC88" s="264"/>
      <c r="CD88" s="264"/>
      <c r="CE88" s="264"/>
      <c r="CF88" s="264"/>
      <c r="CG88" s="264"/>
      <c r="CH88" s="264"/>
      <c r="CI88" s="264"/>
      <c r="CJ88" s="264"/>
      <c r="CK88" s="264"/>
      <c r="CL88" s="264"/>
      <c r="CM88" s="264"/>
      <c r="CN88" s="264"/>
      <c r="CO88" s="264"/>
      <c r="CP88" s="264"/>
      <c r="CQ88" s="264"/>
      <c r="CR88" s="264"/>
      <c r="CS88" s="264"/>
      <c r="CT88" s="264"/>
      <c r="CU88" s="264"/>
      <c r="CV88" s="264"/>
      <c r="CW88" s="264"/>
      <c r="CX88" s="264"/>
      <c r="CY88" s="264"/>
      <c r="CZ88" s="274"/>
      <c r="DA88" s="287"/>
    </row>
    <row r="89" spans="1:105" ht="16.5" customHeight="1" x14ac:dyDescent="0.25">
      <c r="A89" s="287"/>
      <c r="B89" s="287"/>
      <c r="C89" s="287"/>
      <c r="D89" s="287"/>
      <c r="E89" s="287"/>
      <c r="F89" s="287"/>
      <c r="G89" s="289"/>
      <c r="H89" s="289"/>
      <c r="I89" s="289"/>
      <c r="J89" s="289"/>
      <c r="K89" s="289"/>
      <c r="L89" s="289"/>
      <c r="M89" s="289"/>
      <c r="N89" s="289"/>
      <c r="O89" s="289"/>
      <c r="P89" s="287"/>
      <c r="Q89" s="289"/>
      <c r="R89" s="287"/>
      <c r="S89" s="287"/>
      <c r="T89" s="287"/>
      <c r="U89" s="289"/>
      <c r="V89" s="294"/>
      <c r="W89" s="294"/>
      <c r="X89" s="294"/>
      <c r="Y89" s="1109"/>
      <c r="Z89" s="1103"/>
      <c r="AA89" s="1103"/>
      <c r="AB89" s="302"/>
      <c r="AC89" s="1103"/>
      <c r="AD89" s="294"/>
      <c r="AE89" s="1103"/>
      <c r="AF89" s="294"/>
      <c r="AG89" s="1103"/>
      <c r="AH89" s="294"/>
      <c r="AI89" s="1103"/>
      <c r="AJ89" s="302"/>
      <c r="AK89" s="287"/>
      <c r="AL89" s="261"/>
      <c r="AM89" s="264"/>
      <c r="AN89" s="264"/>
      <c r="AO89" s="264"/>
      <c r="AP89" s="264"/>
      <c r="AQ89" s="264"/>
      <c r="AR89" s="264"/>
      <c r="AS89" s="264"/>
      <c r="AT89" s="264"/>
      <c r="AU89" s="264"/>
      <c r="AV89" s="264"/>
      <c r="AW89" s="264"/>
      <c r="AX89" s="264"/>
      <c r="AY89" s="264"/>
      <c r="AZ89" s="264"/>
      <c r="BA89" s="264"/>
      <c r="BB89" s="264"/>
      <c r="BC89" s="264"/>
      <c r="BD89" s="264"/>
      <c r="BE89" s="264"/>
      <c r="BF89" s="274"/>
      <c r="BG89" s="287"/>
      <c r="BH89" s="261"/>
      <c r="BI89" s="264"/>
      <c r="BJ89" s="264"/>
      <c r="BK89" s="264"/>
      <c r="BL89" s="264"/>
      <c r="BM89" s="264"/>
      <c r="BN89" s="264"/>
      <c r="BO89" s="264"/>
      <c r="BP89" s="264"/>
      <c r="BQ89" s="264"/>
      <c r="BR89" s="264"/>
      <c r="BS89" s="264"/>
      <c r="BT89" s="264"/>
      <c r="BU89" s="274"/>
      <c r="BV89" s="287"/>
      <c r="BW89" s="261"/>
      <c r="BX89" s="264"/>
      <c r="BY89" s="264"/>
      <c r="BZ89" s="264"/>
      <c r="CA89" s="264"/>
      <c r="CB89" s="264"/>
      <c r="CC89" s="264"/>
      <c r="CD89" s="264"/>
      <c r="CE89" s="264"/>
      <c r="CF89" s="264"/>
      <c r="CG89" s="264"/>
      <c r="CH89" s="264"/>
      <c r="CI89" s="264"/>
      <c r="CJ89" s="264"/>
      <c r="CK89" s="264"/>
      <c r="CL89" s="264"/>
      <c r="CM89" s="264"/>
      <c r="CN89" s="264"/>
      <c r="CO89" s="264"/>
      <c r="CP89" s="264"/>
      <c r="CQ89" s="264"/>
      <c r="CR89" s="264"/>
      <c r="CS89" s="264"/>
      <c r="CT89" s="264"/>
      <c r="CU89" s="264"/>
      <c r="CV89" s="264"/>
      <c r="CW89" s="264"/>
      <c r="CX89" s="264"/>
      <c r="CY89" s="264"/>
      <c r="CZ89" s="274"/>
      <c r="DA89" s="287"/>
    </row>
    <row r="90" spans="1:105" ht="18.75" customHeight="1" x14ac:dyDescent="0.25">
      <c r="A90" s="287"/>
      <c r="B90" s="287"/>
      <c r="C90" s="287"/>
      <c r="D90" s="287"/>
      <c r="E90" s="287"/>
      <c r="F90" s="287"/>
      <c r="G90" s="289"/>
      <c r="H90" s="289"/>
      <c r="I90" s="289"/>
      <c r="J90" s="289"/>
      <c r="K90" s="289"/>
      <c r="L90" s="289"/>
      <c r="M90" s="289"/>
      <c r="N90" s="289"/>
      <c r="O90" s="289"/>
      <c r="P90" s="287"/>
      <c r="Q90" s="287"/>
      <c r="R90" s="289"/>
      <c r="S90" s="289"/>
      <c r="T90" s="289"/>
      <c r="U90" s="287"/>
      <c r="V90" s="294"/>
      <c r="W90" s="294"/>
      <c r="X90" s="294"/>
      <c r="Y90" s="1109"/>
      <c r="Z90" s="1103"/>
      <c r="AA90" s="1103"/>
      <c r="AB90" s="302"/>
      <c r="AC90" s="1103"/>
      <c r="AD90" s="302"/>
      <c r="AE90" s="1103"/>
      <c r="AF90" s="302"/>
      <c r="AG90" s="1103"/>
      <c r="AH90" s="294"/>
      <c r="AI90" s="1103"/>
      <c r="AJ90" s="302"/>
      <c r="AK90" s="287"/>
      <c r="AL90" s="261"/>
      <c r="AM90" s="264"/>
      <c r="AN90" s="264"/>
      <c r="AO90" s="264"/>
      <c r="AP90" s="264"/>
      <c r="AQ90" s="264"/>
      <c r="AR90" s="264"/>
      <c r="AS90" s="264"/>
      <c r="AT90" s="264"/>
      <c r="AU90" s="264"/>
      <c r="AV90" s="264"/>
      <c r="AW90" s="264"/>
      <c r="AX90" s="264"/>
      <c r="AY90" s="264"/>
      <c r="AZ90" s="264"/>
      <c r="BA90" s="264"/>
      <c r="BB90" s="264"/>
      <c r="BC90" s="264"/>
      <c r="BD90" s="264"/>
      <c r="BE90" s="264"/>
      <c r="BF90" s="274"/>
      <c r="BG90" s="287"/>
      <c r="BH90" s="261"/>
      <c r="BI90" s="264"/>
      <c r="BJ90" s="264"/>
      <c r="BK90" s="264"/>
      <c r="BL90" s="264"/>
      <c r="BM90" s="264"/>
      <c r="BN90" s="264"/>
      <c r="BO90" s="264"/>
      <c r="BP90" s="264"/>
      <c r="BQ90" s="264"/>
      <c r="BR90" s="264"/>
      <c r="BS90" s="264"/>
      <c r="BT90" s="264"/>
      <c r="BU90" s="274"/>
      <c r="BV90" s="287"/>
      <c r="BW90" s="261"/>
      <c r="BX90" s="264"/>
      <c r="BY90" s="264"/>
      <c r="BZ90" s="264"/>
      <c r="CA90" s="264"/>
      <c r="CB90" s="264"/>
      <c r="CC90" s="264"/>
      <c r="CD90" s="264"/>
      <c r="CE90" s="264"/>
      <c r="CF90" s="264"/>
      <c r="CG90" s="264"/>
      <c r="CH90" s="264"/>
      <c r="CI90" s="264"/>
      <c r="CJ90" s="264"/>
      <c r="CK90" s="264"/>
      <c r="CL90" s="264"/>
      <c r="CM90" s="264"/>
      <c r="CN90" s="264"/>
      <c r="CO90" s="264"/>
      <c r="CP90" s="264"/>
      <c r="CQ90" s="264"/>
      <c r="CR90" s="264"/>
      <c r="CS90" s="264"/>
      <c r="CT90" s="264"/>
      <c r="CU90" s="264"/>
      <c r="CV90" s="264"/>
      <c r="CW90" s="264"/>
      <c r="CX90" s="264"/>
      <c r="CY90" s="264"/>
      <c r="CZ90" s="274"/>
      <c r="DA90" s="287"/>
    </row>
    <row r="91" spans="1:105" ht="20.25" customHeight="1" x14ac:dyDescent="0.25">
      <c r="A91" s="287"/>
      <c r="B91" s="287"/>
      <c r="C91" s="287"/>
      <c r="D91" s="287"/>
      <c r="E91" s="287"/>
      <c r="F91" s="287"/>
      <c r="G91" s="289"/>
      <c r="H91" s="289"/>
      <c r="I91" s="289"/>
      <c r="J91" s="289"/>
      <c r="K91" s="289"/>
      <c r="L91" s="289"/>
      <c r="M91" s="289"/>
      <c r="N91" s="289"/>
      <c r="O91" s="289"/>
      <c r="P91" s="289"/>
      <c r="Q91" s="287"/>
      <c r="R91" s="289"/>
      <c r="S91" s="289"/>
      <c r="T91" s="289"/>
      <c r="U91" s="287"/>
      <c r="V91" s="287"/>
      <c r="W91" s="287"/>
      <c r="X91" s="287"/>
      <c r="Y91" s="287"/>
      <c r="Z91" s="287"/>
      <c r="AA91" s="287"/>
      <c r="AB91" s="287"/>
      <c r="AC91" s="287"/>
      <c r="AD91" s="287"/>
      <c r="AE91" s="287"/>
      <c r="AF91" s="287"/>
      <c r="AG91" s="294"/>
      <c r="AH91" s="287"/>
      <c r="AI91" s="287"/>
      <c r="AJ91" s="287"/>
      <c r="AK91" s="287"/>
      <c r="AL91" s="261"/>
      <c r="AM91" s="264"/>
      <c r="AN91" s="264"/>
      <c r="AO91" s="264"/>
      <c r="AP91" s="264"/>
      <c r="AQ91" s="264"/>
      <c r="AR91" s="264"/>
      <c r="AS91" s="264"/>
      <c r="AT91" s="264"/>
      <c r="AU91" s="264"/>
      <c r="AV91" s="264"/>
      <c r="AW91" s="264"/>
      <c r="AX91" s="264"/>
      <c r="AY91" s="264"/>
      <c r="AZ91" s="264"/>
      <c r="BA91" s="264"/>
      <c r="BB91" s="264"/>
      <c r="BC91" s="264"/>
      <c r="BD91" s="264"/>
      <c r="BE91" s="264"/>
      <c r="BF91" s="274"/>
      <c r="BG91" s="287"/>
      <c r="BH91" s="261"/>
      <c r="BI91" s="264"/>
      <c r="BJ91" s="264"/>
      <c r="BK91" s="264"/>
      <c r="BL91" s="264"/>
      <c r="BM91" s="264"/>
      <c r="BN91" s="264"/>
      <c r="BO91" s="264"/>
      <c r="BP91" s="264"/>
      <c r="BQ91" s="264"/>
      <c r="BR91" s="264"/>
      <c r="BS91" s="264"/>
      <c r="BT91" s="264"/>
      <c r="BU91" s="274"/>
      <c r="BV91" s="287"/>
      <c r="BW91" s="261"/>
      <c r="BX91" s="264"/>
      <c r="BY91" s="264"/>
      <c r="BZ91" s="264"/>
      <c r="CA91" s="264"/>
      <c r="CB91" s="264"/>
      <c r="CC91" s="264"/>
      <c r="CD91" s="264"/>
      <c r="CE91" s="264"/>
      <c r="CF91" s="264"/>
      <c r="CG91" s="264"/>
      <c r="CH91" s="264"/>
      <c r="CI91" s="264"/>
      <c r="CJ91" s="264"/>
      <c r="CK91" s="264"/>
      <c r="CL91" s="264"/>
      <c r="CM91" s="264"/>
      <c r="CN91" s="264"/>
      <c r="CO91" s="264"/>
      <c r="CP91" s="264"/>
      <c r="CQ91" s="264"/>
      <c r="CR91" s="264"/>
      <c r="CS91" s="264"/>
      <c r="CT91" s="264"/>
      <c r="CU91" s="264"/>
      <c r="CV91" s="264"/>
      <c r="CW91" s="264"/>
      <c r="CX91" s="264"/>
      <c r="CY91" s="264"/>
      <c r="CZ91" s="274"/>
      <c r="DA91" s="287"/>
    </row>
    <row r="92" spans="1:105" ht="20.25" customHeight="1" x14ac:dyDescent="0.25">
      <c r="A92" s="287"/>
      <c r="B92" s="287"/>
      <c r="C92" s="287"/>
      <c r="D92" s="287"/>
      <c r="E92" s="287"/>
      <c r="F92" s="287"/>
      <c r="G92" s="287"/>
      <c r="H92" s="287"/>
      <c r="I92" s="287"/>
      <c r="J92" s="287"/>
      <c r="K92" s="287"/>
      <c r="L92" s="287"/>
      <c r="M92" s="287"/>
      <c r="N92" s="287"/>
      <c r="O92" s="287"/>
      <c r="P92" s="289"/>
      <c r="Q92" s="289"/>
      <c r="R92" s="289"/>
      <c r="S92" s="289"/>
      <c r="T92" s="289"/>
      <c r="U92" s="289"/>
      <c r="V92" s="287"/>
      <c r="W92" s="287"/>
      <c r="X92" s="287"/>
      <c r="Y92" s="287"/>
      <c r="Z92" s="287"/>
      <c r="AA92" s="287"/>
      <c r="AB92" s="287"/>
      <c r="AC92" s="287"/>
      <c r="AD92" s="287"/>
      <c r="AE92" s="287"/>
      <c r="AF92" s="287"/>
      <c r="AG92" s="294"/>
      <c r="AH92" s="287"/>
      <c r="AI92" s="287"/>
      <c r="AJ92" s="287"/>
      <c r="AK92" s="287"/>
      <c r="AL92" s="261"/>
      <c r="AM92" s="264"/>
      <c r="AN92" s="264"/>
      <c r="AO92" s="264"/>
      <c r="AP92" s="264"/>
      <c r="AQ92" s="264"/>
      <c r="AR92" s="264"/>
      <c r="AS92" s="264"/>
      <c r="AT92" s="264"/>
      <c r="AU92" s="264"/>
      <c r="AV92" s="264"/>
      <c r="AW92" s="264"/>
      <c r="AX92" s="264"/>
      <c r="AY92" s="264"/>
      <c r="AZ92" s="264"/>
      <c r="BA92" s="264"/>
      <c r="BB92" s="264"/>
      <c r="BC92" s="264"/>
      <c r="BD92" s="264"/>
      <c r="BE92" s="264"/>
      <c r="BF92" s="274"/>
      <c r="BG92" s="287"/>
      <c r="BH92" s="261"/>
      <c r="BI92" s="264"/>
      <c r="BJ92" s="264"/>
      <c r="BK92" s="264"/>
      <c r="BL92" s="264"/>
      <c r="BM92" s="264"/>
      <c r="BN92" s="264"/>
      <c r="BO92" s="264"/>
      <c r="BP92" s="264"/>
      <c r="BQ92" s="264"/>
      <c r="BR92" s="264"/>
      <c r="BS92" s="264"/>
      <c r="BT92" s="264"/>
      <c r="BU92" s="274"/>
      <c r="BV92" s="287"/>
      <c r="BW92" s="261"/>
      <c r="BX92" s="264"/>
      <c r="BY92" s="264"/>
      <c r="BZ92" s="264"/>
      <c r="CA92" s="264"/>
      <c r="CB92" s="264"/>
      <c r="CC92" s="264"/>
      <c r="CD92" s="264"/>
      <c r="CE92" s="264"/>
      <c r="CF92" s="264"/>
      <c r="CG92" s="264"/>
      <c r="CH92" s="264"/>
      <c r="CI92" s="264"/>
      <c r="CJ92" s="264"/>
      <c r="CK92" s="264"/>
      <c r="CL92" s="264"/>
      <c r="CM92" s="264"/>
      <c r="CN92" s="264"/>
      <c r="CO92" s="264"/>
      <c r="CP92" s="264"/>
      <c r="CQ92" s="264"/>
      <c r="CR92" s="264"/>
      <c r="CS92" s="264"/>
      <c r="CT92" s="264"/>
      <c r="CU92" s="264"/>
      <c r="CV92" s="264"/>
      <c r="CW92" s="264"/>
      <c r="CX92" s="264"/>
      <c r="CY92" s="264"/>
      <c r="CZ92" s="274"/>
      <c r="DA92" s="287"/>
    </row>
    <row r="93" spans="1:105" x14ac:dyDescent="0.25">
      <c r="A93" s="287"/>
      <c r="B93" s="287"/>
      <c r="C93" s="287"/>
      <c r="D93" s="287"/>
      <c r="E93" s="287"/>
      <c r="F93" s="287"/>
      <c r="G93" s="287"/>
      <c r="H93" s="287"/>
      <c r="I93" s="287"/>
      <c r="J93" s="287"/>
      <c r="K93" s="287"/>
      <c r="L93" s="287"/>
      <c r="M93" s="287"/>
      <c r="N93" s="287"/>
      <c r="O93" s="287"/>
      <c r="P93" s="289"/>
      <c r="Q93" s="289"/>
      <c r="R93" s="287"/>
      <c r="S93" s="287"/>
      <c r="T93" s="287"/>
      <c r="U93" s="289"/>
      <c r="V93" s="287"/>
      <c r="W93" s="287"/>
      <c r="X93" s="287"/>
      <c r="Y93" s="287"/>
      <c r="Z93" s="287"/>
      <c r="AA93" s="287"/>
      <c r="AB93" s="287"/>
      <c r="AC93" s="287"/>
      <c r="AD93" s="287"/>
      <c r="AE93" s="287"/>
      <c r="AF93" s="287"/>
      <c r="AG93" s="294"/>
      <c r="AH93" s="287"/>
      <c r="AI93" s="287"/>
      <c r="AJ93" s="287"/>
      <c r="AK93" s="287"/>
      <c r="AL93" s="261"/>
      <c r="AM93" s="264"/>
      <c r="AN93" s="264"/>
      <c r="AO93" s="264"/>
      <c r="AP93" s="264"/>
      <c r="AQ93" s="264"/>
      <c r="AR93" s="264"/>
      <c r="AS93" s="264"/>
      <c r="AT93" s="264"/>
      <c r="AU93" s="264"/>
      <c r="AV93" s="264"/>
      <c r="AW93" s="264"/>
      <c r="AX93" s="264"/>
      <c r="AY93" s="264"/>
      <c r="AZ93" s="264"/>
      <c r="BA93" s="264"/>
      <c r="BB93" s="264"/>
      <c r="BC93" s="264"/>
      <c r="BD93" s="264"/>
      <c r="BE93" s="264"/>
      <c r="BF93" s="274"/>
      <c r="BG93" s="287"/>
      <c r="BH93" s="261"/>
      <c r="BI93" s="264"/>
      <c r="BJ93" s="264"/>
      <c r="BK93" s="264"/>
      <c r="BL93" s="264"/>
      <c r="BM93" s="264"/>
      <c r="BN93" s="264"/>
      <c r="BO93" s="264"/>
      <c r="BP93" s="264"/>
      <c r="BQ93" s="264"/>
      <c r="BR93" s="264"/>
      <c r="BS93" s="264"/>
      <c r="BT93" s="264"/>
      <c r="BU93" s="274"/>
      <c r="BV93" s="287"/>
      <c r="BW93" s="261"/>
      <c r="BX93" s="264"/>
      <c r="BY93" s="264"/>
      <c r="BZ93" s="264"/>
      <c r="CA93" s="264"/>
      <c r="CB93" s="264"/>
      <c r="CC93" s="264"/>
      <c r="CD93" s="264"/>
      <c r="CE93" s="264"/>
      <c r="CF93" s="264"/>
      <c r="CG93" s="264"/>
      <c r="CH93" s="264"/>
      <c r="CI93" s="264"/>
      <c r="CJ93" s="264"/>
      <c r="CK93" s="264"/>
      <c r="CL93" s="264"/>
      <c r="CM93" s="264"/>
      <c r="CN93" s="264"/>
      <c r="CO93" s="264"/>
      <c r="CP93" s="264"/>
      <c r="CQ93" s="264"/>
      <c r="CR93" s="264"/>
      <c r="CS93" s="264"/>
      <c r="CT93" s="264"/>
      <c r="CU93" s="264"/>
      <c r="CV93" s="264"/>
      <c r="CW93" s="264"/>
      <c r="CX93" s="264"/>
      <c r="CY93" s="264"/>
      <c r="CZ93" s="274"/>
      <c r="DA93" s="287"/>
    </row>
    <row r="94" spans="1:105" x14ac:dyDescent="0.25">
      <c r="A94" s="287"/>
      <c r="B94" s="287"/>
      <c r="C94" s="287"/>
      <c r="D94" s="287"/>
      <c r="E94" s="287"/>
      <c r="F94" s="287"/>
      <c r="G94" s="289"/>
      <c r="H94" s="289"/>
      <c r="I94" s="289"/>
      <c r="J94" s="289"/>
      <c r="K94" s="289"/>
      <c r="L94" s="289"/>
      <c r="M94" s="289"/>
      <c r="N94" s="289"/>
      <c r="O94" s="289"/>
      <c r="P94" s="289"/>
      <c r="Q94" s="289"/>
      <c r="R94" s="287"/>
      <c r="S94" s="287"/>
      <c r="T94" s="287"/>
      <c r="U94" s="287"/>
      <c r="V94" s="287"/>
      <c r="W94" s="287"/>
      <c r="X94" s="287"/>
      <c r="Y94" s="287"/>
      <c r="Z94" s="287"/>
      <c r="AA94" s="287"/>
      <c r="AB94" s="287"/>
      <c r="AC94" s="287"/>
      <c r="AD94" s="287"/>
      <c r="AE94" s="287"/>
      <c r="AF94" s="287"/>
      <c r="AG94" s="294"/>
      <c r="AH94" s="287"/>
      <c r="AI94" s="287"/>
      <c r="AJ94" s="287"/>
      <c r="AK94" s="287"/>
      <c r="AL94" s="261"/>
      <c r="AM94" s="264"/>
      <c r="AN94" s="264"/>
      <c r="AO94" s="264"/>
      <c r="AP94" s="264"/>
      <c r="AQ94" s="264"/>
      <c r="AR94" s="264"/>
      <c r="AS94" s="264"/>
      <c r="AT94" s="264"/>
      <c r="AU94" s="264"/>
      <c r="AV94" s="264"/>
      <c r="AW94" s="264"/>
      <c r="AX94" s="264"/>
      <c r="AY94" s="264"/>
      <c r="AZ94" s="264"/>
      <c r="BA94" s="264"/>
      <c r="BB94" s="264"/>
      <c r="BC94" s="264"/>
      <c r="BD94" s="264"/>
      <c r="BE94" s="264"/>
      <c r="BF94" s="274"/>
      <c r="BG94" s="287"/>
      <c r="BH94" s="261"/>
      <c r="BI94" s="264"/>
      <c r="BJ94" s="264"/>
      <c r="BK94" s="264"/>
      <c r="BL94" s="264"/>
      <c r="BM94" s="264"/>
      <c r="BN94" s="264"/>
      <c r="BO94" s="264"/>
      <c r="BP94" s="264"/>
      <c r="BQ94" s="264"/>
      <c r="BR94" s="264"/>
      <c r="BS94" s="264"/>
      <c r="BT94" s="264"/>
      <c r="BU94" s="274"/>
      <c r="BV94" s="287"/>
      <c r="BW94" s="261"/>
      <c r="BX94" s="264"/>
      <c r="BY94" s="264"/>
      <c r="BZ94" s="264"/>
      <c r="CA94" s="264"/>
      <c r="CB94" s="264"/>
      <c r="CC94" s="264"/>
      <c r="CD94" s="264"/>
      <c r="CE94" s="264"/>
      <c r="CF94" s="264"/>
      <c r="CG94" s="264"/>
      <c r="CH94" s="264"/>
      <c r="CI94" s="264"/>
      <c r="CJ94" s="264"/>
      <c r="CK94" s="264"/>
      <c r="CL94" s="264"/>
      <c r="CM94" s="264"/>
      <c r="CN94" s="264"/>
      <c r="CO94" s="264"/>
      <c r="CP94" s="264"/>
      <c r="CQ94" s="264"/>
      <c r="CR94" s="264"/>
      <c r="CS94" s="264"/>
      <c r="CT94" s="264"/>
      <c r="CU94" s="264"/>
      <c r="CV94" s="264"/>
      <c r="CW94" s="264"/>
      <c r="CX94" s="264"/>
      <c r="CY94" s="264"/>
      <c r="CZ94" s="274"/>
      <c r="DA94" s="287"/>
    </row>
    <row r="95" spans="1:105" x14ac:dyDescent="0.25">
      <c r="A95" s="287"/>
      <c r="B95" s="287"/>
      <c r="C95" s="287"/>
      <c r="D95" s="287"/>
      <c r="E95" s="287"/>
      <c r="F95" s="287"/>
      <c r="G95" s="289"/>
      <c r="H95" s="289"/>
      <c r="I95" s="289"/>
      <c r="J95" s="289"/>
      <c r="K95" s="289"/>
      <c r="L95" s="289"/>
      <c r="M95" s="289"/>
      <c r="N95" s="289"/>
      <c r="O95" s="289"/>
      <c r="P95" s="289"/>
      <c r="Q95" s="289"/>
      <c r="R95" s="289"/>
      <c r="S95" s="289"/>
      <c r="T95" s="289"/>
      <c r="U95" s="287"/>
      <c r="V95" s="288"/>
      <c r="W95" s="288"/>
      <c r="X95" s="288"/>
      <c r="Y95" s="287"/>
      <c r="Z95" s="287"/>
      <c r="AA95" s="287"/>
      <c r="AB95" s="287"/>
      <c r="AC95" s="287"/>
      <c r="AD95" s="287"/>
      <c r="AE95" s="287"/>
      <c r="AF95" s="287"/>
      <c r="AG95" s="294"/>
      <c r="AH95" s="287"/>
      <c r="AI95" s="287"/>
      <c r="AJ95" s="287"/>
      <c r="AK95" s="287"/>
      <c r="AL95" s="261"/>
      <c r="AM95" s="264"/>
      <c r="AN95" s="264"/>
      <c r="AO95" s="264"/>
      <c r="AP95" s="264"/>
      <c r="AQ95" s="264"/>
      <c r="AR95" s="264"/>
      <c r="AS95" s="264"/>
      <c r="AT95" s="264"/>
      <c r="AU95" s="264"/>
      <c r="AV95" s="264"/>
      <c r="AW95" s="264"/>
      <c r="AX95" s="264"/>
      <c r="AY95" s="264"/>
      <c r="AZ95" s="264"/>
      <c r="BA95" s="264"/>
      <c r="BB95" s="264"/>
      <c r="BC95" s="264"/>
      <c r="BD95" s="264"/>
      <c r="BE95" s="264"/>
      <c r="BF95" s="274"/>
      <c r="BG95" s="287"/>
      <c r="BH95" s="261"/>
      <c r="BI95" s="264"/>
      <c r="BJ95" s="264"/>
      <c r="BK95" s="264"/>
      <c r="BL95" s="264"/>
      <c r="BM95" s="264"/>
      <c r="BN95" s="264"/>
      <c r="BO95" s="264"/>
      <c r="BP95" s="264"/>
      <c r="BQ95" s="264"/>
      <c r="BR95" s="264"/>
      <c r="BS95" s="264"/>
      <c r="BT95" s="264"/>
      <c r="BU95" s="274"/>
      <c r="BV95" s="287"/>
      <c r="BW95" s="261"/>
      <c r="BX95" s="264"/>
      <c r="BY95" s="264"/>
      <c r="BZ95" s="264"/>
      <c r="CA95" s="264"/>
      <c r="CB95" s="264"/>
      <c r="CC95" s="264"/>
      <c r="CD95" s="264"/>
      <c r="CE95" s="264"/>
      <c r="CF95" s="264"/>
      <c r="CG95" s="264"/>
      <c r="CH95" s="264"/>
      <c r="CI95" s="264"/>
      <c r="CJ95" s="264"/>
      <c r="CK95" s="264"/>
      <c r="CL95" s="264"/>
      <c r="CM95" s="264"/>
      <c r="CN95" s="264"/>
      <c r="CO95" s="264"/>
      <c r="CP95" s="264"/>
      <c r="CQ95" s="264"/>
      <c r="CR95" s="264"/>
      <c r="CS95" s="264"/>
      <c r="CT95" s="264"/>
      <c r="CU95" s="264"/>
      <c r="CV95" s="264"/>
      <c r="CW95" s="264"/>
      <c r="CX95" s="264"/>
      <c r="CY95" s="264"/>
      <c r="CZ95" s="274"/>
      <c r="DA95" s="287"/>
    </row>
    <row r="96" spans="1:105" x14ac:dyDescent="0.25">
      <c r="A96" s="287"/>
      <c r="B96" s="287"/>
      <c r="C96" s="287"/>
      <c r="D96" s="287"/>
      <c r="E96" s="287"/>
      <c r="F96" s="287"/>
      <c r="G96" s="289"/>
      <c r="H96" s="289"/>
      <c r="I96" s="289"/>
      <c r="J96" s="289"/>
      <c r="K96" s="289"/>
      <c r="L96" s="289"/>
      <c r="M96" s="289"/>
      <c r="N96" s="289"/>
      <c r="O96" s="289"/>
      <c r="P96" s="289"/>
      <c r="Q96" s="289"/>
      <c r="R96" s="289"/>
      <c r="S96" s="289"/>
      <c r="T96" s="289"/>
      <c r="U96" s="289"/>
      <c r="V96" s="287"/>
      <c r="W96" s="287"/>
      <c r="X96" s="287"/>
      <c r="Y96" s="289"/>
      <c r="Z96" s="289"/>
      <c r="AA96" s="289"/>
      <c r="AB96" s="289"/>
      <c r="AC96" s="287"/>
      <c r="AD96" s="287"/>
      <c r="AE96" s="287"/>
      <c r="AF96" s="287"/>
      <c r="AG96" s="294"/>
      <c r="AH96" s="287"/>
      <c r="AI96" s="287"/>
      <c r="AJ96" s="287"/>
      <c r="AK96" s="287"/>
      <c r="AL96" s="261"/>
      <c r="AM96" s="264"/>
      <c r="AN96" s="264"/>
      <c r="AO96" s="264"/>
      <c r="AP96" s="264"/>
      <c r="AQ96" s="264"/>
      <c r="AR96" s="264"/>
      <c r="AS96" s="264"/>
      <c r="AT96" s="264"/>
      <c r="AU96" s="264"/>
      <c r="AV96" s="264"/>
      <c r="AW96" s="264"/>
      <c r="AX96" s="264"/>
      <c r="AY96" s="264"/>
      <c r="AZ96" s="264"/>
      <c r="BA96" s="264"/>
      <c r="BB96" s="264"/>
      <c r="BC96" s="264"/>
      <c r="BD96" s="264"/>
      <c r="BE96" s="264"/>
      <c r="BF96" s="274"/>
      <c r="BG96" s="287"/>
      <c r="BH96" s="261"/>
      <c r="BI96" s="264"/>
      <c r="BJ96" s="264"/>
      <c r="BK96" s="264"/>
      <c r="BL96" s="264"/>
      <c r="BM96" s="264"/>
      <c r="BN96" s="264"/>
      <c r="BO96" s="264"/>
      <c r="BP96" s="264"/>
      <c r="BQ96" s="264"/>
      <c r="BR96" s="264"/>
      <c r="BS96" s="264"/>
      <c r="BT96" s="264"/>
      <c r="BU96" s="274"/>
      <c r="BV96" s="287"/>
      <c r="BW96" s="261"/>
      <c r="BX96" s="264"/>
      <c r="BY96" s="264"/>
      <c r="BZ96" s="264"/>
      <c r="CA96" s="264"/>
      <c r="CB96" s="264"/>
      <c r="CC96" s="264"/>
      <c r="CD96" s="264"/>
      <c r="CE96" s="264"/>
      <c r="CF96" s="264"/>
      <c r="CG96" s="264"/>
      <c r="CH96" s="264"/>
      <c r="CI96" s="264"/>
      <c r="CJ96" s="264"/>
      <c r="CK96" s="264"/>
      <c r="CL96" s="264"/>
      <c r="CM96" s="264"/>
      <c r="CN96" s="264"/>
      <c r="CO96" s="264"/>
      <c r="CP96" s="264"/>
      <c r="CQ96" s="264"/>
      <c r="CR96" s="264"/>
      <c r="CS96" s="264"/>
      <c r="CT96" s="264"/>
      <c r="CU96" s="264"/>
      <c r="CV96" s="264"/>
      <c r="CW96" s="264"/>
      <c r="CX96" s="264"/>
      <c r="CY96" s="264"/>
      <c r="CZ96" s="274"/>
      <c r="DA96" s="287"/>
    </row>
    <row r="97" spans="1:105" ht="20.25" customHeight="1" x14ac:dyDescent="0.25">
      <c r="A97" s="287"/>
      <c r="B97" s="287"/>
      <c r="C97" s="287"/>
      <c r="D97" s="287"/>
      <c r="E97" s="287"/>
      <c r="F97" s="287"/>
      <c r="G97" s="289"/>
      <c r="H97" s="289"/>
      <c r="I97" s="289"/>
      <c r="J97" s="289"/>
      <c r="K97" s="289"/>
      <c r="L97" s="289"/>
      <c r="M97" s="289"/>
      <c r="N97" s="289"/>
      <c r="O97" s="289"/>
      <c r="P97" s="289"/>
      <c r="Q97" s="289"/>
      <c r="R97" s="287"/>
      <c r="S97" s="287"/>
      <c r="T97" s="287"/>
      <c r="U97" s="289"/>
      <c r="V97" s="289"/>
      <c r="W97" s="289"/>
      <c r="X97" s="289"/>
      <c r="Y97" s="287"/>
      <c r="Z97" s="287"/>
      <c r="AA97" s="287"/>
      <c r="AB97" s="287"/>
      <c r="AC97" s="287"/>
      <c r="AD97" s="287"/>
      <c r="AE97" s="287"/>
      <c r="AF97" s="287"/>
      <c r="AG97" s="294"/>
      <c r="AH97" s="287"/>
      <c r="AI97" s="287"/>
      <c r="AJ97" s="287"/>
      <c r="AK97" s="287"/>
      <c r="AL97" s="261"/>
      <c r="AM97" s="264"/>
      <c r="AN97" s="264"/>
      <c r="AO97" s="264"/>
      <c r="AP97" s="264"/>
      <c r="AQ97" s="264"/>
      <c r="AR97" s="264"/>
      <c r="AS97" s="264"/>
      <c r="AT97" s="264"/>
      <c r="AU97" s="264"/>
      <c r="AV97" s="264"/>
      <c r="AW97" s="264"/>
      <c r="AX97" s="264"/>
      <c r="AY97" s="264"/>
      <c r="AZ97" s="264"/>
      <c r="BA97" s="264"/>
      <c r="BB97" s="264"/>
      <c r="BC97" s="264"/>
      <c r="BD97" s="264"/>
      <c r="BE97" s="264"/>
      <c r="BF97" s="274"/>
      <c r="BG97" s="287"/>
      <c r="BH97" s="261"/>
      <c r="BI97" s="264"/>
      <c r="BJ97" s="264"/>
      <c r="BK97" s="264"/>
      <c r="BL97" s="264"/>
      <c r="BM97" s="264"/>
      <c r="BN97" s="264"/>
      <c r="BO97" s="264"/>
      <c r="BP97" s="264"/>
      <c r="BQ97" s="264"/>
      <c r="BR97" s="264"/>
      <c r="BS97" s="264"/>
      <c r="BT97" s="264"/>
      <c r="BU97" s="274"/>
      <c r="BV97" s="287"/>
      <c r="BW97" s="261"/>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74"/>
      <c r="DA97" s="287"/>
    </row>
    <row r="98" spans="1:105" x14ac:dyDescent="0.25">
      <c r="A98" s="287"/>
      <c r="B98" s="287"/>
      <c r="C98" s="287"/>
      <c r="D98" s="287"/>
      <c r="E98" s="287"/>
      <c r="F98" s="287"/>
      <c r="G98" s="289"/>
      <c r="H98" s="289"/>
      <c r="I98" s="289"/>
      <c r="J98" s="289"/>
      <c r="K98" s="289"/>
      <c r="L98" s="289"/>
      <c r="M98" s="289"/>
      <c r="N98" s="289"/>
      <c r="O98" s="289"/>
      <c r="P98" s="289"/>
      <c r="Q98" s="289"/>
      <c r="R98" s="287"/>
      <c r="S98" s="287"/>
      <c r="T98" s="287"/>
      <c r="U98" s="287"/>
      <c r="V98" s="287"/>
      <c r="W98" s="287"/>
      <c r="X98" s="287"/>
      <c r="Y98" s="287"/>
      <c r="Z98" s="287"/>
      <c r="AA98" s="287"/>
      <c r="AB98" s="287"/>
      <c r="AC98" s="287"/>
      <c r="AD98" s="287"/>
      <c r="AE98" s="287"/>
      <c r="AF98" s="287"/>
      <c r="AG98" s="294"/>
      <c r="AH98" s="287"/>
      <c r="AI98" s="287"/>
      <c r="AJ98" s="287"/>
      <c r="AK98" s="287"/>
      <c r="AL98" s="261"/>
      <c r="AM98" s="264"/>
      <c r="AN98" s="264"/>
      <c r="AO98" s="264"/>
      <c r="AP98" s="264"/>
      <c r="AQ98" s="264"/>
      <c r="AR98" s="264"/>
      <c r="AS98" s="264"/>
      <c r="AT98" s="264"/>
      <c r="AU98" s="264"/>
      <c r="AV98" s="264"/>
      <c r="AW98" s="264"/>
      <c r="AX98" s="264"/>
      <c r="AY98" s="264"/>
      <c r="AZ98" s="264"/>
      <c r="BA98" s="264"/>
      <c r="BB98" s="264"/>
      <c r="BC98" s="264"/>
      <c r="BD98" s="264"/>
      <c r="BE98" s="264"/>
      <c r="BF98" s="274"/>
      <c r="BG98" s="287"/>
      <c r="BH98" s="261"/>
      <c r="BI98" s="264"/>
      <c r="BJ98" s="264"/>
      <c r="BK98" s="264"/>
      <c r="BL98" s="264"/>
      <c r="BM98" s="264"/>
      <c r="BN98" s="264"/>
      <c r="BO98" s="264"/>
      <c r="BP98" s="264"/>
      <c r="BQ98" s="264"/>
      <c r="BR98" s="264"/>
      <c r="BS98" s="264"/>
      <c r="BT98" s="264"/>
      <c r="BU98" s="274"/>
      <c r="BV98" s="287"/>
      <c r="BW98" s="261"/>
      <c r="BX98" s="264"/>
      <c r="BY98" s="264"/>
      <c r="BZ98" s="264"/>
      <c r="CA98" s="264"/>
      <c r="CB98" s="264"/>
      <c r="CC98" s="264"/>
      <c r="CD98" s="264"/>
      <c r="CE98" s="264"/>
      <c r="CF98" s="264"/>
      <c r="CG98" s="264"/>
      <c r="CH98" s="264"/>
      <c r="CI98" s="264"/>
      <c r="CJ98" s="264"/>
      <c r="CK98" s="264"/>
      <c r="CL98" s="264"/>
      <c r="CM98" s="264"/>
      <c r="CN98" s="264"/>
      <c r="CO98" s="264"/>
      <c r="CP98" s="264"/>
      <c r="CQ98" s="264"/>
      <c r="CR98" s="264"/>
      <c r="CS98" s="264"/>
      <c r="CT98" s="264"/>
      <c r="CU98" s="264"/>
      <c r="CV98" s="264"/>
      <c r="CW98" s="264"/>
      <c r="CX98" s="264"/>
      <c r="CY98" s="264"/>
      <c r="CZ98" s="274"/>
      <c r="DA98" s="287"/>
    </row>
    <row r="99" spans="1:105" x14ac:dyDescent="0.25">
      <c r="A99" s="287"/>
      <c r="B99" s="287"/>
      <c r="C99" s="287"/>
      <c r="D99" s="287"/>
      <c r="E99" s="287"/>
      <c r="F99" s="287"/>
      <c r="G99" s="289"/>
      <c r="H99" s="289"/>
      <c r="I99" s="289"/>
      <c r="J99" s="289"/>
      <c r="K99" s="289"/>
      <c r="L99" s="289"/>
      <c r="M99" s="289"/>
      <c r="N99" s="289"/>
      <c r="O99" s="289"/>
      <c r="P99" s="289"/>
      <c r="Q99" s="289"/>
      <c r="R99" s="289"/>
      <c r="S99" s="289"/>
      <c r="T99" s="289"/>
      <c r="U99" s="288"/>
      <c r="V99" s="287"/>
      <c r="W99" s="287"/>
      <c r="X99" s="287"/>
      <c r="Y99" s="287"/>
      <c r="Z99" s="287"/>
      <c r="AA99" s="287"/>
      <c r="AB99" s="287"/>
      <c r="AC99" s="287"/>
      <c r="AD99" s="287"/>
      <c r="AE99" s="287"/>
      <c r="AF99" s="287"/>
      <c r="AG99" s="294"/>
      <c r="AH99" s="287"/>
      <c r="AI99" s="287"/>
      <c r="AJ99" s="287"/>
      <c r="AK99" s="287"/>
      <c r="AL99" s="261"/>
      <c r="AM99" s="264"/>
      <c r="AN99" s="264"/>
      <c r="AO99" s="264"/>
      <c r="AP99" s="264"/>
      <c r="AQ99" s="264"/>
      <c r="AR99" s="264"/>
      <c r="AS99" s="264"/>
      <c r="AT99" s="264"/>
      <c r="AU99" s="264"/>
      <c r="AV99" s="264"/>
      <c r="AW99" s="264"/>
      <c r="AX99" s="264"/>
      <c r="AY99" s="264"/>
      <c r="AZ99" s="264"/>
      <c r="BA99" s="264"/>
      <c r="BB99" s="264"/>
      <c r="BC99" s="264"/>
      <c r="BD99" s="264"/>
      <c r="BE99" s="264"/>
      <c r="BF99" s="274"/>
      <c r="BG99" s="287"/>
      <c r="BH99" s="261"/>
      <c r="BI99" s="264"/>
      <c r="BJ99" s="264"/>
      <c r="BK99" s="264"/>
      <c r="BL99" s="264"/>
      <c r="BM99" s="264"/>
      <c r="BN99" s="264"/>
      <c r="BO99" s="264"/>
      <c r="BP99" s="264"/>
      <c r="BQ99" s="264"/>
      <c r="BR99" s="264"/>
      <c r="BS99" s="264"/>
      <c r="BT99" s="264"/>
      <c r="BU99" s="274"/>
      <c r="BV99" s="287"/>
      <c r="BW99" s="261"/>
      <c r="BX99" s="264"/>
      <c r="BY99" s="264"/>
      <c r="BZ99" s="264"/>
      <c r="CA99" s="264"/>
      <c r="CB99" s="264"/>
      <c r="CC99" s="264"/>
      <c r="CD99" s="264"/>
      <c r="CE99" s="264"/>
      <c r="CF99" s="264"/>
      <c r="CG99" s="264"/>
      <c r="CH99" s="264"/>
      <c r="CI99" s="264"/>
      <c r="CJ99" s="264"/>
      <c r="CK99" s="264"/>
      <c r="CL99" s="264"/>
      <c r="CM99" s="264"/>
      <c r="CN99" s="264"/>
      <c r="CO99" s="264"/>
      <c r="CP99" s="264"/>
      <c r="CQ99" s="264"/>
      <c r="CR99" s="264"/>
      <c r="CS99" s="264"/>
      <c r="CT99" s="264"/>
      <c r="CU99" s="264"/>
      <c r="CV99" s="264"/>
      <c r="CW99" s="264"/>
      <c r="CX99" s="264"/>
      <c r="CY99" s="264"/>
      <c r="CZ99" s="274"/>
      <c r="DA99" s="287"/>
    </row>
    <row r="100" spans="1:105" x14ac:dyDescent="0.25">
      <c r="A100" s="287"/>
      <c r="B100" s="287"/>
      <c r="C100" s="287"/>
      <c r="D100" s="287"/>
      <c r="E100" s="287"/>
      <c r="F100" s="287"/>
      <c r="G100" s="289"/>
      <c r="H100" s="289"/>
      <c r="I100" s="289"/>
      <c r="J100" s="289"/>
      <c r="K100" s="289"/>
      <c r="L100" s="289"/>
      <c r="M100" s="289"/>
      <c r="N100" s="289"/>
      <c r="O100" s="289"/>
      <c r="P100" s="289"/>
      <c r="Q100" s="289"/>
      <c r="R100" s="289"/>
      <c r="S100" s="289"/>
      <c r="T100" s="289"/>
      <c r="U100" s="287"/>
      <c r="V100" s="287"/>
      <c r="W100" s="287"/>
      <c r="X100" s="287"/>
      <c r="Y100" s="289"/>
      <c r="Z100" s="289"/>
      <c r="AA100" s="289"/>
      <c r="AB100" s="289"/>
      <c r="AC100" s="287"/>
      <c r="AD100" s="287"/>
      <c r="AE100" s="287"/>
      <c r="AF100" s="287"/>
      <c r="AG100" s="294"/>
      <c r="AH100" s="287"/>
      <c r="AI100" s="287"/>
      <c r="AJ100" s="287"/>
      <c r="AK100" s="287"/>
      <c r="AL100" s="261"/>
      <c r="AM100" s="264"/>
      <c r="AN100" s="264"/>
      <c r="AO100" s="264"/>
      <c r="AP100" s="264"/>
      <c r="AQ100" s="264"/>
      <c r="AR100" s="264"/>
      <c r="AS100" s="264"/>
      <c r="AT100" s="264"/>
      <c r="AU100" s="264"/>
      <c r="AV100" s="264"/>
      <c r="AW100" s="264"/>
      <c r="AX100" s="264"/>
      <c r="AY100" s="264"/>
      <c r="AZ100" s="264"/>
      <c r="BA100" s="264"/>
      <c r="BB100" s="264"/>
      <c r="BC100" s="264"/>
      <c r="BD100" s="264"/>
      <c r="BE100" s="264"/>
      <c r="BF100" s="274"/>
      <c r="BG100" s="287"/>
      <c r="BH100" s="261"/>
      <c r="BI100" s="264"/>
      <c r="BJ100" s="264"/>
      <c r="BK100" s="264"/>
      <c r="BL100" s="264"/>
      <c r="BM100" s="264"/>
      <c r="BN100" s="264"/>
      <c r="BO100" s="264"/>
      <c r="BP100" s="264"/>
      <c r="BQ100" s="264"/>
      <c r="BR100" s="264"/>
      <c r="BS100" s="264"/>
      <c r="BT100" s="264"/>
      <c r="BU100" s="274"/>
      <c r="BV100" s="287"/>
      <c r="BW100" s="261"/>
      <c r="BX100" s="264"/>
      <c r="BY100" s="264"/>
      <c r="BZ100" s="264"/>
      <c r="CA100" s="264"/>
      <c r="CB100" s="264"/>
      <c r="CC100" s="264"/>
      <c r="CD100" s="264"/>
      <c r="CE100" s="264"/>
      <c r="CF100" s="264"/>
      <c r="CG100" s="264"/>
      <c r="CH100" s="264"/>
      <c r="CI100" s="264"/>
      <c r="CJ100" s="264"/>
      <c r="CK100" s="264"/>
      <c r="CL100" s="264"/>
      <c r="CM100" s="264"/>
      <c r="CN100" s="264"/>
      <c r="CO100" s="264"/>
      <c r="CP100" s="264"/>
      <c r="CQ100" s="264"/>
      <c r="CR100" s="264"/>
      <c r="CS100" s="264"/>
      <c r="CT100" s="264"/>
      <c r="CU100" s="264"/>
      <c r="CV100" s="264"/>
      <c r="CW100" s="264"/>
      <c r="CX100" s="264"/>
      <c r="CY100" s="264"/>
      <c r="CZ100" s="274"/>
      <c r="DA100" s="287"/>
    </row>
    <row r="101" spans="1:105" x14ac:dyDescent="0.25">
      <c r="A101" s="287"/>
      <c r="B101" s="287"/>
      <c r="C101" s="287"/>
      <c r="D101" s="287"/>
      <c r="E101" s="287"/>
      <c r="F101" s="287"/>
      <c r="G101" s="289"/>
      <c r="H101" s="289"/>
      <c r="I101" s="289"/>
      <c r="J101" s="289"/>
      <c r="K101" s="289"/>
      <c r="L101" s="289"/>
      <c r="M101" s="289"/>
      <c r="N101" s="289"/>
      <c r="O101" s="289"/>
      <c r="P101" s="289"/>
      <c r="Q101" s="289"/>
      <c r="R101" s="287"/>
      <c r="S101" s="287"/>
      <c r="T101" s="287"/>
      <c r="U101" s="289"/>
      <c r="V101" s="289"/>
      <c r="W101" s="289"/>
      <c r="X101" s="289"/>
      <c r="Y101" s="289"/>
      <c r="Z101" s="289"/>
      <c r="AA101" s="289"/>
      <c r="AB101" s="289"/>
      <c r="AC101" s="287"/>
      <c r="AD101" s="287"/>
      <c r="AE101" s="287"/>
      <c r="AF101" s="287"/>
      <c r="AG101" s="294"/>
      <c r="AH101" s="287"/>
      <c r="AI101" s="287"/>
      <c r="AJ101" s="287"/>
      <c r="AK101" s="287"/>
      <c r="AL101" s="261"/>
      <c r="AM101" s="264"/>
      <c r="AN101" s="264"/>
      <c r="AO101" s="264"/>
      <c r="AP101" s="264"/>
      <c r="AQ101" s="264"/>
      <c r="AR101" s="264"/>
      <c r="AS101" s="264"/>
      <c r="AT101" s="264"/>
      <c r="AU101" s="264"/>
      <c r="AV101" s="264"/>
      <c r="AW101" s="264"/>
      <c r="AX101" s="264"/>
      <c r="AY101" s="264"/>
      <c r="AZ101" s="264"/>
      <c r="BA101" s="264"/>
      <c r="BB101" s="264"/>
      <c r="BC101" s="264"/>
      <c r="BD101" s="264"/>
      <c r="BE101" s="264"/>
      <c r="BF101" s="274"/>
      <c r="BG101" s="287"/>
      <c r="BH101" s="261"/>
      <c r="BI101" s="264"/>
      <c r="BJ101" s="264"/>
      <c r="BK101" s="264"/>
      <c r="BL101" s="264"/>
      <c r="BM101" s="264"/>
      <c r="BN101" s="264"/>
      <c r="BO101" s="264"/>
      <c r="BP101" s="264"/>
      <c r="BQ101" s="264"/>
      <c r="BR101" s="264"/>
      <c r="BS101" s="264"/>
      <c r="BT101" s="264"/>
      <c r="BU101" s="274"/>
      <c r="BV101" s="287"/>
      <c r="BW101" s="261"/>
      <c r="BX101" s="264"/>
      <c r="BY101" s="264"/>
      <c r="BZ101" s="264"/>
      <c r="CA101" s="264"/>
      <c r="CB101" s="264"/>
      <c r="CC101" s="264"/>
      <c r="CD101" s="264"/>
      <c r="CE101" s="264"/>
      <c r="CF101" s="264"/>
      <c r="CG101" s="264"/>
      <c r="CH101" s="264"/>
      <c r="CI101" s="264"/>
      <c r="CJ101" s="264"/>
      <c r="CK101" s="264"/>
      <c r="CL101" s="264"/>
      <c r="CM101" s="264"/>
      <c r="CN101" s="264"/>
      <c r="CO101" s="264"/>
      <c r="CP101" s="264"/>
      <c r="CQ101" s="264"/>
      <c r="CR101" s="264"/>
      <c r="CS101" s="264"/>
      <c r="CT101" s="264"/>
      <c r="CU101" s="264"/>
      <c r="CV101" s="264"/>
      <c r="CW101" s="264"/>
      <c r="CX101" s="264"/>
      <c r="CY101" s="264"/>
      <c r="CZ101" s="274"/>
      <c r="DA101" s="287"/>
    </row>
    <row r="102" spans="1:105" x14ac:dyDescent="0.25">
      <c r="A102" s="287"/>
      <c r="B102" s="287"/>
      <c r="C102" s="287"/>
      <c r="D102" s="287"/>
      <c r="E102" s="287"/>
      <c r="F102" s="287"/>
      <c r="G102" s="289"/>
      <c r="H102" s="289"/>
      <c r="I102" s="289"/>
      <c r="J102" s="289"/>
      <c r="K102" s="289"/>
      <c r="L102" s="289"/>
      <c r="M102" s="289"/>
      <c r="N102" s="289"/>
      <c r="O102" s="289"/>
      <c r="P102" s="289"/>
      <c r="Q102" s="289"/>
      <c r="R102" s="288"/>
      <c r="S102" s="288"/>
      <c r="T102" s="288"/>
      <c r="U102" s="287"/>
      <c r="V102" s="289"/>
      <c r="W102" s="289"/>
      <c r="X102" s="289"/>
      <c r="Y102" s="289"/>
      <c r="Z102" s="289"/>
      <c r="AA102" s="289"/>
      <c r="AB102" s="289"/>
      <c r="AC102" s="287"/>
      <c r="AD102" s="287"/>
      <c r="AE102" s="287"/>
      <c r="AF102" s="287"/>
      <c r="AG102" s="294"/>
      <c r="AH102" s="287"/>
      <c r="AI102" s="287"/>
      <c r="AJ102" s="287"/>
      <c r="AK102" s="287"/>
      <c r="AL102" s="261"/>
      <c r="AM102" s="264"/>
      <c r="AN102" s="264"/>
      <c r="AO102" s="264"/>
      <c r="AP102" s="264"/>
      <c r="AQ102" s="264"/>
      <c r="AR102" s="264"/>
      <c r="AS102" s="264"/>
      <c r="AT102" s="264"/>
      <c r="AU102" s="264"/>
      <c r="AV102" s="264"/>
      <c r="AW102" s="264"/>
      <c r="AX102" s="264"/>
      <c r="AY102" s="264"/>
      <c r="AZ102" s="264"/>
      <c r="BA102" s="264"/>
      <c r="BB102" s="264"/>
      <c r="BC102" s="264"/>
      <c r="BD102" s="264"/>
      <c r="BE102" s="264"/>
      <c r="BF102" s="274"/>
      <c r="BG102" s="287"/>
      <c r="BH102" s="261"/>
      <c r="BI102" s="264"/>
      <c r="BJ102" s="264"/>
      <c r="BK102" s="264"/>
      <c r="BL102" s="264"/>
      <c r="BM102" s="264"/>
      <c r="BN102" s="264"/>
      <c r="BO102" s="264"/>
      <c r="BP102" s="264"/>
      <c r="BQ102" s="264"/>
      <c r="BR102" s="264"/>
      <c r="BS102" s="264"/>
      <c r="BT102" s="264"/>
      <c r="BU102" s="274"/>
      <c r="BV102" s="287"/>
      <c r="BW102" s="261"/>
      <c r="BX102" s="264"/>
      <c r="BY102" s="264"/>
      <c r="BZ102" s="264"/>
      <c r="CA102" s="264"/>
      <c r="CB102" s="264"/>
      <c r="CC102" s="264"/>
      <c r="CD102" s="264"/>
      <c r="CE102" s="264"/>
      <c r="CF102" s="264"/>
      <c r="CG102" s="264"/>
      <c r="CH102" s="264"/>
      <c r="CI102" s="264"/>
      <c r="CJ102" s="264"/>
      <c r="CK102" s="264"/>
      <c r="CL102" s="264"/>
      <c r="CM102" s="264"/>
      <c r="CN102" s="264"/>
      <c r="CO102" s="264"/>
      <c r="CP102" s="264"/>
      <c r="CQ102" s="264"/>
      <c r="CR102" s="264"/>
      <c r="CS102" s="264"/>
      <c r="CT102" s="264"/>
      <c r="CU102" s="264"/>
      <c r="CV102" s="264"/>
      <c r="CW102" s="264"/>
      <c r="CX102" s="264"/>
      <c r="CY102" s="264"/>
      <c r="CZ102" s="274"/>
      <c r="DA102" s="287"/>
    </row>
    <row r="103" spans="1:105" x14ac:dyDescent="0.25">
      <c r="A103" s="287"/>
      <c r="B103" s="287"/>
      <c r="C103" s="287"/>
      <c r="D103" s="287"/>
      <c r="E103" s="287"/>
      <c r="F103" s="287"/>
      <c r="G103" s="289"/>
      <c r="H103" s="289"/>
      <c r="I103" s="289"/>
      <c r="J103" s="289"/>
      <c r="K103" s="289"/>
      <c r="L103" s="289"/>
      <c r="M103" s="289"/>
      <c r="N103" s="289"/>
      <c r="O103" s="289"/>
      <c r="P103" s="289"/>
      <c r="Q103" s="289"/>
      <c r="R103" s="287"/>
      <c r="S103" s="287"/>
      <c r="T103" s="287"/>
      <c r="U103" s="287"/>
      <c r="V103" s="289"/>
      <c r="W103" s="289"/>
      <c r="X103" s="289"/>
      <c r="Y103" s="289"/>
      <c r="Z103" s="289"/>
      <c r="AA103" s="289"/>
      <c r="AB103" s="289"/>
      <c r="AC103" s="287"/>
      <c r="AD103" s="287"/>
      <c r="AE103" s="287"/>
      <c r="AF103" s="287"/>
      <c r="AG103" s="294"/>
      <c r="AH103" s="287"/>
      <c r="AI103" s="287"/>
      <c r="AJ103" s="287"/>
      <c r="AK103" s="287"/>
      <c r="AL103" s="261"/>
      <c r="AM103" s="264"/>
      <c r="AN103" s="264"/>
      <c r="AO103" s="264"/>
      <c r="AP103" s="264"/>
      <c r="AQ103" s="264"/>
      <c r="AR103" s="264"/>
      <c r="AS103" s="264"/>
      <c r="AT103" s="264"/>
      <c r="AU103" s="264"/>
      <c r="AV103" s="264"/>
      <c r="AW103" s="264"/>
      <c r="AX103" s="264"/>
      <c r="AY103" s="264"/>
      <c r="AZ103" s="264"/>
      <c r="BA103" s="264"/>
      <c r="BB103" s="264"/>
      <c r="BC103" s="264"/>
      <c r="BD103" s="264"/>
      <c r="BE103" s="264"/>
      <c r="BF103" s="274"/>
      <c r="BG103" s="287"/>
      <c r="BH103" s="261"/>
      <c r="BI103" s="264"/>
      <c r="BJ103" s="264"/>
      <c r="BK103" s="264"/>
      <c r="BL103" s="264"/>
      <c r="BM103" s="264"/>
      <c r="BN103" s="264"/>
      <c r="BO103" s="264"/>
      <c r="BP103" s="264"/>
      <c r="BQ103" s="264"/>
      <c r="BR103" s="264"/>
      <c r="BS103" s="264"/>
      <c r="BT103" s="264"/>
      <c r="BU103" s="274"/>
      <c r="BV103" s="287"/>
      <c r="BW103" s="261"/>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74"/>
      <c r="DA103" s="287"/>
    </row>
    <row r="104" spans="1:105" x14ac:dyDescent="0.25">
      <c r="A104" s="287"/>
      <c r="B104" s="287"/>
      <c r="C104" s="287"/>
      <c r="D104" s="287"/>
      <c r="E104" s="287"/>
      <c r="F104" s="287"/>
      <c r="G104" s="289"/>
      <c r="H104" s="289"/>
      <c r="I104" s="289"/>
      <c r="J104" s="289"/>
      <c r="K104" s="289"/>
      <c r="L104" s="289"/>
      <c r="M104" s="289"/>
      <c r="N104" s="289"/>
      <c r="O104" s="289"/>
      <c r="P104" s="289"/>
      <c r="Q104" s="289"/>
      <c r="R104" s="289"/>
      <c r="S104" s="289"/>
      <c r="T104" s="289"/>
      <c r="U104" s="287"/>
      <c r="V104" s="289"/>
      <c r="W104" s="289"/>
      <c r="X104" s="289"/>
      <c r="Y104" s="289"/>
      <c r="Z104" s="289"/>
      <c r="AA104" s="289"/>
      <c r="AB104" s="289"/>
      <c r="AC104" s="287"/>
      <c r="AD104" s="287"/>
      <c r="AE104" s="287"/>
      <c r="AF104" s="287"/>
      <c r="AG104" s="294"/>
      <c r="AH104" s="287"/>
      <c r="AI104" s="287"/>
      <c r="AJ104" s="287"/>
      <c r="AK104" s="287"/>
      <c r="AL104" s="261"/>
      <c r="AM104" s="264"/>
      <c r="AN104" s="264"/>
      <c r="AO104" s="264"/>
      <c r="AP104" s="264"/>
      <c r="AQ104" s="264"/>
      <c r="AR104" s="264"/>
      <c r="AS104" s="264"/>
      <c r="AT104" s="264"/>
      <c r="AU104" s="264"/>
      <c r="AV104" s="264"/>
      <c r="AW104" s="264"/>
      <c r="AX104" s="264"/>
      <c r="AY104" s="264"/>
      <c r="AZ104" s="264"/>
      <c r="BA104" s="264"/>
      <c r="BB104" s="264"/>
      <c r="BC104" s="264"/>
      <c r="BD104" s="264"/>
      <c r="BE104" s="264"/>
      <c r="BF104" s="274"/>
      <c r="BG104" s="287"/>
      <c r="BH104" s="261"/>
      <c r="BI104" s="264"/>
      <c r="BJ104" s="264"/>
      <c r="BK104" s="264"/>
      <c r="BL104" s="264"/>
      <c r="BM104" s="264"/>
      <c r="BN104" s="264"/>
      <c r="BO104" s="264"/>
      <c r="BP104" s="264"/>
      <c r="BQ104" s="264"/>
      <c r="BR104" s="264"/>
      <c r="BS104" s="264"/>
      <c r="BT104" s="264"/>
      <c r="BU104" s="274"/>
      <c r="BV104" s="287"/>
      <c r="BW104" s="261"/>
      <c r="BX104" s="264"/>
      <c r="BY104" s="264"/>
      <c r="BZ104" s="264"/>
      <c r="CA104" s="264"/>
      <c r="CB104" s="264"/>
      <c r="CC104" s="264"/>
      <c r="CD104" s="264"/>
      <c r="CE104" s="264"/>
      <c r="CF104" s="264"/>
      <c r="CG104" s="264"/>
      <c r="CH104" s="264"/>
      <c r="CI104" s="264"/>
      <c r="CJ104" s="264"/>
      <c r="CK104" s="264"/>
      <c r="CL104" s="264"/>
      <c r="CM104" s="264"/>
      <c r="CN104" s="264"/>
      <c r="CO104" s="264"/>
      <c r="CP104" s="264"/>
      <c r="CQ104" s="264"/>
      <c r="CR104" s="264"/>
      <c r="CS104" s="264"/>
      <c r="CT104" s="264"/>
      <c r="CU104" s="264"/>
      <c r="CV104" s="264"/>
      <c r="CW104" s="264"/>
      <c r="CX104" s="264"/>
      <c r="CY104" s="264"/>
      <c r="CZ104" s="274"/>
      <c r="DA104" s="287"/>
    </row>
    <row r="105" spans="1:105" x14ac:dyDescent="0.25">
      <c r="A105" s="287"/>
      <c r="B105" s="287"/>
      <c r="C105" s="287"/>
      <c r="D105" s="287"/>
      <c r="E105" s="287"/>
      <c r="F105" s="287"/>
      <c r="G105" s="289"/>
      <c r="H105" s="289"/>
      <c r="I105" s="289"/>
      <c r="J105" s="289"/>
      <c r="K105" s="289"/>
      <c r="L105" s="289"/>
      <c r="M105" s="289"/>
      <c r="N105" s="289"/>
      <c r="O105" s="289"/>
      <c r="P105" s="289"/>
      <c r="Q105" s="289"/>
      <c r="R105" s="287"/>
      <c r="S105" s="287"/>
      <c r="T105" s="287"/>
      <c r="U105" s="289"/>
      <c r="V105" s="289"/>
      <c r="W105" s="289"/>
      <c r="X105" s="289"/>
      <c r="Y105" s="289"/>
      <c r="Z105" s="289"/>
      <c r="AA105" s="289"/>
      <c r="AB105" s="289"/>
      <c r="AC105" s="287"/>
      <c r="AD105" s="287"/>
      <c r="AE105" s="287"/>
      <c r="AF105" s="287"/>
      <c r="AG105" s="294"/>
      <c r="AH105" s="287"/>
      <c r="AI105" s="287"/>
      <c r="AJ105" s="287"/>
      <c r="AK105" s="287"/>
      <c r="AL105" s="261"/>
      <c r="AM105" s="264"/>
      <c r="AN105" s="264"/>
      <c r="AO105" s="264"/>
      <c r="AP105" s="264"/>
      <c r="AQ105" s="264"/>
      <c r="AR105" s="264"/>
      <c r="AS105" s="264"/>
      <c r="AT105" s="264"/>
      <c r="AU105" s="264"/>
      <c r="AV105" s="264"/>
      <c r="AW105" s="264"/>
      <c r="AX105" s="264"/>
      <c r="AY105" s="264"/>
      <c r="AZ105" s="264"/>
      <c r="BA105" s="264"/>
      <c r="BB105" s="264"/>
      <c r="BC105" s="264"/>
      <c r="BD105" s="264"/>
      <c r="BE105" s="264"/>
      <c r="BF105" s="274"/>
      <c r="BG105" s="287"/>
      <c r="BH105" s="261"/>
      <c r="BI105" s="264"/>
      <c r="BJ105" s="264"/>
      <c r="BK105" s="264"/>
      <c r="BL105" s="264"/>
      <c r="BM105" s="264"/>
      <c r="BN105" s="264"/>
      <c r="BO105" s="264"/>
      <c r="BP105" s="264"/>
      <c r="BQ105" s="264"/>
      <c r="BR105" s="264"/>
      <c r="BS105" s="264"/>
      <c r="BT105" s="264"/>
      <c r="BU105" s="274"/>
      <c r="BV105" s="287"/>
      <c r="BW105" s="261"/>
      <c r="BX105" s="264"/>
      <c r="BY105" s="264"/>
      <c r="BZ105" s="264"/>
      <c r="CA105" s="264"/>
      <c r="CB105" s="264"/>
      <c r="CC105" s="264"/>
      <c r="CD105" s="264"/>
      <c r="CE105" s="264"/>
      <c r="CF105" s="264"/>
      <c r="CG105" s="264"/>
      <c r="CH105" s="264"/>
      <c r="CI105" s="264"/>
      <c r="CJ105" s="264"/>
      <c r="CK105" s="264"/>
      <c r="CL105" s="264"/>
      <c r="CM105" s="264"/>
      <c r="CN105" s="264"/>
      <c r="CO105" s="264"/>
      <c r="CP105" s="264"/>
      <c r="CQ105" s="264"/>
      <c r="CR105" s="264"/>
      <c r="CS105" s="264"/>
      <c r="CT105" s="264"/>
      <c r="CU105" s="264"/>
      <c r="CV105" s="264"/>
      <c r="CW105" s="264"/>
      <c r="CX105" s="264"/>
      <c r="CY105" s="264"/>
      <c r="CZ105" s="274"/>
      <c r="DA105" s="287"/>
    </row>
    <row r="106" spans="1:105" x14ac:dyDescent="0.25">
      <c r="A106" s="287"/>
      <c r="B106" s="287"/>
      <c r="C106" s="287"/>
      <c r="D106" s="287"/>
      <c r="E106" s="287"/>
      <c r="F106" s="287"/>
      <c r="G106" s="289"/>
      <c r="H106" s="289"/>
      <c r="I106" s="289"/>
      <c r="J106" s="289"/>
      <c r="K106" s="289"/>
      <c r="L106" s="289"/>
      <c r="M106" s="289"/>
      <c r="N106" s="289"/>
      <c r="O106" s="289"/>
      <c r="P106" s="289"/>
      <c r="Q106" s="289"/>
      <c r="R106" s="287"/>
      <c r="S106" s="287"/>
      <c r="T106" s="287"/>
      <c r="U106" s="289"/>
      <c r="V106" s="289"/>
      <c r="W106" s="289"/>
      <c r="X106" s="289"/>
      <c r="Y106" s="289"/>
      <c r="Z106" s="289"/>
      <c r="AA106" s="289"/>
      <c r="AB106" s="289"/>
      <c r="AC106" s="287"/>
      <c r="AD106" s="287"/>
      <c r="AE106" s="287"/>
      <c r="AF106" s="287"/>
      <c r="AG106" s="294"/>
      <c r="AH106" s="287"/>
      <c r="AI106" s="287"/>
      <c r="AJ106" s="287"/>
      <c r="AK106" s="287"/>
      <c r="AL106" s="261"/>
      <c r="AM106" s="264"/>
      <c r="AN106" s="264"/>
      <c r="AO106" s="264"/>
      <c r="AP106" s="264"/>
      <c r="AQ106" s="264"/>
      <c r="AR106" s="264"/>
      <c r="AS106" s="264"/>
      <c r="AT106" s="264"/>
      <c r="AU106" s="264"/>
      <c r="AV106" s="264"/>
      <c r="AW106" s="264"/>
      <c r="AX106" s="264"/>
      <c r="AY106" s="264"/>
      <c r="AZ106" s="264"/>
      <c r="BA106" s="264"/>
      <c r="BB106" s="264"/>
      <c r="BC106" s="264"/>
      <c r="BD106" s="264"/>
      <c r="BE106" s="264"/>
      <c r="BF106" s="274"/>
      <c r="BG106" s="287"/>
      <c r="BH106" s="261"/>
      <c r="BI106" s="264"/>
      <c r="BJ106" s="264"/>
      <c r="BK106" s="264"/>
      <c r="BL106" s="264"/>
      <c r="BM106" s="264"/>
      <c r="BN106" s="264"/>
      <c r="BO106" s="264"/>
      <c r="BP106" s="264"/>
      <c r="BQ106" s="264"/>
      <c r="BR106" s="264"/>
      <c r="BS106" s="264"/>
      <c r="BT106" s="264"/>
      <c r="BU106" s="274"/>
      <c r="BV106" s="287"/>
      <c r="BW106" s="261"/>
      <c r="BX106" s="264"/>
      <c r="BY106" s="264"/>
      <c r="BZ106" s="264"/>
      <c r="CA106" s="264"/>
      <c r="CB106" s="264"/>
      <c r="CC106" s="264"/>
      <c r="CD106" s="264"/>
      <c r="CE106" s="264"/>
      <c r="CF106" s="264"/>
      <c r="CG106" s="264"/>
      <c r="CH106" s="264"/>
      <c r="CI106" s="264"/>
      <c r="CJ106" s="264"/>
      <c r="CK106" s="264"/>
      <c r="CL106" s="264"/>
      <c r="CM106" s="264"/>
      <c r="CN106" s="264"/>
      <c r="CO106" s="264"/>
      <c r="CP106" s="264"/>
      <c r="CQ106" s="264"/>
      <c r="CR106" s="264"/>
      <c r="CS106" s="264"/>
      <c r="CT106" s="264"/>
      <c r="CU106" s="264"/>
      <c r="CV106" s="264"/>
      <c r="CW106" s="264"/>
      <c r="CX106" s="264"/>
      <c r="CY106" s="264"/>
      <c r="CZ106" s="274"/>
      <c r="DA106" s="287"/>
    </row>
    <row r="107" spans="1:105" x14ac:dyDescent="0.25">
      <c r="A107" s="287"/>
      <c r="B107" s="287"/>
      <c r="C107" s="287"/>
      <c r="D107" s="287"/>
      <c r="E107" s="287"/>
      <c r="F107" s="287"/>
      <c r="G107" s="289"/>
      <c r="H107" s="289"/>
      <c r="I107" s="289"/>
      <c r="J107" s="289"/>
      <c r="K107" s="289"/>
      <c r="L107" s="289"/>
      <c r="M107" s="289"/>
      <c r="N107" s="289"/>
      <c r="O107" s="289"/>
      <c r="P107" s="289"/>
      <c r="Q107" s="289"/>
      <c r="R107" s="287"/>
      <c r="S107" s="287"/>
      <c r="T107" s="287"/>
      <c r="U107" s="289"/>
      <c r="V107" s="289"/>
      <c r="W107" s="289"/>
      <c r="X107" s="289"/>
      <c r="Y107" s="289"/>
      <c r="Z107" s="289"/>
      <c r="AA107" s="289"/>
      <c r="AB107" s="289"/>
      <c r="AC107" s="287"/>
      <c r="AD107" s="287"/>
      <c r="AE107" s="287"/>
      <c r="AF107" s="287"/>
      <c r="AG107" s="294"/>
      <c r="AH107" s="287"/>
      <c r="AI107" s="287"/>
      <c r="AJ107" s="287"/>
      <c r="AK107" s="287"/>
      <c r="AL107" s="261"/>
      <c r="AM107" s="264"/>
      <c r="AN107" s="264"/>
      <c r="AO107" s="264"/>
      <c r="AP107" s="264"/>
      <c r="AQ107" s="264"/>
      <c r="AR107" s="264"/>
      <c r="AS107" s="264"/>
      <c r="AT107" s="264"/>
      <c r="AU107" s="264"/>
      <c r="AV107" s="264"/>
      <c r="AW107" s="264"/>
      <c r="AX107" s="264"/>
      <c r="AY107" s="264"/>
      <c r="AZ107" s="264"/>
      <c r="BA107" s="264"/>
      <c r="BB107" s="264"/>
      <c r="BC107" s="264"/>
      <c r="BD107" s="264"/>
      <c r="BE107" s="264"/>
      <c r="BF107" s="274"/>
      <c r="BG107" s="287"/>
      <c r="BH107" s="261"/>
      <c r="BI107" s="264"/>
      <c r="BJ107" s="264"/>
      <c r="BK107" s="264"/>
      <c r="BL107" s="264"/>
      <c r="BM107" s="264"/>
      <c r="BN107" s="264"/>
      <c r="BO107" s="264"/>
      <c r="BP107" s="264"/>
      <c r="BQ107" s="264"/>
      <c r="BR107" s="264"/>
      <c r="BS107" s="264"/>
      <c r="BT107" s="264"/>
      <c r="BU107" s="274"/>
      <c r="BV107" s="287"/>
      <c r="BW107" s="261"/>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74"/>
      <c r="DA107" s="287"/>
    </row>
    <row r="108" spans="1:105" x14ac:dyDescent="0.25">
      <c r="A108" s="287"/>
      <c r="B108" s="287"/>
      <c r="C108" s="287"/>
      <c r="D108" s="287"/>
      <c r="E108" s="287"/>
      <c r="F108" s="287"/>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7"/>
      <c r="AD108" s="287"/>
      <c r="AE108" s="287"/>
      <c r="AF108" s="287"/>
      <c r="AG108" s="294"/>
      <c r="AH108" s="287"/>
      <c r="AI108" s="287"/>
      <c r="AJ108" s="287"/>
      <c r="AK108" s="287"/>
      <c r="AL108" s="261"/>
      <c r="AM108" s="264"/>
      <c r="AN108" s="264"/>
      <c r="AO108" s="264"/>
      <c r="AP108" s="264"/>
      <c r="AQ108" s="264"/>
      <c r="AR108" s="264"/>
      <c r="AS108" s="264"/>
      <c r="AT108" s="264"/>
      <c r="AU108" s="264"/>
      <c r="AV108" s="264"/>
      <c r="AW108" s="264"/>
      <c r="AX108" s="264"/>
      <c r="AY108" s="264"/>
      <c r="AZ108" s="264"/>
      <c r="BA108" s="264"/>
      <c r="BB108" s="264"/>
      <c r="BC108" s="264"/>
      <c r="BD108" s="264"/>
      <c r="BE108" s="264"/>
      <c r="BF108" s="274"/>
      <c r="BG108" s="287"/>
      <c r="BH108" s="261"/>
      <c r="BI108" s="264"/>
      <c r="BJ108" s="264"/>
      <c r="BK108" s="264"/>
      <c r="BL108" s="264"/>
      <c r="BM108" s="264"/>
      <c r="BN108" s="264"/>
      <c r="BO108" s="264"/>
      <c r="BP108" s="264"/>
      <c r="BQ108" s="264"/>
      <c r="BR108" s="264"/>
      <c r="BS108" s="264"/>
      <c r="BT108" s="264"/>
      <c r="BU108" s="274"/>
      <c r="BV108" s="287"/>
      <c r="BW108" s="261"/>
      <c r="BX108" s="264"/>
      <c r="BY108" s="264"/>
      <c r="BZ108" s="264"/>
      <c r="CA108" s="264"/>
      <c r="CB108" s="264"/>
      <c r="CC108" s="264"/>
      <c r="CD108" s="264"/>
      <c r="CE108" s="264"/>
      <c r="CF108" s="264"/>
      <c r="CG108" s="264"/>
      <c r="CH108" s="264"/>
      <c r="CI108" s="264"/>
      <c r="CJ108" s="264"/>
      <c r="CK108" s="264"/>
      <c r="CL108" s="264"/>
      <c r="CM108" s="264"/>
      <c r="CN108" s="264"/>
      <c r="CO108" s="264"/>
      <c r="CP108" s="264"/>
      <c r="CQ108" s="264"/>
      <c r="CR108" s="264"/>
      <c r="CS108" s="264"/>
      <c r="CT108" s="264"/>
      <c r="CU108" s="264"/>
      <c r="CV108" s="264"/>
      <c r="CW108" s="264"/>
      <c r="CX108" s="264"/>
      <c r="CY108" s="264"/>
      <c r="CZ108" s="274"/>
      <c r="DA108" s="287"/>
    </row>
    <row r="109" spans="1:105" x14ac:dyDescent="0.25">
      <c r="A109" s="287"/>
      <c r="B109" s="287"/>
      <c r="C109" s="287"/>
      <c r="D109" s="287"/>
      <c r="E109" s="287"/>
      <c r="F109" s="287"/>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7"/>
      <c r="AD109" s="287"/>
      <c r="AE109" s="287"/>
      <c r="AF109" s="287"/>
      <c r="AG109" s="294"/>
      <c r="AH109" s="287"/>
      <c r="AI109" s="287"/>
      <c r="AJ109" s="287"/>
      <c r="AK109" s="287"/>
      <c r="AL109" s="261"/>
      <c r="AM109" s="264"/>
      <c r="AN109" s="264"/>
      <c r="AO109" s="264"/>
      <c r="AP109" s="264"/>
      <c r="AQ109" s="264"/>
      <c r="AR109" s="264"/>
      <c r="AS109" s="264"/>
      <c r="AT109" s="264"/>
      <c r="AU109" s="264"/>
      <c r="AV109" s="264"/>
      <c r="AW109" s="264"/>
      <c r="AX109" s="264"/>
      <c r="AY109" s="264"/>
      <c r="AZ109" s="264"/>
      <c r="BA109" s="264"/>
      <c r="BB109" s="264"/>
      <c r="BC109" s="264"/>
      <c r="BD109" s="264"/>
      <c r="BE109" s="264"/>
      <c r="BF109" s="274"/>
      <c r="BG109" s="287"/>
      <c r="BH109" s="261"/>
      <c r="BI109" s="264"/>
      <c r="BJ109" s="264"/>
      <c r="BK109" s="264"/>
      <c r="BL109" s="264"/>
      <c r="BM109" s="264"/>
      <c r="BN109" s="264"/>
      <c r="BO109" s="264"/>
      <c r="BP109" s="264"/>
      <c r="BQ109" s="264"/>
      <c r="BR109" s="264"/>
      <c r="BS109" s="264"/>
      <c r="BT109" s="264"/>
      <c r="BU109" s="274"/>
      <c r="BV109" s="287"/>
      <c r="BW109" s="261"/>
      <c r="BX109" s="264"/>
      <c r="BY109" s="264"/>
      <c r="BZ109" s="264"/>
      <c r="CA109" s="264"/>
      <c r="CB109" s="264"/>
      <c r="CC109" s="264"/>
      <c r="CD109" s="264"/>
      <c r="CE109" s="264"/>
      <c r="CF109" s="264"/>
      <c r="CG109" s="264"/>
      <c r="CH109" s="264"/>
      <c r="CI109" s="264"/>
      <c r="CJ109" s="264"/>
      <c r="CK109" s="264"/>
      <c r="CL109" s="264"/>
      <c r="CM109" s="264"/>
      <c r="CN109" s="264"/>
      <c r="CO109" s="264"/>
      <c r="CP109" s="264"/>
      <c r="CQ109" s="264"/>
      <c r="CR109" s="264"/>
      <c r="CS109" s="264"/>
      <c r="CT109" s="264"/>
      <c r="CU109" s="264"/>
      <c r="CV109" s="264"/>
      <c r="CW109" s="264"/>
      <c r="CX109" s="264"/>
      <c r="CY109" s="264"/>
      <c r="CZ109" s="274"/>
      <c r="DA109" s="287"/>
    </row>
    <row r="110" spans="1:105" x14ac:dyDescent="0.25">
      <c r="A110" s="287"/>
      <c r="B110" s="287"/>
      <c r="C110" s="287"/>
      <c r="D110" s="287"/>
      <c r="E110" s="287"/>
      <c r="F110" s="287"/>
      <c r="G110" s="289"/>
      <c r="H110" s="289"/>
      <c r="I110" s="289"/>
      <c r="J110" s="289"/>
      <c r="K110" s="289"/>
      <c r="L110" s="289"/>
      <c r="M110" s="289"/>
      <c r="N110" s="289"/>
      <c r="O110" s="289"/>
      <c r="P110" s="287"/>
      <c r="Q110" s="289"/>
      <c r="R110" s="289"/>
      <c r="S110" s="289"/>
      <c r="T110" s="289"/>
      <c r="U110" s="289"/>
      <c r="V110" s="289"/>
      <c r="W110" s="289"/>
      <c r="X110" s="289"/>
      <c r="Y110" s="289"/>
      <c r="Z110" s="289"/>
      <c r="AA110" s="289"/>
      <c r="AB110" s="289"/>
      <c r="AC110" s="287"/>
      <c r="AD110" s="287"/>
      <c r="AE110" s="287"/>
      <c r="AF110" s="287"/>
      <c r="AG110" s="294"/>
      <c r="AH110" s="287"/>
      <c r="AI110" s="287"/>
      <c r="AJ110" s="287"/>
      <c r="AK110" s="287"/>
      <c r="AL110" s="261"/>
      <c r="AM110" s="264"/>
      <c r="AN110" s="264"/>
      <c r="AO110" s="264"/>
      <c r="AP110" s="264"/>
      <c r="AQ110" s="264"/>
      <c r="AR110" s="264"/>
      <c r="AS110" s="264"/>
      <c r="AT110" s="264"/>
      <c r="AU110" s="264"/>
      <c r="AV110" s="264"/>
      <c r="AW110" s="264"/>
      <c r="AX110" s="264"/>
      <c r="AY110" s="264"/>
      <c r="AZ110" s="264"/>
      <c r="BA110" s="264"/>
      <c r="BB110" s="264"/>
      <c r="BC110" s="264"/>
      <c r="BD110" s="264"/>
      <c r="BE110" s="264"/>
      <c r="BF110" s="274"/>
      <c r="BG110" s="287"/>
      <c r="BH110" s="261"/>
      <c r="BI110" s="264"/>
      <c r="BJ110" s="264"/>
      <c r="BK110" s="264"/>
      <c r="BL110" s="264"/>
      <c r="BM110" s="264"/>
      <c r="BN110" s="264"/>
      <c r="BO110" s="264"/>
      <c r="BP110" s="264"/>
      <c r="BQ110" s="264"/>
      <c r="BR110" s="264"/>
      <c r="BS110" s="264"/>
      <c r="BT110" s="264"/>
      <c r="BU110" s="274"/>
      <c r="BV110" s="287"/>
      <c r="BW110" s="261"/>
      <c r="BX110" s="264"/>
      <c r="BY110" s="264"/>
      <c r="BZ110" s="264"/>
      <c r="CA110" s="264"/>
      <c r="CB110" s="264"/>
      <c r="CC110" s="264"/>
      <c r="CD110" s="264"/>
      <c r="CE110" s="264"/>
      <c r="CF110" s="264"/>
      <c r="CG110" s="264"/>
      <c r="CH110" s="264"/>
      <c r="CI110" s="264"/>
      <c r="CJ110" s="264"/>
      <c r="CK110" s="264"/>
      <c r="CL110" s="264"/>
      <c r="CM110" s="264"/>
      <c r="CN110" s="264"/>
      <c r="CO110" s="264"/>
      <c r="CP110" s="264"/>
      <c r="CQ110" s="264"/>
      <c r="CR110" s="264"/>
      <c r="CS110" s="264"/>
      <c r="CT110" s="264"/>
      <c r="CU110" s="264"/>
      <c r="CV110" s="264"/>
      <c r="CW110" s="264"/>
      <c r="CX110" s="264"/>
      <c r="CY110" s="264"/>
      <c r="CZ110" s="274"/>
      <c r="DA110" s="287"/>
    </row>
    <row r="111" spans="1:105" x14ac:dyDescent="0.25">
      <c r="A111" s="287"/>
      <c r="B111" s="287"/>
      <c r="C111" s="287"/>
      <c r="D111" s="287"/>
      <c r="E111" s="287"/>
      <c r="F111" s="287"/>
      <c r="G111" s="289"/>
      <c r="H111" s="289"/>
      <c r="I111" s="289"/>
      <c r="J111" s="289"/>
      <c r="K111" s="289"/>
      <c r="L111" s="289"/>
      <c r="M111" s="289"/>
      <c r="N111" s="289"/>
      <c r="O111" s="289"/>
      <c r="P111" s="289"/>
      <c r="Q111" s="287"/>
      <c r="R111" s="289"/>
      <c r="S111" s="289"/>
      <c r="T111" s="289"/>
      <c r="U111" s="289"/>
      <c r="V111" s="289"/>
      <c r="W111" s="289"/>
      <c r="X111" s="289"/>
      <c r="Y111" s="289"/>
      <c r="Z111" s="289"/>
      <c r="AA111" s="289"/>
      <c r="AB111" s="289"/>
      <c r="AC111" s="287"/>
      <c r="AD111" s="287"/>
      <c r="AE111" s="287"/>
      <c r="AF111" s="287"/>
      <c r="AG111" s="294"/>
      <c r="AH111" s="287"/>
      <c r="AI111" s="287"/>
      <c r="AJ111" s="287"/>
      <c r="AK111" s="287"/>
      <c r="AL111" s="261"/>
      <c r="AM111" s="264"/>
      <c r="AN111" s="264"/>
      <c r="AO111" s="264"/>
      <c r="AP111" s="264"/>
      <c r="AQ111" s="264"/>
      <c r="AR111" s="264"/>
      <c r="AS111" s="264"/>
      <c r="AT111" s="264"/>
      <c r="AU111" s="264"/>
      <c r="AV111" s="264"/>
      <c r="AW111" s="264"/>
      <c r="AX111" s="264"/>
      <c r="AY111" s="264"/>
      <c r="AZ111" s="264"/>
      <c r="BA111" s="264"/>
      <c r="BB111" s="264"/>
      <c r="BC111" s="264"/>
      <c r="BD111" s="264"/>
      <c r="BE111" s="264"/>
      <c r="BF111" s="274"/>
      <c r="BG111" s="287"/>
      <c r="BH111" s="261"/>
      <c r="BI111" s="264"/>
      <c r="BJ111" s="264"/>
      <c r="BK111" s="264"/>
      <c r="BL111" s="264"/>
      <c r="BM111" s="264"/>
      <c r="BN111" s="264"/>
      <c r="BO111" s="264"/>
      <c r="BP111" s="264"/>
      <c r="BQ111" s="264"/>
      <c r="BR111" s="264"/>
      <c r="BS111" s="264"/>
      <c r="BT111" s="264"/>
      <c r="BU111" s="274"/>
      <c r="BV111" s="287"/>
      <c r="BW111" s="261"/>
      <c r="BX111" s="264"/>
      <c r="BY111" s="264"/>
      <c r="BZ111" s="264"/>
      <c r="CA111" s="264"/>
      <c r="CB111" s="264"/>
      <c r="CC111" s="264"/>
      <c r="CD111" s="264"/>
      <c r="CE111" s="264"/>
      <c r="CF111" s="264"/>
      <c r="CG111" s="264"/>
      <c r="CH111" s="264"/>
      <c r="CI111" s="264"/>
      <c r="CJ111" s="264"/>
      <c r="CK111" s="264"/>
      <c r="CL111" s="264"/>
      <c r="CM111" s="264"/>
      <c r="CN111" s="264"/>
      <c r="CO111" s="264"/>
      <c r="CP111" s="264"/>
      <c r="CQ111" s="264"/>
      <c r="CR111" s="264"/>
      <c r="CS111" s="264"/>
      <c r="CT111" s="264"/>
      <c r="CU111" s="264"/>
      <c r="CV111" s="264"/>
      <c r="CW111" s="264"/>
      <c r="CX111" s="264"/>
      <c r="CY111" s="264"/>
      <c r="CZ111" s="274"/>
      <c r="DA111" s="287"/>
    </row>
    <row r="112" spans="1:105" x14ac:dyDescent="0.25">
      <c r="A112" s="287"/>
      <c r="B112" s="287"/>
      <c r="C112" s="287"/>
      <c r="D112" s="287"/>
      <c r="E112" s="287"/>
      <c r="F112" s="287"/>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7"/>
      <c r="AD112" s="287"/>
      <c r="AE112" s="287"/>
      <c r="AF112" s="287"/>
      <c r="AG112" s="294"/>
      <c r="AH112" s="287"/>
      <c r="AI112" s="287"/>
      <c r="AJ112" s="287"/>
      <c r="AK112" s="287"/>
      <c r="AL112" s="261"/>
      <c r="AM112" s="264"/>
      <c r="AN112" s="264"/>
      <c r="AO112" s="264"/>
      <c r="AP112" s="264"/>
      <c r="AQ112" s="264"/>
      <c r="AR112" s="264"/>
      <c r="AS112" s="264"/>
      <c r="AT112" s="264"/>
      <c r="AU112" s="264"/>
      <c r="AV112" s="264"/>
      <c r="AW112" s="264"/>
      <c r="AX112" s="264"/>
      <c r="AY112" s="264"/>
      <c r="AZ112" s="264"/>
      <c r="BA112" s="264"/>
      <c r="BB112" s="264"/>
      <c r="BC112" s="264"/>
      <c r="BD112" s="264"/>
      <c r="BE112" s="264"/>
      <c r="BF112" s="274"/>
      <c r="BG112" s="287"/>
      <c r="BH112" s="261"/>
      <c r="BI112" s="264"/>
      <c r="BJ112" s="264"/>
      <c r="BK112" s="264"/>
      <c r="BL112" s="264"/>
      <c r="BM112" s="264"/>
      <c r="BN112" s="264"/>
      <c r="BO112" s="264"/>
      <c r="BP112" s="264"/>
      <c r="BQ112" s="264"/>
      <c r="BR112" s="264"/>
      <c r="BS112" s="264"/>
      <c r="BT112" s="264"/>
      <c r="BU112" s="274"/>
      <c r="BV112" s="287"/>
      <c r="BW112" s="261"/>
      <c r="BX112" s="264"/>
      <c r="BY112" s="264"/>
      <c r="BZ112" s="264"/>
      <c r="CA112" s="264"/>
      <c r="CB112" s="264"/>
      <c r="CC112" s="264"/>
      <c r="CD112" s="264"/>
      <c r="CE112" s="264"/>
      <c r="CF112" s="264"/>
      <c r="CG112" s="264"/>
      <c r="CH112" s="264"/>
      <c r="CI112" s="264"/>
      <c r="CJ112" s="264"/>
      <c r="CK112" s="264"/>
      <c r="CL112" s="264"/>
      <c r="CM112" s="264"/>
      <c r="CN112" s="264"/>
      <c r="CO112" s="264"/>
      <c r="CP112" s="264"/>
      <c r="CQ112" s="264"/>
      <c r="CR112" s="264"/>
      <c r="CS112" s="264"/>
      <c r="CT112" s="264"/>
      <c r="CU112" s="264"/>
      <c r="CV112" s="264"/>
      <c r="CW112" s="264"/>
      <c r="CX112" s="264"/>
      <c r="CY112" s="264"/>
      <c r="CZ112" s="274"/>
      <c r="DA112" s="287"/>
    </row>
    <row r="113" spans="1:105" x14ac:dyDescent="0.25">
      <c r="A113" s="287"/>
      <c r="B113" s="287"/>
      <c r="C113" s="287"/>
      <c r="D113" s="287"/>
      <c r="E113" s="287"/>
      <c r="F113" s="287"/>
      <c r="G113" s="287"/>
      <c r="H113" s="287"/>
      <c r="I113" s="287"/>
      <c r="J113" s="287"/>
      <c r="K113" s="287"/>
      <c r="L113" s="287"/>
      <c r="M113" s="287"/>
      <c r="N113" s="287"/>
      <c r="O113" s="287"/>
      <c r="P113" s="289"/>
      <c r="Q113" s="289"/>
      <c r="R113" s="289"/>
      <c r="S113" s="289"/>
      <c r="T113" s="289"/>
      <c r="U113" s="289"/>
      <c r="V113" s="289"/>
      <c r="W113" s="289"/>
      <c r="X113" s="289"/>
      <c r="Y113" s="289"/>
      <c r="Z113" s="289"/>
      <c r="AA113" s="289"/>
      <c r="AB113" s="289"/>
      <c r="AC113" s="287"/>
      <c r="AD113" s="287"/>
      <c r="AE113" s="287"/>
      <c r="AF113" s="287"/>
      <c r="AG113" s="294"/>
      <c r="AH113" s="287"/>
      <c r="AI113" s="287"/>
      <c r="AJ113" s="287"/>
      <c r="AK113" s="287"/>
      <c r="AL113" s="261"/>
      <c r="AM113" s="264"/>
      <c r="AN113" s="264"/>
      <c r="AO113" s="264"/>
      <c r="AP113" s="264"/>
      <c r="AQ113" s="264"/>
      <c r="AR113" s="264"/>
      <c r="AS113" s="264"/>
      <c r="AT113" s="264"/>
      <c r="AU113" s="264"/>
      <c r="AV113" s="264"/>
      <c r="AW113" s="264"/>
      <c r="AX113" s="264"/>
      <c r="AY113" s="264"/>
      <c r="AZ113" s="264"/>
      <c r="BA113" s="264"/>
      <c r="BB113" s="264"/>
      <c r="BC113" s="264"/>
      <c r="BD113" s="264"/>
      <c r="BE113" s="264"/>
      <c r="BF113" s="274"/>
      <c r="BG113" s="287"/>
      <c r="BH113" s="261"/>
      <c r="BI113" s="264"/>
      <c r="BJ113" s="264"/>
      <c r="BK113" s="264"/>
      <c r="BL113" s="264"/>
      <c r="BM113" s="264"/>
      <c r="BN113" s="264"/>
      <c r="BO113" s="264"/>
      <c r="BP113" s="264"/>
      <c r="BQ113" s="264"/>
      <c r="BR113" s="264"/>
      <c r="BS113" s="264"/>
      <c r="BT113" s="264"/>
      <c r="BU113" s="274"/>
      <c r="BV113" s="287"/>
      <c r="BW113" s="261"/>
      <c r="BX113" s="264"/>
      <c r="BY113" s="264"/>
      <c r="BZ113" s="264"/>
      <c r="CA113" s="264"/>
      <c r="CB113" s="264"/>
      <c r="CC113" s="264"/>
      <c r="CD113" s="264"/>
      <c r="CE113" s="264"/>
      <c r="CF113" s="264"/>
      <c r="CG113" s="264"/>
      <c r="CH113" s="264"/>
      <c r="CI113" s="264"/>
      <c r="CJ113" s="264"/>
      <c r="CK113" s="264"/>
      <c r="CL113" s="264"/>
      <c r="CM113" s="264"/>
      <c r="CN113" s="264"/>
      <c r="CO113" s="264"/>
      <c r="CP113" s="264"/>
      <c r="CQ113" s="264"/>
      <c r="CR113" s="264"/>
      <c r="CS113" s="264"/>
      <c r="CT113" s="264"/>
      <c r="CU113" s="264"/>
      <c r="CV113" s="264"/>
      <c r="CW113" s="264"/>
      <c r="CX113" s="264"/>
      <c r="CY113" s="264"/>
      <c r="CZ113" s="274"/>
      <c r="DA113" s="287"/>
    </row>
    <row r="114" spans="1:105" ht="25.5" customHeight="1" x14ac:dyDescent="0.25">
      <c r="A114" s="287"/>
      <c r="B114" s="287"/>
      <c r="C114" s="287"/>
      <c r="D114" s="287"/>
      <c r="E114" s="287"/>
      <c r="F114" s="287"/>
      <c r="G114" s="289"/>
      <c r="H114" s="289"/>
      <c r="I114" s="289"/>
      <c r="J114" s="289"/>
      <c r="K114" s="289"/>
      <c r="L114" s="289"/>
      <c r="M114" s="289"/>
      <c r="N114" s="289"/>
      <c r="O114" s="289"/>
      <c r="P114" s="287"/>
      <c r="Q114" s="289"/>
      <c r="R114" s="289"/>
      <c r="S114" s="289"/>
      <c r="T114" s="289"/>
      <c r="U114" s="289"/>
      <c r="V114" s="289"/>
      <c r="W114" s="289"/>
      <c r="X114" s="289"/>
      <c r="Y114" s="289"/>
      <c r="Z114" s="289"/>
      <c r="AA114" s="289"/>
      <c r="AB114" s="289"/>
      <c r="AC114" s="287"/>
      <c r="AD114" s="287"/>
      <c r="AE114" s="287"/>
      <c r="AF114" s="287"/>
      <c r="AG114" s="294"/>
      <c r="AH114" s="287"/>
      <c r="AI114" s="287"/>
      <c r="AJ114" s="287"/>
      <c r="AK114" s="287"/>
      <c r="AL114" s="261"/>
      <c r="AM114" s="264"/>
      <c r="AN114" s="264"/>
      <c r="AO114" s="264"/>
      <c r="AP114" s="264"/>
      <c r="AQ114" s="264"/>
      <c r="AR114" s="264"/>
      <c r="AS114" s="264"/>
      <c r="AT114" s="264"/>
      <c r="AU114" s="264"/>
      <c r="AV114" s="264"/>
      <c r="AW114" s="264"/>
      <c r="AX114" s="264"/>
      <c r="AY114" s="264"/>
      <c r="AZ114" s="264"/>
      <c r="BA114" s="264"/>
      <c r="BB114" s="264"/>
      <c r="BC114" s="264"/>
      <c r="BD114" s="264"/>
      <c r="BE114" s="264"/>
      <c r="BF114" s="274"/>
      <c r="BG114" s="287"/>
      <c r="BH114" s="261"/>
      <c r="BI114" s="264"/>
      <c r="BJ114" s="264"/>
      <c r="BK114" s="264"/>
      <c r="BL114" s="264"/>
      <c r="BM114" s="264"/>
      <c r="BN114" s="264"/>
      <c r="BO114" s="264"/>
      <c r="BP114" s="264"/>
      <c r="BQ114" s="264"/>
      <c r="BR114" s="264"/>
      <c r="BS114" s="264"/>
      <c r="BT114" s="264"/>
      <c r="BU114" s="274"/>
      <c r="BV114" s="287"/>
      <c r="BW114" s="261"/>
      <c r="BX114" s="264"/>
      <c r="BY114" s="264"/>
      <c r="BZ114" s="264"/>
      <c r="CA114" s="264"/>
      <c r="CB114" s="264"/>
      <c r="CC114" s="264"/>
      <c r="CD114" s="264"/>
      <c r="CE114" s="264"/>
      <c r="CF114" s="264"/>
      <c r="CG114" s="264"/>
      <c r="CH114" s="264"/>
      <c r="CI114" s="264"/>
      <c r="CJ114" s="264"/>
      <c r="CK114" s="264"/>
      <c r="CL114" s="264"/>
      <c r="CM114" s="264"/>
      <c r="CN114" s="264"/>
      <c r="CO114" s="264"/>
      <c r="CP114" s="264"/>
      <c r="CQ114" s="264"/>
      <c r="CR114" s="264"/>
      <c r="CS114" s="264"/>
      <c r="CT114" s="264"/>
      <c r="CU114" s="264"/>
      <c r="CV114" s="264"/>
      <c r="CW114" s="264"/>
      <c r="CX114" s="264"/>
      <c r="CY114" s="264"/>
      <c r="CZ114" s="274"/>
      <c r="DA114" s="287"/>
    </row>
    <row r="115" spans="1:105" ht="18" customHeight="1" x14ac:dyDescent="0.25">
      <c r="A115" s="287"/>
      <c r="B115" s="287"/>
      <c r="C115" s="287"/>
      <c r="D115" s="287"/>
      <c r="E115" s="287"/>
      <c r="F115" s="287"/>
      <c r="G115" s="289"/>
      <c r="H115" s="289"/>
      <c r="I115" s="289"/>
      <c r="J115" s="289"/>
      <c r="K115" s="289"/>
      <c r="L115" s="289"/>
      <c r="M115" s="289"/>
      <c r="N115" s="289"/>
      <c r="O115" s="289"/>
      <c r="P115" s="289"/>
      <c r="Q115" s="287"/>
      <c r="R115" s="289"/>
      <c r="S115" s="289"/>
      <c r="T115" s="289"/>
      <c r="U115" s="289"/>
      <c r="V115" s="289"/>
      <c r="W115" s="289"/>
      <c r="X115" s="289"/>
      <c r="Y115" s="287"/>
      <c r="Z115" s="287"/>
      <c r="AA115" s="287"/>
      <c r="AB115" s="287"/>
      <c r="AC115" s="287"/>
      <c r="AD115" s="287"/>
      <c r="AE115" s="287"/>
      <c r="AF115" s="287"/>
      <c r="AG115" s="294"/>
      <c r="AH115" s="287"/>
      <c r="AI115" s="287"/>
      <c r="AJ115" s="287"/>
      <c r="AK115" s="287"/>
      <c r="AL115" s="261"/>
      <c r="AM115" s="264"/>
      <c r="AN115" s="264"/>
      <c r="AO115" s="264"/>
      <c r="AP115" s="264"/>
      <c r="AQ115" s="264"/>
      <c r="AR115" s="264"/>
      <c r="AS115" s="264"/>
      <c r="AT115" s="264"/>
      <c r="AU115" s="264"/>
      <c r="AV115" s="264"/>
      <c r="AW115" s="264"/>
      <c r="AX115" s="264"/>
      <c r="AY115" s="264"/>
      <c r="AZ115" s="264"/>
      <c r="BA115" s="264"/>
      <c r="BB115" s="264"/>
      <c r="BC115" s="264"/>
      <c r="BD115" s="264"/>
      <c r="BE115" s="264"/>
      <c r="BF115" s="274"/>
      <c r="BG115" s="287"/>
      <c r="BH115" s="261"/>
      <c r="BI115" s="264"/>
      <c r="BJ115" s="264"/>
      <c r="BK115" s="264"/>
      <c r="BL115" s="264"/>
      <c r="BM115" s="264"/>
      <c r="BN115" s="264"/>
      <c r="BO115" s="264"/>
      <c r="BP115" s="264"/>
      <c r="BQ115" s="264"/>
      <c r="BR115" s="264"/>
      <c r="BS115" s="264"/>
      <c r="BT115" s="264"/>
      <c r="BU115" s="274"/>
      <c r="BV115" s="287"/>
      <c r="BW115" s="261"/>
      <c r="BX115" s="264"/>
      <c r="BY115" s="264"/>
      <c r="BZ115" s="264"/>
      <c r="CA115" s="264"/>
      <c r="CB115" s="264"/>
      <c r="CC115" s="264"/>
      <c r="CD115" s="264"/>
      <c r="CE115" s="264"/>
      <c r="CF115" s="264"/>
      <c r="CG115" s="264"/>
      <c r="CH115" s="264"/>
      <c r="CI115" s="264"/>
      <c r="CJ115" s="264"/>
      <c r="CK115" s="264"/>
      <c r="CL115" s="264"/>
      <c r="CM115" s="264"/>
      <c r="CN115" s="264"/>
      <c r="CO115" s="264"/>
      <c r="CP115" s="264"/>
      <c r="CQ115" s="264"/>
      <c r="CR115" s="264"/>
      <c r="CS115" s="264"/>
      <c r="CT115" s="264"/>
      <c r="CU115" s="264"/>
      <c r="CV115" s="264"/>
      <c r="CW115" s="264"/>
      <c r="CX115" s="264"/>
      <c r="CY115" s="264"/>
      <c r="CZ115" s="274"/>
      <c r="DA115" s="287"/>
    </row>
    <row r="116" spans="1:105" ht="17.25" customHeight="1" x14ac:dyDescent="0.25">
      <c r="A116" s="287"/>
      <c r="B116" s="287"/>
      <c r="C116" s="287"/>
      <c r="D116" s="287"/>
      <c r="E116" s="287"/>
      <c r="F116" s="287"/>
      <c r="G116" s="289"/>
      <c r="H116" s="289"/>
      <c r="I116" s="289"/>
      <c r="J116" s="289"/>
      <c r="K116" s="289"/>
      <c r="L116" s="289"/>
      <c r="M116" s="289"/>
      <c r="N116" s="289"/>
      <c r="O116" s="289"/>
      <c r="P116" s="289"/>
      <c r="Q116" s="289"/>
      <c r="R116" s="289"/>
      <c r="S116" s="289"/>
      <c r="T116" s="289"/>
      <c r="U116" s="289"/>
      <c r="V116" s="287"/>
      <c r="W116" s="287"/>
      <c r="X116" s="287"/>
      <c r="Y116" s="287"/>
      <c r="Z116" s="287"/>
      <c r="AA116" s="287"/>
      <c r="AB116" s="287"/>
      <c r="AC116" s="287"/>
      <c r="AD116" s="287"/>
      <c r="AE116" s="287"/>
      <c r="AF116" s="287"/>
      <c r="AG116" s="294"/>
      <c r="AH116" s="287"/>
      <c r="AI116" s="287"/>
      <c r="AJ116" s="287"/>
      <c r="AK116" s="287"/>
      <c r="AL116" s="261"/>
      <c r="AM116" s="264"/>
      <c r="AN116" s="264"/>
      <c r="AO116" s="264"/>
      <c r="AP116" s="264"/>
      <c r="AQ116" s="264"/>
      <c r="AR116" s="264"/>
      <c r="AS116" s="264"/>
      <c r="AT116" s="264"/>
      <c r="AU116" s="264"/>
      <c r="AV116" s="264"/>
      <c r="AW116" s="264"/>
      <c r="AX116" s="264"/>
      <c r="AY116" s="264"/>
      <c r="AZ116" s="264"/>
      <c r="BA116" s="264"/>
      <c r="BB116" s="264"/>
      <c r="BC116" s="264"/>
      <c r="BD116" s="264"/>
      <c r="BE116" s="264"/>
      <c r="BF116" s="274"/>
      <c r="BG116" s="287"/>
      <c r="BH116" s="261"/>
      <c r="BI116" s="264"/>
      <c r="BJ116" s="264"/>
      <c r="BK116" s="264"/>
      <c r="BL116" s="264"/>
      <c r="BM116" s="264"/>
      <c r="BN116" s="264"/>
      <c r="BO116" s="264"/>
      <c r="BP116" s="264"/>
      <c r="BQ116" s="264"/>
      <c r="BR116" s="264"/>
      <c r="BS116" s="264"/>
      <c r="BT116" s="264"/>
      <c r="BU116" s="274"/>
      <c r="BV116" s="287"/>
      <c r="BW116" s="261"/>
      <c r="BX116" s="264"/>
      <c r="BY116" s="264"/>
      <c r="BZ116" s="264"/>
      <c r="CA116" s="264"/>
      <c r="CB116" s="264"/>
      <c r="CC116" s="264"/>
      <c r="CD116" s="264"/>
      <c r="CE116" s="264"/>
      <c r="CF116" s="264"/>
      <c r="CG116" s="264"/>
      <c r="CH116" s="264"/>
      <c r="CI116" s="264"/>
      <c r="CJ116" s="264"/>
      <c r="CK116" s="264"/>
      <c r="CL116" s="264"/>
      <c r="CM116" s="264"/>
      <c r="CN116" s="264"/>
      <c r="CO116" s="264"/>
      <c r="CP116" s="264"/>
      <c r="CQ116" s="264"/>
      <c r="CR116" s="264"/>
      <c r="CS116" s="264"/>
      <c r="CT116" s="264"/>
      <c r="CU116" s="264"/>
      <c r="CV116" s="264"/>
      <c r="CW116" s="264"/>
      <c r="CX116" s="264"/>
      <c r="CY116" s="264"/>
      <c r="CZ116" s="274"/>
      <c r="DA116" s="287"/>
    </row>
    <row r="117" spans="1:105" ht="16.5" customHeight="1" x14ac:dyDescent="0.25">
      <c r="A117" s="287"/>
      <c r="B117" s="287"/>
      <c r="C117" s="287"/>
      <c r="D117" s="287"/>
      <c r="E117" s="287"/>
      <c r="F117" s="287"/>
      <c r="G117" s="287"/>
      <c r="H117" s="287"/>
      <c r="I117" s="287"/>
      <c r="J117" s="287"/>
      <c r="K117" s="287"/>
      <c r="L117" s="287"/>
      <c r="M117" s="287"/>
      <c r="N117" s="287"/>
      <c r="O117" s="287"/>
      <c r="P117" s="289"/>
      <c r="Q117" s="289"/>
      <c r="R117" s="289"/>
      <c r="S117" s="289"/>
      <c r="T117" s="289"/>
      <c r="U117" s="289"/>
      <c r="V117" s="287"/>
      <c r="W117" s="287"/>
      <c r="X117" s="287"/>
      <c r="Y117" s="289"/>
      <c r="Z117" s="289"/>
      <c r="AA117" s="289"/>
      <c r="AB117" s="289"/>
      <c r="AC117" s="287"/>
      <c r="AD117" s="287"/>
      <c r="AE117" s="287"/>
      <c r="AF117" s="287"/>
      <c r="AG117" s="294"/>
      <c r="AH117" s="287"/>
      <c r="AI117" s="287"/>
      <c r="AJ117" s="287"/>
      <c r="AK117" s="287"/>
      <c r="AL117" s="261"/>
      <c r="AM117" s="264"/>
      <c r="AN117" s="264"/>
      <c r="AO117" s="264"/>
      <c r="AP117" s="264"/>
      <c r="AQ117" s="264"/>
      <c r="AR117" s="264"/>
      <c r="AS117" s="264"/>
      <c r="AT117" s="264"/>
      <c r="AU117" s="264"/>
      <c r="AV117" s="264"/>
      <c r="AW117" s="264"/>
      <c r="AX117" s="264"/>
      <c r="AY117" s="264"/>
      <c r="AZ117" s="264"/>
      <c r="BA117" s="264"/>
      <c r="BB117" s="264"/>
      <c r="BC117" s="264"/>
      <c r="BD117" s="264"/>
      <c r="BE117" s="264"/>
      <c r="BF117" s="274"/>
      <c r="BG117" s="287"/>
      <c r="BH117" s="261"/>
      <c r="BI117" s="264"/>
      <c r="BJ117" s="264"/>
      <c r="BK117" s="264"/>
      <c r="BL117" s="264"/>
      <c r="BM117" s="264"/>
      <c r="BN117" s="264"/>
      <c r="BO117" s="264"/>
      <c r="BP117" s="264"/>
      <c r="BQ117" s="264"/>
      <c r="BR117" s="264"/>
      <c r="BS117" s="264"/>
      <c r="BT117" s="264"/>
      <c r="BU117" s="274"/>
      <c r="BV117" s="287"/>
      <c r="BW117" s="261"/>
      <c r="BX117" s="264"/>
      <c r="BY117" s="264"/>
      <c r="BZ117" s="264"/>
      <c r="CA117" s="264"/>
      <c r="CB117" s="264"/>
      <c r="CC117" s="264"/>
      <c r="CD117" s="264"/>
      <c r="CE117" s="264"/>
      <c r="CF117" s="264"/>
      <c r="CG117" s="264"/>
      <c r="CH117" s="264"/>
      <c r="CI117" s="264"/>
      <c r="CJ117" s="264"/>
      <c r="CK117" s="264"/>
      <c r="CL117" s="264"/>
      <c r="CM117" s="264"/>
      <c r="CN117" s="264"/>
      <c r="CO117" s="264"/>
      <c r="CP117" s="264"/>
      <c r="CQ117" s="264"/>
      <c r="CR117" s="264"/>
      <c r="CS117" s="264"/>
      <c r="CT117" s="264"/>
      <c r="CU117" s="264"/>
      <c r="CV117" s="264"/>
      <c r="CW117" s="264"/>
      <c r="CX117" s="264"/>
      <c r="CY117" s="264"/>
      <c r="CZ117" s="274"/>
      <c r="DA117" s="287"/>
    </row>
    <row r="118" spans="1:105" ht="18.75" customHeight="1" x14ac:dyDescent="0.25">
      <c r="A118" s="287"/>
      <c r="B118" s="287"/>
      <c r="C118" s="287"/>
      <c r="D118" s="287"/>
      <c r="E118" s="287"/>
      <c r="F118" s="287"/>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7"/>
      <c r="AD118" s="287"/>
      <c r="AE118" s="287"/>
      <c r="AF118" s="287"/>
      <c r="AG118" s="294"/>
      <c r="AH118" s="287"/>
      <c r="AI118" s="287"/>
      <c r="AJ118" s="287"/>
      <c r="AK118" s="287"/>
      <c r="AL118" s="261"/>
      <c r="AM118" s="264"/>
      <c r="AN118" s="264"/>
      <c r="AO118" s="264"/>
      <c r="AP118" s="264"/>
      <c r="AQ118" s="264"/>
      <c r="AR118" s="264"/>
      <c r="AS118" s="264"/>
      <c r="AT118" s="264"/>
      <c r="AU118" s="264"/>
      <c r="AV118" s="264"/>
      <c r="AW118" s="264"/>
      <c r="AX118" s="264"/>
      <c r="AY118" s="264"/>
      <c r="AZ118" s="264"/>
      <c r="BA118" s="264"/>
      <c r="BB118" s="264"/>
      <c r="BC118" s="264"/>
      <c r="BD118" s="264"/>
      <c r="BE118" s="264"/>
      <c r="BF118" s="274"/>
      <c r="BG118" s="287"/>
      <c r="BH118" s="261"/>
      <c r="BI118" s="264"/>
      <c r="BJ118" s="264"/>
      <c r="BK118" s="264"/>
      <c r="BL118" s="264"/>
      <c r="BM118" s="264"/>
      <c r="BN118" s="264"/>
      <c r="BO118" s="264"/>
      <c r="BP118" s="264"/>
      <c r="BQ118" s="264"/>
      <c r="BR118" s="264"/>
      <c r="BS118" s="264"/>
      <c r="BT118" s="264"/>
      <c r="BU118" s="274"/>
      <c r="BV118" s="287"/>
      <c r="BW118" s="261"/>
      <c r="BX118" s="264"/>
      <c r="BY118" s="264"/>
      <c r="BZ118" s="264"/>
      <c r="CA118" s="264"/>
      <c r="CB118" s="264"/>
      <c r="CC118" s="264"/>
      <c r="CD118" s="264"/>
      <c r="CE118" s="264"/>
      <c r="CF118" s="264"/>
      <c r="CG118" s="264"/>
      <c r="CH118" s="264"/>
      <c r="CI118" s="264"/>
      <c r="CJ118" s="264"/>
      <c r="CK118" s="264"/>
      <c r="CL118" s="264"/>
      <c r="CM118" s="264"/>
      <c r="CN118" s="264"/>
      <c r="CO118" s="264"/>
      <c r="CP118" s="264"/>
      <c r="CQ118" s="264"/>
      <c r="CR118" s="264"/>
      <c r="CS118" s="264"/>
      <c r="CT118" s="264"/>
      <c r="CU118" s="264"/>
      <c r="CV118" s="264"/>
      <c r="CW118" s="264"/>
      <c r="CX118" s="264"/>
      <c r="CY118" s="264"/>
      <c r="CZ118" s="274"/>
      <c r="DA118" s="287"/>
    </row>
    <row r="119" spans="1:105" ht="30" customHeight="1" x14ac:dyDescent="0.25">
      <c r="A119" s="287"/>
      <c r="B119" s="287"/>
      <c r="C119" s="287"/>
      <c r="D119" s="287"/>
      <c r="E119" s="287"/>
      <c r="F119" s="287"/>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7"/>
      <c r="AD119" s="287"/>
      <c r="AE119" s="287"/>
      <c r="AF119" s="287"/>
      <c r="AG119" s="294"/>
      <c r="AH119" s="287"/>
      <c r="AI119" s="287"/>
      <c r="AJ119" s="287"/>
      <c r="AK119" s="287"/>
      <c r="AL119" s="261"/>
      <c r="AM119" s="264"/>
      <c r="AN119" s="264"/>
      <c r="AO119" s="264"/>
      <c r="AP119" s="264"/>
      <c r="AQ119" s="264"/>
      <c r="AR119" s="264"/>
      <c r="AS119" s="264"/>
      <c r="AT119" s="264"/>
      <c r="AU119" s="264"/>
      <c r="AV119" s="264"/>
      <c r="AW119" s="264"/>
      <c r="AX119" s="264"/>
      <c r="AY119" s="264"/>
      <c r="AZ119" s="264"/>
      <c r="BA119" s="264"/>
      <c r="BB119" s="264"/>
      <c r="BC119" s="264"/>
      <c r="BD119" s="264"/>
      <c r="BE119" s="264"/>
      <c r="BF119" s="274"/>
      <c r="BG119" s="287"/>
      <c r="BH119" s="261"/>
      <c r="BI119" s="264"/>
      <c r="BJ119" s="264"/>
      <c r="BK119" s="264"/>
      <c r="BL119" s="264"/>
      <c r="BM119" s="264"/>
      <c r="BN119" s="264"/>
      <c r="BO119" s="264"/>
      <c r="BP119" s="264"/>
      <c r="BQ119" s="264"/>
      <c r="BR119" s="264"/>
      <c r="BS119" s="264"/>
      <c r="BT119" s="264"/>
      <c r="BU119" s="274"/>
      <c r="BV119" s="287"/>
      <c r="BW119" s="261"/>
      <c r="BX119" s="264"/>
      <c r="BY119" s="264"/>
      <c r="BZ119" s="264"/>
      <c r="CA119" s="264"/>
      <c r="CB119" s="264"/>
      <c r="CC119" s="264"/>
      <c r="CD119" s="264"/>
      <c r="CE119" s="264"/>
      <c r="CF119" s="264"/>
      <c r="CG119" s="264"/>
      <c r="CH119" s="264"/>
      <c r="CI119" s="264"/>
      <c r="CJ119" s="264"/>
      <c r="CK119" s="264"/>
      <c r="CL119" s="264"/>
      <c r="CM119" s="264"/>
      <c r="CN119" s="264"/>
      <c r="CO119" s="264"/>
      <c r="CP119" s="264"/>
      <c r="CQ119" s="264"/>
      <c r="CR119" s="264"/>
      <c r="CS119" s="264"/>
      <c r="CT119" s="264"/>
      <c r="CU119" s="264"/>
      <c r="CV119" s="264"/>
      <c r="CW119" s="264"/>
      <c r="CX119" s="264"/>
      <c r="CY119" s="264"/>
      <c r="CZ119" s="274"/>
      <c r="DA119" s="287"/>
    </row>
    <row r="120" spans="1:105" x14ac:dyDescent="0.25">
      <c r="A120" s="287"/>
      <c r="B120" s="287"/>
      <c r="C120" s="287"/>
      <c r="D120" s="287"/>
      <c r="E120" s="287"/>
      <c r="F120" s="287"/>
      <c r="G120" s="289"/>
      <c r="H120" s="289"/>
      <c r="I120" s="289"/>
      <c r="J120" s="289"/>
      <c r="K120" s="289"/>
      <c r="L120" s="289"/>
      <c r="M120" s="289"/>
      <c r="N120" s="289"/>
      <c r="O120" s="289"/>
      <c r="P120" s="287"/>
      <c r="Q120" s="289"/>
      <c r="R120" s="289"/>
      <c r="S120" s="289"/>
      <c r="T120" s="289"/>
      <c r="U120" s="287"/>
      <c r="V120" s="289"/>
      <c r="W120" s="289"/>
      <c r="X120" s="289"/>
      <c r="Y120" s="289"/>
      <c r="Z120" s="289"/>
      <c r="AA120" s="289"/>
      <c r="AB120" s="289"/>
      <c r="AC120" s="287"/>
      <c r="AD120" s="287"/>
      <c r="AE120" s="287"/>
      <c r="AF120" s="287"/>
      <c r="AG120" s="294"/>
      <c r="AH120" s="287"/>
      <c r="AI120" s="287"/>
      <c r="AJ120" s="287"/>
      <c r="AK120" s="287"/>
      <c r="AL120" s="261"/>
      <c r="AM120" s="264"/>
      <c r="AN120" s="264"/>
      <c r="AO120" s="264"/>
      <c r="AP120" s="264"/>
      <c r="AQ120" s="264"/>
      <c r="AR120" s="264"/>
      <c r="AS120" s="264"/>
      <c r="AT120" s="264"/>
      <c r="AU120" s="264"/>
      <c r="AV120" s="264"/>
      <c r="AW120" s="264"/>
      <c r="AX120" s="264"/>
      <c r="AY120" s="264"/>
      <c r="AZ120" s="264"/>
      <c r="BA120" s="264"/>
      <c r="BB120" s="264"/>
      <c r="BC120" s="264"/>
      <c r="BD120" s="264"/>
      <c r="BE120" s="264"/>
      <c r="BF120" s="274"/>
      <c r="BG120" s="287"/>
      <c r="BH120" s="261"/>
      <c r="BI120" s="264"/>
      <c r="BJ120" s="264"/>
      <c r="BK120" s="264"/>
      <c r="BL120" s="264"/>
      <c r="BM120" s="264"/>
      <c r="BN120" s="264"/>
      <c r="BO120" s="264"/>
      <c r="BP120" s="264"/>
      <c r="BQ120" s="264"/>
      <c r="BR120" s="264"/>
      <c r="BS120" s="264"/>
      <c r="BT120" s="264"/>
      <c r="BU120" s="274"/>
      <c r="BV120" s="287"/>
      <c r="BW120" s="261"/>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74"/>
      <c r="DA120" s="287"/>
    </row>
    <row r="121" spans="1:105" ht="15.75" customHeight="1" x14ac:dyDescent="0.25">
      <c r="A121" s="287"/>
      <c r="B121" s="287"/>
      <c r="C121" s="287"/>
      <c r="D121" s="287"/>
      <c r="E121" s="287"/>
      <c r="F121" s="287"/>
      <c r="G121" s="289"/>
      <c r="H121" s="289"/>
      <c r="I121" s="289"/>
      <c r="J121" s="289"/>
      <c r="K121" s="289"/>
      <c r="L121" s="289"/>
      <c r="M121" s="289"/>
      <c r="N121" s="289"/>
      <c r="O121" s="289"/>
      <c r="P121" s="287"/>
      <c r="Q121" s="287"/>
      <c r="R121" s="289"/>
      <c r="S121" s="289"/>
      <c r="T121" s="289"/>
      <c r="U121" s="287"/>
      <c r="V121" s="289"/>
      <c r="W121" s="289"/>
      <c r="X121" s="289"/>
      <c r="Y121" s="289"/>
      <c r="Z121" s="289"/>
      <c r="AA121" s="289"/>
      <c r="AB121" s="289"/>
      <c r="AC121" s="287"/>
      <c r="AD121" s="287"/>
      <c r="AE121" s="287"/>
      <c r="AF121" s="287"/>
      <c r="AG121" s="294"/>
      <c r="AH121" s="287"/>
      <c r="AI121" s="287"/>
      <c r="AJ121" s="287"/>
      <c r="AK121" s="287"/>
      <c r="AL121" s="261"/>
      <c r="AM121" s="264"/>
      <c r="AN121" s="264"/>
      <c r="AO121" s="264"/>
      <c r="AP121" s="264"/>
      <c r="AQ121" s="264"/>
      <c r="AR121" s="264"/>
      <c r="AS121" s="264"/>
      <c r="AT121" s="264"/>
      <c r="AU121" s="264"/>
      <c r="AV121" s="264"/>
      <c r="AW121" s="264"/>
      <c r="AX121" s="264"/>
      <c r="AY121" s="264"/>
      <c r="AZ121" s="264"/>
      <c r="BA121" s="264"/>
      <c r="BB121" s="264"/>
      <c r="BC121" s="264"/>
      <c r="BD121" s="264"/>
      <c r="BE121" s="264"/>
      <c r="BF121" s="274"/>
      <c r="BG121" s="287"/>
      <c r="BH121" s="261"/>
      <c r="BI121" s="264"/>
      <c r="BJ121" s="264"/>
      <c r="BK121" s="264"/>
      <c r="BL121" s="264"/>
      <c r="BM121" s="264"/>
      <c r="BN121" s="264"/>
      <c r="BO121" s="264"/>
      <c r="BP121" s="264"/>
      <c r="BQ121" s="264"/>
      <c r="BR121" s="264"/>
      <c r="BS121" s="264"/>
      <c r="BT121" s="264"/>
      <c r="BU121" s="274"/>
      <c r="BV121" s="287"/>
      <c r="BW121" s="261"/>
      <c r="BX121" s="264"/>
      <c r="BY121" s="264"/>
      <c r="BZ121" s="264"/>
      <c r="CA121" s="264"/>
      <c r="CB121" s="264"/>
      <c r="CC121" s="264"/>
      <c r="CD121" s="264"/>
      <c r="CE121" s="264"/>
      <c r="CF121" s="264"/>
      <c r="CG121" s="264"/>
      <c r="CH121" s="264"/>
      <c r="CI121" s="264"/>
      <c r="CJ121" s="264"/>
      <c r="CK121" s="264"/>
      <c r="CL121" s="264"/>
      <c r="CM121" s="264"/>
      <c r="CN121" s="264"/>
      <c r="CO121" s="264"/>
      <c r="CP121" s="264"/>
      <c r="CQ121" s="264"/>
      <c r="CR121" s="264"/>
      <c r="CS121" s="264"/>
      <c r="CT121" s="264"/>
      <c r="CU121" s="264"/>
      <c r="CV121" s="264"/>
      <c r="CW121" s="264"/>
      <c r="CX121" s="264"/>
      <c r="CY121" s="264"/>
      <c r="CZ121" s="274"/>
      <c r="DA121" s="287"/>
    </row>
    <row r="122" spans="1:105" ht="20.25" customHeight="1" x14ac:dyDescent="0.25">
      <c r="A122" s="287"/>
      <c r="B122" s="287"/>
      <c r="C122" s="287"/>
      <c r="D122" s="287"/>
      <c r="E122" s="287"/>
      <c r="F122" s="287"/>
      <c r="G122" s="289"/>
      <c r="H122" s="289"/>
      <c r="I122" s="289"/>
      <c r="J122" s="289"/>
      <c r="K122" s="289"/>
      <c r="L122" s="289"/>
      <c r="M122" s="289"/>
      <c r="N122" s="289"/>
      <c r="O122" s="289"/>
      <c r="P122" s="287"/>
      <c r="Q122" s="287"/>
      <c r="R122" s="289"/>
      <c r="S122" s="289"/>
      <c r="T122" s="289"/>
      <c r="U122" s="289"/>
      <c r="V122" s="289"/>
      <c r="W122" s="289"/>
      <c r="X122" s="289"/>
      <c r="Y122" s="289"/>
      <c r="Z122" s="289"/>
      <c r="AA122" s="289"/>
      <c r="AB122" s="289"/>
      <c r="AC122" s="287"/>
      <c r="AD122" s="287"/>
      <c r="AE122" s="287"/>
      <c r="AF122" s="287"/>
      <c r="AG122" s="294"/>
      <c r="AH122" s="287"/>
      <c r="AI122" s="287"/>
      <c r="AJ122" s="287"/>
      <c r="AK122" s="287"/>
      <c r="AL122" s="261"/>
      <c r="AM122" s="264"/>
      <c r="AN122" s="264"/>
      <c r="AO122" s="264"/>
      <c r="AP122" s="264"/>
      <c r="AQ122" s="264"/>
      <c r="AR122" s="264"/>
      <c r="AS122" s="264"/>
      <c r="AT122" s="264"/>
      <c r="AU122" s="264"/>
      <c r="AV122" s="264"/>
      <c r="AW122" s="264"/>
      <c r="AX122" s="264"/>
      <c r="AY122" s="264"/>
      <c r="AZ122" s="264"/>
      <c r="BA122" s="264"/>
      <c r="BB122" s="264"/>
      <c r="BC122" s="264"/>
      <c r="BD122" s="264"/>
      <c r="BE122" s="264"/>
      <c r="BF122" s="274"/>
      <c r="BG122" s="287"/>
      <c r="BH122" s="261"/>
      <c r="BI122" s="264"/>
      <c r="BJ122" s="264"/>
      <c r="BK122" s="264"/>
      <c r="BL122" s="264"/>
      <c r="BM122" s="264"/>
      <c r="BN122" s="264"/>
      <c r="BO122" s="264"/>
      <c r="BP122" s="264"/>
      <c r="BQ122" s="264"/>
      <c r="BR122" s="264"/>
      <c r="BS122" s="264"/>
      <c r="BT122" s="264"/>
      <c r="BU122" s="274"/>
      <c r="BV122" s="287"/>
      <c r="BW122" s="261"/>
      <c r="BX122" s="264"/>
      <c r="BY122" s="264"/>
      <c r="BZ122" s="264"/>
      <c r="CA122" s="264"/>
      <c r="CB122" s="264"/>
      <c r="CC122" s="264"/>
      <c r="CD122" s="264"/>
      <c r="CE122" s="264"/>
      <c r="CF122" s="264"/>
      <c r="CG122" s="264"/>
      <c r="CH122" s="264"/>
      <c r="CI122" s="264"/>
      <c r="CJ122" s="264"/>
      <c r="CK122" s="264"/>
      <c r="CL122" s="264"/>
      <c r="CM122" s="264"/>
      <c r="CN122" s="264"/>
      <c r="CO122" s="264"/>
      <c r="CP122" s="264"/>
      <c r="CQ122" s="264"/>
      <c r="CR122" s="264"/>
      <c r="CS122" s="264"/>
      <c r="CT122" s="264"/>
      <c r="CU122" s="264"/>
      <c r="CV122" s="264"/>
      <c r="CW122" s="264"/>
      <c r="CX122" s="264"/>
      <c r="CY122" s="264"/>
      <c r="CZ122" s="274"/>
      <c r="DA122" s="287"/>
    </row>
    <row r="123" spans="1:105" x14ac:dyDescent="0.25">
      <c r="A123" s="287"/>
      <c r="B123" s="287"/>
      <c r="C123" s="287"/>
      <c r="D123" s="287"/>
      <c r="E123" s="287"/>
      <c r="F123" s="287"/>
      <c r="G123" s="287"/>
      <c r="H123" s="287"/>
      <c r="I123" s="287"/>
      <c r="J123" s="287"/>
      <c r="K123" s="287"/>
      <c r="L123" s="287"/>
      <c r="M123" s="287"/>
      <c r="N123" s="287"/>
      <c r="O123" s="287"/>
      <c r="P123" s="287"/>
      <c r="Q123" s="287"/>
      <c r="R123" s="287"/>
      <c r="S123" s="287"/>
      <c r="T123" s="287"/>
      <c r="U123" s="289"/>
      <c r="V123" s="289"/>
      <c r="W123" s="289"/>
      <c r="X123" s="289"/>
      <c r="Y123" s="289"/>
      <c r="Z123" s="289"/>
      <c r="AA123" s="289"/>
      <c r="AB123" s="289"/>
      <c r="AC123" s="287"/>
      <c r="AD123" s="287"/>
      <c r="AE123" s="287"/>
      <c r="AF123" s="287"/>
      <c r="AG123" s="294"/>
      <c r="AH123" s="287"/>
      <c r="AI123" s="287"/>
      <c r="AJ123" s="287"/>
      <c r="AK123" s="287"/>
      <c r="AL123" s="261"/>
      <c r="AM123" s="264"/>
      <c r="AN123" s="264"/>
      <c r="AO123" s="264"/>
      <c r="AP123" s="264"/>
      <c r="AQ123" s="264"/>
      <c r="AR123" s="264"/>
      <c r="AS123" s="264"/>
      <c r="AT123" s="264"/>
      <c r="AU123" s="264"/>
      <c r="AV123" s="264"/>
      <c r="AW123" s="264"/>
      <c r="AX123" s="264"/>
      <c r="AY123" s="264"/>
      <c r="AZ123" s="264"/>
      <c r="BA123" s="264"/>
      <c r="BB123" s="264"/>
      <c r="BC123" s="264"/>
      <c r="BD123" s="264"/>
      <c r="BE123" s="264"/>
      <c r="BF123" s="274"/>
      <c r="BG123" s="287"/>
      <c r="BH123" s="261"/>
      <c r="BI123" s="264"/>
      <c r="BJ123" s="264"/>
      <c r="BK123" s="264"/>
      <c r="BL123" s="264"/>
      <c r="BM123" s="264"/>
      <c r="BN123" s="264"/>
      <c r="BO123" s="264"/>
      <c r="BP123" s="264"/>
      <c r="BQ123" s="264"/>
      <c r="BR123" s="264"/>
      <c r="BS123" s="264"/>
      <c r="BT123" s="264"/>
      <c r="BU123" s="274"/>
      <c r="BV123" s="287"/>
      <c r="BW123" s="261"/>
      <c r="BX123" s="264"/>
      <c r="BY123" s="264"/>
      <c r="BZ123" s="264"/>
      <c r="CA123" s="264"/>
      <c r="CB123" s="264"/>
      <c r="CC123" s="264"/>
      <c r="CD123" s="264"/>
      <c r="CE123" s="264"/>
      <c r="CF123" s="264"/>
      <c r="CG123" s="264"/>
      <c r="CH123" s="264"/>
      <c r="CI123" s="264"/>
      <c r="CJ123" s="264"/>
      <c r="CK123" s="264"/>
      <c r="CL123" s="264"/>
      <c r="CM123" s="264"/>
      <c r="CN123" s="264"/>
      <c r="CO123" s="264"/>
      <c r="CP123" s="264"/>
      <c r="CQ123" s="264"/>
      <c r="CR123" s="264"/>
      <c r="CS123" s="264"/>
      <c r="CT123" s="264"/>
      <c r="CU123" s="264"/>
      <c r="CV123" s="264"/>
      <c r="CW123" s="264"/>
      <c r="CX123" s="264"/>
      <c r="CY123" s="264"/>
      <c r="CZ123" s="274"/>
      <c r="DA123" s="287"/>
    </row>
    <row r="124" spans="1:105" x14ac:dyDescent="0.25">
      <c r="A124" s="287"/>
      <c r="B124" s="287"/>
      <c r="C124" s="287"/>
      <c r="D124" s="287"/>
      <c r="E124" s="287"/>
      <c r="F124" s="287"/>
      <c r="G124" s="287"/>
      <c r="H124" s="287"/>
      <c r="I124" s="287"/>
      <c r="J124" s="287"/>
      <c r="K124" s="287"/>
      <c r="L124" s="287"/>
      <c r="M124" s="287"/>
      <c r="N124" s="287"/>
      <c r="O124" s="287"/>
      <c r="P124" s="287"/>
      <c r="Q124" s="287"/>
      <c r="R124" s="287"/>
      <c r="S124" s="287"/>
      <c r="T124" s="287"/>
      <c r="U124" s="289"/>
      <c r="V124" s="289"/>
      <c r="W124" s="289"/>
      <c r="X124" s="289"/>
      <c r="Y124" s="289"/>
      <c r="Z124" s="289"/>
      <c r="AA124" s="289"/>
      <c r="AB124" s="289"/>
      <c r="AC124" s="287"/>
      <c r="AD124" s="287"/>
      <c r="AE124" s="287"/>
      <c r="AF124" s="287"/>
      <c r="AG124" s="294"/>
      <c r="AH124" s="287"/>
      <c r="AI124" s="287"/>
      <c r="AJ124" s="287"/>
      <c r="AK124" s="287"/>
      <c r="AL124" s="261"/>
      <c r="AM124" s="264"/>
      <c r="AN124" s="264"/>
      <c r="AO124" s="264"/>
      <c r="AP124" s="264"/>
      <c r="AQ124" s="264"/>
      <c r="AR124" s="264"/>
      <c r="AS124" s="264"/>
      <c r="AT124" s="264"/>
      <c r="AU124" s="264"/>
      <c r="AV124" s="264"/>
      <c r="AW124" s="264"/>
      <c r="AX124" s="264"/>
      <c r="AY124" s="264"/>
      <c r="AZ124" s="264"/>
      <c r="BA124" s="264"/>
      <c r="BB124" s="264"/>
      <c r="BC124" s="264"/>
      <c r="BD124" s="264"/>
      <c r="BE124" s="264"/>
      <c r="BF124" s="274"/>
      <c r="BG124" s="287"/>
      <c r="BH124" s="261"/>
      <c r="BI124" s="264"/>
      <c r="BJ124" s="264"/>
      <c r="BK124" s="264"/>
      <c r="BL124" s="264"/>
      <c r="BM124" s="264"/>
      <c r="BN124" s="264"/>
      <c r="BO124" s="264"/>
      <c r="BP124" s="264"/>
      <c r="BQ124" s="264"/>
      <c r="BR124" s="264"/>
      <c r="BS124" s="264"/>
      <c r="BT124" s="264"/>
      <c r="BU124" s="274"/>
      <c r="BV124" s="287"/>
      <c r="BW124" s="261"/>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74"/>
      <c r="DA124" s="287"/>
    </row>
    <row r="125" spans="1:105" x14ac:dyDescent="0.25">
      <c r="A125" s="287"/>
      <c r="B125" s="287"/>
      <c r="C125" s="287"/>
      <c r="D125" s="287"/>
      <c r="E125" s="287"/>
      <c r="F125" s="287"/>
      <c r="G125" s="287"/>
      <c r="H125" s="287"/>
      <c r="I125" s="287"/>
      <c r="J125" s="287"/>
      <c r="K125" s="287"/>
      <c r="L125" s="287"/>
      <c r="M125" s="287"/>
      <c r="N125" s="287"/>
      <c r="O125" s="287"/>
      <c r="P125" s="287"/>
      <c r="Q125" s="287"/>
      <c r="R125" s="289"/>
      <c r="S125" s="289"/>
      <c r="T125" s="289"/>
      <c r="U125" s="289"/>
      <c r="V125" s="289"/>
      <c r="W125" s="289"/>
      <c r="X125" s="289"/>
      <c r="Y125" s="289"/>
      <c r="Z125" s="289"/>
      <c r="AA125" s="289"/>
      <c r="AB125" s="289"/>
      <c r="AC125" s="287"/>
      <c r="AD125" s="287"/>
      <c r="AE125" s="287"/>
      <c r="AF125" s="287"/>
      <c r="AG125" s="294"/>
      <c r="AH125" s="287"/>
      <c r="AI125" s="287"/>
      <c r="AJ125" s="287"/>
      <c r="AK125" s="287"/>
      <c r="AL125" s="261"/>
      <c r="AM125" s="264"/>
      <c r="AN125" s="264"/>
      <c r="AO125" s="264"/>
      <c r="AP125" s="264"/>
      <c r="AQ125" s="264"/>
      <c r="AR125" s="264"/>
      <c r="AS125" s="264"/>
      <c r="AT125" s="264"/>
      <c r="AU125" s="264"/>
      <c r="AV125" s="264"/>
      <c r="AW125" s="264"/>
      <c r="AX125" s="264"/>
      <c r="AY125" s="264"/>
      <c r="AZ125" s="264"/>
      <c r="BA125" s="264"/>
      <c r="BB125" s="264"/>
      <c r="BC125" s="264"/>
      <c r="BD125" s="264"/>
      <c r="BE125" s="264"/>
      <c r="BF125" s="274"/>
      <c r="BG125" s="287"/>
      <c r="BH125" s="261"/>
      <c r="BI125" s="264"/>
      <c r="BJ125" s="264"/>
      <c r="BK125" s="264"/>
      <c r="BL125" s="264"/>
      <c r="BM125" s="264"/>
      <c r="BN125" s="264"/>
      <c r="BO125" s="264"/>
      <c r="BP125" s="264"/>
      <c r="BQ125" s="264"/>
      <c r="BR125" s="264"/>
      <c r="BS125" s="264"/>
      <c r="BT125" s="264"/>
      <c r="BU125" s="274"/>
      <c r="BV125" s="287"/>
      <c r="BW125" s="261"/>
      <c r="BX125" s="264"/>
      <c r="BY125" s="264"/>
      <c r="BZ125" s="264"/>
      <c r="CA125" s="264"/>
      <c r="CB125" s="264"/>
      <c r="CC125" s="264"/>
      <c r="CD125" s="264"/>
      <c r="CE125" s="264"/>
      <c r="CF125" s="264"/>
      <c r="CG125" s="264"/>
      <c r="CH125" s="264"/>
      <c r="CI125" s="264"/>
      <c r="CJ125" s="264"/>
      <c r="CK125" s="264"/>
      <c r="CL125" s="264"/>
      <c r="CM125" s="264"/>
      <c r="CN125" s="264"/>
      <c r="CO125" s="264"/>
      <c r="CP125" s="264"/>
      <c r="CQ125" s="264"/>
      <c r="CR125" s="264"/>
      <c r="CS125" s="264"/>
      <c r="CT125" s="264"/>
      <c r="CU125" s="264"/>
      <c r="CV125" s="264"/>
      <c r="CW125" s="264"/>
      <c r="CX125" s="264"/>
      <c r="CY125" s="264"/>
      <c r="CZ125" s="274"/>
      <c r="DA125" s="287"/>
    </row>
    <row r="126" spans="1:105" x14ac:dyDescent="0.25">
      <c r="A126" s="287"/>
      <c r="B126" s="287"/>
      <c r="C126" s="287"/>
      <c r="D126" s="287"/>
      <c r="E126" s="287"/>
      <c r="F126" s="287"/>
      <c r="G126" s="287"/>
      <c r="H126" s="287"/>
      <c r="I126" s="287"/>
      <c r="J126" s="287"/>
      <c r="K126" s="287"/>
      <c r="L126" s="287"/>
      <c r="M126" s="287"/>
      <c r="N126" s="287"/>
      <c r="O126" s="287"/>
      <c r="P126" s="287"/>
      <c r="Q126" s="287"/>
      <c r="R126" s="289"/>
      <c r="S126" s="289"/>
      <c r="T126" s="289"/>
      <c r="U126" s="289"/>
      <c r="V126" s="289"/>
      <c r="W126" s="289"/>
      <c r="X126" s="289"/>
      <c r="Y126" s="289"/>
      <c r="Z126" s="289"/>
      <c r="AA126" s="289"/>
      <c r="AB126" s="289"/>
      <c r="AC126" s="287"/>
      <c r="AD126" s="287"/>
      <c r="AE126" s="287"/>
      <c r="AF126" s="287"/>
      <c r="AG126" s="294"/>
      <c r="AH126" s="287"/>
      <c r="AI126" s="287"/>
      <c r="AJ126" s="287"/>
      <c r="AK126" s="287"/>
      <c r="AL126" s="261"/>
      <c r="AM126" s="264"/>
      <c r="AN126" s="264"/>
      <c r="AO126" s="264"/>
      <c r="AP126" s="264"/>
      <c r="AQ126" s="264"/>
      <c r="AR126" s="264"/>
      <c r="AS126" s="264"/>
      <c r="AT126" s="264"/>
      <c r="AU126" s="264"/>
      <c r="AV126" s="264"/>
      <c r="AW126" s="264"/>
      <c r="AX126" s="264"/>
      <c r="AY126" s="264"/>
      <c r="AZ126" s="264"/>
      <c r="BA126" s="264"/>
      <c r="BB126" s="264"/>
      <c r="BC126" s="264"/>
      <c r="BD126" s="264"/>
      <c r="BE126" s="264"/>
      <c r="BF126" s="274"/>
      <c r="BG126" s="287"/>
      <c r="BH126" s="261"/>
      <c r="BI126" s="264"/>
      <c r="BJ126" s="264"/>
      <c r="BK126" s="264"/>
      <c r="BL126" s="264"/>
      <c r="BM126" s="264"/>
      <c r="BN126" s="264"/>
      <c r="BO126" s="264"/>
      <c r="BP126" s="264"/>
      <c r="BQ126" s="264"/>
      <c r="BR126" s="264"/>
      <c r="BS126" s="264"/>
      <c r="BT126" s="264"/>
      <c r="BU126" s="274"/>
      <c r="BV126" s="287"/>
      <c r="BW126" s="261"/>
      <c r="BX126" s="264"/>
      <c r="BY126" s="264"/>
      <c r="BZ126" s="264"/>
      <c r="CA126" s="264"/>
      <c r="CB126" s="264"/>
      <c r="CC126" s="264"/>
      <c r="CD126" s="264"/>
      <c r="CE126" s="264"/>
      <c r="CF126" s="264"/>
      <c r="CG126" s="264"/>
      <c r="CH126" s="264"/>
      <c r="CI126" s="264"/>
      <c r="CJ126" s="264"/>
      <c r="CK126" s="264"/>
      <c r="CL126" s="264"/>
      <c r="CM126" s="264"/>
      <c r="CN126" s="264"/>
      <c r="CO126" s="264"/>
      <c r="CP126" s="264"/>
      <c r="CQ126" s="264"/>
      <c r="CR126" s="264"/>
      <c r="CS126" s="264"/>
      <c r="CT126" s="264"/>
      <c r="CU126" s="264"/>
      <c r="CV126" s="264"/>
      <c r="CW126" s="264"/>
      <c r="CX126" s="264"/>
      <c r="CY126" s="264"/>
      <c r="CZ126" s="274"/>
      <c r="DA126" s="287"/>
    </row>
    <row r="127" spans="1:105" x14ac:dyDescent="0.25">
      <c r="A127" s="287"/>
      <c r="B127" s="287"/>
      <c r="C127" s="287"/>
      <c r="D127" s="287"/>
      <c r="E127" s="287"/>
      <c r="F127" s="287"/>
      <c r="G127" s="287"/>
      <c r="H127" s="287"/>
      <c r="I127" s="287"/>
      <c r="J127" s="287"/>
      <c r="K127" s="287"/>
      <c r="L127" s="287"/>
      <c r="M127" s="287"/>
      <c r="N127" s="287"/>
      <c r="O127" s="287"/>
      <c r="P127" s="287"/>
      <c r="Q127" s="287"/>
      <c r="R127" s="289"/>
      <c r="S127" s="289"/>
      <c r="T127" s="289"/>
      <c r="U127" s="289"/>
      <c r="V127" s="289"/>
      <c r="W127" s="289"/>
      <c r="X127" s="289"/>
      <c r="Y127" s="289"/>
      <c r="Z127" s="289"/>
      <c r="AA127" s="289"/>
      <c r="AB127" s="289"/>
      <c r="AC127" s="287"/>
      <c r="AD127" s="287"/>
      <c r="AE127" s="287"/>
      <c r="AF127" s="287"/>
      <c r="AG127" s="294"/>
      <c r="AH127" s="287"/>
      <c r="AI127" s="287"/>
      <c r="AJ127" s="287"/>
      <c r="AK127" s="287"/>
      <c r="AL127" s="261"/>
      <c r="AM127" s="264"/>
      <c r="AN127" s="264"/>
      <c r="AO127" s="264"/>
      <c r="AP127" s="264"/>
      <c r="AQ127" s="264"/>
      <c r="AR127" s="264"/>
      <c r="AS127" s="264"/>
      <c r="AT127" s="264"/>
      <c r="AU127" s="264"/>
      <c r="AV127" s="264"/>
      <c r="AW127" s="264"/>
      <c r="AX127" s="264"/>
      <c r="AY127" s="264"/>
      <c r="AZ127" s="264"/>
      <c r="BA127" s="264"/>
      <c r="BB127" s="264"/>
      <c r="BC127" s="264"/>
      <c r="BD127" s="264"/>
      <c r="BE127" s="264"/>
      <c r="BF127" s="274"/>
      <c r="BG127" s="287"/>
      <c r="BH127" s="261"/>
      <c r="BI127" s="264"/>
      <c r="BJ127" s="264"/>
      <c r="BK127" s="264"/>
      <c r="BL127" s="264"/>
      <c r="BM127" s="264"/>
      <c r="BN127" s="264"/>
      <c r="BO127" s="264"/>
      <c r="BP127" s="264"/>
      <c r="BQ127" s="264"/>
      <c r="BR127" s="264"/>
      <c r="BS127" s="264"/>
      <c r="BT127" s="264"/>
      <c r="BU127" s="274"/>
      <c r="BV127" s="287"/>
      <c r="BW127" s="261"/>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74"/>
      <c r="DA127" s="287"/>
    </row>
    <row r="128" spans="1:105" x14ac:dyDescent="0.25">
      <c r="A128" s="287"/>
      <c r="B128" s="287"/>
      <c r="C128" s="287"/>
      <c r="D128" s="287"/>
      <c r="E128" s="287"/>
      <c r="F128" s="287"/>
      <c r="G128" s="287"/>
      <c r="H128" s="287"/>
      <c r="I128" s="287"/>
      <c r="J128" s="287"/>
      <c r="K128" s="287"/>
      <c r="L128" s="287"/>
      <c r="M128" s="287"/>
      <c r="N128" s="287"/>
      <c r="O128" s="287"/>
      <c r="P128" s="287"/>
      <c r="Q128" s="287"/>
      <c r="R128" s="289"/>
      <c r="S128" s="289"/>
      <c r="T128" s="289"/>
      <c r="U128" s="289"/>
      <c r="V128" s="289"/>
      <c r="W128" s="289"/>
      <c r="X128" s="289"/>
      <c r="Y128" s="289"/>
      <c r="Z128" s="289"/>
      <c r="AA128" s="289"/>
      <c r="AB128" s="289"/>
      <c r="AC128" s="287"/>
      <c r="AD128" s="287"/>
      <c r="AE128" s="287"/>
      <c r="AF128" s="287"/>
      <c r="AG128" s="294"/>
      <c r="AH128" s="287"/>
      <c r="AI128" s="287"/>
      <c r="AJ128" s="287"/>
      <c r="AK128" s="287"/>
      <c r="AL128" s="261"/>
      <c r="AM128" s="264"/>
      <c r="AN128" s="264"/>
      <c r="AO128" s="264"/>
      <c r="AP128" s="264"/>
      <c r="AQ128" s="264"/>
      <c r="AR128" s="264"/>
      <c r="AS128" s="264"/>
      <c r="AT128" s="264"/>
      <c r="AU128" s="264"/>
      <c r="AV128" s="264"/>
      <c r="AW128" s="264"/>
      <c r="AX128" s="264"/>
      <c r="AY128" s="264"/>
      <c r="AZ128" s="264"/>
      <c r="BA128" s="264"/>
      <c r="BB128" s="264"/>
      <c r="BC128" s="264"/>
      <c r="BD128" s="264"/>
      <c r="BE128" s="264"/>
      <c r="BF128" s="274"/>
      <c r="BG128" s="287"/>
      <c r="BH128" s="261"/>
      <c r="BI128" s="264"/>
      <c r="BJ128" s="264"/>
      <c r="BK128" s="264"/>
      <c r="BL128" s="264"/>
      <c r="BM128" s="264"/>
      <c r="BN128" s="264"/>
      <c r="BO128" s="264"/>
      <c r="BP128" s="264"/>
      <c r="BQ128" s="264"/>
      <c r="BR128" s="264"/>
      <c r="BS128" s="264"/>
      <c r="BT128" s="264"/>
      <c r="BU128" s="274"/>
      <c r="BV128" s="287"/>
      <c r="BW128" s="261"/>
      <c r="BX128" s="264"/>
      <c r="BY128" s="264"/>
      <c r="BZ128" s="264"/>
      <c r="CA128" s="264"/>
      <c r="CB128" s="264"/>
      <c r="CC128" s="264"/>
      <c r="CD128" s="264"/>
      <c r="CE128" s="264"/>
      <c r="CF128" s="264"/>
      <c r="CG128" s="264"/>
      <c r="CH128" s="264"/>
      <c r="CI128" s="264"/>
      <c r="CJ128" s="264"/>
      <c r="CK128" s="264"/>
      <c r="CL128" s="264"/>
      <c r="CM128" s="264"/>
      <c r="CN128" s="264"/>
      <c r="CO128" s="264"/>
      <c r="CP128" s="264"/>
      <c r="CQ128" s="264"/>
      <c r="CR128" s="264"/>
      <c r="CS128" s="264"/>
      <c r="CT128" s="264"/>
      <c r="CU128" s="264"/>
      <c r="CV128" s="264"/>
      <c r="CW128" s="264"/>
      <c r="CX128" s="264"/>
      <c r="CY128" s="264"/>
      <c r="CZ128" s="274"/>
      <c r="DA128" s="287"/>
    </row>
    <row r="129" spans="1:105" x14ac:dyDescent="0.25">
      <c r="A129" s="287"/>
      <c r="B129" s="287"/>
      <c r="C129" s="287"/>
      <c r="D129" s="287"/>
      <c r="E129" s="287"/>
      <c r="F129" s="287"/>
      <c r="G129" s="287"/>
      <c r="H129" s="287"/>
      <c r="I129" s="287"/>
      <c r="J129" s="287"/>
      <c r="K129" s="287"/>
      <c r="L129" s="287"/>
      <c r="M129" s="287"/>
      <c r="N129" s="287"/>
      <c r="O129" s="287"/>
      <c r="P129" s="287"/>
      <c r="Q129" s="287"/>
      <c r="R129" s="289"/>
      <c r="S129" s="289"/>
      <c r="T129" s="289"/>
      <c r="U129" s="289"/>
      <c r="V129" s="289"/>
      <c r="W129" s="289"/>
      <c r="X129" s="289"/>
      <c r="Y129" s="289"/>
      <c r="Z129" s="289"/>
      <c r="AA129" s="289"/>
      <c r="AB129" s="289"/>
      <c r="AC129" s="287"/>
      <c r="AD129" s="287"/>
      <c r="AE129" s="287"/>
      <c r="AF129" s="287"/>
      <c r="AG129" s="294"/>
      <c r="AH129" s="287"/>
      <c r="AI129" s="287"/>
      <c r="AJ129" s="287"/>
      <c r="AK129" s="287"/>
      <c r="AL129" s="261"/>
      <c r="AM129" s="264"/>
      <c r="AN129" s="264"/>
      <c r="AO129" s="264"/>
      <c r="AP129" s="264"/>
      <c r="AQ129" s="264"/>
      <c r="AR129" s="264"/>
      <c r="AS129" s="264"/>
      <c r="AT129" s="264"/>
      <c r="AU129" s="264"/>
      <c r="AV129" s="264"/>
      <c r="AW129" s="264"/>
      <c r="AX129" s="264"/>
      <c r="AY129" s="264"/>
      <c r="AZ129" s="264"/>
      <c r="BA129" s="264"/>
      <c r="BB129" s="264"/>
      <c r="BC129" s="264"/>
      <c r="BD129" s="264"/>
      <c r="BE129" s="264"/>
      <c r="BF129" s="274"/>
      <c r="BG129" s="287"/>
      <c r="BH129" s="261"/>
      <c r="BI129" s="264"/>
      <c r="BJ129" s="264"/>
      <c r="BK129" s="264"/>
      <c r="BL129" s="264"/>
      <c r="BM129" s="264"/>
      <c r="BN129" s="264"/>
      <c r="BO129" s="264"/>
      <c r="BP129" s="264"/>
      <c r="BQ129" s="264"/>
      <c r="BR129" s="264"/>
      <c r="BS129" s="264"/>
      <c r="BT129" s="264"/>
      <c r="BU129" s="274"/>
      <c r="BV129" s="287"/>
      <c r="BW129" s="261"/>
      <c r="BX129" s="264"/>
      <c r="BY129" s="264"/>
      <c r="BZ129" s="264"/>
      <c r="CA129" s="264"/>
      <c r="CB129" s="264"/>
      <c r="CC129" s="264"/>
      <c r="CD129" s="264"/>
      <c r="CE129" s="264"/>
      <c r="CF129" s="264"/>
      <c r="CG129" s="264"/>
      <c r="CH129" s="264"/>
      <c r="CI129" s="264"/>
      <c r="CJ129" s="264"/>
      <c r="CK129" s="264"/>
      <c r="CL129" s="264"/>
      <c r="CM129" s="264"/>
      <c r="CN129" s="264"/>
      <c r="CO129" s="264"/>
      <c r="CP129" s="264"/>
      <c r="CQ129" s="264"/>
      <c r="CR129" s="264"/>
      <c r="CS129" s="264"/>
      <c r="CT129" s="264"/>
      <c r="CU129" s="264"/>
      <c r="CV129" s="264"/>
      <c r="CW129" s="264"/>
      <c r="CX129" s="264"/>
      <c r="CY129" s="264"/>
      <c r="CZ129" s="274"/>
      <c r="DA129" s="287"/>
    </row>
    <row r="130" spans="1:105" x14ac:dyDescent="0.25">
      <c r="A130" s="287"/>
      <c r="B130" s="287"/>
      <c r="C130" s="287"/>
      <c r="D130" s="287"/>
      <c r="E130" s="287"/>
      <c r="F130" s="287"/>
      <c r="G130" s="287"/>
      <c r="H130" s="287"/>
      <c r="I130" s="287"/>
      <c r="J130" s="287"/>
      <c r="K130" s="287"/>
      <c r="L130" s="287"/>
      <c r="M130" s="287"/>
      <c r="N130" s="287"/>
      <c r="O130" s="287"/>
      <c r="P130" s="287"/>
      <c r="Q130" s="287"/>
      <c r="R130" s="289"/>
      <c r="S130" s="289"/>
      <c r="T130" s="289"/>
      <c r="U130" s="289"/>
      <c r="V130" s="289"/>
      <c r="W130" s="289"/>
      <c r="X130" s="289"/>
      <c r="Y130" s="289"/>
      <c r="Z130" s="289"/>
      <c r="AA130" s="289"/>
      <c r="AB130" s="289"/>
      <c r="AC130" s="287"/>
      <c r="AD130" s="287"/>
      <c r="AE130" s="287"/>
      <c r="AF130" s="287"/>
      <c r="AG130" s="294"/>
      <c r="AH130" s="287"/>
      <c r="AI130" s="287"/>
      <c r="AJ130" s="287"/>
      <c r="AK130" s="287"/>
      <c r="AL130" s="261"/>
      <c r="AM130" s="264"/>
      <c r="AN130" s="264"/>
      <c r="AO130" s="264"/>
      <c r="AP130" s="264"/>
      <c r="AQ130" s="264"/>
      <c r="AR130" s="264"/>
      <c r="AS130" s="264"/>
      <c r="AT130" s="264"/>
      <c r="AU130" s="264"/>
      <c r="AV130" s="264"/>
      <c r="AW130" s="264"/>
      <c r="AX130" s="264"/>
      <c r="AY130" s="264"/>
      <c r="AZ130" s="264"/>
      <c r="BA130" s="264"/>
      <c r="BB130" s="264"/>
      <c r="BC130" s="264"/>
      <c r="BD130" s="264"/>
      <c r="BE130" s="264"/>
      <c r="BF130" s="274"/>
      <c r="BG130" s="287"/>
      <c r="BH130" s="261"/>
      <c r="BI130" s="264"/>
      <c r="BJ130" s="264"/>
      <c r="BK130" s="264"/>
      <c r="BL130" s="264"/>
      <c r="BM130" s="264"/>
      <c r="BN130" s="264"/>
      <c r="BO130" s="264"/>
      <c r="BP130" s="264"/>
      <c r="BQ130" s="264"/>
      <c r="BR130" s="264"/>
      <c r="BS130" s="264"/>
      <c r="BT130" s="264"/>
      <c r="BU130" s="274"/>
      <c r="BV130" s="287"/>
      <c r="BW130" s="261"/>
      <c r="BX130" s="264"/>
      <c r="BY130" s="264"/>
      <c r="BZ130" s="264"/>
      <c r="CA130" s="264"/>
      <c r="CB130" s="264"/>
      <c r="CC130" s="264"/>
      <c r="CD130" s="264"/>
      <c r="CE130" s="264"/>
      <c r="CF130" s="264"/>
      <c r="CG130" s="264"/>
      <c r="CH130" s="264"/>
      <c r="CI130" s="264"/>
      <c r="CJ130" s="264"/>
      <c r="CK130" s="264"/>
      <c r="CL130" s="264"/>
      <c r="CM130" s="264"/>
      <c r="CN130" s="264"/>
      <c r="CO130" s="264"/>
      <c r="CP130" s="264"/>
      <c r="CQ130" s="264"/>
      <c r="CR130" s="264"/>
      <c r="CS130" s="264"/>
      <c r="CT130" s="264"/>
      <c r="CU130" s="264"/>
      <c r="CV130" s="264"/>
      <c r="CW130" s="264"/>
      <c r="CX130" s="264"/>
      <c r="CY130" s="264"/>
      <c r="CZ130" s="274"/>
      <c r="DA130" s="287"/>
    </row>
    <row r="131" spans="1:105" x14ac:dyDescent="0.25">
      <c r="A131" s="287"/>
      <c r="B131" s="287"/>
      <c r="C131" s="287"/>
      <c r="D131" s="287"/>
      <c r="E131" s="287"/>
      <c r="F131" s="287"/>
      <c r="G131" s="287"/>
      <c r="H131" s="287"/>
      <c r="I131" s="287"/>
      <c r="J131" s="287"/>
      <c r="K131" s="287"/>
      <c r="L131" s="287"/>
      <c r="M131" s="287"/>
      <c r="N131" s="287"/>
      <c r="O131" s="287"/>
      <c r="P131" s="287"/>
      <c r="Q131" s="287"/>
      <c r="R131" s="289"/>
      <c r="S131" s="289"/>
      <c r="T131" s="289"/>
      <c r="U131" s="289"/>
      <c r="V131" s="289"/>
      <c r="W131" s="289"/>
      <c r="X131" s="289"/>
      <c r="Y131" s="289"/>
      <c r="Z131" s="289"/>
      <c r="AA131" s="289"/>
      <c r="AB131" s="289"/>
      <c r="AC131" s="287"/>
      <c r="AD131" s="287"/>
      <c r="AE131" s="287"/>
      <c r="AF131" s="287"/>
      <c r="AG131" s="294"/>
      <c r="AH131" s="287"/>
      <c r="AI131" s="287"/>
      <c r="AJ131" s="287"/>
      <c r="AK131" s="287"/>
      <c r="AL131" s="261"/>
      <c r="AM131" s="264"/>
      <c r="AN131" s="264"/>
      <c r="AO131" s="264"/>
      <c r="AP131" s="264"/>
      <c r="AQ131" s="264"/>
      <c r="AR131" s="264"/>
      <c r="AS131" s="264"/>
      <c r="AT131" s="264"/>
      <c r="AU131" s="264"/>
      <c r="AV131" s="264"/>
      <c r="AW131" s="264"/>
      <c r="AX131" s="264"/>
      <c r="AY131" s="264"/>
      <c r="AZ131" s="264"/>
      <c r="BA131" s="264"/>
      <c r="BB131" s="264"/>
      <c r="BC131" s="264"/>
      <c r="BD131" s="264"/>
      <c r="BE131" s="264"/>
      <c r="BF131" s="274"/>
      <c r="BG131" s="287"/>
      <c r="BH131" s="261"/>
      <c r="BI131" s="264"/>
      <c r="BJ131" s="264"/>
      <c r="BK131" s="264"/>
      <c r="BL131" s="264"/>
      <c r="BM131" s="264"/>
      <c r="BN131" s="264"/>
      <c r="BO131" s="264"/>
      <c r="BP131" s="264"/>
      <c r="BQ131" s="264"/>
      <c r="BR131" s="264"/>
      <c r="BS131" s="264"/>
      <c r="BT131" s="264"/>
      <c r="BU131" s="274"/>
      <c r="BV131" s="287"/>
      <c r="BW131" s="261"/>
      <c r="BX131" s="264"/>
      <c r="BY131" s="264"/>
      <c r="BZ131" s="264"/>
      <c r="CA131" s="264"/>
      <c r="CB131" s="264"/>
      <c r="CC131" s="264"/>
      <c r="CD131" s="264"/>
      <c r="CE131" s="264"/>
      <c r="CF131" s="264"/>
      <c r="CG131" s="264"/>
      <c r="CH131" s="264"/>
      <c r="CI131" s="264"/>
      <c r="CJ131" s="264"/>
      <c r="CK131" s="264"/>
      <c r="CL131" s="264"/>
      <c r="CM131" s="264"/>
      <c r="CN131" s="264"/>
      <c r="CO131" s="264"/>
      <c r="CP131" s="264"/>
      <c r="CQ131" s="264"/>
      <c r="CR131" s="264"/>
      <c r="CS131" s="264"/>
      <c r="CT131" s="264"/>
      <c r="CU131" s="264"/>
      <c r="CV131" s="264"/>
      <c r="CW131" s="264"/>
      <c r="CX131" s="264"/>
      <c r="CY131" s="264"/>
      <c r="CZ131" s="274"/>
      <c r="DA131" s="287"/>
    </row>
    <row r="132" spans="1:105" x14ac:dyDescent="0.25">
      <c r="A132" s="287"/>
      <c r="B132" s="287"/>
      <c r="C132" s="287"/>
      <c r="D132" s="287"/>
      <c r="E132" s="287"/>
      <c r="F132" s="287"/>
      <c r="G132" s="287"/>
      <c r="H132" s="287"/>
      <c r="I132" s="287"/>
      <c r="J132" s="287"/>
      <c r="K132" s="287"/>
      <c r="L132" s="287"/>
      <c r="M132" s="287"/>
      <c r="N132" s="287"/>
      <c r="O132" s="287"/>
      <c r="P132" s="287"/>
      <c r="Q132" s="287"/>
      <c r="R132" s="289"/>
      <c r="S132" s="289"/>
      <c r="T132" s="289"/>
      <c r="U132" s="289"/>
      <c r="V132" s="289"/>
      <c r="W132" s="289"/>
      <c r="X132" s="289"/>
      <c r="Y132" s="33"/>
      <c r="Z132" s="33"/>
      <c r="AA132" s="33"/>
      <c r="AB132" s="33"/>
      <c r="AK132" s="287"/>
      <c r="AL132" s="261"/>
      <c r="AM132" s="264"/>
      <c r="AN132" s="264"/>
      <c r="AO132" s="264"/>
      <c r="AP132" s="264"/>
      <c r="AQ132" s="264"/>
      <c r="AR132" s="264"/>
      <c r="AS132" s="264"/>
      <c r="AT132" s="264"/>
      <c r="AU132" s="264"/>
      <c r="AV132" s="264"/>
      <c r="AW132" s="264"/>
      <c r="AX132" s="264"/>
      <c r="AY132" s="264"/>
      <c r="AZ132" s="264"/>
      <c r="BA132" s="264"/>
      <c r="BB132" s="264"/>
      <c r="BC132" s="264"/>
      <c r="BD132" s="264"/>
      <c r="BE132" s="264"/>
      <c r="BF132" s="274"/>
      <c r="BG132" s="287"/>
      <c r="BH132" s="261"/>
      <c r="BI132" s="264"/>
      <c r="BJ132" s="264"/>
      <c r="BK132" s="264"/>
      <c r="BL132" s="264"/>
      <c r="BM132" s="264"/>
      <c r="BN132" s="264"/>
      <c r="BO132" s="264"/>
      <c r="BP132" s="264"/>
      <c r="BQ132" s="264"/>
      <c r="BR132" s="264"/>
      <c r="BS132" s="264"/>
      <c r="BT132" s="264"/>
      <c r="BU132" s="274"/>
      <c r="BV132" s="287"/>
      <c r="BW132" s="261"/>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74"/>
      <c r="DA132" s="287"/>
    </row>
    <row r="133" spans="1:105" ht="15.75" thickBot="1" x14ac:dyDescent="0.3">
      <c r="A133" s="287"/>
      <c r="B133" s="287"/>
      <c r="C133" s="287"/>
      <c r="D133" s="287"/>
      <c r="E133" s="287"/>
      <c r="F133" s="287"/>
      <c r="G133" s="287"/>
      <c r="H133" s="287"/>
      <c r="I133" s="287"/>
      <c r="J133" s="287"/>
      <c r="K133" s="287"/>
      <c r="L133" s="287"/>
      <c r="M133" s="287"/>
      <c r="N133" s="287"/>
      <c r="O133" s="287"/>
      <c r="P133" s="287"/>
      <c r="Q133" s="287"/>
      <c r="R133" s="289"/>
      <c r="S133" s="289"/>
      <c r="T133" s="289"/>
      <c r="U133" s="289"/>
      <c r="V133" s="33"/>
      <c r="W133" s="33"/>
      <c r="X133" s="33"/>
      <c r="Y133" s="33"/>
      <c r="Z133" s="33"/>
      <c r="AA133" s="33"/>
      <c r="AB133" s="33"/>
      <c r="AK133" s="287"/>
      <c r="AL133" s="262"/>
      <c r="AM133" s="270"/>
      <c r="AN133" s="270"/>
      <c r="AO133" s="270"/>
      <c r="AP133" s="270"/>
      <c r="AQ133" s="270"/>
      <c r="AR133" s="270"/>
      <c r="AS133" s="270"/>
      <c r="AT133" s="270"/>
      <c r="AU133" s="270"/>
      <c r="AV133" s="270"/>
      <c r="AW133" s="270"/>
      <c r="AX133" s="270"/>
      <c r="AY133" s="270"/>
      <c r="AZ133" s="270"/>
      <c r="BA133" s="270"/>
      <c r="BB133" s="270"/>
      <c r="BC133" s="270"/>
      <c r="BD133" s="270"/>
      <c r="BE133" s="270"/>
      <c r="BF133" s="1073"/>
      <c r="BG133" s="287"/>
      <c r="BH133" s="262"/>
      <c r="BI133" s="270"/>
      <c r="BJ133" s="270"/>
      <c r="BK133" s="270"/>
      <c r="BL133" s="270"/>
      <c r="BM133" s="270"/>
      <c r="BN133" s="270"/>
      <c r="BO133" s="270"/>
      <c r="BP133" s="270"/>
      <c r="BQ133" s="270"/>
      <c r="BR133" s="270"/>
      <c r="BS133" s="270"/>
      <c r="BT133" s="270"/>
      <c r="BU133" s="1073"/>
      <c r="BV133" s="287"/>
      <c r="BW133" s="262"/>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c r="CT133" s="270"/>
      <c r="CU133" s="270"/>
      <c r="CV133" s="270"/>
      <c r="CW133" s="270"/>
      <c r="CX133" s="270"/>
      <c r="CY133" s="270"/>
      <c r="CZ133" s="1073"/>
      <c r="DA133" s="287"/>
    </row>
    <row r="134" spans="1:105" x14ac:dyDescent="0.25">
      <c r="A134" s="287"/>
      <c r="B134" s="287"/>
      <c r="C134" s="287"/>
      <c r="D134" s="287"/>
      <c r="E134" s="287"/>
      <c r="F134" s="287"/>
      <c r="G134" s="287"/>
      <c r="H134" s="287"/>
      <c r="I134" s="287"/>
      <c r="J134" s="287"/>
      <c r="K134" s="287"/>
      <c r="L134" s="287"/>
      <c r="M134" s="287"/>
      <c r="N134" s="287"/>
      <c r="O134" s="287"/>
      <c r="P134" s="287"/>
      <c r="Q134" s="287"/>
      <c r="R134" s="289"/>
      <c r="S134" s="289"/>
      <c r="T134" s="289"/>
      <c r="U134" s="289"/>
      <c r="V134" s="33"/>
      <c r="W134" s="33"/>
      <c r="X134" s="33"/>
      <c r="Y134" s="33"/>
      <c r="Z134" s="33"/>
      <c r="AA134" s="33"/>
      <c r="AB134" s="33"/>
      <c r="AK134" s="287"/>
      <c r="AL134" s="287"/>
      <c r="AM134" s="287"/>
      <c r="AN134" s="287"/>
      <c r="AO134" s="287"/>
      <c r="AP134" s="287"/>
      <c r="AQ134" s="287"/>
      <c r="AR134" s="287"/>
      <c r="AS134" s="287"/>
      <c r="AT134" s="287"/>
      <c r="AU134" s="287"/>
      <c r="AV134" s="287"/>
      <c r="AW134" s="287"/>
      <c r="AX134" s="287"/>
      <c r="AY134" s="287"/>
      <c r="AZ134" s="287"/>
      <c r="BA134" s="287"/>
      <c r="BB134" s="287"/>
      <c r="BC134" s="287"/>
      <c r="BD134" s="287"/>
      <c r="BE134" s="287"/>
      <c r="BF134" s="287"/>
      <c r="BG134" s="287"/>
      <c r="BH134" s="287"/>
      <c r="BI134" s="287"/>
      <c r="BJ134" s="287"/>
      <c r="BK134" s="287"/>
      <c r="BL134" s="287"/>
      <c r="BM134" s="287"/>
      <c r="BN134" s="287"/>
      <c r="BO134" s="287"/>
      <c r="BP134" s="287"/>
      <c r="BQ134" s="287"/>
      <c r="BR134" s="287"/>
      <c r="BS134" s="287"/>
      <c r="BT134" s="287"/>
      <c r="BU134" s="287"/>
      <c r="BV134" s="287"/>
      <c r="BW134" s="287"/>
      <c r="BX134" s="287"/>
      <c r="BY134" s="287"/>
      <c r="BZ134" s="287"/>
      <c r="CA134" s="287"/>
      <c r="CB134" s="287"/>
      <c r="CC134" s="287"/>
      <c r="CD134" s="287"/>
      <c r="CE134" s="287"/>
      <c r="CF134" s="287"/>
      <c r="CG134" s="287"/>
      <c r="CH134" s="287"/>
      <c r="CI134" s="287"/>
      <c r="CJ134" s="287"/>
      <c r="CK134" s="287"/>
      <c r="CL134" s="287"/>
      <c r="CM134" s="287"/>
      <c r="CN134" s="287"/>
      <c r="CO134" s="287"/>
      <c r="CP134" s="287"/>
      <c r="CQ134" s="287"/>
      <c r="CR134" s="287"/>
      <c r="CS134" s="287"/>
      <c r="CT134" s="287"/>
      <c r="CU134" s="287"/>
      <c r="CV134" s="287"/>
      <c r="CW134" s="287"/>
      <c r="CX134" s="287"/>
      <c r="CY134" s="287"/>
      <c r="CZ134" s="287"/>
      <c r="DA134" s="287"/>
    </row>
    <row r="135" spans="1:105" ht="25.5" customHeight="1" x14ac:dyDescent="0.25">
      <c r="A135" s="287"/>
      <c r="B135" s="287"/>
      <c r="C135" s="287"/>
      <c r="D135" s="287"/>
      <c r="E135" s="287"/>
      <c r="F135" s="287"/>
      <c r="G135" s="287"/>
      <c r="H135" s="287"/>
      <c r="I135" s="287"/>
      <c r="J135" s="287"/>
      <c r="K135" s="287"/>
      <c r="L135" s="287"/>
      <c r="M135" s="287"/>
      <c r="N135" s="287"/>
      <c r="O135" s="287"/>
      <c r="P135" s="287"/>
      <c r="Q135" s="287"/>
      <c r="R135" s="289"/>
      <c r="S135" s="289"/>
      <c r="T135" s="289"/>
      <c r="U135" s="289"/>
      <c r="V135" s="33"/>
      <c r="W135" s="33"/>
      <c r="X135" s="33"/>
      <c r="Y135" s="33"/>
      <c r="Z135" s="33"/>
      <c r="AA135" s="33"/>
      <c r="AB135" s="33"/>
      <c r="AK135" s="287"/>
      <c r="AL135" s="287"/>
      <c r="AM135" s="287"/>
      <c r="AN135" s="287"/>
      <c r="AO135" s="287"/>
      <c r="AP135" s="287"/>
      <c r="AQ135" s="287"/>
      <c r="AR135" s="287"/>
      <c r="AS135" s="287"/>
      <c r="AT135" s="287"/>
      <c r="AU135" s="287"/>
      <c r="AV135" s="287"/>
      <c r="AW135" s="287"/>
      <c r="AX135" s="287"/>
      <c r="AY135" s="287"/>
      <c r="AZ135" s="287"/>
      <c r="BA135" s="287"/>
      <c r="BB135" s="287"/>
      <c r="BC135" s="287"/>
      <c r="BD135" s="287"/>
      <c r="BE135" s="287"/>
      <c r="BF135" s="287"/>
      <c r="BH135" s="287"/>
      <c r="BI135" s="287"/>
      <c r="BJ135" s="287"/>
      <c r="BK135" s="287"/>
      <c r="BL135" s="287"/>
      <c r="BM135" s="287"/>
      <c r="BN135" s="287"/>
      <c r="BO135" s="287"/>
      <c r="BP135" s="287"/>
      <c r="BQ135" s="287"/>
      <c r="BR135" s="287"/>
      <c r="BS135" s="287"/>
      <c r="BT135" s="287"/>
      <c r="BU135" s="287"/>
      <c r="BV135" s="287"/>
      <c r="BW135" s="287"/>
      <c r="BX135" s="287"/>
      <c r="BY135" s="287"/>
      <c r="BZ135" s="287"/>
      <c r="CA135" s="287"/>
      <c r="CB135" s="287"/>
      <c r="CC135" s="287"/>
      <c r="CD135" s="287"/>
      <c r="CE135" s="287"/>
      <c r="CF135" s="287"/>
      <c r="CG135" s="287"/>
      <c r="CH135" s="287"/>
      <c r="CI135" s="287"/>
      <c r="CJ135" s="287"/>
      <c r="CK135" s="287"/>
      <c r="CL135" s="287"/>
      <c r="CM135" s="287"/>
      <c r="CN135" s="287"/>
      <c r="CO135" s="287"/>
      <c r="CP135" s="287"/>
      <c r="CQ135" s="287"/>
      <c r="CR135" s="287"/>
      <c r="CS135" s="287"/>
      <c r="CT135" s="287"/>
      <c r="CU135" s="287"/>
      <c r="CV135" s="287"/>
      <c r="CW135" s="287"/>
      <c r="CX135" s="287"/>
      <c r="CY135" s="287"/>
      <c r="CZ135" s="287"/>
      <c r="DA135" s="287"/>
    </row>
    <row r="136" spans="1:105" x14ac:dyDescent="0.25">
      <c r="A136" s="287"/>
      <c r="B136" s="287"/>
      <c r="C136" s="287"/>
      <c r="D136" s="287"/>
      <c r="E136" s="287"/>
      <c r="F136" s="287"/>
      <c r="G136" s="287"/>
      <c r="H136" s="287"/>
      <c r="I136" s="287"/>
      <c r="J136" s="287"/>
      <c r="K136" s="287"/>
      <c r="L136" s="287"/>
      <c r="M136" s="287"/>
      <c r="N136" s="287"/>
      <c r="O136" s="287"/>
      <c r="P136" s="287"/>
      <c r="Q136" s="287"/>
      <c r="R136" s="289"/>
      <c r="S136" s="289"/>
      <c r="T136" s="289"/>
      <c r="U136" s="289"/>
      <c r="V136" s="33"/>
      <c r="W136" s="33"/>
      <c r="X136" s="33"/>
    </row>
    <row r="137" spans="1:105" x14ac:dyDescent="0.25">
      <c r="Q137" s="287"/>
      <c r="R137" s="289"/>
      <c r="S137" s="289"/>
      <c r="T137" s="289"/>
      <c r="U137" s="33"/>
      <c r="Y137" s="43"/>
      <c r="Z137" s="43"/>
      <c r="AA137" s="43"/>
      <c r="AB137" s="43"/>
    </row>
    <row r="138" spans="1:105" x14ac:dyDescent="0.25">
      <c r="R138" s="33"/>
      <c r="S138" s="33"/>
      <c r="T138" s="33"/>
      <c r="U138" s="33"/>
      <c r="V138" s="43"/>
      <c r="W138" s="43"/>
      <c r="X138" s="43"/>
    </row>
    <row r="139" spans="1:105" x14ac:dyDescent="0.25">
      <c r="R139" s="33"/>
      <c r="S139" s="33"/>
      <c r="T139" s="33"/>
      <c r="U139" s="33"/>
      <c r="Y139" s="33"/>
      <c r="Z139" s="33"/>
      <c r="AA139" s="33"/>
      <c r="AB139" s="33"/>
    </row>
    <row r="140" spans="1:105" ht="18" customHeight="1" x14ac:dyDescent="0.25">
      <c r="R140" s="33"/>
      <c r="S140" s="33"/>
      <c r="T140" s="33"/>
      <c r="U140" s="33"/>
      <c r="V140" s="33"/>
      <c r="W140" s="33"/>
      <c r="X140" s="33"/>
      <c r="Y140" s="33"/>
      <c r="Z140" s="33"/>
      <c r="AA140" s="33"/>
      <c r="AB140" s="33"/>
      <c r="AC140" s="33"/>
      <c r="AD140" s="33"/>
      <c r="AE140" s="33"/>
      <c r="AF140" s="33"/>
      <c r="AG140" s="92"/>
      <c r="AH140" s="33"/>
      <c r="AI140" s="33"/>
      <c r="AJ140" s="33"/>
    </row>
    <row r="141" spans="1:105" x14ac:dyDescent="0.25">
      <c r="R141" s="33"/>
      <c r="S141" s="33"/>
      <c r="T141" s="33"/>
      <c r="V141" s="33"/>
      <c r="W141" s="33"/>
      <c r="X141" s="33"/>
      <c r="Y141" s="33"/>
      <c r="Z141" s="33"/>
      <c r="AA141" s="33"/>
      <c r="AB141" s="33"/>
      <c r="AC141" s="33"/>
      <c r="AD141" s="33"/>
      <c r="AE141" s="33"/>
      <c r="AF141" s="33"/>
      <c r="AG141" s="92"/>
      <c r="AH141" s="33"/>
      <c r="AI141" s="33"/>
      <c r="AJ141" s="33"/>
    </row>
    <row r="142" spans="1:105" ht="17.25" customHeight="1" x14ac:dyDescent="0.25">
      <c r="R142" s="33"/>
      <c r="S142" s="33"/>
      <c r="T142" s="33"/>
      <c r="U142" s="43"/>
      <c r="V142" s="33"/>
      <c r="W142" s="33"/>
      <c r="X142" s="33"/>
      <c r="Y142" s="33"/>
      <c r="Z142" s="33"/>
      <c r="AA142" s="33"/>
      <c r="AB142" s="33"/>
      <c r="AC142" s="33"/>
      <c r="AD142" s="33"/>
      <c r="AE142" s="33"/>
      <c r="AF142" s="33"/>
      <c r="AG142" s="92"/>
      <c r="AH142" s="33"/>
      <c r="AI142" s="33"/>
      <c r="AJ142" s="33"/>
    </row>
    <row r="143" spans="1:105" x14ac:dyDescent="0.25">
      <c r="R143" s="33"/>
      <c r="S143" s="33"/>
      <c r="T143" s="33"/>
      <c r="V143" s="33"/>
      <c r="W143" s="33"/>
      <c r="X143" s="33"/>
      <c r="Y143" s="33"/>
      <c r="Z143" s="33"/>
      <c r="AA143" s="33"/>
      <c r="AB143" s="33"/>
      <c r="AC143" s="33"/>
      <c r="AD143" s="33"/>
      <c r="AE143" s="33"/>
      <c r="AF143" s="33"/>
      <c r="AG143" s="92"/>
      <c r="AH143" s="33"/>
      <c r="AI143" s="33"/>
      <c r="AJ143" s="33"/>
      <c r="BF143" s="8"/>
      <c r="BG143" s="8"/>
      <c r="BH143" s="8"/>
      <c r="BI143" s="8"/>
      <c r="BJ143" s="8"/>
      <c r="BK143" s="8"/>
      <c r="BL143" s="8"/>
      <c r="BM143" s="8"/>
    </row>
    <row r="144" spans="1:105" x14ac:dyDescent="0.25">
      <c r="U144" s="33"/>
      <c r="V144" s="33"/>
      <c r="W144" s="33"/>
      <c r="X144" s="33"/>
      <c r="AC144" s="33"/>
      <c r="AD144" s="33"/>
      <c r="AE144" s="33"/>
      <c r="AF144" s="33"/>
      <c r="AG144" s="92"/>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I144" s="257"/>
      <c r="BK144" s="258"/>
    </row>
    <row r="145" spans="18:65" x14ac:dyDescent="0.25">
      <c r="R145" s="43"/>
      <c r="S145" s="43"/>
      <c r="T145" s="43"/>
      <c r="U145" s="33"/>
      <c r="Y145" s="43"/>
      <c r="Z145" s="43"/>
      <c r="AA145" s="43"/>
      <c r="AB145" s="43"/>
      <c r="AC145" s="33"/>
      <c r="AD145" s="33"/>
      <c r="AE145" s="33"/>
      <c r="AF145" s="33"/>
      <c r="AG145" s="92"/>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I145" s="33"/>
      <c r="BJ145" s="33"/>
      <c r="BK145" s="258"/>
    </row>
    <row r="146" spans="18:65" x14ac:dyDescent="0.25">
      <c r="U146" s="33"/>
      <c r="V146" s="43"/>
      <c r="W146" s="43"/>
      <c r="X146" s="43"/>
      <c r="AC146" s="33"/>
      <c r="AD146" s="33"/>
      <c r="AE146" s="33"/>
      <c r="AF146" s="33"/>
      <c r="AG146" s="92"/>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257"/>
      <c r="BK146" s="258"/>
      <c r="BM146" s="33"/>
    </row>
    <row r="147" spans="18:65" ht="17.25" customHeight="1" x14ac:dyDescent="0.25">
      <c r="R147" s="33"/>
      <c r="S147" s="33"/>
      <c r="T147" s="33"/>
      <c r="U147" s="33"/>
      <c r="Y147" s="33"/>
      <c r="Z147" s="33"/>
      <c r="AA147" s="33"/>
      <c r="AB147" s="33"/>
      <c r="AC147" s="33"/>
      <c r="AD147" s="33"/>
      <c r="AE147" s="33"/>
      <c r="AF147" s="33"/>
      <c r="AG147" s="92"/>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257"/>
      <c r="BK147" s="258"/>
      <c r="BM147" s="33"/>
    </row>
    <row r="148" spans="18:65" ht="18.75" customHeight="1" x14ac:dyDescent="0.25">
      <c r="R148" s="33"/>
      <c r="S148" s="33"/>
      <c r="T148" s="33"/>
      <c r="U148" s="33"/>
      <c r="V148" s="33"/>
      <c r="W148" s="33"/>
      <c r="X148" s="33"/>
      <c r="Y148" s="33"/>
      <c r="Z148" s="33"/>
      <c r="AA148" s="33"/>
      <c r="AB148" s="33"/>
      <c r="AC148" s="33"/>
      <c r="AD148" s="33"/>
      <c r="AE148" s="33"/>
      <c r="AF148" s="33"/>
      <c r="AG148" s="92"/>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I148" s="257"/>
      <c r="BK148" s="258"/>
    </row>
    <row r="149" spans="18:65" x14ac:dyDescent="0.25">
      <c r="R149" s="33"/>
      <c r="S149" s="33"/>
      <c r="T149" s="33"/>
      <c r="V149" s="33"/>
      <c r="W149" s="33"/>
      <c r="X149" s="33"/>
      <c r="Y149" s="33"/>
      <c r="Z149" s="33"/>
      <c r="AA149" s="33"/>
      <c r="AB149" s="33"/>
      <c r="AC149" s="33"/>
      <c r="AD149" s="33"/>
      <c r="AE149" s="33"/>
      <c r="AF149" s="33"/>
      <c r="AG149" s="92"/>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I149" s="33"/>
      <c r="BJ149" s="33"/>
      <c r="BK149" s="258"/>
    </row>
    <row r="150" spans="18:65" ht="18" customHeight="1" x14ac:dyDescent="0.25">
      <c r="R150" s="33"/>
      <c r="S150" s="33"/>
      <c r="T150" s="33"/>
      <c r="U150" s="43"/>
      <c r="V150" s="33"/>
      <c r="W150" s="33"/>
      <c r="X150" s="33"/>
      <c r="Y150" s="33"/>
      <c r="Z150" s="33"/>
      <c r="AA150" s="33"/>
      <c r="AB150" s="33"/>
      <c r="AC150" s="33"/>
      <c r="AD150" s="33"/>
      <c r="AE150" s="33"/>
      <c r="AF150" s="33"/>
      <c r="AG150" s="92"/>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257"/>
      <c r="BK150" s="310"/>
      <c r="BM150" s="33"/>
    </row>
    <row r="151" spans="18:65" x14ac:dyDescent="0.25">
      <c r="R151" s="33"/>
      <c r="S151" s="33"/>
      <c r="T151" s="33"/>
      <c r="V151" s="33"/>
      <c r="W151" s="33"/>
      <c r="X151" s="33"/>
      <c r="Y151" s="33"/>
      <c r="Z151" s="33"/>
      <c r="AA151" s="33"/>
      <c r="AB151" s="33"/>
      <c r="AC151" s="33"/>
      <c r="AD151" s="33"/>
      <c r="AE151" s="33"/>
      <c r="AF151" s="33"/>
      <c r="AG151" s="92"/>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257"/>
      <c r="BK151" s="258"/>
      <c r="BM151" s="33"/>
    </row>
    <row r="152" spans="18:65" x14ac:dyDescent="0.25">
      <c r="U152" s="33"/>
      <c r="V152" s="33"/>
      <c r="W152" s="33"/>
      <c r="X152" s="33"/>
      <c r="Y152" s="33"/>
      <c r="Z152" s="33"/>
      <c r="AA152" s="33"/>
      <c r="AB152" s="33"/>
      <c r="AC152" s="33"/>
      <c r="AD152" s="33"/>
      <c r="AE152" s="33"/>
      <c r="AF152" s="33"/>
      <c r="AG152" s="92"/>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257"/>
      <c r="BK152" s="258"/>
      <c r="BM152" s="33"/>
    </row>
    <row r="153" spans="18:65" x14ac:dyDescent="0.25">
      <c r="R153" s="43"/>
      <c r="S153" s="43"/>
      <c r="T153" s="43"/>
      <c r="U153" s="33"/>
      <c r="V153" s="33"/>
      <c r="W153" s="33"/>
      <c r="X153" s="33"/>
      <c r="Y153" s="33"/>
      <c r="Z153" s="33"/>
      <c r="AA153" s="33"/>
      <c r="AB153" s="33"/>
      <c r="AC153" s="33"/>
      <c r="AD153" s="33"/>
      <c r="AE153" s="33"/>
      <c r="AF153" s="33"/>
      <c r="AG153" s="92"/>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257"/>
      <c r="BG153" s="257"/>
      <c r="BH153" s="257"/>
      <c r="BI153" s="257"/>
      <c r="BJ153" s="257"/>
      <c r="BK153" s="257"/>
      <c r="BL153" s="257"/>
    </row>
    <row r="154" spans="18:65" ht="17.25" customHeight="1" x14ac:dyDescent="0.25">
      <c r="U154" s="33"/>
      <c r="V154" s="33"/>
      <c r="W154" s="33"/>
      <c r="X154" s="33"/>
      <c r="Y154" s="33"/>
      <c r="Z154" s="33"/>
      <c r="AA154" s="33"/>
      <c r="AB154" s="33"/>
      <c r="AC154" s="33"/>
      <c r="AD154" s="33"/>
      <c r="AE154" s="33"/>
      <c r="AF154" s="33"/>
      <c r="AG154" s="92"/>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row>
    <row r="155" spans="18:65" ht="18" customHeight="1" x14ac:dyDescent="0.25">
      <c r="R155" s="33"/>
      <c r="S155" s="33"/>
      <c r="T155" s="33"/>
      <c r="U155" s="33"/>
      <c r="V155" s="33"/>
      <c r="W155" s="33"/>
      <c r="X155" s="33"/>
      <c r="Y155" s="33"/>
      <c r="Z155" s="33"/>
      <c r="AA155" s="33"/>
      <c r="AB155" s="33"/>
      <c r="AC155" s="33"/>
      <c r="AD155" s="33"/>
      <c r="AE155" s="33"/>
      <c r="AF155" s="33"/>
      <c r="AG155" s="92"/>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row>
    <row r="156" spans="18:65" x14ac:dyDescent="0.25">
      <c r="R156" s="33"/>
      <c r="S156" s="33"/>
      <c r="T156" s="33"/>
      <c r="U156" s="33"/>
      <c r="V156" s="33"/>
      <c r="W156" s="33"/>
      <c r="X156" s="33"/>
      <c r="Y156" s="33"/>
      <c r="Z156" s="33"/>
      <c r="AA156" s="33"/>
      <c r="AB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row>
    <row r="157" spans="18:65" x14ac:dyDescent="0.25">
      <c r="R157" s="33"/>
      <c r="S157" s="33"/>
      <c r="T157" s="33"/>
      <c r="U157" s="33"/>
      <c r="V157" s="33"/>
      <c r="W157" s="33"/>
      <c r="X157" s="33"/>
      <c r="AC157" s="43"/>
      <c r="AD157" s="43"/>
      <c r="AE157" s="43"/>
      <c r="AF157" s="43"/>
      <c r="AG157" s="93"/>
      <c r="AH157" s="43"/>
      <c r="AI157" s="43"/>
      <c r="AJ157" s="43"/>
      <c r="AK157" s="33"/>
      <c r="AL157" s="33"/>
      <c r="AM157" s="33"/>
      <c r="AN157" s="33"/>
      <c r="AO157" s="33"/>
      <c r="AP157" s="33"/>
      <c r="AQ157" s="33"/>
      <c r="AR157" s="33"/>
      <c r="AS157" s="33"/>
      <c r="AT157" s="33"/>
      <c r="AU157" s="33"/>
      <c r="AV157" s="33"/>
      <c r="AW157" s="33"/>
      <c r="AX157" s="33"/>
      <c r="AY157" s="33"/>
      <c r="AZ157" s="33"/>
      <c r="BA157" s="33"/>
      <c r="BB157" s="33"/>
      <c r="BC157" s="33"/>
      <c r="BD157" s="33"/>
      <c r="BE157" s="33"/>
    </row>
    <row r="158" spans="18:65" x14ac:dyDescent="0.25">
      <c r="R158" s="33"/>
      <c r="S158" s="33"/>
      <c r="T158" s="33"/>
      <c r="U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row>
    <row r="159" spans="18:65" x14ac:dyDescent="0.25">
      <c r="R159" s="33"/>
      <c r="S159" s="33"/>
      <c r="T159" s="33"/>
      <c r="U159" s="33"/>
      <c r="AB159" s="43"/>
      <c r="AC159" s="33"/>
      <c r="AD159" s="33"/>
      <c r="AE159" s="33"/>
      <c r="AF159" s="33"/>
      <c r="AG159" s="92"/>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row>
    <row r="160" spans="18:65" x14ac:dyDescent="0.25">
      <c r="R160" s="33"/>
      <c r="S160" s="33"/>
      <c r="T160" s="33"/>
      <c r="U160" s="33"/>
      <c r="AC160" s="33"/>
      <c r="AD160" s="33"/>
      <c r="AE160" s="33"/>
      <c r="AF160" s="33"/>
      <c r="AG160" s="92"/>
      <c r="AH160" s="33"/>
      <c r="AI160" s="33"/>
      <c r="AJ160" s="33"/>
    </row>
    <row r="161" spans="18:57" ht="18.75" customHeight="1" x14ac:dyDescent="0.25">
      <c r="R161" s="33"/>
      <c r="S161" s="33"/>
      <c r="T161" s="33"/>
      <c r="U161" s="33"/>
      <c r="AC161" s="33"/>
      <c r="AD161" s="33"/>
      <c r="AE161" s="33"/>
      <c r="AF161" s="33"/>
      <c r="AG161" s="92"/>
      <c r="AH161" s="33"/>
      <c r="AI161" s="33"/>
      <c r="AJ161" s="33"/>
      <c r="AK161" s="43"/>
      <c r="AL161" s="43"/>
      <c r="AM161" s="43"/>
      <c r="AN161" s="43"/>
      <c r="AO161" s="43"/>
      <c r="AP161" s="43"/>
      <c r="AQ161" s="43"/>
      <c r="AR161" s="43"/>
      <c r="AS161" s="43"/>
      <c r="AT161" s="43"/>
      <c r="AU161" s="43"/>
      <c r="AV161" s="43"/>
      <c r="AW161" s="43"/>
      <c r="AX161" s="43"/>
      <c r="AY161" s="43"/>
      <c r="AZ161" s="43"/>
      <c r="BA161" s="43"/>
      <c r="BB161" s="43"/>
      <c r="BC161" s="43"/>
      <c r="BD161" s="43"/>
      <c r="BE161" s="43"/>
    </row>
    <row r="162" spans="18:57" x14ac:dyDescent="0.25">
      <c r="R162" s="33"/>
      <c r="S162" s="33"/>
      <c r="T162" s="33"/>
      <c r="AB162" s="33"/>
      <c r="AC162" s="33"/>
      <c r="AD162" s="33"/>
      <c r="AE162" s="33"/>
      <c r="AF162" s="33"/>
      <c r="AG162" s="92"/>
      <c r="AH162" s="33"/>
      <c r="AI162" s="33"/>
      <c r="AJ162" s="33"/>
    </row>
    <row r="163" spans="18:57" x14ac:dyDescent="0.25">
      <c r="R163" s="33"/>
      <c r="S163" s="33"/>
      <c r="T163" s="33"/>
      <c r="AB163" s="33"/>
      <c r="AC163" s="33"/>
      <c r="AD163" s="33"/>
      <c r="AE163" s="33"/>
      <c r="AF163" s="33"/>
      <c r="AG163" s="92"/>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row>
    <row r="164" spans="18:57" ht="18" customHeight="1" x14ac:dyDescent="0.25">
      <c r="R164" s="33"/>
      <c r="S164" s="33"/>
      <c r="T164" s="33"/>
      <c r="AB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row>
    <row r="165" spans="18:57" x14ac:dyDescent="0.25">
      <c r="AB165" s="33"/>
      <c r="AC165" s="43"/>
      <c r="AD165" s="43"/>
      <c r="AE165" s="43"/>
      <c r="AF165" s="43"/>
      <c r="AG165" s="93"/>
      <c r="AH165" s="43"/>
      <c r="AI165" s="43"/>
      <c r="AJ165" s="43"/>
      <c r="AK165" s="33"/>
      <c r="AL165" s="33"/>
      <c r="AM165" s="33"/>
      <c r="AN165" s="33"/>
      <c r="AO165" s="33"/>
      <c r="AP165" s="33"/>
      <c r="AQ165" s="33"/>
      <c r="AR165" s="33"/>
      <c r="AS165" s="33"/>
      <c r="AT165" s="33"/>
      <c r="AU165" s="33"/>
      <c r="AV165" s="33"/>
      <c r="AW165" s="33"/>
      <c r="AX165" s="33"/>
      <c r="AY165" s="33"/>
      <c r="AZ165" s="33"/>
      <c r="BA165" s="33"/>
      <c r="BB165" s="33"/>
      <c r="BC165" s="33"/>
      <c r="BD165" s="33"/>
      <c r="BE165" s="33"/>
    </row>
    <row r="166" spans="18:57" x14ac:dyDescent="0.25">
      <c r="AB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row>
    <row r="167" spans="18:57" x14ac:dyDescent="0.25">
      <c r="AB167" s="33"/>
      <c r="AC167" s="33"/>
      <c r="AD167" s="33"/>
      <c r="AE167" s="33"/>
      <c r="AF167" s="33"/>
      <c r="AG167" s="92"/>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row>
    <row r="168" spans="18:57" x14ac:dyDescent="0.25">
      <c r="AB168" s="33"/>
      <c r="AC168" s="33"/>
      <c r="AD168" s="33"/>
      <c r="AE168" s="33"/>
      <c r="AF168" s="33"/>
      <c r="AG168" s="92"/>
      <c r="AH168" s="33"/>
      <c r="AI168" s="33"/>
      <c r="AJ168" s="33"/>
    </row>
    <row r="169" spans="18:57" x14ac:dyDescent="0.25">
      <c r="AB169" s="33"/>
      <c r="AC169" s="33"/>
      <c r="AD169" s="33"/>
      <c r="AE169" s="33"/>
      <c r="AF169" s="33"/>
      <c r="AG169" s="92"/>
      <c r="AH169" s="33"/>
      <c r="AI169" s="33"/>
      <c r="AJ169" s="33"/>
      <c r="AK169" s="43"/>
      <c r="AL169" s="43"/>
      <c r="AM169" s="43"/>
      <c r="AN169" s="43"/>
      <c r="AO169" s="43"/>
      <c r="AP169" s="43"/>
      <c r="AQ169" s="43"/>
      <c r="AR169" s="43"/>
      <c r="AS169" s="43"/>
      <c r="AT169" s="43"/>
      <c r="AU169" s="43"/>
      <c r="AV169" s="43"/>
      <c r="AW169" s="43"/>
      <c r="AX169" s="43"/>
      <c r="AY169" s="43"/>
      <c r="AZ169" s="43"/>
      <c r="BA169" s="43"/>
      <c r="BB169" s="43"/>
      <c r="BC169" s="43"/>
      <c r="BD169" s="43"/>
      <c r="BE169" s="43"/>
    </row>
    <row r="170" spans="18:57" x14ac:dyDescent="0.25">
      <c r="AB170" s="33"/>
      <c r="AC170" s="33"/>
      <c r="AD170" s="33"/>
      <c r="AE170" s="33"/>
      <c r="AF170" s="33"/>
      <c r="AG170" s="92"/>
      <c r="AH170" s="33"/>
      <c r="AI170" s="33"/>
      <c r="AJ170" s="33"/>
    </row>
    <row r="171" spans="18:57" x14ac:dyDescent="0.25">
      <c r="AB171" s="33"/>
      <c r="AC171" s="33"/>
      <c r="AD171" s="33"/>
      <c r="AE171" s="33"/>
      <c r="AF171" s="33"/>
      <c r="AG171" s="92"/>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row>
    <row r="172" spans="18:57" x14ac:dyDescent="0.25">
      <c r="AB172" s="33"/>
      <c r="AC172" s="33"/>
      <c r="AD172" s="33"/>
      <c r="AE172" s="33"/>
      <c r="AF172" s="33"/>
      <c r="AG172" s="92"/>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row>
    <row r="173" spans="18:57" x14ac:dyDescent="0.25">
      <c r="AB173" s="33"/>
      <c r="AC173" s="33"/>
      <c r="AD173" s="33"/>
      <c r="AE173" s="33"/>
      <c r="AF173" s="33"/>
      <c r="AG173" s="92"/>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row>
    <row r="174" spans="18:57" ht="16.5" customHeight="1" x14ac:dyDescent="0.25">
      <c r="AB174" s="33"/>
      <c r="AC174" s="33"/>
      <c r="AD174" s="33"/>
      <c r="AE174" s="33"/>
      <c r="AF174" s="33"/>
      <c r="AG174" s="92"/>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row>
    <row r="175" spans="18:57" x14ac:dyDescent="0.25">
      <c r="AB175" s="33"/>
      <c r="AC175" s="33"/>
      <c r="AD175" s="33"/>
      <c r="AE175" s="33"/>
      <c r="AF175" s="33"/>
      <c r="AG175" s="92"/>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row>
    <row r="176" spans="18:57" x14ac:dyDescent="0.25">
      <c r="AB176" s="33"/>
      <c r="AC176" s="33"/>
      <c r="AD176" s="33"/>
      <c r="AE176" s="33"/>
      <c r="AF176" s="33"/>
      <c r="AG176" s="92"/>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row>
    <row r="177" spans="28:57" x14ac:dyDescent="0.25">
      <c r="AB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row>
    <row r="178" spans="28:57" x14ac:dyDescent="0.25">
      <c r="AB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row>
    <row r="179" spans="28:57" x14ac:dyDescent="0.25">
      <c r="AB179" s="33"/>
      <c r="AC179" s="43"/>
      <c r="AD179" s="43"/>
      <c r="AE179" s="43"/>
      <c r="AF179" s="43"/>
      <c r="AG179" s="93"/>
      <c r="AH179" s="43"/>
      <c r="AI179" s="43"/>
      <c r="AJ179" s="43"/>
      <c r="AK179" s="33"/>
      <c r="AL179" s="33"/>
      <c r="AM179" s="33"/>
      <c r="AN179" s="33"/>
      <c r="AO179" s="33"/>
      <c r="AP179" s="33"/>
      <c r="AQ179" s="33"/>
      <c r="AR179" s="33"/>
      <c r="AS179" s="33"/>
      <c r="AT179" s="33"/>
      <c r="AU179" s="33"/>
      <c r="AV179" s="33"/>
      <c r="AW179" s="33"/>
      <c r="AX179" s="33"/>
      <c r="AY179" s="33"/>
      <c r="AZ179" s="33"/>
      <c r="BA179" s="33"/>
      <c r="BB179" s="33"/>
      <c r="BC179" s="33"/>
      <c r="BD179" s="33"/>
      <c r="BE179" s="33"/>
    </row>
    <row r="180" spans="28:57" x14ac:dyDescent="0.25">
      <c r="AB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row>
    <row r="181" spans="28:57" x14ac:dyDescent="0.25">
      <c r="AB181" s="33"/>
    </row>
    <row r="182" spans="28:57" x14ac:dyDescent="0.25">
      <c r="AB182" s="33"/>
      <c r="AC182" s="33"/>
      <c r="AD182" s="33"/>
      <c r="AE182" s="33"/>
      <c r="AF182" s="33"/>
      <c r="AG182" s="92"/>
      <c r="AH182" s="33"/>
      <c r="AI182" s="33"/>
      <c r="AJ182" s="33"/>
    </row>
    <row r="183" spans="28:57" x14ac:dyDescent="0.25">
      <c r="AB183" s="33"/>
      <c r="AC183" s="33"/>
      <c r="AD183" s="33"/>
      <c r="AE183" s="33"/>
      <c r="AF183" s="33"/>
      <c r="AG183" s="92"/>
      <c r="AH183" s="33"/>
      <c r="AI183" s="33"/>
      <c r="AJ183" s="33"/>
      <c r="AK183" s="43"/>
      <c r="AL183" s="43"/>
      <c r="AM183" s="43"/>
      <c r="AN183" s="43"/>
      <c r="AO183" s="43"/>
      <c r="AP183" s="43"/>
      <c r="AQ183" s="43"/>
      <c r="AR183" s="43"/>
      <c r="AS183" s="43"/>
      <c r="AT183" s="43"/>
      <c r="AU183" s="43"/>
      <c r="AV183" s="43"/>
      <c r="AW183" s="43"/>
      <c r="AX183" s="43"/>
      <c r="AY183" s="43"/>
      <c r="AZ183" s="43"/>
      <c r="BA183" s="43"/>
      <c r="BB183" s="43"/>
      <c r="BC183" s="43"/>
      <c r="BD183" s="43"/>
      <c r="BE183" s="43"/>
    </row>
    <row r="184" spans="28:57" ht="17.25" customHeight="1" x14ac:dyDescent="0.25">
      <c r="AB184" s="33"/>
      <c r="AC184" s="33"/>
      <c r="AD184" s="33"/>
      <c r="AE184" s="33"/>
      <c r="AF184" s="33"/>
      <c r="AG184" s="92"/>
      <c r="AH184" s="33"/>
      <c r="AI184" s="33"/>
      <c r="AJ184" s="33"/>
    </row>
    <row r="185" spans="28:57" x14ac:dyDescent="0.25">
      <c r="AB185" s="33"/>
      <c r="AC185" s="33"/>
      <c r="AD185" s="33"/>
      <c r="AE185" s="33"/>
      <c r="AF185" s="33"/>
      <c r="AG185" s="92"/>
      <c r="AH185" s="33"/>
      <c r="AI185" s="33"/>
      <c r="AJ185" s="33"/>
    </row>
    <row r="186" spans="28:57" x14ac:dyDescent="0.25">
      <c r="AB186" s="33"/>
      <c r="AC186" s="33"/>
      <c r="AD186" s="33"/>
      <c r="AE186" s="33"/>
      <c r="AF186" s="33"/>
      <c r="AG186" s="92"/>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row>
    <row r="187" spans="28:57" x14ac:dyDescent="0.25">
      <c r="AB187" s="33"/>
      <c r="AC187" s="33"/>
      <c r="AD187" s="33"/>
      <c r="AE187" s="33"/>
      <c r="AF187" s="33"/>
      <c r="AG187" s="92"/>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row>
    <row r="188" spans="28:57" x14ac:dyDescent="0.25">
      <c r="AB188" s="33"/>
      <c r="AC188" s="33"/>
      <c r="AD188" s="33"/>
      <c r="AE188" s="33"/>
      <c r="AF188" s="33"/>
      <c r="AG188" s="92"/>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row>
    <row r="189" spans="28:57" x14ac:dyDescent="0.25">
      <c r="AB189" s="33"/>
      <c r="AC189" s="33"/>
      <c r="AD189" s="33"/>
      <c r="AE189" s="33"/>
      <c r="AF189" s="33"/>
      <c r="AG189" s="92"/>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row>
    <row r="190" spans="28:57" x14ac:dyDescent="0.25">
      <c r="AB190" s="33"/>
      <c r="AC190" s="33"/>
      <c r="AD190" s="33"/>
      <c r="AE190" s="33"/>
      <c r="AF190" s="33"/>
      <c r="AG190" s="92"/>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row>
    <row r="191" spans="28:57" x14ac:dyDescent="0.25">
      <c r="AB191" s="33"/>
      <c r="AC191" s="33"/>
      <c r="AD191" s="33"/>
      <c r="AE191" s="33"/>
      <c r="AF191" s="33"/>
      <c r="AG191" s="92"/>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row>
    <row r="192" spans="28:57" x14ac:dyDescent="0.25">
      <c r="AB192" s="33"/>
      <c r="AC192" s="33"/>
      <c r="AD192" s="33"/>
      <c r="AE192" s="33"/>
      <c r="AF192" s="33"/>
      <c r="AG192" s="92"/>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row>
    <row r="193" spans="28:57" x14ac:dyDescent="0.25">
      <c r="AB193" s="33"/>
      <c r="AC193" s="33"/>
      <c r="AD193" s="33"/>
      <c r="AE193" s="33"/>
      <c r="AF193" s="33"/>
      <c r="AG193" s="92"/>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row>
    <row r="194" spans="28:57" ht="21" customHeight="1" x14ac:dyDescent="0.25">
      <c r="AB194" s="33"/>
      <c r="AC194" s="33"/>
      <c r="AD194" s="33"/>
      <c r="AE194" s="33"/>
      <c r="AF194" s="33"/>
      <c r="AG194" s="92"/>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row>
    <row r="195" spans="28:57" x14ac:dyDescent="0.25">
      <c r="AB195" s="33"/>
      <c r="AC195" s="33"/>
      <c r="AD195" s="33"/>
      <c r="AE195" s="33"/>
      <c r="AF195" s="33"/>
      <c r="AG195" s="92"/>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row>
    <row r="196" spans="28:57" x14ac:dyDescent="0.25">
      <c r="AB196" s="33"/>
      <c r="AC196" s="33"/>
      <c r="AD196" s="33"/>
      <c r="AE196" s="33"/>
      <c r="AF196" s="33"/>
      <c r="AG196" s="92"/>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row>
    <row r="197" spans="28:57" x14ac:dyDescent="0.25">
      <c r="AB197" s="33"/>
      <c r="AC197" s="33"/>
      <c r="AD197" s="33"/>
      <c r="AE197" s="33"/>
      <c r="AF197" s="33"/>
      <c r="AG197" s="92"/>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row>
    <row r="198" spans="28:57" x14ac:dyDescent="0.25">
      <c r="AB198" s="33"/>
      <c r="AC198" s="33"/>
      <c r="AD198" s="33"/>
      <c r="AE198" s="33"/>
      <c r="AF198" s="33"/>
      <c r="AG198" s="92"/>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row>
    <row r="199" spans="28:57" x14ac:dyDescent="0.25">
      <c r="AB199" s="33"/>
      <c r="AC199" s="33"/>
      <c r="AD199" s="33"/>
      <c r="AE199" s="33"/>
      <c r="AF199" s="33"/>
      <c r="AG199" s="92"/>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row>
    <row r="200" spans="28:57" x14ac:dyDescent="0.25">
      <c r="AB200" s="33"/>
      <c r="AC200" s="33"/>
      <c r="AD200" s="33"/>
      <c r="AE200" s="33"/>
      <c r="AF200" s="33"/>
      <c r="AG200" s="92"/>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row>
    <row r="201" spans="28:57" x14ac:dyDescent="0.25">
      <c r="AB201" s="33"/>
      <c r="AC201" s="33"/>
      <c r="AD201" s="33"/>
      <c r="AE201" s="33"/>
      <c r="AF201" s="33"/>
      <c r="AG201" s="92"/>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row>
    <row r="202" spans="28:57" x14ac:dyDescent="0.25">
      <c r="AB202" s="33"/>
      <c r="AC202" s="33"/>
      <c r="AD202" s="33"/>
      <c r="AE202" s="33"/>
      <c r="AF202" s="33"/>
      <c r="AG202" s="92"/>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row>
    <row r="203" spans="28:57" x14ac:dyDescent="0.25">
      <c r="AB203" s="33"/>
      <c r="AC203" s="33"/>
      <c r="AD203" s="33"/>
      <c r="AE203" s="33"/>
      <c r="AF203" s="33"/>
      <c r="AG203" s="92"/>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row>
    <row r="204" spans="28:57" ht="18" customHeight="1" x14ac:dyDescent="0.25">
      <c r="AB204" s="33"/>
      <c r="AC204" s="33"/>
      <c r="AD204" s="33"/>
      <c r="AE204" s="33"/>
      <c r="AF204" s="33"/>
      <c r="AG204" s="92"/>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row>
    <row r="205" spans="28:57" x14ac:dyDescent="0.25">
      <c r="AB205" s="33"/>
      <c r="AC205" s="33"/>
      <c r="AD205" s="33"/>
      <c r="AE205" s="33"/>
      <c r="AF205" s="33"/>
      <c r="AG205" s="92"/>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row>
    <row r="206" spans="28:57" x14ac:dyDescent="0.25">
      <c r="AB206" s="33"/>
      <c r="AC206" s="33"/>
      <c r="AD206" s="33"/>
      <c r="AE206" s="33"/>
      <c r="AF206" s="33"/>
      <c r="AG206" s="92"/>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row>
    <row r="207" spans="28:57" x14ac:dyDescent="0.25">
      <c r="AB207" s="33"/>
      <c r="AC207" s="33"/>
      <c r="AD207" s="33"/>
      <c r="AE207" s="33"/>
      <c r="AF207" s="33"/>
      <c r="AG207" s="92"/>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row>
    <row r="208" spans="28:57" x14ac:dyDescent="0.25">
      <c r="AB208" s="33"/>
      <c r="AC208" s="33"/>
      <c r="AD208" s="33"/>
      <c r="AE208" s="33"/>
      <c r="AF208" s="33"/>
      <c r="AG208" s="92"/>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row>
    <row r="209" spans="28:57" x14ac:dyDescent="0.25">
      <c r="AB209" s="33"/>
      <c r="AC209" s="33"/>
      <c r="AD209" s="33"/>
      <c r="AE209" s="33"/>
      <c r="AF209" s="33"/>
      <c r="AG209" s="92"/>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row>
    <row r="210" spans="28:57" x14ac:dyDescent="0.25">
      <c r="AC210" s="33"/>
      <c r="AD210" s="33"/>
      <c r="AE210" s="33"/>
      <c r="AF210" s="33"/>
      <c r="AG210" s="92"/>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row>
    <row r="211" spans="28:57" x14ac:dyDescent="0.25">
      <c r="AB211" s="9"/>
      <c r="AC211" s="33"/>
      <c r="AD211" s="33"/>
      <c r="AE211" s="33"/>
      <c r="AF211" s="33"/>
      <c r="AG211" s="92"/>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row>
    <row r="212" spans="28:57" x14ac:dyDescent="0.25">
      <c r="AC212" s="33"/>
      <c r="AD212" s="33"/>
      <c r="AE212" s="33"/>
      <c r="AF212" s="33"/>
      <c r="AG212" s="92"/>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row>
    <row r="213" spans="28:57" x14ac:dyDescent="0.25">
      <c r="AC213" s="33"/>
      <c r="AD213" s="33"/>
      <c r="AE213" s="33"/>
      <c r="AF213" s="33"/>
      <c r="AG213" s="92"/>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row>
    <row r="214" spans="28:57" ht="15" customHeight="1" x14ac:dyDescent="0.25">
      <c r="AC214" s="33"/>
      <c r="AD214" s="33"/>
      <c r="AE214" s="33"/>
      <c r="AF214" s="33"/>
      <c r="AG214" s="92"/>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row>
    <row r="215" spans="28:57" ht="16.5" customHeight="1" x14ac:dyDescent="0.25">
      <c r="AC215" s="33"/>
      <c r="AD215" s="33"/>
      <c r="AE215" s="33"/>
      <c r="AF215" s="33"/>
      <c r="AG215" s="92"/>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row>
    <row r="216" spans="28:57" x14ac:dyDescent="0.25">
      <c r="AC216" s="33"/>
      <c r="AD216" s="33"/>
      <c r="AE216" s="33"/>
      <c r="AF216" s="33"/>
      <c r="AG216" s="92"/>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row>
    <row r="217" spans="28:57" x14ac:dyDescent="0.25">
      <c r="AC217" s="33"/>
      <c r="AD217" s="33"/>
      <c r="AE217" s="33"/>
      <c r="AF217" s="33"/>
      <c r="AG217" s="92"/>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row>
    <row r="218" spans="28:57" x14ac:dyDescent="0.25">
      <c r="AC218" s="33"/>
      <c r="AD218" s="33"/>
      <c r="AE218" s="33"/>
      <c r="AF218" s="33"/>
      <c r="AG218" s="92"/>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row>
    <row r="219" spans="28:57" x14ac:dyDescent="0.25">
      <c r="AC219" s="33"/>
      <c r="AD219" s="33"/>
      <c r="AE219" s="33"/>
      <c r="AF219" s="33"/>
      <c r="AG219" s="92"/>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row>
    <row r="220" spans="28:57" x14ac:dyDescent="0.25">
      <c r="AC220" s="33"/>
      <c r="AD220" s="33"/>
      <c r="AE220" s="33"/>
      <c r="AF220" s="33"/>
      <c r="AG220" s="92"/>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row>
    <row r="221" spans="28:57" x14ac:dyDescent="0.25">
      <c r="AC221" s="33"/>
      <c r="AD221" s="33"/>
      <c r="AE221" s="33"/>
      <c r="AF221" s="33"/>
      <c r="AG221" s="92"/>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row>
    <row r="222" spans="28:57" ht="22.5" customHeight="1" x14ac:dyDescent="0.25">
      <c r="AC222" s="33"/>
      <c r="AD222" s="33"/>
      <c r="AE222" s="33"/>
      <c r="AF222" s="33"/>
      <c r="AG222" s="92"/>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row>
    <row r="223" spans="28:57" ht="15.75" customHeight="1" x14ac:dyDescent="0.25">
      <c r="AC223" s="33"/>
      <c r="AD223" s="33"/>
      <c r="AE223" s="33"/>
      <c r="AF223" s="33"/>
      <c r="AG223" s="92"/>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row>
    <row r="224" spans="28:57" ht="19.5" customHeight="1" x14ac:dyDescent="0.25">
      <c r="AC224" s="33"/>
      <c r="AD224" s="33"/>
      <c r="AE224" s="33"/>
      <c r="AF224" s="33"/>
      <c r="AG224" s="92"/>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row>
    <row r="225" spans="29:57" ht="20.25" customHeight="1" x14ac:dyDescent="0.25">
      <c r="AC225" s="33"/>
      <c r="AD225" s="33"/>
      <c r="AE225" s="33"/>
      <c r="AF225" s="33"/>
      <c r="AG225" s="92"/>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row>
    <row r="226" spans="29:57" x14ac:dyDescent="0.25">
      <c r="AC226" s="33"/>
      <c r="AD226" s="33"/>
      <c r="AE226" s="33"/>
      <c r="AF226" s="33"/>
      <c r="AG226" s="92"/>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row>
    <row r="227" spans="29:57" x14ac:dyDescent="0.25">
      <c r="AC227" s="33"/>
      <c r="AD227" s="33"/>
      <c r="AE227" s="33"/>
      <c r="AF227" s="33"/>
      <c r="AG227" s="92"/>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row>
    <row r="228" spans="29:57" x14ac:dyDescent="0.25">
      <c r="AC228" s="33"/>
      <c r="AD228" s="33"/>
      <c r="AE228" s="33"/>
      <c r="AF228" s="33"/>
      <c r="AG228" s="92"/>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row>
    <row r="229" spans="29:57" x14ac:dyDescent="0.25">
      <c r="AC229" s="33"/>
      <c r="AD229" s="33"/>
      <c r="AE229" s="33"/>
      <c r="AF229" s="33"/>
      <c r="AG229" s="92"/>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row>
    <row r="230" spans="29:57" x14ac:dyDescent="0.25">
      <c r="AK230" s="33"/>
      <c r="AL230" s="33"/>
      <c r="AM230" s="33"/>
      <c r="AN230" s="33"/>
      <c r="AO230" s="33"/>
      <c r="AP230" s="33"/>
      <c r="AQ230" s="33"/>
      <c r="AR230" s="33"/>
      <c r="AS230" s="33"/>
      <c r="AT230" s="33"/>
      <c r="AU230" s="33"/>
      <c r="AV230" s="33"/>
      <c r="AW230" s="33"/>
      <c r="AX230" s="33"/>
      <c r="AY230" s="33"/>
      <c r="AZ230" s="33"/>
      <c r="BA230" s="33"/>
      <c r="BB230" s="33"/>
      <c r="BC230" s="33"/>
      <c r="BD230" s="33"/>
      <c r="BE230" s="33"/>
    </row>
    <row r="231" spans="29:57" ht="17.25" customHeight="1" x14ac:dyDescent="0.25">
      <c r="AC231" s="9"/>
      <c r="AD231" s="9"/>
      <c r="AE231" s="9"/>
      <c r="AF231" s="9"/>
      <c r="AG231" s="9"/>
      <c r="AH231" s="9"/>
      <c r="AI231" s="9"/>
      <c r="AJ231" s="9"/>
      <c r="AK231" s="33"/>
      <c r="AL231" s="33"/>
      <c r="AM231" s="33"/>
      <c r="AN231" s="33"/>
      <c r="AO231" s="33"/>
      <c r="AP231" s="33"/>
      <c r="AQ231" s="33"/>
      <c r="AR231" s="33"/>
      <c r="AS231" s="33"/>
      <c r="AT231" s="33"/>
      <c r="AU231" s="33"/>
      <c r="AV231" s="33"/>
      <c r="AW231" s="33"/>
      <c r="AX231" s="33"/>
      <c r="AY231" s="33"/>
      <c r="AZ231" s="33"/>
      <c r="BA231" s="33"/>
      <c r="BB231" s="33"/>
      <c r="BC231" s="33"/>
      <c r="BD231" s="33"/>
      <c r="BE231" s="33"/>
    </row>
    <row r="232" spans="29:57" x14ac:dyDescent="0.25">
      <c r="AK232" s="33"/>
      <c r="AL232" s="33"/>
      <c r="AM232" s="33"/>
      <c r="AN232" s="33"/>
      <c r="AO232" s="33"/>
      <c r="AP232" s="33"/>
      <c r="AQ232" s="33"/>
      <c r="AR232" s="33"/>
      <c r="AS232" s="33"/>
      <c r="AT232" s="33"/>
      <c r="AU232" s="33"/>
      <c r="AV232" s="33"/>
      <c r="AW232" s="33"/>
      <c r="AX232" s="33"/>
      <c r="AY232" s="33"/>
      <c r="AZ232" s="33"/>
      <c r="BA232" s="33"/>
      <c r="BB232" s="33"/>
      <c r="BC232" s="33"/>
      <c r="BD232" s="33"/>
      <c r="BE232" s="33"/>
    </row>
    <row r="233" spans="29:57" x14ac:dyDescent="0.25">
      <c r="AK233" s="33"/>
      <c r="AL233" s="33"/>
      <c r="AM233" s="33"/>
      <c r="AN233" s="33"/>
      <c r="AO233" s="33"/>
      <c r="AP233" s="33"/>
      <c r="AQ233" s="33"/>
      <c r="AR233" s="33"/>
      <c r="AS233" s="33"/>
      <c r="AT233" s="33"/>
      <c r="AU233" s="33"/>
      <c r="AV233" s="33"/>
      <c r="AW233" s="33"/>
      <c r="AX233" s="33"/>
      <c r="AY233" s="33"/>
      <c r="AZ233" s="33"/>
      <c r="BA233" s="33"/>
      <c r="BB233" s="33"/>
      <c r="BC233" s="33"/>
      <c r="BD233" s="33"/>
      <c r="BE233" s="33"/>
    </row>
    <row r="235" spans="29:57" x14ac:dyDescent="0.25">
      <c r="AK235" s="9"/>
      <c r="AL235" s="9"/>
      <c r="AM235" s="9"/>
      <c r="AN235" s="9"/>
      <c r="AO235" s="9"/>
      <c r="AP235" s="9"/>
      <c r="AQ235" s="9"/>
      <c r="AR235" s="9"/>
      <c r="AS235" s="9"/>
      <c r="AT235" s="9"/>
      <c r="AU235" s="9"/>
      <c r="AV235" s="9"/>
      <c r="AW235" s="9"/>
      <c r="AX235" s="9"/>
      <c r="AY235" s="9"/>
      <c r="AZ235" s="9"/>
      <c r="BA235" s="9"/>
      <c r="BB235" s="9"/>
      <c r="BC235" s="9"/>
      <c r="BD235" s="9"/>
      <c r="BE235" s="9"/>
    </row>
    <row r="236" spans="29:57" ht="19.5" customHeight="1" x14ac:dyDescent="0.25"/>
    <row r="241" ht="15.75" customHeight="1" x14ac:dyDescent="0.25"/>
    <row r="246" ht="15" customHeight="1" x14ac:dyDescent="0.25"/>
    <row r="251" ht="16.5" customHeight="1" x14ac:dyDescent="0.25"/>
    <row r="252" ht="16.5" customHeight="1" x14ac:dyDescent="0.25"/>
    <row r="254" ht="18" customHeight="1" x14ac:dyDescent="0.25"/>
    <row r="259" ht="19.5" customHeight="1" x14ac:dyDescent="0.25"/>
    <row r="264" ht="15" customHeight="1" x14ac:dyDescent="0.25"/>
    <row r="269" ht="18" customHeight="1" x14ac:dyDescent="0.25"/>
    <row r="274" ht="18" customHeight="1" x14ac:dyDescent="0.25"/>
    <row r="275" ht="18" customHeight="1" x14ac:dyDescent="0.25"/>
    <row r="279" ht="20.25" customHeight="1" x14ac:dyDescent="0.25"/>
    <row r="281" ht="17.25" customHeight="1" x14ac:dyDescent="0.25"/>
    <row r="292" ht="18.75" customHeight="1" x14ac:dyDescent="0.25"/>
    <row r="294" ht="17.25" customHeight="1" x14ac:dyDescent="0.25"/>
    <row r="300" ht="15.75" customHeight="1" x14ac:dyDescent="0.25"/>
    <row r="301" ht="11.25" customHeight="1" x14ac:dyDescent="0.25"/>
    <row r="304" ht="16.5" customHeight="1" x14ac:dyDescent="0.25"/>
    <row r="310" ht="15.75" customHeight="1" x14ac:dyDescent="0.25"/>
    <row r="312" ht="13.5" customHeight="1" x14ac:dyDescent="0.25"/>
    <row r="317" ht="20.25" customHeight="1" x14ac:dyDescent="0.25"/>
    <row r="319" ht="20.25" customHeight="1" x14ac:dyDescent="0.25"/>
    <row r="325" ht="19.5" customHeight="1" x14ac:dyDescent="0.25"/>
  </sheetData>
  <mergeCells count="52">
    <mergeCell ref="AA15:AA16"/>
    <mergeCell ref="P30:Q30"/>
    <mergeCell ref="F55:J55"/>
    <mergeCell ref="M40:N40"/>
    <mergeCell ref="P31:R31"/>
    <mergeCell ref="P37:R37"/>
    <mergeCell ref="P46:R46"/>
    <mergeCell ref="AA53:AA54"/>
    <mergeCell ref="K74:N74"/>
    <mergeCell ref="K56:N56"/>
    <mergeCell ref="A71:B71"/>
    <mergeCell ref="K48:N48"/>
    <mergeCell ref="M68:N68"/>
    <mergeCell ref="C55:D55"/>
    <mergeCell ref="C60:D60"/>
    <mergeCell ref="C65:D65"/>
    <mergeCell ref="C67:D67"/>
    <mergeCell ref="A70:B70"/>
    <mergeCell ref="C69:D69"/>
    <mergeCell ref="G57:J57"/>
    <mergeCell ref="C18:D18"/>
    <mergeCell ref="A22:B22"/>
    <mergeCell ref="J16:K16"/>
    <mergeCell ref="A44:B44"/>
    <mergeCell ref="A43:B43"/>
    <mergeCell ref="C42:D42"/>
    <mergeCell ref="C23:D23"/>
    <mergeCell ref="C33:D33"/>
    <mergeCell ref="C38:D38"/>
    <mergeCell ref="C40:D40"/>
    <mergeCell ref="AB61:AD61"/>
    <mergeCell ref="AB62:AD62"/>
    <mergeCell ref="AB63:AD63"/>
    <mergeCell ref="BL2:BO2"/>
    <mergeCell ref="AB75:AD75"/>
    <mergeCell ref="AB66:AD66"/>
    <mergeCell ref="AB67:AD67"/>
    <mergeCell ref="AB68:AD68"/>
    <mergeCell ref="AB64:AD64"/>
    <mergeCell ref="AB65:AD65"/>
    <mergeCell ref="AE53:AG54"/>
    <mergeCell ref="AM4:AQ5"/>
    <mergeCell ref="AE15:AI16"/>
    <mergeCell ref="AC15:AC16"/>
    <mergeCell ref="AC53:AC54"/>
    <mergeCell ref="AB76:AD76"/>
    <mergeCell ref="AB77:AD77"/>
    <mergeCell ref="AB70:AD70"/>
    <mergeCell ref="AB71:AD71"/>
    <mergeCell ref="AB72:AD72"/>
    <mergeCell ref="AB73:AD73"/>
    <mergeCell ref="AB74:AD74"/>
  </mergeCells>
  <phoneticPr fontId="4" type="noConversion"/>
  <conditionalFormatting sqref="K48">
    <cfRule type="cellIs" dxfId="2" priority="3" stopIfTrue="1" operator="notEqual">
      <formula>""</formula>
    </cfRule>
  </conditionalFormatting>
  <conditionalFormatting sqref="K74">
    <cfRule type="cellIs" dxfId="1" priority="2" stopIfTrue="1" operator="notEqual">
      <formula>""</formula>
    </cfRule>
  </conditionalFormatting>
  <conditionalFormatting sqref="BL2">
    <cfRule type="cellIs" dxfId="0" priority="1" stopIfTrue="1" operator="notEqual">
      <formula>""</formula>
    </cfRule>
  </conditionalFormatting>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008000"/>
  </sheetPr>
  <dimension ref="A1:CU38"/>
  <sheetViews>
    <sheetView workbookViewId="0">
      <selection activeCell="D32" sqref="D32"/>
    </sheetView>
  </sheetViews>
  <sheetFormatPr defaultColWidth="9.140625" defaultRowHeight="15" x14ac:dyDescent="0.25"/>
  <cols>
    <col min="1" max="1" width="3.85546875" style="1" customWidth="1"/>
    <col min="2" max="2" width="16.28515625" style="1" customWidth="1"/>
    <col min="3" max="3" width="20.140625" style="1" customWidth="1"/>
    <col min="4" max="4" width="29.140625" style="1" customWidth="1"/>
    <col min="5" max="5" width="9.5703125" style="1" customWidth="1"/>
    <col min="6" max="6" width="13.5703125" style="1" customWidth="1"/>
    <col min="7" max="7" width="16.42578125" style="35" customWidth="1"/>
    <col min="8" max="8" width="8.42578125" style="1" customWidth="1"/>
    <col min="9" max="54" width="6.140625" style="1" customWidth="1"/>
    <col min="55" max="16384" width="9.140625" style="1"/>
  </cols>
  <sheetData>
    <row r="1" spans="1:99" ht="15.75" thickBot="1" x14ac:dyDescent="0.3">
      <c r="A1" s="429" t="s">
        <v>183</v>
      </c>
      <c r="B1" s="431"/>
      <c r="C1" s="431"/>
      <c r="D1" s="431"/>
      <c r="E1" s="431"/>
      <c r="F1" s="431"/>
      <c r="G1" s="614"/>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585"/>
      <c r="BC1" s="326"/>
    </row>
    <row r="2" spans="1:99" ht="15.75" thickBot="1" x14ac:dyDescent="0.3">
      <c r="A2" s="586"/>
      <c r="B2" s="327" t="s">
        <v>185</v>
      </c>
      <c r="C2" s="132"/>
      <c r="D2" s="327" t="s">
        <v>51</v>
      </c>
      <c r="E2" s="327" t="s">
        <v>186</v>
      </c>
      <c r="F2" s="132"/>
      <c r="G2" s="177"/>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3"/>
      <c r="BC2" s="401"/>
    </row>
    <row r="3" spans="1:99" s="628" customFormat="1" ht="36" customHeight="1" thickBot="1" x14ac:dyDescent="0.25">
      <c r="A3" s="587" t="s">
        <v>57</v>
      </c>
      <c r="B3" s="349" t="s">
        <v>69</v>
      </c>
      <c r="C3" s="349" t="s">
        <v>56</v>
      </c>
      <c r="D3" s="588" t="s">
        <v>55</v>
      </c>
      <c r="E3" s="621" t="s">
        <v>70</v>
      </c>
      <c r="F3" s="622" t="s">
        <v>184</v>
      </c>
      <c r="G3" s="349" t="s">
        <v>166</v>
      </c>
      <c r="H3" s="623"/>
      <c r="I3" s="623"/>
      <c r="J3" s="624"/>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6"/>
      <c r="BC3" s="627"/>
    </row>
    <row r="4" spans="1:99" ht="18" thickBot="1" x14ac:dyDescent="0.3">
      <c r="A4" s="44" t="s">
        <v>267</v>
      </c>
      <c r="B4" s="589"/>
      <c r="C4" s="589"/>
      <c r="D4" s="590"/>
      <c r="E4" s="366" t="s">
        <v>559</v>
      </c>
      <c r="F4" s="368" t="s">
        <v>560</v>
      </c>
      <c r="G4" s="620" t="s">
        <v>28</v>
      </c>
      <c r="H4" s="368" t="s">
        <v>557</v>
      </c>
      <c r="I4" s="591">
        <v>0</v>
      </c>
      <c r="J4" s="367">
        <v>0.01</v>
      </c>
      <c r="K4" s="367">
        <v>0.02</v>
      </c>
      <c r="L4" s="367">
        <v>0.03</v>
      </c>
      <c r="M4" s="367">
        <v>0.04</v>
      </c>
      <c r="N4" s="367">
        <v>0.05</v>
      </c>
      <c r="O4" s="367">
        <v>0.06</v>
      </c>
      <c r="P4" s="367">
        <v>7.0000000000000007E-2</v>
      </c>
      <c r="Q4" s="367">
        <v>0.08</v>
      </c>
      <c r="R4" s="592">
        <v>0.09</v>
      </c>
      <c r="S4" s="367">
        <v>0.1</v>
      </c>
      <c r="T4" s="367">
        <v>0.11</v>
      </c>
      <c r="U4" s="367">
        <v>0.12</v>
      </c>
      <c r="V4" s="367">
        <v>0.13</v>
      </c>
      <c r="W4" s="367">
        <v>0.14000000000000001</v>
      </c>
      <c r="X4" s="367">
        <v>0.15</v>
      </c>
      <c r="Y4" s="367">
        <v>0.16</v>
      </c>
      <c r="Z4" s="367">
        <v>0.17</v>
      </c>
      <c r="AA4" s="367">
        <v>0.18</v>
      </c>
      <c r="AB4" s="367">
        <v>0.19</v>
      </c>
      <c r="AC4" s="367">
        <v>0.2</v>
      </c>
      <c r="AD4" s="367">
        <v>0.3</v>
      </c>
      <c r="AE4" s="367">
        <v>0.4</v>
      </c>
      <c r="AF4" s="367">
        <v>0.5</v>
      </c>
      <c r="AG4" s="367">
        <v>0.6</v>
      </c>
      <c r="AH4" s="367">
        <v>0.7</v>
      </c>
      <c r="AI4" s="367">
        <v>0.8</v>
      </c>
      <c r="AJ4" s="367">
        <v>0.9</v>
      </c>
      <c r="AK4" s="367">
        <v>1</v>
      </c>
      <c r="AL4" s="367">
        <v>1.1000000000000001</v>
      </c>
      <c r="AM4" s="367">
        <v>1.2</v>
      </c>
      <c r="AN4" s="367">
        <v>1.3</v>
      </c>
      <c r="AO4" s="367">
        <v>1.4</v>
      </c>
      <c r="AP4" s="367">
        <v>1.5</v>
      </c>
      <c r="AQ4" s="367">
        <v>1.6</v>
      </c>
      <c r="AR4" s="367">
        <v>1.7</v>
      </c>
      <c r="AS4" s="367">
        <v>1.8</v>
      </c>
      <c r="AT4" s="367">
        <v>1.9</v>
      </c>
      <c r="AU4" s="367">
        <v>2</v>
      </c>
      <c r="AV4" s="367">
        <v>3</v>
      </c>
      <c r="AW4" s="367">
        <v>4</v>
      </c>
      <c r="AX4" s="367">
        <v>5</v>
      </c>
      <c r="AY4" s="367">
        <v>6</v>
      </c>
      <c r="AZ4" s="367">
        <v>7</v>
      </c>
      <c r="BA4" s="367">
        <v>8</v>
      </c>
      <c r="BB4" s="593">
        <v>9</v>
      </c>
      <c r="BC4" s="346"/>
      <c r="BH4" s="594"/>
      <c r="BI4" s="594"/>
      <c r="BJ4" s="594"/>
      <c r="BK4" s="594"/>
      <c r="BL4" s="594"/>
      <c r="BM4" s="594"/>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row>
    <row r="5" spans="1:99" ht="17.25" x14ac:dyDescent="0.25">
      <c r="A5" s="595">
        <v>1</v>
      </c>
      <c r="B5" s="596" t="s">
        <v>528</v>
      </c>
      <c r="C5" s="596" t="s">
        <v>212</v>
      </c>
      <c r="D5" s="597" t="str">
        <f t="shared" ref="D5:D11" si="0">CONCATENATE(B5," ",C5)</f>
        <v>UK poplar</v>
      </c>
      <c r="E5" s="598">
        <v>25</v>
      </c>
      <c r="F5" s="599">
        <v>0</v>
      </c>
      <c r="G5" s="615" t="s">
        <v>139</v>
      </c>
      <c r="H5" s="600" t="s">
        <v>558</v>
      </c>
      <c r="I5" s="601">
        <v>0</v>
      </c>
      <c r="J5" s="601">
        <v>3.3397028276129421</v>
      </c>
      <c r="K5" s="601">
        <v>4.4974889440410397</v>
      </c>
      <c r="L5" s="601">
        <v>5.3528329601240143</v>
      </c>
      <c r="M5" s="601">
        <v>6.0566487037497758</v>
      </c>
      <c r="N5" s="601">
        <v>6.6656966304126186</v>
      </c>
      <c r="O5" s="601">
        <v>7.2085177334964818</v>
      </c>
      <c r="P5" s="601">
        <v>7.7018121649383504</v>
      </c>
      <c r="Q5" s="601">
        <v>8.1563276701851759</v>
      </c>
      <c r="R5" s="601">
        <v>8.5794521782255924</v>
      </c>
      <c r="S5" s="601">
        <v>8.9765163090992246</v>
      </c>
      <c r="T5" s="601">
        <v>9.3515121678087496</v>
      </c>
      <c r="U5" s="601">
        <v>9.7075190466861425</v>
      </c>
      <c r="V5" s="601">
        <v>10.046969867840676</v>
      </c>
      <c r="W5" s="601">
        <v>10.371825533246371</v>
      </c>
      <c r="X5" s="601">
        <v>10.683693270686259</v>
      </c>
      <c r="Y5" s="601">
        <v>10.983909471625973</v>
      </c>
      <c r="Z5" s="601">
        <v>11.273599211237935</v>
      </c>
      <c r="AA5" s="601">
        <v>11.553719989235638</v>
      </c>
      <c r="AB5" s="601">
        <v>11.82509451213601</v>
      </c>
      <c r="AC5" s="601">
        <v>12.088435690259793</v>
      </c>
      <c r="AD5" s="601">
        <v>14.387445484417775</v>
      </c>
      <c r="AE5" s="601">
        <v>16.279174727217832</v>
      </c>
      <c r="AF5" s="601">
        <v>17.916185242497633</v>
      </c>
      <c r="AG5" s="601">
        <v>19.375190051089614</v>
      </c>
      <c r="AH5" s="601">
        <v>20.701076136646137</v>
      </c>
      <c r="AI5" s="601">
        <v>21.922731492282306</v>
      </c>
      <c r="AJ5" s="601">
        <v>23.060013533007815</v>
      </c>
      <c r="AK5" s="601">
        <v>24.127249999999997</v>
      </c>
      <c r="AL5" s="601">
        <v>25.135170948450579</v>
      </c>
      <c r="AM5" s="601">
        <v>26.092052958422272</v>
      </c>
      <c r="AN5" s="601">
        <v>27.004435283890658</v>
      </c>
      <c r="AO5" s="601">
        <v>27.877588474200628</v>
      </c>
      <c r="AP5" s="601">
        <v>28.715832466529719</v>
      </c>
      <c r="AQ5" s="601">
        <v>29.522759239088508</v>
      </c>
      <c r="AR5" s="601">
        <v>30.301392790165298</v>
      </c>
      <c r="AS5" s="601">
        <v>31.054306705566326</v>
      </c>
      <c r="AT5" s="601">
        <v>31.78371227139937</v>
      </c>
      <c r="AU5" s="601">
        <v>32.49152566148328</v>
      </c>
      <c r="AV5" s="601">
        <v>38.670847588395077</v>
      </c>
      <c r="AW5" s="601">
        <v>43.755473160464888</v>
      </c>
      <c r="AX5" s="601">
        <v>48.155460927963077</v>
      </c>
      <c r="AY5" s="601">
        <v>52.077001596520425</v>
      </c>
      <c r="AZ5" s="601">
        <v>55.64074324820286</v>
      </c>
      <c r="BA5" s="601">
        <v>58.924331576271136</v>
      </c>
      <c r="BB5" s="602">
        <v>61.981139715669272</v>
      </c>
      <c r="BC5" s="346"/>
      <c r="BL5" s="594"/>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4"/>
      <c r="CP5" s="594"/>
      <c r="CQ5" s="594"/>
      <c r="CR5" s="594"/>
      <c r="CS5" s="594"/>
      <c r="CT5" s="594"/>
      <c r="CU5" s="594"/>
    </row>
    <row r="6" spans="1:99" ht="17.25" x14ac:dyDescent="0.25">
      <c r="A6" s="603">
        <v>2</v>
      </c>
      <c r="B6" s="604"/>
      <c r="C6" s="604"/>
      <c r="D6" s="597" t="str">
        <f t="shared" si="0"/>
        <v xml:space="preserve"> </v>
      </c>
      <c r="E6" s="605"/>
      <c r="F6" s="606"/>
      <c r="G6" s="616" t="s">
        <v>139</v>
      </c>
      <c r="H6" s="607" t="s">
        <v>558</v>
      </c>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8"/>
      <c r="AN6" s="608"/>
      <c r="AO6" s="608"/>
      <c r="AP6" s="608"/>
      <c r="AQ6" s="608"/>
      <c r="AR6" s="608"/>
      <c r="AS6" s="608"/>
      <c r="AT6" s="608"/>
      <c r="AU6" s="608"/>
      <c r="AV6" s="608"/>
      <c r="AW6" s="608"/>
      <c r="AX6" s="608"/>
      <c r="AY6" s="608"/>
      <c r="AZ6" s="608"/>
      <c r="BA6" s="608"/>
      <c r="BB6" s="609"/>
      <c r="BC6" s="346"/>
    </row>
    <row r="7" spans="1:99" ht="17.25" x14ac:dyDescent="0.25">
      <c r="A7" s="603">
        <v>3</v>
      </c>
      <c r="B7" s="604"/>
      <c r="C7" s="604"/>
      <c r="D7" s="597" t="str">
        <f t="shared" si="0"/>
        <v xml:space="preserve"> </v>
      </c>
      <c r="E7" s="605"/>
      <c r="F7" s="606"/>
      <c r="G7" s="616" t="s">
        <v>139</v>
      </c>
      <c r="H7" s="607" t="s">
        <v>558</v>
      </c>
      <c r="I7" s="60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c r="AT7" s="608"/>
      <c r="AU7" s="608"/>
      <c r="AV7" s="608"/>
      <c r="AW7" s="608"/>
      <c r="AX7" s="608"/>
      <c r="AY7" s="608"/>
      <c r="AZ7" s="608"/>
      <c r="BA7" s="608"/>
      <c r="BB7" s="609"/>
      <c r="BC7" s="346"/>
    </row>
    <row r="8" spans="1:99" ht="17.25" x14ac:dyDescent="0.25">
      <c r="A8" s="603">
        <v>4</v>
      </c>
      <c r="B8" s="604"/>
      <c r="C8" s="604"/>
      <c r="D8" s="597" t="str">
        <f t="shared" si="0"/>
        <v xml:space="preserve"> </v>
      </c>
      <c r="E8" s="605"/>
      <c r="F8" s="606"/>
      <c r="G8" s="616" t="s">
        <v>139</v>
      </c>
      <c r="H8" s="607" t="s">
        <v>558</v>
      </c>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9"/>
      <c r="BC8" s="346"/>
    </row>
    <row r="9" spans="1:99" ht="17.25" x14ac:dyDescent="0.25">
      <c r="A9" s="603">
        <v>5</v>
      </c>
      <c r="B9" s="604"/>
      <c r="C9" s="604"/>
      <c r="D9" s="597" t="str">
        <f t="shared" si="0"/>
        <v xml:space="preserve"> </v>
      </c>
      <c r="E9" s="605"/>
      <c r="F9" s="606"/>
      <c r="G9" s="616" t="s">
        <v>139</v>
      </c>
      <c r="H9" s="607" t="s">
        <v>558</v>
      </c>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9"/>
      <c r="BC9" s="346"/>
    </row>
    <row r="10" spans="1:99" ht="17.25" x14ac:dyDescent="0.25">
      <c r="A10" s="603">
        <v>6</v>
      </c>
      <c r="B10" s="604"/>
      <c r="C10" s="604"/>
      <c r="D10" s="597" t="str">
        <f t="shared" si="0"/>
        <v xml:space="preserve"> </v>
      </c>
      <c r="E10" s="605"/>
      <c r="F10" s="606"/>
      <c r="G10" s="616" t="s">
        <v>139</v>
      </c>
      <c r="H10" s="607" t="s">
        <v>558</v>
      </c>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9"/>
      <c r="BC10" s="346"/>
    </row>
    <row r="11" spans="1:99" ht="17.25" x14ac:dyDescent="0.25">
      <c r="A11" s="603">
        <v>7</v>
      </c>
      <c r="B11" s="604"/>
      <c r="C11" s="604"/>
      <c r="D11" s="597" t="str">
        <f t="shared" si="0"/>
        <v xml:space="preserve"> </v>
      </c>
      <c r="E11" s="605"/>
      <c r="F11" s="606"/>
      <c r="G11" s="616" t="s">
        <v>139</v>
      </c>
      <c r="H11" s="607" t="s">
        <v>558</v>
      </c>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9"/>
      <c r="BC11" s="346"/>
    </row>
    <row r="12" spans="1:99" ht="17.25" x14ac:dyDescent="0.25">
      <c r="A12" s="603">
        <v>8</v>
      </c>
      <c r="B12" s="604"/>
      <c r="C12" s="604"/>
      <c r="D12" s="597" t="str">
        <f t="shared" ref="D12:D14" si="1">CONCATENATE(B12," ",C12)</f>
        <v xml:space="preserve"> </v>
      </c>
      <c r="E12" s="605"/>
      <c r="F12" s="606"/>
      <c r="G12" s="616" t="s">
        <v>139</v>
      </c>
      <c r="H12" s="607" t="s">
        <v>558</v>
      </c>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c r="AT12" s="608"/>
      <c r="AU12" s="608"/>
      <c r="AV12" s="608"/>
      <c r="AW12" s="608"/>
      <c r="AX12" s="608"/>
      <c r="AY12" s="608"/>
      <c r="AZ12" s="608"/>
      <c r="BA12" s="608"/>
      <c r="BB12" s="609"/>
      <c r="BC12" s="346"/>
    </row>
    <row r="13" spans="1:99" ht="17.25" x14ac:dyDescent="0.25">
      <c r="A13" s="603">
        <v>9</v>
      </c>
      <c r="B13" s="604"/>
      <c r="C13" s="604"/>
      <c r="D13" s="597" t="str">
        <f t="shared" si="1"/>
        <v xml:space="preserve"> </v>
      </c>
      <c r="E13" s="605"/>
      <c r="F13" s="606"/>
      <c r="G13" s="616" t="s">
        <v>139</v>
      </c>
      <c r="H13" s="607" t="s">
        <v>558</v>
      </c>
      <c r="I13" s="60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c r="AT13" s="608"/>
      <c r="AU13" s="608"/>
      <c r="AV13" s="608"/>
      <c r="AW13" s="608"/>
      <c r="AX13" s="608"/>
      <c r="AY13" s="608"/>
      <c r="AZ13" s="608"/>
      <c r="BA13" s="608"/>
      <c r="BB13" s="609"/>
      <c r="BC13" s="346"/>
    </row>
    <row r="14" spans="1:99" ht="17.25" x14ac:dyDescent="0.25">
      <c r="A14" s="603">
        <v>10</v>
      </c>
      <c r="B14" s="604"/>
      <c r="C14" s="604"/>
      <c r="D14" s="597" t="str">
        <f t="shared" si="1"/>
        <v xml:space="preserve"> </v>
      </c>
      <c r="E14" s="605"/>
      <c r="F14" s="610"/>
      <c r="G14" s="616" t="s">
        <v>139</v>
      </c>
      <c r="H14" s="607" t="s">
        <v>558</v>
      </c>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9"/>
      <c r="BC14" s="346"/>
    </row>
    <row r="15" spans="1:99" ht="17.25" x14ac:dyDescent="0.25">
      <c r="A15" s="603">
        <v>11</v>
      </c>
      <c r="B15" s="604"/>
      <c r="C15" s="604"/>
      <c r="D15" s="597" t="str">
        <f t="shared" ref="D15:D34" si="2">CONCATENATE(B15," ",C15)</f>
        <v xml:space="preserve"> </v>
      </c>
      <c r="E15" s="605"/>
      <c r="F15" s="610"/>
      <c r="G15" s="616" t="s">
        <v>139</v>
      </c>
      <c r="H15" s="607" t="s">
        <v>558</v>
      </c>
      <c r="I15" s="60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c r="AT15" s="608"/>
      <c r="AU15" s="608"/>
      <c r="AV15" s="608"/>
      <c r="AW15" s="608"/>
      <c r="AX15" s="608"/>
      <c r="AY15" s="608"/>
      <c r="AZ15" s="608"/>
      <c r="BA15" s="608"/>
      <c r="BB15" s="609"/>
      <c r="BC15" s="346"/>
    </row>
    <row r="16" spans="1:99" ht="17.25" x14ac:dyDescent="0.25">
      <c r="A16" s="603">
        <v>12</v>
      </c>
      <c r="B16" s="604"/>
      <c r="C16" s="604"/>
      <c r="D16" s="597" t="str">
        <f>CONCATENATE(B16," ",C16)</f>
        <v xml:space="preserve"> </v>
      </c>
      <c r="E16" s="605"/>
      <c r="F16" s="610"/>
      <c r="G16" s="616" t="s">
        <v>139</v>
      </c>
      <c r="H16" s="607" t="s">
        <v>558</v>
      </c>
      <c r="I16" s="608"/>
      <c r="J16" s="608"/>
      <c r="K16" s="608"/>
      <c r="L16" s="608"/>
      <c r="M16" s="608"/>
      <c r="N16" s="608"/>
      <c r="O16" s="608"/>
      <c r="P16" s="608"/>
      <c r="Q16" s="608"/>
      <c r="R16" s="608"/>
      <c r="S16" s="608"/>
      <c r="T16" s="608"/>
      <c r="U16" s="608"/>
      <c r="V16" s="608"/>
      <c r="W16" s="608"/>
      <c r="X16" s="608"/>
      <c r="Y16" s="608"/>
      <c r="Z16" s="608"/>
      <c r="AA16" s="608"/>
      <c r="AB16" s="611"/>
      <c r="AC16" s="611"/>
      <c r="AD16" s="611"/>
      <c r="AE16" s="611"/>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2"/>
      <c r="BC16" s="346"/>
    </row>
    <row r="17" spans="1:56" ht="17.25" x14ac:dyDescent="0.25">
      <c r="A17" s="603">
        <v>13</v>
      </c>
      <c r="B17" s="604"/>
      <c r="C17" s="604"/>
      <c r="D17" s="597" t="str">
        <f t="shared" si="2"/>
        <v xml:space="preserve"> </v>
      </c>
      <c r="E17" s="605"/>
      <c r="F17" s="610"/>
      <c r="G17" s="616" t="s">
        <v>139</v>
      </c>
      <c r="H17" s="607" t="s">
        <v>558</v>
      </c>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9"/>
      <c r="BC17" s="346"/>
    </row>
    <row r="18" spans="1:56" ht="17.25" x14ac:dyDescent="0.25">
      <c r="A18" s="603">
        <v>14</v>
      </c>
      <c r="B18" s="604"/>
      <c r="C18" s="604"/>
      <c r="D18" s="597" t="str">
        <f t="shared" si="2"/>
        <v xml:space="preserve"> </v>
      </c>
      <c r="E18" s="605"/>
      <c r="F18" s="610"/>
      <c r="G18" s="616" t="s">
        <v>139</v>
      </c>
      <c r="H18" s="607" t="s">
        <v>558</v>
      </c>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08"/>
      <c r="AZ18" s="608"/>
      <c r="BA18" s="608"/>
      <c r="BB18" s="609"/>
      <c r="BC18" s="346"/>
    </row>
    <row r="19" spans="1:56" ht="17.25" x14ac:dyDescent="0.25">
      <c r="A19" s="603">
        <v>15</v>
      </c>
      <c r="B19" s="604"/>
      <c r="C19" s="604"/>
      <c r="D19" s="597" t="str">
        <f t="shared" si="2"/>
        <v xml:space="preserve"> </v>
      </c>
      <c r="E19" s="605"/>
      <c r="F19" s="610"/>
      <c r="G19" s="616" t="s">
        <v>139</v>
      </c>
      <c r="H19" s="607" t="s">
        <v>558</v>
      </c>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c r="AR19" s="608"/>
      <c r="AS19" s="608"/>
      <c r="AT19" s="608"/>
      <c r="AU19" s="608"/>
      <c r="AV19" s="608"/>
      <c r="AW19" s="608"/>
      <c r="AX19" s="608"/>
      <c r="AY19" s="608"/>
      <c r="AZ19" s="608"/>
      <c r="BA19" s="608"/>
      <c r="BB19" s="609"/>
      <c r="BC19" s="346"/>
    </row>
    <row r="20" spans="1:56" ht="17.25" x14ac:dyDescent="0.25">
      <c r="A20" s="603">
        <v>16</v>
      </c>
      <c r="B20" s="604"/>
      <c r="C20" s="604"/>
      <c r="D20" s="597" t="str">
        <f t="shared" si="2"/>
        <v xml:space="preserve"> </v>
      </c>
      <c r="E20" s="605"/>
      <c r="F20" s="610"/>
      <c r="G20" s="616" t="s">
        <v>139</v>
      </c>
      <c r="H20" s="607" t="s">
        <v>558</v>
      </c>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c r="AR20" s="608"/>
      <c r="AS20" s="608"/>
      <c r="AT20" s="608"/>
      <c r="AU20" s="608"/>
      <c r="AV20" s="608"/>
      <c r="AW20" s="608"/>
      <c r="AX20" s="608"/>
      <c r="AY20" s="608"/>
      <c r="AZ20" s="608"/>
      <c r="BA20" s="608"/>
      <c r="BB20" s="609"/>
      <c r="BC20" s="346"/>
    </row>
    <row r="21" spans="1:56" ht="17.25" x14ac:dyDescent="0.25">
      <c r="A21" s="603">
        <v>17</v>
      </c>
      <c r="B21" s="604"/>
      <c r="C21" s="604"/>
      <c r="D21" s="597" t="str">
        <f t="shared" si="2"/>
        <v xml:space="preserve"> </v>
      </c>
      <c r="E21" s="605"/>
      <c r="F21" s="610"/>
      <c r="G21" s="616" t="s">
        <v>139</v>
      </c>
      <c r="H21" s="607" t="s">
        <v>558</v>
      </c>
      <c r="I21" s="60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c r="AR21" s="608"/>
      <c r="AS21" s="608"/>
      <c r="AT21" s="608"/>
      <c r="AU21" s="608"/>
      <c r="AV21" s="608"/>
      <c r="AW21" s="608"/>
      <c r="AX21" s="608"/>
      <c r="AY21" s="608"/>
      <c r="AZ21" s="608"/>
      <c r="BA21" s="608"/>
      <c r="BB21" s="609"/>
      <c r="BC21" s="346"/>
      <c r="BD21" s="613"/>
    </row>
    <row r="22" spans="1:56" ht="17.25" x14ac:dyDescent="0.25">
      <c r="A22" s="603">
        <v>18</v>
      </c>
      <c r="B22" s="604"/>
      <c r="C22" s="604"/>
      <c r="D22" s="597" t="str">
        <f t="shared" si="2"/>
        <v xml:space="preserve"> </v>
      </c>
      <c r="E22" s="605"/>
      <c r="F22" s="610"/>
      <c r="G22" s="616" t="s">
        <v>139</v>
      </c>
      <c r="H22" s="607" t="s">
        <v>558</v>
      </c>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c r="AR22" s="608"/>
      <c r="AS22" s="608"/>
      <c r="AT22" s="608"/>
      <c r="AU22" s="608"/>
      <c r="AV22" s="608"/>
      <c r="AW22" s="608"/>
      <c r="AX22" s="608"/>
      <c r="AY22" s="608"/>
      <c r="AZ22" s="608"/>
      <c r="BA22" s="608"/>
      <c r="BB22" s="609"/>
      <c r="BC22" s="346"/>
    </row>
    <row r="23" spans="1:56" ht="17.25" x14ac:dyDescent="0.25">
      <c r="A23" s="603">
        <v>19</v>
      </c>
      <c r="B23" s="604"/>
      <c r="C23" s="604"/>
      <c r="D23" s="597" t="str">
        <f t="shared" si="2"/>
        <v xml:space="preserve"> </v>
      </c>
      <c r="E23" s="605"/>
      <c r="F23" s="610"/>
      <c r="G23" s="616" t="s">
        <v>139</v>
      </c>
      <c r="H23" s="607" t="s">
        <v>558</v>
      </c>
      <c r="I23" s="60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c r="AR23" s="608"/>
      <c r="AS23" s="608"/>
      <c r="AT23" s="608"/>
      <c r="AU23" s="608"/>
      <c r="AV23" s="608"/>
      <c r="AW23" s="608"/>
      <c r="AX23" s="608"/>
      <c r="AY23" s="608"/>
      <c r="AZ23" s="608"/>
      <c r="BA23" s="608"/>
      <c r="BB23" s="609"/>
      <c r="BC23" s="346"/>
    </row>
    <row r="24" spans="1:56" ht="17.25" x14ac:dyDescent="0.25">
      <c r="A24" s="603">
        <v>20</v>
      </c>
      <c r="B24" s="604"/>
      <c r="C24" s="604"/>
      <c r="D24" s="597" t="str">
        <f t="shared" si="2"/>
        <v xml:space="preserve"> </v>
      </c>
      <c r="E24" s="605"/>
      <c r="F24" s="610"/>
      <c r="G24" s="616" t="s">
        <v>139</v>
      </c>
      <c r="H24" s="607" t="s">
        <v>558</v>
      </c>
      <c r="I24" s="608"/>
      <c r="J24" s="608"/>
      <c r="K24" s="608"/>
      <c r="L24" s="608"/>
      <c r="M24" s="608"/>
      <c r="N24" s="608"/>
      <c r="O24" s="608"/>
      <c r="P24" s="608"/>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c r="AT24" s="608"/>
      <c r="AU24" s="608"/>
      <c r="AV24" s="608"/>
      <c r="AW24" s="608"/>
      <c r="AX24" s="608"/>
      <c r="AY24" s="608"/>
      <c r="AZ24" s="608"/>
      <c r="BA24" s="608"/>
      <c r="BB24" s="609"/>
      <c r="BC24" s="346"/>
    </row>
    <row r="25" spans="1:56" ht="17.25" x14ac:dyDescent="0.25">
      <c r="A25" s="603">
        <v>21</v>
      </c>
      <c r="B25" s="604"/>
      <c r="C25" s="604"/>
      <c r="D25" s="597" t="str">
        <f t="shared" si="2"/>
        <v xml:space="preserve"> </v>
      </c>
      <c r="E25" s="605"/>
      <c r="F25" s="610"/>
      <c r="G25" s="616" t="s">
        <v>139</v>
      </c>
      <c r="H25" s="607" t="s">
        <v>558</v>
      </c>
      <c r="I25" s="608"/>
      <c r="J25" s="608"/>
      <c r="K25" s="608"/>
      <c r="L25" s="608"/>
      <c r="M25" s="608"/>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c r="AR25" s="608"/>
      <c r="AS25" s="608"/>
      <c r="AT25" s="608"/>
      <c r="AU25" s="608"/>
      <c r="AV25" s="608"/>
      <c r="AW25" s="608"/>
      <c r="AX25" s="608"/>
      <c r="AY25" s="608"/>
      <c r="AZ25" s="608"/>
      <c r="BA25" s="608"/>
      <c r="BB25" s="609"/>
      <c r="BC25" s="346"/>
    </row>
    <row r="26" spans="1:56" ht="17.25" x14ac:dyDescent="0.25">
      <c r="A26" s="603">
        <v>22</v>
      </c>
      <c r="B26" s="604"/>
      <c r="C26" s="604"/>
      <c r="D26" s="597" t="str">
        <f t="shared" si="2"/>
        <v xml:space="preserve"> </v>
      </c>
      <c r="E26" s="605"/>
      <c r="F26" s="610"/>
      <c r="G26" s="616" t="s">
        <v>139</v>
      </c>
      <c r="H26" s="607" t="s">
        <v>558</v>
      </c>
      <c r="I26" s="608"/>
      <c r="J26" s="608"/>
      <c r="K26" s="608"/>
      <c r="L26" s="608"/>
      <c r="M26" s="608"/>
      <c r="N26" s="608"/>
      <c r="O26" s="608"/>
      <c r="P26" s="608"/>
      <c r="Q26" s="608"/>
      <c r="R26" s="608"/>
      <c r="S26" s="608"/>
      <c r="T26" s="608"/>
      <c r="U26" s="608"/>
      <c r="V26" s="608"/>
      <c r="W26" s="608"/>
      <c r="X26" s="608"/>
      <c r="Y26" s="608"/>
      <c r="Z26" s="608"/>
      <c r="AA26" s="608"/>
      <c r="AB26" s="608"/>
      <c r="AC26" s="608"/>
      <c r="AD26" s="608"/>
      <c r="AE26" s="608"/>
      <c r="AF26" s="608"/>
      <c r="AG26" s="608"/>
      <c r="AH26" s="608"/>
      <c r="AI26" s="608"/>
      <c r="AJ26" s="608"/>
      <c r="AK26" s="608"/>
      <c r="AL26" s="608"/>
      <c r="AM26" s="608"/>
      <c r="AN26" s="608"/>
      <c r="AO26" s="608"/>
      <c r="AP26" s="608"/>
      <c r="AQ26" s="608"/>
      <c r="AR26" s="608"/>
      <c r="AS26" s="608"/>
      <c r="AT26" s="608"/>
      <c r="AU26" s="608"/>
      <c r="AV26" s="608"/>
      <c r="AW26" s="608"/>
      <c r="AX26" s="608"/>
      <c r="AY26" s="608"/>
      <c r="AZ26" s="608"/>
      <c r="BA26" s="608"/>
      <c r="BB26" s="609"/>
      <c r="BC26" s="346"/>
    </row>
    <row r="27" spans="1:56" ht="17.25" x14ac:dyDescent="0.25">
      <c r="A27" s="603">
        <v>23</v>
      </c>
      <c r="B27" s="604"/>
      <c r="C27" s="604"/>
      <c r="D27" s="597" t="str">
        <f t="shared" si="2"/>
        <v xml:space="preserve"> </v>
      </c>
      <c r="E27" s="605"/>
      <c r="F27" s="610"/>
      <c r="G27" s="616" t="s">
        <v>139</v>
      </c>
      <c r="H27" s="607" t="s">
        <v>558</v>
      </c>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9"/>
      <c r="BC27" s="346"/>
    </row>
    <row r="28" spans="1:56" ht="17.25" x14ac:dyDescent="0.25">
      <c r="A28" s="603">
        <v>24</v>
      </c>
      <c r="B28" s="604"/>
      <c r="C28" s="604"/>
      <c r="D28" s="597" t="str">
        <f t="shared" si="2"/>
        <v xml:space="preserve"> </v>
      </c>
      <c r="E28" s="605"/>
      <c r="F28" s="610"/>
      <c r="G28" s="616" t="s">
        <v>139</v>
      </c>
      <c r="H28" s="607" t="s">
        <v>558</v>
      </c>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9"/>
      <c r="BC28" s="346"/>
    </row>
    <row r="29" spans="1:56" ht="17.25" x14ac:dyDescent="0.25">
      <c r="A29" s="603">
        <v>25</v>
      </c>
      <c r="B29" s="604"/>
      <c r="C29" s="604"/>
      <c r="D29" s="597" t="str">
        <f t="shared" si="2"/>
        <v xml:space="preserve"> </v>
      </c>
      <c r="E29" s="605"/>
      <c r="F29" s="610"/>
      <c r="G29" s="616" t="s">
        <v>139</v>
      </c>
      <c r="H29" s="607" t="s">
        <v>558</v>
      </c>
      <c r="I29" s="60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c r="AR29" s="608"/>
      <c r="AS29" s="608"/>
      <c r="AT29" s="608"/>
      <c r="AU29" s="608"/>
      <c r="AV29" s="608"/>
      <c r="AW29" s="608"/>
      <c r="AX29" s="608"/>
      <c r="AY29" s="608"/>
      <c r="AZ29" s="608"/>
      <c r="BA29" s="608"/>
      <c r="BB29" s="609"/>
      <c r="BC29" s="346"/>
    </row>
    <row r="30" spans="1:56" ht="17.25" x14ac:dyDescent="0.25">
      <c r="A30" s="603">
        <v>26</v>
      </c>
      <c r="B30" s="604"/>
      <c r="C30" s="604"/>
      <c r="D30" s="597" t="str">
        <f t="shared" si="2"/>
        <v xml:space="preserve"> </v>
      </c>
      <c r="E30" s="605"/>
      <c r="F30" s="610"/>
      <c r="G30" s="616" t="s">
        <v>139</v>
      </c>
      <c r="H30" s="607" t="s">
        <v>558</v>
      </c>
      <c r="I30" s="60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c r="AR30" s="608"/>
      <c r="AS30" s="608"/>
      <c r="AT30" s="608"/>
      <c r="AU30" s="608"/>
      <c r="AV30" s="608"/>
      <c r="AW30" s="608"/>
      <c r="AX30" s="608"/>
      <c r="AY30" s="608"/>
      <c r="AZ30" s="608"/>
      <c r="BA30" s="608"/>
      <c r="BB30" s="609"/>
      <c r="BC30" s="346"/>
    </row>
    <row r="31" spans="1:56" ht="17.25" x14ac:dyDescent="0.25">
      <c r="A31" s="603">
        <v>27</v>
      </c>
      <c r="B31" s="604"/>
      <c r="C31" s="604"/>
      <c r="D31" s="597" t="str">
        <f t="shared" si="2"/>
        <v xml:space="preserve"> </v>
      </c>
      <c r="E31" s="605"/>
      <c r="F31" s="610"/>
      <c r="G31" s="616" t="s">
        <v>139</v>
      </c>
      <c r="H31" s="607" t="s">
        <v>558</v>
      </c>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608"/>
      <c r="AT31" s="608"/>
      <c r="AU31" s="608"/>
      <c r="AV31" s="608"/>
      <c r="AW31" s="608"/>
      <c r="AX31" s="608"/>
      <c r="AY31" s="608"/>
      <c r="AZ31" s="608"/>
      <c r="BA31" s="608"/>
      <c r="BB31" s="609"/>
      <c r="BC31" s="346"/>
    </row>
    <row r="32" spans="1:56" ht="17.25" x14ac:dyDescent="0.25">
      <c r="A32" s="603">
        <v>28</v>
      </c>
      <c r="B32" s="604"/>
      <c r="C32" s="604"/>
      <c r="D32" s="597" t="str">
        <f t="shared" si="2"/>
        <v xml:space="preserve"> </v>
      </c>
      <c r="E32" s="605"/>
      <c r="F32" s="610"/>
      <c r="G32" s="616" t="s">
        <v>139</v>
      </c>
      <c r="H32" s="607" t="s">
        <v>558</v>
      </c>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608"/>
      <c r="AT32" s="608"/>
      <c r="AU32" s="608"/>
      <c r="AV32" s="608"/>
      <c r="AW32" s="608"/>
      <c r="AX32" s="608"/>
      <c r="AY32" s="608"/>
      <c r="AZ32" s="608"/>
      <c r="BA32" s="608"/>
      <c r="BB32" s="609"/>
      <c r="BC32" s="346"/>
    </row>
    <row r="33" spans="1:55" ht="17.25" x14ac:dyDescent="0.25">
      <c r="A33" s="603">
        <v>29</v>
      </c>
      <c r="B33" s="604"/>
      <c r="C33" s="604"/>
      <c r="D33" s="597" t="str">
        <f t="shared" si="2"/>
        <v xml:space="preserve"> </v>
      </c>
      <c r="E33" s="605"/>
      <c r="F33" s="610"/>
      <c r="G33" s="616" t="s">
        <v>139</v>
      </c>
      <c r="H33" s="607" t="s">
        <v>558</v>
      </c>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608"/>
      <c r="AT33" s="608"/>
      <c r="AU33" s="608"/>
      <c r="AV33" s="608"/>
      <c r="AW33" s="608"/>
      <c r="AX33" s="608"/>
      <c r="AY33" s="608"/>
      <c r="AZ33" s="608"/>
      <c r="BA33" s="608"/>
      <c r="BB33" s="609"/>
      <c r="BC33" s="346"/>
    </row>
    <row r="34" spans="1:55" ht="18" thickBot="1" x14ac:dyDescent="0.3">
      <c r="A34" s="603">
        <v>30</v>
      </c>
      <c r="B34" s="604"/>
      <c r="C34" s="604"/>
      <c r="D34" s="597" t="str">
        <f t="shared" si="2"/>
        <v xml:space="preserve"> </v>
      </c>
      <c r="E34" s="610"/>
      <c r="F34" s="610"/>
      <c r="G34" s="616" t="s">
        <v>139</v>
      </c>
      <c r="H34" s="607" t="s">
        <v>558</v>
      </c>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c r="AR34" s="608"/>
      <c r="AS34" s="608"/>
      <c r="AT34" s="608"/>
      <c r="AU34" s="608"/>
      <c r="AV34" s="608"/>
      <c r="AW34" s="608"/>
      <c r="AX34" s="608"/>
      <c r="AY34" s="608"/>
      <c r="AZ34" s="608"/>
      <c r="BA34" s="608"/>
      <c r="BB34" s="609"/>
      <c r="BC34" s="346"/>
    </row>
    <row r="35" spans="1:55" x14ac:dyDescent="0.25">
      <c r="A35" s="461"/>
      <c r="B35" s="400"/>
      <c r="C35" s="400"/>
      <c r="D35" s="400"/>
      <c r="E35" s="400"/>
      <c r="F35" s="400"/>
      <c r="G35" s="617"/>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1"/>
    </row>
    <row r="36" spans="1:55" x14ac:dyDescent="0.25">
      <c r="A36" s="402"/>
      <c r="B36" s="405"/>
      <c r="C36" s="405"/>
      <c r="D36" s="405"/>
      <c r="E36" s="405"/>
      <c r="F36" s="405"/>
      <c r="G36" s="618"/>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1"/>
    </row>
    <row r="37" spans="1:55" x14ac:dyDescent="0.25">
      <c r="A37" s="402"/>
      <c r="B37" s="405"/>
      <c r="C37" s="405"/>
      <c r="D37" s="405"/>
      <c r="E37" s="405"/>
      <c r="F37" s="405"/>
      <c r="G37" s="618"/>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1"/>
    </row>
    <row r="38" spans="1:55" ht="15.75" thickBot="1" x14ac:dyDescent="0.3">
      <c r="A38" s="411"/>
      <c r="B38" s="414"/>
      <c r="C38" s="414"/>
      <c r="D38" s="414"/>
      <c r="E38" s="414"/>
      <c r="F38" s="414"/>
      <c r="G38" s="619"/>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5"/>
    </row>
  </sheetData>
  <phoneticPr fontId="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rgb="FF008000"/>
  </sheetPr>
  <dimension ref="A1:S53"/>
  <sheetViews>
    <sheetView topLeftCell="A21" workbookViewId="0">
      <selection activeCell="I72" sqref="I72"/>
    </sheetView>
  </sheetViews>
  <sheetFormatPr defaultColWidth="9.140625" defaultRowHeight="15" x14ac:dyDescent="0.25"/>
  <cols>
    <col min="1" max="1" width="7.28515625" style="1" customWidth="1"/>
    <col min="2" max="2" width="31" style="1" customWidth="1"/>
    <col min="3" max="4" width="8.7109375" style="1" customWidth="1"/>
    <col min="5" max="5" width="11.140625" style="1" customWidth="1"/>
    <col min="6" max="6" width="9.7109375" style="1" customWidth="1"/>
    <col min="7" max="7" width="10" style="1" customWidth="1"/>
    <col min="8" max="8" width="7.85546875" style="1" customWidth="1"/>
    <col min="9" max="9" width="59.28515625" style="1" customWidth="1"/>
    <col min="10" max="10" width="10.7109375" style="1" customWidth="1"/>
    <col min="11" max="11" width="8.85546875" style="1" customWidth="1"/>
    <col min="12" max="12" width="10" style="1" customWidth="1"/>
    <col min="13" max="15" width="9.140625" style="1"/>
    <col min="16" max="16" width="11" style="1" customWidth="1"/>
    <col min="17" max="17" width="12" style="1" customWidth="1"/>
    <col min="18" max="18" width="12.140625" style="1" customWidth="1"/>
    <col min="19" max="19" width="3.42578125" style="1" customWidth="1"/>
    <col min="20" max="16384" width="9.140625" style="1"/>
  </cols>
  <sheetData>
    <row r="1" spans="1:19" ht="15.75" thickBot="1" x14ac:dyDescent="0.3">
      <c r="A1" s="429" t="s">
        <v>187</v>
      </c>
      <c r="B1" s="430"/>
      <c r="C1" s="430"/>
      <c r="D1" s="431"/>
      <c r="E1" s="431"/>
      <c r="F1" s="431"/>
      <c r="G1" s="431"/>
      <c r="H1" s="431"/>
      <c r="I1" s="431"/>
      <c r="J1" s="431"/>
      <c r="K1" s="431"/>
      <c r="L1" s="431"/>
      <c r="M1" s="431"/>
      <c r="N1" s="431"/>
      <c r="O1" s="431"/>
      <c r="P1" s="431"/>
      <c r="Q1" s="431"/>
      <c r="R1" s="431"/>
      <c r="S1" s="326"/>
    </row>
    <row r="2" spans="1:19" ht="15.75" thickBot="1" x14ac:dyDescent="0.3">
      <c r="A2" s="432"/>
      <c r="B2" s="328">
        <v>1</v>
      </c>
      <c r="C2" s="328">
        <f>B2+1</f>
        <v>2</v>
      </c>
      <c r="D2" s="329">
        <f t="shared" ref="D2:R2" si="0">C2+1</f>
        <v>3</v>
      </c>
      <c r="E2" s="329">
        <f t="shared" si="0"/>
        <v>4</v>
      </c>
      <c r="F2" s="329">
        <f t="shared" si="0"/>
        <v>5</v>
      </c>
      <c r="G2" s="329">
        <f t="shared" si="0"/>
        <v>6</v>
      </c>
      <c r="H2" s="329">
        <f t="shared" si="0"/>
        <v>7</v>
      </c>
      <c r="I2" s="329">
        <f t="shared" si="0"/>
        <v>8</v>
      </c>
      <c r="J2" s="329">
        <f t="shared" si="0"/>
        <v>9</v>
      </c>
      <c r="K2" s="329">
        <f t="shared" si="0"/>
        <v>10</v>
      </c>
      <c r="L2" s="329">
        <f t="shared" si="0"/>
        <v>11</v>
      </c>
      <c r="M2" s="329">
        <f t="shared" si="0"/>
        <v>12</v>
      </c>
      <c r="N2" s="329">
        <f t="shared" si="0"/>
        <v>13</v>
      </c>
      <c r="O2" s="329">
        <f t="shared" si="0"/>
        <v>14</v>
      </c>
      <c r="P2" s="329">
        <f t="shared" si="0"/>
        <v>15</v>
      </c>
      <c r="Q2" s="329">
        <f t="shared" si="0"/>
        <v>16</v>
      </c>
      <c r="R2" s="330">
        <f t="shared" si="0"/>
        <v>17</v>
      </c>
      <c r="S2" s="401"/>
    </row>
    <row r="3" spans="1:19" ht="15.75" thickBot="1" x14ac:dyDescent="0.3">
      <c r="A3" s="11"/>
      <c r="B3" s="433" t="s">
        <v>188</v>
      </c>
      <c r="C3" s="434" t="s">
        <v>189</v>
      </c>
      <c r="D3" s="435"/>
      <c r="E3" s="435"/>
      <c r="F3" s="253"/>
      <c r="G3" s="253"/>
      <c r="H3" s="253"/>
      <c r="I3" s="436"/>
      <c r="J3" s="437" t="s">
        <v>190</v>
      </c>
      <c r="K3" s="253"/>
      <c r="L3" s="438"/>
      <c r="M3" s="439" t="s">
        <v>299</v>
      </c>
      <c r="N3" s="253"/>
      <c r="O3" s="438"/>
      <c r="P3" s="439" t="s">
        <v>298</v>
      </c>
      <c r="Q3" s="253"/>
      <c r="R3" s="253"/>
      <c r="S3" s="346"/>
    </row>
    <row r="4" spans="1:19" s="421" customFormat="1" ht="45" customHeight="1" thickBot="1" x14ac:dyDescent="0.25">
      <c r="A4" s="423" t="s">
        <v>57</v>
      </c>
      <c r="B4" s="440" t="s">
        <v>106</v>
      </c>
      <c r="C4" s="423" t="s">
        <v>167</v>
      </c>
      <c r="D4" s="441" t="s">
        <v>168</v>
      </c>
      <c r="E4" s="355" t="s">
        <v>101</v>
      </c>
      <c r="F4" s="441" t="s">
        <v>107</v>
      </c>
      <c r="G4" s="355" t="s">
        <v>102</v>
      </c>
      <c r="H4" s="442" t="s">
        <v>108</v>
      </c>
      <c r="I4" s="443" t="s">
        <v>307</v>
      </c>
      <c r="J4" s="423" t="s">
        <v>103</v>
      </c>
      <c r="K4" s="353" t="s">
        <v>104</v>
      </c>
      <c r="L4" s="444" t="s">
        <v>105</v>
      </c>
      <c r="M4" s="355" t="s">
        <v>103</v>
      </c>
      <c r="N4" s="353" t="s">
        <v>104</v>
      </c>
      <c r="O4" s="444" t="s">
        <v>105</v>
      </c>
      <c r="P4" s="355" t="s">
        <v>103</v>
      </c>
      <c r="Q4" s="353" t="s">
        <v>104</v>
      </c>
      <c r="R4" s="352" t="s">
        <v>105</v>
      </c>
      <c r="S4" s="445"/>
    </row>
    <row r="5" spans="1:19" ht="34.5" customHeight="1" thickBot="1" x14ac:dyDescent="0.3">
      <c r="A5" s="370" t="s">
        <v>267</v>
      </c>
      <c r="B5" s="446" t="s">
        <v>267</v>
      </c>
      <c r="C5" s="370" t="s">
        <v>26</v>
      </c>
      <c r="D5" s="447" t="s">
        <v>460</v>
      </c>
      <c r="E5" s="366" t="s">
        <v>26</v>
      </c>
      <c r="F5" s="447" t="s">
        <v>460</v>
      </c>
      <c r="G5" s="366" t="s">
        <v>26</v>
      </c>
      <c r="H5" s="448" t="s">
        <v>460</v>
      </c>
      <c r="I5" s="449" t="s">
        <v>306</v>
      </c>
      <c r="J5" s="370" t="s">
        <v>26</v>
      </c>
      <c r="K5" s="367" t="s">
        <v>26</v>
      </c>
      <c r="L5" s="448" t="s">
        <v>460</v>
      </c>
      <c r="M5" s="366" t="s">
        <v>26</v>
      </c>
      <c r="N5" s="367" t="s">
        <v>26</v>
      </c>
      <c r="O5" s="448" t="s">
        <v>460</v>
      </c>
      <c r="P5" s="366" t="s">
        <v>26</v>
      </c>
      <c r="Q5" s="367" t="s">
        <v>26</v>
      </c>
      <c r="R5" s="450" t="s">
        <v>460</v>
      </c>
      <c r="S5" s="346"/>
    </row>
    <row r="6" spans="1:19" x14ac:dyDescent="0.25">
      <c r="A6" s="451">
        <v>1</v>
      </c>
      <c r="B6" s="452" t="s">
        <v>543</v>
      </c>
      <c r="C6" s="453">
        <v>1</v>
      </c>
      <c r="D6" s="454">
        <v>0</v>
      </c>
      <c r="E6" s="455">
        <v>5</v>
      </c>
      <c r="F6" s="454">
        <v>0</v>
      </c>
      <c r="G6" s="455"/>
      <c r="H6" s="456"/>
      <c r="I6" s="457" t="s">
        <v>286</v>
      </c>
      <c r="J6" s="453">
        <v>1</v>
      </c>
      <c r="K6" s="458">
        <v>15</v>
      </c>
      <c r="L6" s="456">
        <v>0</v>
      </c>
      <c r="M6" s="455">
        <v>1</v>
      </c>
      <c r="N6" s="458">
        <v>5</v>
      </c>
      <c r="O6" s="456">
        <v>0</v>
      </c>
      <c r="P6" s="455"/>
      <c r="Q6" s="458"/>
      <c r="R6" s="454"/>
      <c r="S6" s="346"/>
    </row>
    <row r="7" spans="1:19" x14ac:dyDescent="0.25">
      <c r="A7" s="451">
        <v>2</v>
      </c>
      <c r="B7" s="452" t="s">
        <v>544</v>
      </c>
      <c r="C7" s="453">
        <v>1</v>
      </c>
      <c r="D7" s="454">
        <v>0</v>
      </c>
      <c r="E7" s="455">
        <v>5</v>
      </c>
      <c r="F7" s="454">
        <v>0</v>
      </c>
      <c r="G7" s="455"/>
      <c r="H7" s="456"/>
      <c r="I7" s="457" t="s">
        <v>286</v>
      </c>
      <c r="J7" s="453">
        <v>1</v>
      </c>
      <c r="K7" s="458">
        <v>15</v>
      </c>
      <c r="L7" s="456">
        <v>0</v>
      </c>
      <c r="M7" s="455">
        <v>1</v>
      </c>
      <c r="N7" s="458">
        <v>5</v>
      </c>
      <c r="O7" s="456">
        <v>0</v>
      </c>
      <c r="P7" s="455"/>
      <c r="Q7" s="458"/>
      <c r="R7" s="454"/>
      <c r="S7" s="346"/>
    </row>
    <row r="8" spans="1:19" x14ac:dyDescent="0.25">
      <c r="A8" s="451">
        <v>3</v>
      </c>
      <c r="B8" s="452"/>
      <c r="C8" s="453"/>
      <c r="D8" s="454"/>
      <c r="E8" s="455"/>
      <c r="F8" s="454"/>
      <c r="G8" s="455"/>
      <c r="H8" s="456"/>
      <c r="I8" s="457"/>
      <c r="J8" s="453"/>
      <c r="K8" s="458"/>
      <c r="L8" s="456"/>
      <c r="M8" s="455"/>
      <c r="N8" s="458"/>
      <c r="O8" s="456"/>
      <c r="P8" s="455"/>
      <c r="Q8" s="458"/>
      <c r="R8" s="454"/>
      <c r="S8" s="346"/>
    </row>
    <row r="9" spans="1:19" x14ac:dyDescent="0.25">
      <c r="A9" s="451">
        <v>4</v>
      </c>
      <c r="B9" s="452"/>
      <c r="C9" s="453"/>
      <c r="D9" s="454"/>
      <c r="E9" s="455"/>
      <c r="F9" s="454"/>
      <c r="G9" s="455"/>
      <c r="H9" s="456"/>
      <c r="I9" s="457"/>
      <c r="J9" s="453"/>
      <c r="K9" s="458"/>
      <c r="L9" s="456"/>
      <c r="M9" s="455"/>
      <c r="N9" s="458"/>
      <c r="O9" s="456"/>
      <c r="P9" s="455"/>
      <c r="Q9" s="458"/>
      <c r="R9" s="454"/>
      <c r="S9" s="346"/>
    </row>
    <row r="10" spans="1:19" x14ac:dyDescent="0.25">
      <c r="A10" s="451">
        <v>5</v>
      </c>
      <c r="B10" s="452"/>
      <c r="C10" s="453"/>
      <c r="D10" s="454"/>
      <c r="E10" s="455"/>
      <c r="F10" s="454"/>
      <c r="G10" s="455"/>
      <c r="H10" s="456"/>
      <c r="I10" s="457"/>
      <c r="J10" s="453"/>
      <c r="K10" s="458"/>
      <c r="L10" s="456"/>
      <c r="M10" s="455"/>
      <c r="N10" s="458"/>
      <c r="O10" s="456"/>
      <c r="P10" s="455"/>
      <c r="Q10" s="458"/>
      <c r="R10" s="454"/>
      <c r="S10" s="346"/>
    </row>
    <row r="11" spans="1:19" x14ac:dyDescent="0.25">
      <c r="A11" s="451">
        <v>6</v>
      </c>
      <c r="B11" s="452"/>
      <c r="C11" s="453"/>
      <c r="D11" s="454"/>
      <c r="E11" s="455"/>
      <c r="F11" s="454"/>
      <c r="G11" s="455"/>
      <c r="H11" s="456"/>
      <c r="I11" s="457"/>
      <c r="J11" s="453"/>
      <c r="K11" s="458"/>
      <c r="L11" s="456"/>
      <c r="M11" s="455"/>
      <c r="N11" s="458"/>
      <c r="O11" s="456"/>
      <c r="P11" s="455"/>
      <c r="Q11" s="458"/>
      <c r="R11" s="454"/>
      <c r="S11" s="346"/>
    </row>
    <row r="12" spans="1:19" x14ac:dyDescent="0.25">
      <c r="A12" s="451">
        <v>7</v>
      </c>
      <c r="B12" s="452"/>
      <c r="C12" s="453"/>
      <c r="D12" s="454"/>
      <c r="E12" s="455"/>
      <c r="F12" s="454"/>
      <c r="G12" s="455"/>
      <c r="H12" s="456"/>
      <c r="I12" s="457"/>
      <c r="J12" s="453"/>
      <c r="K12" s="458"/>
      <c r="L12" s="456"/>
      <c r="M12" s="455"/>
      <c r="N12" s="458"/>
      <c r="O12" s="456"/>
      <c r="P12" s="455"/>
      <c r="Q12" s="458"/>
      <c r="R12" s="454"/>
      <c r="S12" s="346"/>
    </row>
    <row r="13" spans="1:19" x14ac:dyDescent="0.25">
      <c r="A13" s="451">
        <v>8</v>
      </c>
      <c r="B13" s="452"/>
      <c r="C13" s="453"/>
      <c r="D13" s="454"/>
      <c r="E13" s="455"/>
      <c r="F13" s="454"/>
      <c r="G13" s="455"/>
      <c r="H13" s="456"/>
      <c r="I13" s="457"/>
      <c r="J13" s="453"/>
      <c r="K13" s="458"/>
      <c r="L13" s="456"/>
      <c r="M13" s="455"/>
      <c r="N13" s="458"/>
      <c r="O13" s="456"/>
      <c r="P13" s="455"/>
      <c r="Q13" s="458"/>
      <c r="R13" s="454"/>
      <c r="S13" s="346"/>
    </row>
    <row r="14" spans="1:19" x14ac:dyDescent="0.25">
      <c r="A14" s="451">
        <v>9</v>
      </c>
      <c r="B14" s="452"/>
      <c r="C14" s="453"/>
      <c r="D14" s="454"/>
      <c r="E14" s="455"/>
      <c r="F14" s="454"/>
      <c r="G14" s="455"/>
      <c r="H14" s="456"/>
      <c r="I14" s="457"/>
      <c r="J14" s="453"/>
      <c r="K14" s="458"/>
      <c r="L14" s="456"/>
      <c r="M14" s="455"/>
      <c r="N14" s="458"/>
      <c r="O14" s="456"/>
      <c r="P14" s="455"/>
      <c r="Q14" s="458"/>
      <c r="R14" s="454"/>
      <c r="S14" s="346"/>
    </row>
    <row r="15" spans="1:19" x14ac:dyDescent="0.25">
      <c r="A15" s="451">
        <v>10</v>
      </c>
      <c r="B15" s="452"/>
      <c r="C15" s="453"/>
      <c r="D15" s="454"/>
      <c r="E15" s="455"/>
      <c r="F15" s="454"/>
      <c r="G15" s="455"/>
      <c r="H15" s="456"/>
      <c r="I15" s="457"/>
      <c r="J15" s="453"/>
      <c r="K15" s="458"/>
      <c r="L15" s="456"/>
      <c r="M15" s="455"/>
      <c r="N15" s="458"/>
      <c r="O15" s="456"/>
      <c r="P15" s="455"/>
      <c r="Q15" s="458"/>
      <c r="R15" s="454"/>
      <c r="S15" s="346"/>
    </row>
    <row r="16" spans="1:19" x14ac:dyDescent="0.25">
      <c r="A16" s="451">
        <v>11</v>
      </c>
      <c r="B16" s="452"/>
      <c r="C16" s="453"/>
      <c r="D16" s="454"/>
      <c r="E16" s="455"/>
      <c r="F16" s="454"/>
      <c r="G16" s="455"/>
      <c r="H16" s="456"/>
      <c r="I16" s="457"/>
      <c r="J16" s="453"/>
      <c r="K16" s="458"/>
      <c r="L16" s="456"/>
      <c r="M16" s="455"/>
      <c r="N16" s="458"/>
      <c r="O16" s="456"/>
      <c r="P16" s="455"/>
      <c r="Q16" s="458"/>
      <c r="R16" s="454"/>
      <c r="S16" s="346"/>
    </row>
    <row r="17" spans="1:19" x14ac:dyDescent="0.25">
      <c r="A17" s="451">
        <v>12</v>
      </c>
      <c r="B17" s="452"/>
      <c r="C17" s="453"/>
      <c r="D17" s="454"/>
      <c r="E17" s="455"/>
      <c r="F17" s="454"/>
      <c r="G17" s="455"/>
      <c r="H17" s="456"/>
      <c r="I17" s="457"/>
      <c r="J17" s="453"/>
      <c r="K17" s="458"/>
      <c r="L17" s="456"/>
      <c r="M17" s="455"/>
      <c r="N17" s="458"/>
      <c r="O17" s="456"/>
      <c r="P17" s="455"/>
      <c r="Q17" s="458"/>
      <c r="R17" s="454"/>
      <c r="S17" s="346"/>
    </row>
    <row r="18" spans="1:19" x14ac:dyDescent="0.25">
      <c r="A18" s="451">
        <v>13</v>
      </c>
      <c r="B18" s="452"/>
      <c r="C18" s="453"/>
      <c r="D18" s="454"/>
      <c r="E18" s="455"/>
      <c r="F18" s="454"/>
      <c r="G18" s="455"/>
      <c r="H18" s="456"/>
      <c r="I18" s="457"/>
      <c r="J18" s="453"/>
      <c r="K18" s="458"/>
      <c r="L18" s="456"/>
      <c r="M18" s="455"/>
      <c r="N18" s="458"/>
      <c r="O18" s="456"/>
      <c r="P18" s="455"/>
      <c r="Q18" s="458"/>
      <c r="R18" s="454"/>
      <c r="S18" s="346"/>
    </row>
    <row r="19" spans="1:19" x14ac:dyDescent="0.25">
      <c r="A19" s="451">
        <v>14</v>
      </c>
      <c r="B19" s="452"/>
      <c r="C19" s="453"/>
      <c r="D19" s="454"/>
      <c r="E19" s="455"/>
      <c r="F19" s="454"/>
      <c r="G19" s="455"/>
      <c r="H19" s="456"/>
      <c r="I19" s="457"/>
      <c r="J19" s="453"/>
      <c r="K19" s="458"/>
      <c r="L19" s="456"/>
      <c r="M19" s="455"/>
      <c r="N19" s="458"/>
      <c r="O19" s="456"/>
      <c r="P19" s="455"/>
      <c r="Q19" s="458"/>
      <c r="R19" s="454"/>
      <c r="S19" s="346"/>
    </row>
    <row r="20" spans="1:19" x14ac:dyDescent="0.25">
      <c r="A20" s="451">
        <v>15</v>
      </c>
      <c r="B20" s="452"/>
      <c r="C20" s="453"/>
      <c r="D20" s="454"/>
      <c r="E20" s="455"/>
      <c r="F20" s="454"/>
      <c r="G20" s="455"/>
      <c r="H20" s="456"/>
      <c r="I20" s="457"/>
      <c r="J20" s="453"/>
      <c r="K20" s="458"/>
      <c r="L20" s="456"/>
      <c r="M20" s="455"/>
      <c r="N20" s="458"/>
      <c r="O20" s="456"/>
      <c r="P20" s="455"/>
      <c r="Q20" s="458"/>
      <c r="R20" s="454"/>
      <c r="S20" s="346"/>
    </row>
    <row r="21" spans="1:19" x14ac:dyDescent="0.25">
      <c r="A21" s="451">
        <v>16</v>
      </c>
      <c r="B21" s="452"/>
      <c r="C21" s="453"/>
      <c r="D21" s="454"/>
      <c r="E21" s="455"/>
      <c r="F21" s="454"/>
      <c r="G21" s="455"/>
      <c r="H21" s="456"/>
      <c r="I21" s="457"/>
      <c r="J21" s="453"/>
      <c r="K21" s="458"/>
      <c r="L21" s="456"/>
      <c r="M21" s="455"/>
      <c r="N21" s="458"/>
      <c r="O21" s="456"/>
      <c r="P21" s="455"/>
      <c r="Q21" s="458"/>
      <c r="R21" s="454"/>
      <c r="S21" s="346"/>
    </row>
    <row r="22" spans="1:19" x14ac:dyDescent="0.25">
      <c r="A22" s="451">
        <v>17</v>
      </c>
      <c r="B22" s="452"/>
      <c r="C22" s="453"/>
      <c r="D22" s="454"/>
      <c r="E22" s="455"/>
      <c r="F22" s="454"/>
      <c r="G22" s="455"/>
      <c r="H22" s="456"/>
      <c r="I22" s="457"/>
      <c r="J22" s="453"/>
      <c r="K22" s="458"/>
      <c r="L22" s="456"/>
      <c r="M22" s="455"/>
      <c r="N22" s="458"/>
      <c r="O22" s="456"/>
      <c r="P22" s="455"/>
      <c r="Q22" s="458"/>
      <c r="R22" s="454"/>
      <c r="S22" s="346"/>
    </row>
    <row r="23" spans="1:19" x14ac:dyDescent="0.25">
      <c r="A23" s="451">
        <v>18</v>
      </c>
      <c r="B23" s="452"/>
      <c r="C23" s="453"/>
      <c r="D23" s="454"/>
      <c r="E23" s="455"/>
      <c r="F23" s="454"/>
      <c r="G23" s="455"/>
      <c r="H23" s="456"/>
      <c r="I23" s="457"/>
      <c r="J23" s="453"/>
      <c r="K23" s="458"/>
      <c r="L23" s="456"/>
      <c r="M23" s="455"/>
      <c r="N23" s="458"/>
      <c r="O23" s="456"/>
      <c r="P23" s="455"/>
      <c r="Q23" s="458"/>
      <c r="R23" s="454"/>
      <c r="S23" s="346"/>
    </row>
    <row r="24" spans="1:19" x14ac:dyDescent="0.25">
      <c r="A24" s="451">
        <v>19</v>
      </c>
      <c r="B24" s="452"/>
      <c r="C24" s="453"/>
      <c r="D24" s="454"/>
      <c r="E24" s="455"/>
      <c r="F24" s="454"/>
      <c r="G24" s="455"/>
      <c r="H24" s="456"/>
      <c r="I24" s="457"/>
      <c r="J24" s="453"/>
      <c r="K24" s="458"/>
      <c r="L24" s="456"/>
      <c r="M24" s="455"/>
      <c r="N24" s="458"/>
      <c r="O24" s="456"/>
      <c r="P24" s="455"/>
      <c r="Q24" s="458"/>
      <c r="R24" s="454"/>
      <c r="S24" s="346"/>
    </row>
    <row r="25" spans="1:19" x14ac:dyDescent="0.25">
      <c r="A25" s="451">
        <v>20</v>
      </c>
      <c r="B25" s="452"/>
      <c r="C25" s="453"/>
      <c r="D25" s="454"/>
      <c r="E25" s="455"/>
      <c r="F25" s="454"/>
      <c r="G25" s="455"/>
      <c r="H25" s="456"/>
      <c r="I25" s="457"/>
      <c r="J25" s="453"/>
      <c r="K25" s="458"/>
      <c r="L25" s="456"/>
      <c r="M25" s="455"/>
      <c r="N25" s="458"/>
      <c r="O25" s="456"/>
      <c r="P25" s="455"/>
      <c r="Q25" s="458"/>
      <c r="R25" s="454"/>
      <c r="S25" s="346"/>
    </row>
    <row r="26" spans="1:19" x14ac:dyDescent="0.25">
      <c r="A26" s="451">
        <v>21</v>
      </c>
      <c r="B26" s="452"/>
      <c r="C26" s="453"/>
      <c r="D26" s="454"/>
      <c r="E26" s="455"/>
      <c r="F26" s="454"/>
      <c r="G26" s="455"/>
      <c r="H26" s="456"/>
      <c r="I26" s="457"/>
      <c r="J26" s="453"/>
      <c r="K26" s="458"/>
      <c r="L26" s="456"/>
      <c r="M26" s="455"/>
      <c r="N26" s="458"/>
      <c r="O26" s="456"/>
      <c r="P26" s="455"/>
      <c r="Q26" s="458"/>
      <c r="R26" s="454"/>
      <c r="S26" s="346"/>
    </row>
    <row r="27" spans="1:19" x14ac:dyDescent="0.25">
      <c r="A27" s="451">
        <v>22</v>
      </c>
      <c r="B27" s="452"/>
      <c r="C27" s="453"/>
      <c r="D27" s="454"/>
      <c r="E27" s="455"/>
      <c r="F27" s="454"/>
      <c r="G27" s="455"/>
      <c r="H27" s="456"/>
      <c r="I27" s="457"/>
      <c r="J27" s="453"/>
      <c r="K27" s="458"/>
      <c r="L27" s="456"/>
      <c r="M27" s="455"/>
      <c r="N27" s="458"/>
      <c r="O27" s="456"/>
      <c r="P27" s="455"/>
      <c r="Q27" s="458"/>
      <c r="R27" s="454"/>
      <c r="S27" s="346"/>
    </row>
    <row r="28" spans="1:19" x14ac:dyDescent="0.25">
      <c r="A28" s="451">
        <v>23</v>
      </c>
      <c r="B28" s="452"/>
      <c r="C28" s="453"/>
      <c r="D28" s="454"/>
      <c r="E28" s="455"/>
      <c r="F28" s="454"/>
      <c r="G28" s="455"/>
      <c r="H28" s="456"/>
      <c r="I28" s="457"/>
      <c r="J28" s="453"/>
      <c r="K28" s="458"/>
      <c r="L28" s="456"/>
      <c r="M28" s="455"/>
      <c r="N28" s="458"/>
      <c r="O28" s="456"/>
      <c r="P28" s="455"/>
      <c r="Q28" s="458"/>
      <c r="R28" s="454"/>
      <c r="S28" s="346"/>
    </row>
    <row r="29" spans="1:19" x14ac:dyDescent="0.25">
      <c r="A29" s="451">
        <v>24</v>
      </c>
      <c r="B29" s="452"/>
      <c r="C29" s="453"/>
      <c r="D29" s="454"/>
      <c r="E29" s="455"/>
      <c r="F29" s="454"/>
      <c r="G29" s="455"/>
      <c r="H29" s="456"/>
      <c r="I29" s="457"/>
      <c r="J29" s="453"/>
      <c r="K29" s="458"/>
      <c r="L29" s="456"/>
      <c r="M29" s="455"/>
      <c r="N29" s="458"/>
      <c r="O29" s="456"/>
      <c r="P29" s="455"/>
      <c r="Q29" s="458"/>
      <c r="R29" s="454"/>
      <c r="S29" s="346"/>
    </row>
    <row r="30" spans="1:19" x14ac:dyDescent="0.25">
      <c r="A30" s="451">
        <v>25</v>
      </c>
      <c r="B30" s="452"/>
      <c r="C30" s="453"/>
      <c r="D30" s="454"/>
      <c r="E30" s="455"/>
      <c r="F30" s="454"/>
      <c r="G30" s="455"/>
      <c r="H30" s="456"/>
      <c r="I30" s="457"/>
      <c r="J30" s="453"/>
      <c r="K30" s="458"/>
      <c r="L30" s="456"/>
      <c r="M30" s="455"/>
      <c r="N30" s="458"/>
      <c r="O30" s="456"/>
      <c r="P30" s="455"/>
      <c r="Q30" s="458"/>
      <c r="R30" s="454"/>
      <c r="S30" s="346"/>
    </row>
    <row r="31" spans="1:19" x14ac:dyDescent="0.25">
      <c r="A31" s="451">
        <v>26</v>
      </c>
      <c r="B31" s="452"/>
      <c r="C31" s="453"/>
      <c r="D31" s="454"/>
      <c r="E31" s="455"/>
      <c r="F31" s="454"/>
      <c r="G31" s="455"/>
      <c r="H31" s="456"/>
      <c r="I31" s="457"/>
      <c r="J31" s="453"/>
      <c r="K31" s="458"/>
      <c r="L31" s="456"/>
      <c r="M31" s="455"/>
      <c r="N31" s="458"/>
      <c r="O31" s="456"/>
      <c r="P31" s="455"/>
      <c r="Q31" s="458"/>
      <c r="R31" s="454"/>
      <c r="S31" s="346"/>
    </row>
    <row r="32" spans="1:19" x14ac:dyDescent="0.25">
      <c r="A32" s="451">
        <v>27</v>
      </c>
      <c r="B32" s="452"/>
      <c r="C32" s="453"/>
      <c r="D32" s="454"/>
      <c r="E32" s="455"/>
      <c r="F32" s="454"/>
      <c r="G32" s="455"/>
      <c r="H32" s="456"/>
      <c r="I32" s="457"/>
      <c r="J32" s="453"/>
      <c r="K32" s="458"/>
      <c r="L32" s="456"/>
      <c r="M32" s="455"/>
      <c r="N32" s="458"/>
      <c r="O32" s="456"/>
      <c r="P32" s="455"/>
      <c r="Q32" s="458"/>
      <c r="R32" s="454"/>
      <c r="S32" s="346"/>
    </row>
    <row r="33" spans="1:19" x14ac:dyDescent="0.25">
      <c r="A33" s="451">
        <v>28</v>
      </c>
      <c r="B33" s="452"/>
      <c r="C33" s="453"/>
      <c r="D33" s="454"/>
      <c r="E33" s="455"/>
      <c r="F33" s="454"/>
      <c r="G33" s="455"/>
      <c r="H33" s="456"/>
      <c r="I33" s="457"/>
      <c r="J33" s="453"/>
      <c r="K33" s="458"/>
      <c r="L33" s="456"/>
      <c r="M33" s="455"/>
      <c r="N33" s="458"/>
      <c r="O33" s="456"/>
      <c r="P33" s="455"/>
      <c r="Q33" s="458"/>
      <c r="R33" s="454"/>
      <c r="S33" s="346"/>
    </row>
    <row r="34" spans="1:19" x14ac:dyDescent="0.25">
      <c r="A34" s="451">
        <v>29</v>
      </c>
      <c r="B34" s="452"/>
      <c r="C34" s="453"/>
      <c r="D34" s="454"/>
      <c r="E34" s="455"/>
      <c r="F34" s="454"/>
      <c r="G34" s="455"/>
      <c r="H34" s="456"/>
      <c r="I34" s="457"/>
      <c r="J34" s="453"/>
      <c r="K34" s="458"/>
      <c r="L34" s="456"/>
      <c r="M34" s="455"/>
      <c r="N34" s="458"/>
      <c r="O34" s="456"/>
      <c r="P34" s="455"/>
      <c r="Q34" s="458"/>
      <c r="R34" s="454"/>
      <c r="S34" s="346"/>
    </row>
    <row r="35" spans="1:19" x14ac:dyDescent="0.25">
      <c r="A35" s="451">
        <v>30</v>
      </c>
      <c r="B35" s="452"/>
      <c r="C35" s="453"/>
      <c r="D35" s="454"/>
      <c r="E35" s="455"/>
      <c r="F35" s="454"/>
      <c r="G35" s="455"/>
      <c r="H35" s="456"/>
      <c r="I35" s="457"/>
      <c r="J35" s="453"/>
      <c r="K35" s="458"/>
      <c r="L35" s="456"/>
      <c r="M35" s="455"/>
      <c r="N35" s="458"/>
      <c r="O35" s="456"/>
      <c r="P35" s="455"/>
      <c r="Q35" s="458"/>
      <c r="R35" s="454"/>
      <c r="S35" s="346"/>
    </row>
    <row r="36" spans="1:19" x14ac:dyDescent="0.25">
      <c r="A36" s="451">
        <v>31</v>
      </c>
      <c r="B36" s="452"/>
      <c r="C36" s="453"/>
      <c r="D36" s="454"/>
      <c r="E36" s="455"/>
      <c r="F36" s="454"/>
      <c r="G36" s="455"/>
      <c r="H36" s="456"/>
      <c r="I36" s="457"/>
      <c r="J36" s="453"/>
      <c r="K36" s="458"/>
      <c r="L36" s="456"/>
      <c r="M36" s="455"/>
      <c r="N36" s="458"/>
      <c r="O36" s="456"/>
      <c r="P36" s="455"/>
      <c r="Q36" s="458"/>
      <c r="R36" s="454"/>
      <c r="S36" s="346"/>
    </row>
    <row r="37" spans="1:19" x14ac:dyDescent="0.25">
      <c r="A37" s="451">
        <v>32</v>
      </c>
      <c r="B37" s="452"/>
      <c r="C37" s="453"/>
      <c r="D37" s="454"/>
      <c r="E37" s="455"/>
      <c r="F37" s="454"/>
      <c r="G37" s="455"/>
      <c r="H37" s="456"/>
      <c r="I37" s="457"/>
      <c r="J37" s="453"/>
      <c r="K37" s="458"/>
      <c r="L37" s="456"/>
      <c r="M37" s="455"/>
      <c r="N37" s="458"/>
      <c r="O37" s="456"/>
      <c r="P37" s="455"/>
      <c r="Q37" s="458"/>
      <c r="R37" s="454"/>
      <c r="S37" s="346"/>
    </row>
    <row r="38" spans="1:19" x14ac:dyDescent="0.25">
      <c r="A38" s="451">
        <v>33</v>
      </c>
      <c r="B38" s="452"/>
      <c r="C38" s="453"/>
      <c r="D38" s="454"/>
      <c r="E38" s="455"/>
      <c r="F38" s="454"/>
      <c r="G38" s="455"/>
      <c r="H38" s="456"/>
      <c r="I38" s="457"/>
      <c r="J38" s="453"/>
      <c r="K38" s="458"/>
      <c r="L38" s="456"/>
      <c r="M38" s="455"/>
      <c r="N38" s="458"/>
      <c r="O38" s="456"/>
      <c r="P38" s="455"/>
      <c r="Q38" s="458"/>
      <c r="R38" s="454"/>
      <c r="S38" s="346"/>
    </row>
    <row r="39" spans="1:19" x14ac:dyDescent="0.25">
      <c r="A39" s="451">
        <v>34</v>
      </c>
      <c r="B39" s="452"/>
      <c r="C39" s="453"/>
      <c r="D39" s="454"/>
      <c r="E39" s="455"/>
      <c r="F39" s="454"/>
      <c r="G39" s="455"/>
      <c r="H39" s="456"/>
      <c r="I39" s="457"/>
      <c r="J39" s="453"/>
      <c r="K39" s="458"/>
      <c r="L39" s="456"/>
      <c r="M39" s="455"/>
      <c r="N39" s="458"/>
      <c r="O39" s="456"/>
      <c r="P39" s="455"/>
      <c r="Q39" s="458"/>
      <c r="R39" s="454"/>
      <c r="S39" s="346"/>
    </row>
    <row r="40" spans="1:19" x14ac:dyDescent="0.25">
      <c r="A40" s="451">
        <v>35</v>
      </c>
      <c r="B40" s="452"/>
      <c r="C40" s="453"/>
      <c r="D40" s="454"/>
      <c r="E40" s="455"/>
      <c r="F40" s="454"/>
      <c r="G40" s="455"/>
      <c r="H40" s="456"/>
      <c r="I40" s="457"/>
      <c r="J40" s="453"/>
      <c r="K40" s="458"/>
      <c r="L40" s="456"/>
      <c r="M40" s="455"/>
      <c r="N40" s="458"/>
      <c r="O40" s="456"/>
      <c r="P40" s="455"/>
      <c r="Q40" s="458"/>
      <c r="R40" s="454"/>
      <c r="S40" s="346"/>
    </row>
    <row r="41" spans="1:19" x14ac:dyDescent="0.25">
      <c r="A41" s="451">
        <v>36</v>
      </c>
      <c r="B41" s="452"/>
      <c r="C41" s="453"/>
      <c r="D41" s="454"/>
      <c r="E41" s="455"/>
      <c r="F41" s="454"/>
      <c r="G41" s="455"/>
      <c r="H41" s="456"/>
      <c r="I41" s="457"/>
      <c r="J41" s="453"/>
      <c r="K41" s="458"/>
      <c r="L41" s="456"/>
      <c r="M41" s="455"/>
      <c r="N41" s="458"/>
      <c r="O41" s="456"/>
      <c r="P41" s="455"/>
      <c r="Q41" s="458"/>
      <c r="R41" s="454"/>
      <c r="S41" s="346"/>
    </row>
    <row r="42" spans="1:19" ht="15.75" thickBot="1" x14ac:dyDescent="0.3">
      <c r="A42" s="451">
        <v>37</v>
      </c>
      <c r="B42" s="452"/>
      <c r="C42" s="453"/>
      <c r="D42" s="459"/>
      <c r="E42" s="455"/>
      <c r="F42" s="459"/>
      <c r="G42" s="455"/>
      <c r="H42" s="456"/>
      <c r="I42" s="457"/>
      <c r="J42" s="453"/>
      <c r="K42" s="458"/>
      <c r="L42" s="456"/>
      <c r="M42" s="455"/>
      <c r="N42" s="458"/>
      <c r="O42" s="456"/>
      <c r="P42" s="455"/>
      <c r="Q42" s="458"/>
      <c r="R42" s="460"/>
      <c r="S42" s="346"/>
    </row>
    <row r="43" spans="1:19" x14ac:dyDescent="0.25">
      <c r="A43" s="461"/>
      <c r="B43" s="400"/>
      <c r="C43" s="400"/>
      <c r="D43" s="400"/>
      <c r="E43" s="400"/>
      <c r="F43" s="400"/>
      <c r="G43" s="400"/>
      <c r="H43" s="400"/>
      <c r="I43" s="400"/>
      <c r="J43" s="400"/>
      <c r="K43" s="400"/>
      <c r="L43" s="400"/>
      <c r="M43" s="400"/>
      <c r="N43" s="400"/>
      <c r="O43" s="400"/>
      <c r="P43" s="400"/>
      <c r="Q43" s="400"/>
      <c r="R43" s="405"/>
      <c r="S43" s="401"/>
    </row>
    <row r="44" spans="1:19" x14ac:dyDescent="0.25">
      <c r="A44" s="402"/>
      <c r="B44" s="405"/>
      <c r="C44" s="405"/>
      <c r="D44" s="405"/>
      <c r="E44" s="405"/>
      <c r="F44" s="405"/>
      <c r="G44" s="405"/>
      <c r="H44" s="405"/>
      <c r="I44" s="405"/>
      <c r="J44" s="405"/>
      <c r="K44" s="405"/>
      <c r="L44" s="405"/>
      <c r="M44" s="405"/>
      <c r="N44" s="405"/>
      <c r="O44" s="405"/>
      <c r="P44" s="405"/>
      <c r="Q44" s="405"/>
      <c r="R44" s="405"/>
      <c r="S44" s="401"/>
    </row>
    <row r="45" spans="1:19" x14ac:dyDescent="0.25">
      <c r="A45" s="402"/>
      <c r="B45" s="405"/>
      <c r="C45" s="405"/>
      <c r="D45" s="405"/>
      <c r="E45" s="405"/>
      <c r="F45" s="405"/>
      <c r="G45" s="405"/>
      <c r="H45" s="405"/>
      <c r="I45" s="405"/>
      <c r="J45" s="405"/>
      <c r="K45" s="405"/>
      <c r="L45" s="405"/>
      <c r="M45" s="405"/>
      <c r="N45" s="405"/>
      <c r="O45" s="405"/>
      <c r="P45" s="405"/>
      <c r="Q45" s="405"/>
      <c r="R45" s="405"/>
      <c r="S45" s="401"/>
    </row>
    <row r="46" spans="1:19" ht="15.75" thickBot="1" x14ac:dyDescent="0.3">
      <c r="A46" s="411"/>
      <c r="B46" s="462"/>
      <c r="C46" s="463"/>
      <c r="D46" s="464"/>
      <c r="E46" s="463"/>
      <c r="F46" s="464"/>
      <c r="G46" s="463"/>
      <c r="H46" s="464"/>
      <c r="I46" s="414"/>
      <c r="J46" s="463"/>
      <c r="K46" s="463"/>
      <c r="L46" s="464"/>
      <c r="M46" s="463"/>
      <c r="N46" s="463"/>
      <c r="O46" s="464"/>
      <c r="P46" s="463"/>
      <c r="Q46" s="463"/>
      <c r="R46" s="463"/>
      <c r="S46" s="465"/>
    </row>
    <row r="47" spans="1:19" x14ac:dyDescent="0.25">
      <c r="B47" s="466"/>
      <c r="C47" s="467"/>
      <c r="D47" s="468"/>
      <c r="E47" s="467"/>
      <c r="F47" s="468"/>
      <c r="G47" s="467"/>
      <c r="H47" s="468"/>
      <c r="J47" s="467"/>
      <c r="K47" s="467"/>
      <c r="L47" s="468"/>
      <c r="M47" s="467"/>
      <c r="N47" s="467"/>
      <c r="O47" s="468"/>
      <c r="P47" s="467"/>
      <c r="Q47" s="467"/>
      <c r="R47" s="468"/>
    </row>
    <row r="48" spans="1:19" x14ac:dyDescent="0.25">
      <c r="B48" s="466"/>
      <c r="C48" s="467"/>
      <c r="D48" s="468"/>
      <c r="E48" s="467"/>
      <c r="F48" s="468"/>
      <c r="G48" s="467"/>
      <c r="H48" s="468"/>
      <c r="J48" s="467"/>
      <c r="K48" s="467"/>
      <c r="L48" s="468"/>
      <c r="M48" s="467"/>
      <c r="N48" s="467"/>
      <c r="O48" s="468"/>
      <c r="P48" s="467"/>
      <c r="Q48" s="467"/>
      <c r="R48" s="468"/>
    </row>
    <row r="49" spans="2:18" x14ac:dyDescent="0.25">
      <c r="B49" s="466"/>
      <c r="C49" s="467"/>
      <c r="D49" s="468"/>
      <c r="E49" s="467"/>
      <c r="F49" s="468"/>
      <c r="G49" s="467"/>
      <c r="H49" s="468"/>
      <c r="J49" s="467"/>
      <c r="K49" s="467"/>
      <c r="L49" s="468"/>
      <c r="M49" s="467"/>
      <c r="N49" s="467"/>
      <c r="O49" s="468"/>
      <c r="P49" s="467"/>
      <c r="Q49" s="467"/>
      <c r="R49" s="468"/>
    </row>
    <row r="50" spans="2:18" x14ac:dyDescent="0.25">
      <c r="B50" s="466"/>
      <c r="C50" s="467"/>
      <c r="D50" s="468"/>
      <c r="E50" s="467"/>
      <c r="F50" s="468"/>
      <c r="G50" s="467"/>
      <c r="H50" s="468"/>
      <c r="J50" s="467"/>
      <c r="K50" s="467"/>
      <c r="L50" s="468"/>
      <c r="M50" s="467"/>
      <c r="N50" s="467"/>
      <c r="O50" s="468"/>
      <c r="P50" s="467"/>
      <c r="Q50" s="467"/>
      <c r="R50" s="468"/>
    </row>
    <row r="51" spans="2:18" x14ac:dyDescent="0.25">
      <c r="B51" s="466"/>
      <c r="C51" s="467"/>
      <c r="D51" s="468"/>
      <c r="E51" s="467"/>
      <c r="F51" s="468"/>
      <c r="G51" s="467"/>
      <c r="H51" s="468"/>
      <c r="J51" s="467"/>
      <c r="K51" s="467"/>
      <c r="L51" s="468"/>
      <c r="M51" s="467"/>
      <c r="N51" s="467"/>
      <c r="O51" s="468"/>
      <c r="P51" s="467"/>
      <c r="Q51" s="467"/>
      <c r="R51" s="468"/>
    </row>
    <row r="52" spans="2:18" x14ac:dyDescent="0.25">
      <c r="B52" s="466"/>
      <c r="C52" s="467"/>
      <c r="D52" s="468"/>
      <c r="E52" s="467"/>
      <c r="F52" s="468"/>
      <c r="G52" s="467"/>
      <c r="H52" s="468"/>
      <c r="J52" s="467"/>
      <c r="K52" s="467"/>
      <c r="L52" s="468"/>
      <c r="M52" s="467"/>
      <c r="N52" s="467"/>
      <c r="O52" s="468"/>
      <c r="P52" s="467"/>
      <c r="Q52" s="467"/>
      <c r="R52" s="468"/>
    </row>
    <row r="53" spans="2:18" x14ac:dyDescent="0.25">
      <c r="B53" s="466"/>
      <c r="C53" s="467"/>
      <c r="D53" s="468"/>
      <c r="E53" s="467"/>
      <c r="F53" s="468"/>
      <c r="G53" s="467"/>
      <c r="H53" s="468"/>
      <c r="J53" s="467"/>
      <c r="K53" s="467"/>
      <c r="L53" s="468"/>
      <c r="M53" s="467"/>
      <c r="N53" s="467"/>
      <c r="O53" s="468"/>
      <c r="P53" s="467"/>
      <c r="Q53" s="467"/>
      <c r="R53" s="468"/>
    </row>
  </sheetData>
  <phoneticPr fontId="4"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50DB0-27E4-46AF-9F9F-559A3598231C}">
  <sheetPr codeName="Sheet9"/>
  <dimension ref="A1:DB155"/>
  <sheetViews>
    <sheetView zoomScale="90" zoomScaleNormal="90" workbookViewId="0">
      <selection activeCell="D20" sqref="D20:D49"/>
    </sheetView>
  </sheetViews>
  <sheetFormatPr defaultColWidth="9.140625" defaultRowHeight="15" x14ac:dyDescent="0.25"/>
  <cols>
    <col min="1" max="25" width="13.28515625" style="1" customWidth="1"/>
    <col min="26" max="26" width="15.5703125" style="1" customWidth="1"/>
    <col min="27" max="27" width="17.140625" style="1" customWidth="1"/>
    <col min="28" max="28" width="12.140625" style="1" customWidth="1"/>
    <col min="29" max="29" width="13.28515625" style="1" customWidth="1"/>
    <col min="30" max="30" width="13.28515625" style="1" bestFit="1" customWidth="1"/>
    <col min="31" max="31" width="14.28515625" style="1" customWidth="1"/>
    <col min="32" max="32" width="20" style="1" customWidth="1"/>
    <col min="33" max="33" width="13.7109375" style="1" customWidth="1"/>
    <col min="34" max="35" width="9.140625" style="1"/>
    <col min="36" max="36" width="12.85546875" style="1" customWidth="1"/>
    <col min="37" max="37" width="10.5703125" style="1" customWidth="1"/>
    <col min="38" max="38" width="9.140625" style="1"/>
    <col min="39" max="39" width="12" style="1" customWidth="1"/>
    <col min="40" max="40" width="13" style="1" customWidth="1"/>
    <col min="41" max="41" width="11.140625" style="1" customWidth="1"/>
    <col min="42" max="44" width="9.140625" style="1"/>
    <col min="45" max="45" width="11.85546875" style="1" customWidth="1"/>
    <col min="46" max="46" width="13.42578125" style="1" customWidth="1"/>
    <col min="47" max="47" width="12.7109375" style="1" customWidth="1"/>
    <col min="48" max="48" width="9.140625" style="1"/>
    <col min="49" max="49" width="12.7109375" style="1" customWidth="1"/>
    <col min="50" max="50" width="13.42578125" style="1" customWidth="1"/>
    <col min="51" max="52" width="11.5703125" style="1" customWidth="1"/>
    <col min="53" max="53" width="13.28515625" style="1" customWidth="1"/>
    <col min="54" max="54" width="11.7109375" style="1" customWidth="1"/>
    <col min="55" max="55" width="14.140625" style="1" customWidth="1"/>
    <col min="56" max="56" width="9.140625" style="1"/>
    <col min="57" max="57" width="12.85546875" style="1" customWidth="1"/>
    <col min="58" max="58" width="12" style="1" customWidth="1"/>
    <col min="59" max="59" width="12.42578125" style="1" customWidth="1"/>
    <col min="60" max="60" width="13.28515625" style="1" customWidth="1"/>
    <col min="61" max="61" width="14" style="1" customWidth="1"/>
    <col min="62" max="63" width="10.5703125" style="1" customWidth="1"/>
    <col min="64" max="64" width="9.140625" style="1"/>
    <col min="65" max="65" width="11.28515625" style="1" customWidth="1"/>
    <col min="66" max="66" width="11" style="1" customWidth="1"/>
    <col min="67" max="67" width="16.42578125" style="1" customWidth="1"/>
    <col min="68" max="68" width="11.7109375" style="1" customWidth="1"/>
    <col min="69" max="69" width="9.140625" style="1"/>
    <col min="70" max="70" width="10.7109375" style="1" customWidth="1"/>
    <col min="71" max="71" width="13.140625" style="1" customWidth="1"/>
    <col min="72" max="72" width="12.140625" style="1" customWidth="1"/>
    <col min="73" max="73" width="9.140625" style="1"/>
    <col min="74" max="74" width="11.42578125" style="1" customWidth="1"/>
    <col min="75" max="75" width="11.5703125" style="1" customWidth="1"/>
    <col min="76" max="76" width="14.42578125" style="1" customWidth="1"/>
    <col min="77" max="77" width="9.140625" style="1"/>
    <col min="78" max="78" width="11.28515625" style="1" customWidth="1"/>
    <col min="79" max="79" width="12.28515625" style="1" customWidth="1"/>
    <col min="80" max="81" width="9.140625" style="1"/>
    <col min="82" max="82" width="12" style="1" customWidth="1"/>
    <col min="83" max="83" width="5.28515625" style="1" customWidth="1"/>
    <col min="84" max="84" width="9.140625" style="1"/>
    <col min="85" max="85" width="10.28515625" style="1" customWidth="1"/>
    <col min="86" max="86" width="11.7109375" style="1" customWidth="1"/>
    <col min="87" max="87" width="13.5703125" style="1" customWidth="1"/>
    <col min="88" max="88" width="13.85546875" style="1" customWidth="1"/>
    <col min="89" max="89" width="9.140625" style="1"/>
    <col min="90" max="90" width="11.5703125" style="1" customWidth="1"/>
    <col min="91" max="91" width="13.5703125" style="1" customWidth="1"/>
    <col min="92" max="92" width="14.85546875" style="1" customWidth="1"/>
    <col min="93" max="93" width="13.42578125" style="1" customWidth="1"/>
    <col min="94" max="94" width="12.7109375" style="1" customWidth="1"/>
    <col min="95" max="95" width="9.140625" style="1"/>
    <col min="96" max="96" width="9.85546875" style="1" customWidth="1"/>
    <col min="97" max="97" width="12.42578125" style="1" customWidth="1"/>
    <col min="98" max="102" width="13.42578125" style="1" customWidth="1"/>
    <col min="103" max="103" width="13.7109375" style="1" customWidth="1"/>
    <col min="104" max="104" width="13.5703125" style="1" customWidth="1"/>
    <col min="105" max="105" width="18.7109375" style="1" customWidth="1"/>
    <col min="106" max="16384" width="9.140625" style="1"/>
  </cols>
  <sheetData>
    <row r="1" spans="1:106" ht="15.75" thickBot="1" x14ac:dyDescent="0.3">
      <c r="A1" s="238" t="s">
        <v>483</v>
      </c>
      <c r="B1" s="239"/>
      <c r="C1" s="1082"/>
      <c r="D1" s="1082"/>
      <c r="E1" s="1082"/>
      <c r="F1" s="1082"/>
      <c r="G1" s="1082"/>
      <c r="H1" s="1082"/>
      <c r="I1" s="1082"/>
      <c r="J1" s="1082"/>
      <c r="K1" s="1082"/>
      <c r="L1" s="108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row>
    <row r="2" spans="1:106" x14ac:dyDescent="0.25">
      <c r="A2" s="58"/>
      <c r="B2" s="1081" t="s">
        <v>478</v>
      </c>
      <c r="C2" s="219" t="str">
        <f>'Options and results'!C18</f>
        <v>UK England standard   Cereals</v>
      </c>
      <c r="D2" s="220"/>
      <c r="E2" s="220"/>
      <c r="F2" s="220"/>
      <c r="G2" s="220"/>
      <c r="H2" s="220"/>
      <c r="I2" s="220"/>
      <c r="J2" s="220"/>
      <c r="K2" s="220"/>
      <c r="L2" s="221"/>
      <c r="M2" s="1068"/>
      <c r="N2" s="1068"/>
      <c r="O2" s="1068"/>
      <c r="P2" s="1068"/>
      <c r="Q2" s="1068"/>
      <c r="R2" s="1068"/>
      <c r="S2" s="1068"/>
      <c r="T2" s="1068"/>
      <c r="U2" s="1068"/>
      <c r="V2" s="1068"/>
      <c r="W2" s="1068"/>
      <c r="X2" s="1068"/>
      <c r="Y2" s="1068"/>
      <c r="AG2" s="64"/>
      <c r="AH2" s="64"/>
      <c r="AI2" s="64"/>
    </row>
    <row r="3" spans="1:106" x14ac:dyDescent="0.25">
      <c r="A3" s="60"/>
      <c r="B3" s="1069" t="s">
        <v>391</v>
      </c>
      <c r="C3" s="61">
        <f>'Options and results'!C20</f>
        <v>30</v>
      </c>
      <c r="D3" s="1080"/>
      <c r="E3" s="1080"/>
      <c r="F3" s="1080"/>
      <c r="G3" s="1080"/>
      <c r="H3" s="1080"/>
      <c r="I3" s="1080"/>
      <c r="J3" s="1080"/>
      <c r="K3" s="1080"/>
      <c r="L3" s="59"/>
      <c r="AG3" s="64"/>
      <c r="AH3" s="64"/>
      <c r="AI3" s="64"/>
    </row>
    <row r="4" spans="1:106" x14ac:dyDescent="0.25">
      <c r="A4" s="58"/>
      <c r="B4" s="1081" t="s">
        <v>479</v>
      </c>
      <c r="C4" s="61" t="str">
        <f>'Options and results'!C33</f>
        <v xml:space="preserve">UK Poplar 156 trees/ha </v>
      </c>
      <c r="D4" s="1080"/>
      <c r="E4" s="1080"/>
      <c r="F4" s="1080"/>
      <c r="G4" s="1080"/>
      <c r="H4" s="1080"/>
      <c r="I4" s="1080"/>
      <c r="J4" s="1080"/>
      <c r="K4" s="1080"/>
      <c r="L4" s="59"/>
      <c r="M4" s="1068"/>
      <c r="N4" s="1068"/>
      <c r="O4" s="1068"/>
      <c r="P4" s="1068"/>
      <c r="Q4" s="1068"/>
      <c r="R4" s="1068"/>
      <c r="S4" s="1068"/>
      <c r="T4" s="1068"/>
      <c r="U4" s="1068"/>
      <c r="V4" s="1068"/>
      <c r="W4" s="1068"/>
      <c r="X4" s="1068"/>
      <c r="Y4" s="1068"/>
      <c r="AG4" s="64"/>
      <c r="AH4" s="64"/>
      <c r="AI4" s="64"/>
    </row>
    <row r="5" spans="1:106" ht="17.25" customHeight="1" x14ac:dyDescent="0.25">
      <c r="A5" s="60"/>
      <c r="B5" s="1069" t="s">
        <v>392</v>
      </c>
      <c r="C5" s="61">
        <f>'Options and results'!C35</f>
        <v>30</v>
      </c>
      <c r="D5" s="1080"/>
      <c r="E5" s="1080"/>
      <c r="F5" s="1080"/>
      <c r="G5" s="1080"/>
      <c r="H5" s="1080"/>
      <c r="I5" s="1080"/>
      <c r="J5" s="1080"/>
      <c r="K5" s="1080"/>
      <c r="L5" s="59"/>
      <c r="AG5" s="64"/>
      <c r="AH5" s="64"/>
      <c r="AI5" s="64"/>
    </row>
    <row r="6" spans="1:106" ht="16.5" customHeight="1" x14ac:dyDescent="0.25">
      <c r="A6" s="58"/>
      <c r="B6" s="1081" t="s">
        <v>480</v>
      </c>
      <c r="C6" s="61" t="str">
        <f>'Options and results'!C55</f>
        <v>UK Silsoe Silsoe_02 Poplar 100 trees/ha wwbo 14yr 99% WWBO</v>
      </c>
      <c r="D6" s="1080"/>
      <c r="E6" s="1080"/>
      <c r="F6" s="1080"/>
      <c r="G6" s="1080"/>
      <c r="H6" s="1080"/>
      <c r="I6" s="1080"/>
      <c r="J6" s="1080"/>
      <c r="K6" s="1080"/>
      <c r="L6" s="59"/>
      <c r="M6" s="1068"/>
      <c r="N6" s="1068"/>
      <c r="O6" s="1068"/>
      <c r="P6" s="1068"/>
      <c r="Q6" s="1068"/>
      <c r="R6" s="1068"/>
      <c r="S6" s="1068"/>
      <c r="T6" s="1068"/>
      <c r="U6" s="1068"/>
      <c r="V6" s="1068"/>
      <c r="W6" s="1068"/>
      <c r="X6" s="1068"/>
      <c r="Y6" s="1068"/>
      <c r="AG6" s="64"/>
      <c r="AH6" s="64"/>
      <c r="AI6" s="64"/>
    </row>
    <row r="7" spans="1:106" x14ac:dyDescent="0.25">
      <c r="A7" s="1069"/>
      <c r="B7" s="1069" t="s">
        <v>391</v>
      </c>
      <c r="C7" s="61">
        <f>'Options and results'!C57</f>
        <v>30</v>
      </c>
      <c r="D7" s="1080"/>
      <c r="E7" s="1080"/>
      <c r="F7" s="1080"/>
      <c r="G7" s="1080"/>
      <c r="H7" s="1080"/>
      <c r="I7" s="1080"/>
      <c r="J7" s="1080"/>
      <c r="K7" s="1080"/>
      <c r="L7" s="59"/>
      <c r="AG7" s="64"/>
      <c r="AH7" s="64"/>
      <c r="AI7" s="64"/>
    </row>
    <row r="8" spans="1:106" ht="15.75" thickBot="1" x14ac:dyDescent="0.3">
      <c r="A8" s="1070"/>
      <c r="B8" s="1070" t="s">
        <v>392</v>
      </c>
      <c r="C8" s="222">
        <f>'Options and results'!C63</f>
        <v>30</v>
      </c>
      <c r="D8" s="62"/>
      <c r="E8" s="62"/>
      <c r="F8" s="62"/>
      <c r="G8" s="62"/>
      <c r="H8" s="62"/>
      <c r="I8" s="62"/>
      <c r="J8" s="62"/>
      <c r="K8" s="62"/>
      <c r="L8" s="63"/>
      <c r="AG8" s="64"/>
      <c r="AH8" s="64"/>
      <c r="AI8" s="64"/>
    </row>
    <row r="9" spans="1:106" x14ac:dyDescent="0.25">
      <c r="AC9" s="43"/>
      <c r="AD9" s="43"/>
      <c r="AE9" s="43"/>
      <c r="AF9" s="43"/>
      <c r="AG9" s="43"/>
      <c r="AH9" s="43"/>
      <c r="AI9" s="43"/>
    </row>
    <row r="10" spans="1:106" x14ac:dyDescent="0.25">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64"/>
      <c r="AD10" s="64"/>
      <c r="AE10" s="64"/>
      <c r="AF10" s="64"/>
      <c r="AG10" s="64"/>
      <c r="AH10" s="64"/>
      <c r="AI10" s="64"/>
    </row>
    <row r="11" spans="1:106" x14ac:dyDescent="0.25">
      <c r="A11" s="43"/>
      <c r="B11" s="43"/>
      <c r="C11" s="43"/>
      <c r="D11" s="43"/>
      <c r="E11" s="43"/>
      <c r="AC11" s="64"/>
      <c r="AD11" s="64"/>
      <c r="AE11" s="64"/>
      <c r="AF11" s="64"/>
      <c r="AG11" s="64"/>
      <c r="AH11" s="64"/>
      <c r="AI11" s="64"/>
    </row>
    <row r="12" spans="1:106" ht="16.5" customHeight="1" thickBot="1" x14ac:dyDescent="0.3">
      <c r="A12" s="43"/>
      <c r="B12" s="43"/>
      <c r="C12" s="43"/>
      <c r="D12" s="43"/>
      <c r="E12" s="43"/>
      <c r="F12" s="43"/>
      <c r="G12" s="43"/>
      <c r="H12" s="43"/>
      <c r="I12" s="43"/>
      <c r="J12" s="10"/>
      <c r="K12" s="10"/>
      <c r="L12" s="10"/>
      <c r="M12" s="10"/>
      <c r="N12" s="10"/>
      <c r="O12" s="10"/>
      <c r="P12" s="10"/>
      <c r="Q12" s="10"/>
      <c r="R12" s="10"/>
      <c r="S12" s="10"/>
      <c r="T12" s="10"/>
      <c r="U12" s="10"/>
      <c r="V12" s="10"/>
      <c r="W12" s="10"/>
      <c r="X12" s="10"/>
      <c r="Y12" s="10"/>
      <c r="Z12" s="43"/>
      <c r="AA12" s="43"/>
      <c r="AB12" s="43"/>
      <c r="AC12" s="43"/>
      <c r="AD12" s="43"/>
      <c r="AE12" s="43"/>
      <c r="AF12" s="43"/>
      <c r="AG12" s="43"/>
      <c r="AH12" s="43"/>
      <c r="AI12" s="43"/>
    </row>
    <row r="13" spans="1:106" s="33" customFormat="1" ht="15.75" thickBot="1" x14ac:dyDescent="0.3">
      <c r="A13" s="1360" t="s">
        <v>482</v>
      </c>
      <c r="B13" s="1361"/>
      <c r="C13" s="1361"/>
      <c r="D13" s="1361"/>
      <c r="E13" s="1361"/>
      <c r="F13" s="1361"/>
      <c r="G13" s="1361"/>
      <c r="H13" s="1361"/>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1"/>
      <c r="AJ13" s="1361"/>
      <c r="AK13" s="1361"/>
      <c r="AL13" s="1361"/>
      <c r="AM13" s="1361"/>
      <c r="AN13" s="1361"/>
      <c r="AO13" s="1361"/>
      <c r="AP13" s="1361"/>
      <c r="AQ13" s="1361"/>
      <c r="AR13" s="1361"/>
      <c r="AS13" s="1361"/>
      <c r="AT13" s="1361"/>
      <c r="AU13" s="1361"/>
      <c r="AV13" s="1361"/>
      <c r="AW13" s="1361"/>
      <c r="AX13" s="1361"/>
      <c r="AY13" s="1361"/>
      <c r="AZ13" s="1361"/>
      <c r="BA13" s="1361"/>
      <c r="BB13" s="1361"/>
      <c r="BC13" s="1361"/>
      <c r="BD13" s="1361"/>
      <c r="BE13" s="1361"/>
      <c r="BF13" s="1361"/>
      <c r="BG13" s="1361"/>
      <c r="BH13" s="1361"/>
      <c r="BI13" s="1361"/>
      <c r="BJ13" s="1361"/>
      <c r="BK13" s="1361"/>
      <c r="BL13" s="1361"/>
      <c r="BM13" s="1361"/>
      <c r="BN13" s="1361"/>
      <c r="BO13" s="1361"/>
      <c r="BP13" s="1361"/>
      <c r="BQ13" s="1361"/>
      <c r="BR13" s="1361"/>
      <c r="BS13" s="1361"/>
      <c r="BT13" s="1361"/>
      <c r="BU13" s="1361"/>
      <c r="BV13" s="1361"/>
      <c r="BW13" s="1361"/>
      <c r="BX13" s="1361"/>
      <c r="BY13" s="1361"/>
      <c r="BZ13" s="1361"/>
      <c r="CA13" s="1361"/>
      <c r="CB13" s="1361"/>
      <c r="CC13" s="1361"/>
      <c r="CD13" s="1362"/>
      <c r="CF13" s="1511" t="s">
        <v>169</v>
      </c>
      <c r="CG13" s="1512"/>
      <c r="CH13" s="1512"/>
      <c r="CI13" s="1512"/>
      <c r="CJ13" s="1512"/>
      <c r="CK13" s="1512"/>
      <c r="CL13" s="1512"/>
      <c r="CM13" s="1512"/>
      <c r="CN13" s="1512"/>
      <c r="CO13" s="1512"/>
      <c r="CP13" s="1512"/>
      <c r="CQ13" s="1512"/>
      <c r="CR13" s="1512"/>
      <c r="CS13" s="1512"/>
      <c r="CT13" s="1512"/>
      <c r="CU13" s="1512"/>
      <c r="CV13" s="1512"/>
      <c r="CW13" s="1512"/>
      <c r="CX13" s="1512"/>
      <c r="CY13" s="1512"/>
      <c r="CZ13" s="1512"/>
      <c r="DA13" s="1513"/>
    </row>
    <row r="14" spans="1:106" s="33" customFormat="1" ht="15.75" thickBot="1" x14ac:dyDescent="0.3">
      <c r="A14" s="231"/>
      <c r="B14" s="232" t="s">
        <v>643</v>
      </c>
      <c r="C14" s="232"/>
      <c r="D14" s="232"/>
      <c r="E14" s="232"/>
      <c r="F14" s="232"/>
      <c r="G14" s="232"/>
      <c r="H14" s="232"/>
      <c r="I14" s="232"/>
      <c r="J14" s="232"/>
      <c r="K14" s="232"/>
      <c r="L14" s="232"/>
      <c r="M14" s="232"/>
      <c r="N14" s="232"/>
      <c r="O14" s="232"/>
      <c r="P14" s="232"/>
      <c r="Q14" s="232"/>
      <c r="R14" s="1266" t="s">
        <v>644</v>
      </c>
      <c r="S14" s="232"/>
      <c r="T14" s="232"/>
      <c r="U14" s="232"/>
      <c r="V14" s="232"/>
      <c r="W14" s="232"/>
      <c r="X14" s="232"/>
      <c r="Y14" s="232"/>
      <c r="Z14" s="232"/>
      <c r="AA14" s="232"/>
      <c r="AB14" s="232"/>
      <c r="AC14" s="232"/>
      <c r="AD14" s="232"/>
      <c r="AE14" s="232"/>
      <c r="AF14" s="232"/>
      <c r="AG14" s="233"/>
      <c r="AH14" s="1369" t="s">
        <v>5</v>
      </c>
      <c r="AI14" s="1370"/>
      <c r="AJ14" s="1370"/>
      <c r="AK14" s="1370"/>
      <c r="AL14" s="1370"/>
      <c r="AM14" s="1370"/>
      <c r="AN14" s="1370"/>
      <c r="AO14" s="1269"/>
      <c r="AP14" s="1367" t="s">
        <v>6</v>
      </c>
      <c r="AQ14" s="1367"/>
      <c r="AR14" s="1367"/>
      <c r="AS14" s="1367"/>
      <c r="AT14" s="1367"/>
      <c r="AU14" s="1367"/>
      <c r="AV14" s="1367"/>
      <c r="AW14" s="1367"/>
      <c r="AX14" s="1367"/>
      <c r="AY14" s="1367"/>
      <c r="AZ14" s="1367"/>
      <c r="BA14" s="1367"/>
      <c r="BB14" s="1367"/>
      <c r="BC14" s="1367"/>
      <c r="BD14" s="1270" t="s">
        <v>23</v>
      </c>
      <c r="BE14" s="1365"/>
      <c r="BF14" s="1365"/>
      <c r="BG14" s="1365"/>
      <c r="BH14" s="1365"/>
      <c r="BI14" s="1365"/>
      <c r="BJ14" s="1365"/>
      <c r="BK14" s="1365"/>
      <c r="BL14" s="1365"/>
      <c r="BM14" s="1365"/>
      <c r="BN14" s="1365"/>
      <c r="BO14" s="1365"/>
      <c r="BP14" s="1365"/>
      <c r="BQ14" s="1365"/>
      <c r="BR14" s="1365"/>
      <c r="BS14" s="1365"/>
      <c r="BT14" s="1365"/>
      <c r="BU14" s="1271"/>
      <c r="BV14" s="234" t="s">
        <v>481</v>
      </c>
      <c r="BW14" s="235"/>
      <c r="BX14" s="235"/>
      <c r="BY14" s="235"/>
      <c r="BZ14" s="235"/>
      <c r="CA14" s="235"/>
      <c r="CB14" s="235"/>
      <c r="CC14" s="235"/>
      <c r="CD14" s="236"/>
      <c r="CF14" s="240"/>
      <c r="CG14" s="241"/>
      <c r="CH14" s="241"/>
      <c r="CI14" s="241"/>
      <c r="CJ14" s="242"/>
      <c r="CK14" s="240"/>
      <c r="CL14" s="241"/>
      <c r="CM14" s="241"/>
      <c r="CN14" s="241"/>
      <c r="CO14" s="241"/>
      <c r="CP14" s="242"/>
      <c r="CQ14" s="1078"/>
      <c r="CR14" s="1077"/>
      <c r="CS14" s="1077"/>
      <c r="CT14" s="1077"/>
      <c r="CU14" s="1079"/>
      <c r="CV14" s="241"/>
      <c r="CW14" s="241"/>
      <c r="CX14" s="241"/>
      <c r="CY14" s="240"/>
      <c r="CZ14" s="241"/>
      <c r="DA14" s="242"/>
    </row>
    <row r="15" spans="1:106" s="33" customFormat="1" ht="15.75" thickBot="1" x14ac:dyDescent="0.3">
      <c r="A15" s="71"/>
      <c r="B15" s="72" t="s">
        <v>631</v>
      </c>
      <c r="C15" s="72"/>
      <c r="D15" s="72"/>
      <c r="E15" s="72"/>
      <c r="F15" s="72"/>
      <c r="G15" s="72" t="s">
        <v>642</v>
      </c>
      <c r="H15" s="72"/>
      <c r="I15" s="72"/>
      <c r="J15" s="1265" t="s">
        <v>614</v>
      </c>
      <c r="K15" s="72"/>
      <c r="L15" s="72"/>
      <c r="M15" s="72"/>
      <c r="N15" s="72"/>
      <c r="O15" s="49" t="s">
        <v>617</v>
      </c>
      <c r="P15" s="73"/>
      <c r="Q15" s="73"/>
      <c r="R15" s="1267" t="s">
        <v>640</v>
      </c>
      <c r="S15" s="72"/>
      <c r="T15" s="72"/>
      <c r="U15" s="72"/>
      <c r="V15" s="72"/>
      <c r="W15" s="1267" t="s">
        <v>642</v>
      </c>
      <c r="X15" s="72"/>
      <c r="Y15" s="72"/>
      <c r="Z15" s="49" t="s">
        <v>632</v>
      </c>
      <c r="AA15" s="72"/>
      <c r="AB15" s="72"/>
      <c r="AC15" s="72"/>
      <c r="AD15" s="72"/>
      <c r="AE15" s="49" t="s">
        <v>617</v>
      </c>
      <c r="AF15" s="73"/>
      <c r="AG15" s="74"/>
      <c r="AH15" s="1371" t="s">
        <v>455</v>
      </c>
      <c r="AI15" s="1372"/>
      <c r="AJ15" s="1372"/>
      <c r="AK15" s="1372"/>
      <c r="AL15" s="1372" t="s">
        <v>456</v>
      </c>
      <c r="AM15" s="1372"/>
      <c r="AN15" s="1372"/>
      <c r="AO15" s="237"/>
      <c r="AP15" s="320" t="s">
        <v>41</v>
      </c>
      <c r="AQ15" s="1368"/>
      <c r="AR15" s="1368"/>
      <c r="AS15" s="1368"/>
      <c r="AT15" s="1368"/>
      <c r="AU15" s="1368"/>
      <c r="AV15" s="321"/>
      <c r="AW15" s="320" t="s">
        <v>254</v>
      </c>
      <c r="AX15" s="1368"/>
      <c r="AY15" s="1368"/>
      <c r="AZ15" s="1368"/>
      <c r="BA15" s="1368"/>
      <c r="BB15" s="1368"/>
      <c r="BC15" s="321"/>
      <c r="BD15" s="1366" t="s">
        <v>50</v>
      </c>
      <c r="BE15" s="1366" t="s">
        <v>41</v>
      </c>
      <c r="BF15" s="1366" t="s">
        <v>362</v>
      </c>
      <c r="BG15" s="1366"/>
      <c r="BH15" s="1366"/>
      <c r="BI15" s="1366" t="s">
        <v>367</v>
      </c>
      <c r="BJ15" s="1366"/>
      <c r="BK15" s="1366"/>
      <c r="BL15" s="1366"/>
      <c r="BM15" s="1366"/>
      <c r="BN15" s="1366"/>
      <c r="BO15" s="1366"/>
      <c r="BP15" s="1366"/>
      <c r="BQ15" s="1366"/>
      <c r="BR15" s="1366"/>
      <c r="BS15" s="1366"/>
      <c r="BT15" s="1366"/>
      <c r="BU15" s="317"/>
      <c r="BV15" s="65" t="s">
        <v>370</v>
      </c>
      <c r="BW15" s="66"/>
      <c r="BX15" s="66"/>
      <c r="BY15" s="66" t="s">
        <v>271</v>
      </c>
      <c r="BZ15" s="66"/>
      <c r="CA15" s="66"/>
      <c r="CB15" s="66" t="s">
        <v>269</v>
      </c>
      <c r="CC15" s="66"/>
      <c r="CD15" s="67"/>
      <c r="CF15" s="230"/>
      <c r="CG15" s="225" t="s">
        <v>113</v>
      </c>
      <c r="CH15" s="225"/>
      <c r="CI15" s="225"/>
      <c r="CJ15" s="226"/>
      <c r="CK15" s="68" t="s">
        <v>112</v>
      </c>
      <c r="CL15" s="69"/>
      <c r="CM15" s="69"/>
      <c r="CN15" s="69"/>
      <c r="CO15" s="69"/>
      <c r="CP15" s="70"/>
      <c r="CQ15" s="68" t="s">
        <v>111</v>
      </c>
      <c r="CR15" s="69"/>
      <c r="CS15" s="69"/>
      <c r="CT15" s="69"/>
      <c r="CU15" s="70"/>
      <c r="CV15" s="69" t="s">
        <v>568</v>
      </c>
      <c r="CW15" s="69"/>
      <c r="CX15" s="69"/>
      <c r="CY15" s="68" t="s">
        <v>116</v>
      </c>
      <c r="CZ15" s="69"/>
      <c r="DA15" s="70"/>
    </row>
    <row r="16" spans="1:106" s="33" customFormat="1" ht="15.75" thickBot="1" x14ac:dyDescent="0.3">
      <c r="A16" s="1275">
        <v>1</v>
      </c>
      <c r="B16" s="1275">
        <f>A16+1</f>
        <v>2</v>
      </c>
      <c r="C16" s="1275">
        <f t="shared" ref="C16:V16" si="0">B16+1</f>
        <v>3</v>
      </c>
      <c r="D16" s="1275">
        <f t="shared" si="0"/>
        <v>4</v>
      </c>
      <c r="E16" s="1275">
        <f t="shared" si="0"/>
        <v>5</v>
      </c>
      <c r="F16" s="1275">
        <f t="shared" si="0"/>
        <v>6</v>
      </c>
      <c r="G16" s="1275">
        <f t="shared" si="0"/>
        <v>7</v>
      </c>
      <c r="H16" s="1275">
        <f t="shared" si="0"/>
        <v>8</v>
      </c>
      <c r="I16" s="1275">
        <f t="shared" si="0"/>
        <v>9</v>
      </c>
      <c r="J16" s="1276">
        <f t="shared" si="0"/>
        <v>10</v>
      </c>
      <c r="K16" s="1275">
        <f t="shared" si="0"/>
        <v>11</v>
      </c>
      <c r="L16" s="1275">
        <f t="shared" si="0"/>
        <v>12</v>
      </c>
      <c r="M16" s="1275">
        <f t="shared" si="0"/>
        <v>13</v>
      </c>
      <c r="N16" s="1275">
        <f t="shared" si="0"/>
        <v>14</v>
      </c>
      <c r="O16" s="1275">
        <f t="shared" si="0"/>
        <v>15</v>
      </c>
      <c r="P16" s="1275">
        <f t="shared" si="0"/>
        <v>16</v>
      </c>
      <c r="Q16" s="1275">
        <f t="shared" si="0"/>
        <v>17</v>
      </c>
      <c r="R16" s="1275">
        <f t="shared" si="0"/>
        <v>18</v>
      </c>
      <c r="S16" s="1275">
        <f t="shared" si="0"/>
        <v>19</v>
      </c>
      <c r="T16" s="1275">
        <f t="shared" si="0"/>
        <v>20</v>
      </c>
      <c r="U16" s="1275">
        <f t="shared" si="0"/>
        <v>21</v>
      </c>
      <c r="V16" s="1275">
        <f t="shared" si="0"/>
        <v>22</v>
      </c>
      <c r="W16" s="1275">
        <f t="shared" ref="W16" si="1">V16+1</f>
        <v>23</v>
      </c>
      <c r="X16" s="1275">
        <f t="shared" ref="X16" si="2">W16+1</f>
        <v>24</v>
      </c>
      <c r="Y16" s="1275">
        <f t="shared" ref="Y16" si="3">X16+1</f>
        <v>25</v>
      </c>
      <c r="Z16" s="1275">
        <f t="shared" ref="Z16" si="4">Y16+1</f>
        <v>26</v>
      </c>
      <c r="AA16" s="1275">
        <f t="shared" ref="AA16" si="5">Z16+1</f>
        <v>27</v>
      </c>
      <c r="AB16" s="1275">
        <f t="shared" ref="AB16" si="6">AA16+1</f>
        <v>28</v>
      </c>
      <c r="AC16" s="1275">
        <f t="shared" ref="AC16" si="7">AB16+1</f>
        <v>29</v>
      </c>
      <c r="AD16" s="1275">
        <f t="shared" ref="AD16" si="8">AC16+1</f>
        <v>30</v>
      </c>
      <c r="AE16" s="1275">
        <f t="shared" ref="AE16" si="9">AD16+1</f>
        <v>31</v>
      </c>
      <c r="AF16" s="1275">
        <f t="shared" ref="AF16" si="10">AE16+1</f>
        <v>32</v>
      </c>
      <c r="AG16" s="1275">
        <f t="shared" ref="AG16" si="11">AF16+1</f>
        <v>33</v>
      </c>
      <c r="AH16" s="1363">
        <f>AG16+1</f>
        <v>34</v>
      </c>
      <c r="AI16" s="1363">
        <f t="shared" ref="AI16:AO16" si="12">AH16+1</f>
        <v>35</v>
      </c>
      <c r="AJ16" s="1363">
        <f t="shared" si="12"/>
        <v>36</v>
      </c>
      <c r="AK16" s="1363">
        <f t="shared" si="12"/>
        <v>37</v>
      </c>
      <c r="AL16" s="1363">
        <f t="shared" si="12"/>
        <v>38</v>
      </c>
      <c r="AM16" s="1363">
        <f t="shared" si="12"/>
        <v>39</v>
      </c>
      <c r="AN16" s="1363">
        <f t="shared" si="12"/>
        <v>40</v>
      </c>
      <c r="AO16" s="1363">
        <f t="shared" si="12"/>
        <v>41</v>
      </c>
      <c r="AP16" s="1364">
        <f>AO16+1</f>
        <v>42</v>
      </c>
      <c r="AQ16" s="1364">
        <f t="shared" ref="AQ16:BC16" si="13">AP16+1</f>
        <v>43</v>
      </c>
      <c r="AR16" s="1364">
        <f t="shared" si="13"/>
        <v>44</v>
      </c>
      <c r="AS16" s="1364">
        <f t="shared" si="13"/>
        <v>45</v>
      </c>
      <c r="AT16" s="1364">
        <f t="shared" si="13"/>
        <v>46</v>
      </c>
      <c r="AU16" s="1364">
        <f t="shared" si="13"/>
        <v>47</v>
      </c>
      <c r="AV16" s="1364">
        <f t="shared" si="13"/>
        <v>48</v>
      </c>
      <c r="AW16" s="1364">
        <f t="shared" si="13"/>
        <v>49</v>
      </c>
      <c r="AX16" s="1364">
        <f t="shared" si="13"/>
        <v>50</v>
      </c>
      <c r="AY16" s="1364">
        <f t="shared" si="13"/>
        <v>51</v>
      </c>
      <c r="AZ16" s="1364">
        <f t="shared" si="13"/>
        <v>52</v>
      </c>
      <c r="BA16" s="1364">
        <f t="shared" si="13"/>
        <v>53</v>
      </c>
      <c r="BB16" s="1364">
        <f t="shared" si="13"/>
        <v>54</v>
      </c>
      <c r="BC16" s="1364">
        <f t="shared" si="13"/>
        <v>55</v>
      </c>
      <c r="BD16" s="259">
        <f>BC16+1</f>
        <v>56</v>
      </c>
      <c r="BE16" s="259">
        <f t="shared" ref="BE16:BU16" si="14">BD16+1</f>
        <v>57</v>
      </c>
      <c r="BF16" s="259">
        <f t="shared" si="14"/>
        <v>58</v>
      </c>
      <c r="BG16" s="259">
        <f t="shared" si="14"/>
        <v>59</v>
      </c>
      <c r="BH16" s="259">
        <f t="shared" si="14"/>
        <v>60</v>
      </c>
      <c r="BI16" s="259">
        <f t="shared" si="14"/>
        <v>61</v>
      </c>
      <c r="BJ16" s="259">
        <f t="shared" si="14"/>
        <v>62</v>
      </c>
      <c r="BK16" s="259">
        <f t="shared" si="14"/>
        <v>63</v>
      </c>
      <c r="BL16" s="259">
        <f t="shared" si="14"/>
        <v>64</v>
      </c>
      <c r="BM16" s="259">
        <f t="shared" si="14"/>
        <v>65</v>
      </c>
      <c r="BN16" s="259">
        <f t="shared" si="14"/>
        <v>66</v>
      </c>
      <c r="BO16" s="259">
        <f t="shared" si="14"/>
        <v>67</v>
      </c>
      <c r="BP16" s="259">
        <f t="shared" si="14"/>
        <v>68</v>
      </c>
      <c r="BQ16" s="259">
        <f t="shared" si="14"/>
        <v>69</v>
      </c>
      <c r="BR16" s="259">
        <f t="shared" si="14"/>
        <v>70</v>
      </c>
      <c r="BS16" s="259">
        <f t="shared" si="14"/>
        <v>71</v>
      </c>
      <c r="BT16" s="259">
        <f t="shared" si="14"/>
        <v>72</v>
      </c>
      <c r="BU16" s="259">
        <f t="shared" si="14"/>
        <v>73</v>
      </c>
      <c r="BV16" s="1373">
        <f>BU16+1</f>
        <v>74</v>
      </c>
      <c r="BW16" s="1373">
        <f t="shared" ref="BW16:CD16" si="15">BV16+1</f>
        <v>75</v>
      </c>
      <c r="BX16" s="1373">
        <f t="shared" si="15"/>
        <v>76</v>
      </c>
      <c r="BY16" s="1373">
        <f t="shared" si="15"/>
        <v>77</v>
      </c>
      <c r="BZ16" s="1373">
        <f t="shared" si="15"/>
        <v>78</v>
      </c>
      <c r="CA16" s="1373">
        <f t="shared" si="15"/>
        <v>79</v>
      </c>
      <c r="CB16" s="1373">
        <f t="shared" si="15"/>
        <v>80</v>
      </c>
      <c r="CC16" s="1373">
        <f t="shared" si="15"/>
        <v>81</v>
      </c>
      <c r="CD16" s="1373">
        <f t="shared" si="15"/>
        <v>82</v>
      </c>
      <c r="CF16" s="1272"/>
      <c r="CG16" s="1273"/>
      <c r="CH16" s="1273"/>
      <c r="CI16" s="1273"/>
      <c r="CJ16" s="1274"/>
      <c r="CK16" s="1272"/>
      <c r="CL16" s="1273"/>
      <c r="CM16" s="1273"/>
      <c r="CN16" s="1273"/>
      <c r="CO16" s="1273"/>
      <c r="CP16" s="1274"/>
      <c r="CQ16" s="1272"/>
      <c r="CR16" s="1273"/>
      <c r="CS16" s="1273"/>
      <c r="CT16" s="1273"/>
      <c r="CU16" s="1274"/>
      <c r="CV16" s="1273"/>
      <c r="CW16" s="1273"/>
      <c r="CX16" s="1273"/>
      <c r="CY16" s="1272"/>
      <c r="CZ16" s="1273"/>
      <c r="DA16" s="1274"/>
    </row>
    <row r="17" spans="1:105" ht="60.75" thickBot="1" x14ac:dyDescent="0.3">
      <c r="A17" s="37" t="s">
        <v>33</v>
      </c>
      <c r="B17" s="37" t="s">
        <v>50</v>
      </c>
      <c r="C17" s="37" t="s">
        <v>41</v>
      </c>
      <c r="D17" s="50" t="s">
        <v>42</v>
      </c>
      <c r="E17" s="39" t="s">
        <v>43</v>
      </c>
      <c r="F17" s="37" t="s">
        <v>44</v>
      </c>
      <c r="G17" s="50" t="s">
        <v>41</v>
      </c>
      <c r="H17" s="37" t="s">
        <v>43</v>
      </c>
      <c r="I17" s="37" t="s">
        <v>44</v>
      </c>
      <c r="J17" s="37" t="s">
        <v>50</v>
      </c>
      <c r="K17" s="37" t="s">
        <v>41</v>
      </c>
      <c r="L17" s="50" t="s">
        <v>42</v>
      </c>
      <c r="M17" s="39" t="s">
        <v>43</v>
      </c>
      <c r="N17" s="50" t="s">
        <v>44</v>
      </c>
      <c r="O17" s="50" t="s">
        <v>41</v>
      </c>
      <c r="P17" s="37" t="s">
        <v>43</v>
      </c>
      <c r="Q17" s="37" t="s">
        <v>44</v>
      </c>
      <c r="R17" s="37" t="s">
        <v>50</v>
      </c>
      <c r="S17" s="37" t="s">
        <v>41</v>
      </c>
      <c r="T17" s="50" t="s">
        <v>42</v>
      </c>
      <c r="U17" s="39" t="s">
        <v>43</v>
      </c>
      <c r="V17" s="37" t="s">
        <v>44</v>
      </c>
      <c r="W17" s="50" t="s">
        <v>41</v>
      </c>
      <c r="X17" s="37" t="s">
        <v>43</v>
      </c>
      <c r="Y17" s="37" t="s">
        <v>44</v>
      </c>
      <c r="Z17" s="37" t="s">
        <v>50</v>
      </c>
      <c r="AA17" s="37" t="s">
        <v>41</v>
      </c>
      <c r="AB17" s="50" t="s">
        <v>42</v>
      </c>
      <c r="AC17" s="39" t="s">
        <v>43</v>
      </c>
      <c r="AD17" s="50" t="s">
        <v>44</v>
      </c>
      <c r="AE17" s="50" t="s">
        <v>41</v>
      </c>
      <c r="AF17" s="37" t="s">
        <v>43</v>
      </c>
      <c r="AG17" s="37" t="s">
        <v>44</v>
      </c>
      <c r="AH17" s="38" t="s">
        <v>152</v>
      </c>
      <c r="AI17" s="39" t="s">
        <v>7</v>
      </c>
      <c r="AJ17" s="39" t="s">
        <v>510</v>
      </c>
      <c r="AK17" s="39" t="s">
        <v>283</v>
      </c>
      <c r="AL17" s="37" t="s">
        <v>152</v>
      </c>
      <c r="AM17" s="39" t="s">
        <v>8</v>
      </c>
      <c r="AN17" s="39" t="s">
        <v>511</v>
      </c>
      <c r="AO17" s="40" t="s">
        <v>283</v>
      </c>
      <c r="AP17" s="39" t="s">
        <v>354</v>
      </c>
      <c r="AQ17" s="39" t="s">
        <v>355</v>
      </c>
      <c r="AR17" s="41" t="s">
        <v>356</v>
      </c>
      <c r="AS17" s="41" t="s">
        <v>82</v>
      </c>
      <c r="AT17" s="41" t="s">
        <v>513</v>
      </c>
      <c r="AU17" s="39" t="s">
        <v>575</v>
      </c>
      <c r="AV17" s="39" t="s">
        <v>357</v>
      </c>
      <c r="AW17" s="37" t="s">
        <v>358</v>
      </c>
      <c r="AX17" s="39" t="s">
        <v>359</v>
      </c>
      <c r="AY17" s="41" t="s">
        <v>360</v>
      </c>
      <c r="AZ17" s="41" t="s">
        <v>84</v>
      </c>
      <c r="BA17" s="41" t="s">
        <v>512</v>
      </c>
      <c r="BB17" s="39" t="s">
        <v>576</v>
      </c>
      <c r="BC17" s="39" t="s">
        <v>361</v>
      </c>
      <c r="BD17" s="38" t="s">
        <v>457</v>
      </c>
      <c r="BE17" s="39" t="s">
        <v>364</v>
      </c>
      <c r="BF17" s="39" t="s">
        <v>577</v>
      </c>
      <c r="BG17" s="39" t="s">
        <v>365</v>
      </c>
      <c r="BH17" s="39" t="s">
        <v>366</v>
      </c>
      <c r="BI17" s="39" t="s">
        <v>160</v>
      </c>
      <c r="BJ17" s="39" t="s">
        <v>244</v>
      </c>
      <c r="BK17" s="39" t="s">
        <v>209</v>
      </c>
      <c r="BL17" s="39" t="s">
        <v>250</v>
      </c>
      <c r="BM17" s="39" t="s">
        <v>251</v>
      </c>
      <c r="BN17" s="39" t="s">
        <v>458</v>
      </c>
      <c r="BO17" s="39" t="s">
        <v>368</v>
      </c>
      <c r="BP17" s="39" t="s">
        <v>147</v>
      </c>
      <c r="BQ17" s="39" t="s">
        <v>148</v>
      </c>
      <c r="BR17" s="39" t="s">
        <v>369</v>
      </c>
      <c r="BS17" s="39" t="s">
        <v>226</v>
      </c>
      <c r="BT17" s="39" t="s">
        <v>301</v>
      </c>
      <c r="BU17" s="40" t="s">
        <v>149</v>
      </c>
      <c r="BV17" s="38" t="s">
        <v>371</v>
      </c>
      <c r="BW17" s="37" t="s">
        <v>374</v>
      </c>
      <c r="BX17" s="37" t="s">
        <v>375</v>
      </c>
      <c r="BY17" s="37" t="s">
        <v>372</v>
      </c>
      <c r="BZ17" s="37" t="s">
        <v>376</v>
      </c>
      <c r="CA17" s="37" t="s">
        <v>377</v>
      </c>
      <c r="CB17" s="37" t="s">
        <v>373</v>
      </c>
      <c r="CC17" s="37" t="s">
        <v>32</v>
      </c>
      <c r="CD17" s="51" t="s">
        <v>378</v>
      </c>
      <c r="CE17" s="224"/>
      <c r="CF17" s="227" t="s">
        <v>33</v>
      </c>
      <c r="CG17" s="228" t="s">
        <v>74</v>
      </c>
      <c r="CH17" s="228" t="s">
        <v>72</v>
      </c>
      <c r="CI17" s="228" t="s">
        <v>459</v>
      </c>
      <c r="CJ17" s="229" t="s">
        <v>75</v>
      </c>
      <c r="CK17" s="38" t="s">
        <v>455</v>
      </c>
      <c r="CL17" s="39" t="s">
        <v>80</v>
      </c>
      <c r="CM17" s="39" t="s">
        <v>82</v>
      </c>
      <c r="CN17" s="39" t="s">
        <v>42</v>
      </c>
      <c r="CO17" s="39" t="s">
        <v>79</v>
      </c>
      <c r="CP17" s="40" t="s">
        <v>84</v>
      </c>
      <c r="CQ17" s="38" t="s">
        <v>455</v>
      </c>
      <c r="CR17" s="39" t="s">
        <v>41</v>
      </c>
      <c r="CS17" s="39" t="s">
        <v>42</v>
      </c>
      <c r="CT17" s="39" t="s">
        <v>43</v>
      </c>
      <c r="CU17" s="40" t="s">
        <v>366</v>
      </c>
      <c r="CV17" s="39" t="s">
        <v>455</v>
      </c>
      <c r="CW17" s="39" t="s">
        <v>41</v>
      </c>
      <c r="CX17" s="39" t="s">
        <v>44</v>
      </c>
      <c r="CY17" s="38" t="s">
        <v>455</v>
      </c>
      <c r="CZ17" s="39" t="s">
        <v>41</v>
      </c>
      <c r="DA17" s="40" t="s">
        <v>44</v>
      </c>
    </row>
    <row r="18" spans="1:105" ht="18" thickBot="1" x14ac:dyDescent="0.3">
      <c r="A18" s="44" t="s">
        <v>333</v>
      </c>
      <c r="B18" s="83" t="s">
        <v>641</v>
      </c>
      <c r="C18" s="83" t="s">
        <v>641</v>
      </c>
      <c r="D18" s="83" t="s">
        <v>641</v>
      </c>
      <c r="E18" s="83" t="s">
        <v>641</v>
      </c>
      <c r="F18" s="83" t="s">
        <v>641</v>
      </c>
      <c r="G18" s="84" t="s">
        <v>460</v>
      </c>
      <c r="H18" s="83" t="s">
        <v>460</v>
      </c>
      <c r="I18" s="85" t="s">
        <v>460</v>
      </c>
      <c r="J18" s="83" t="s">
        <v>460</v>
      </c>
      <c r="K18" s="83" t="s">
        <v>460</v>
      </c>
      <c r="L18" s="84" t="s">
        <v>460</v>
      </c>
      <c r="M18" s="75" t="s">
        <v>460</v>
      </c>
      <c r="N18" s="83" t="s">
        <v>460</v>
      </c>
      <c r="O18" s="84" t="s">
        <v>460</v>
      </c>
      <c r="P18" s="83" t="s">
        <v>460</v>
      </c>
      <c r="Q18" s="85" t="s">
        <v>460</v>
      </c>
      <c r="R18" s="83" t="s">
        <v>460</v>
      </c>
      <c r="S18" s="83" t="s">
        <v>460</v>
      </c>
      <c r="T18" s="84" t="s">
        <v>460</v>
      </c>
      <c r="U18" s="75" t="s">
        <v>460</v>
      </c>
      <c r="V18" s="83" t="s">
        <v>460</v>
      </c>
      <c r="W18" s="83" t="s">
        <v>460</v>
      </c>
      <c r="X18" s="83" t="s">
        <v>460</v>
      </c>
      <c r="Y18" s="84" t="s">
        <v>460</v>
      </c>
      <c r="Z18" s="83" t="s">
        <v>460</v>
      </c>
      <c r="AA18" s="83" t="s">
        <v>460</v>
      </c>
      <c r="AB18" s="84" t="s">
        <v>460</v>
      </c>
      <c r="AC18" s="75" t="s">
        <v>460</v>
      </c>
      <c r="AD18" s="83" t="s">
        <v>460</v>
      </c>
      <c r="AE18" s="84" t="s">
        <v>460</v>
      </c>
      <c r="AF18" s="83" t="s">
        <v>460</v>
      </c>
      <c r="AG18" s="85" t="s">
        <v>460</v>
      </c>
      <c r="AH18" s="77" t="s">
        <v>37</v>
      </c>
      <c r="AI18" s="75" t="s">
        <v>35</v>
      </c>
      <c r="AJ18" s="75" t="s">
        <v>460</v>
      </c>
      <c r="AK18" s="75" t="s">
        <v>35</v>
      </c>
      <c r="AL18" s="83" t="s">
        <v>37</v>
      </c>
      <c r="AM18" s="75" t="s">
        <v>35</v>
      </c>
      <c r="AN18" s="75" t="s">
        <v>460</v>
      </c>
      <c r="AO18" s="76" t="s">
        <v>35</v>
      </c>
      <c r="AP18" s="78" t="s">
        <v>38</v>
      </c>
      <c r="AQ18" s="78" t="s">
        <v>462</v>
      </c>
      <c r="AR18" s="78" t="s">
        <v>463</v>
      </c>
      <c r="AS18" s="78" t="s">
        <v>462</v>
      </c>
      <c r="AT18" s="78" t="s">
        <v>462</v>
      </c>
      <c r="AU18" s="78" t="s">
        <v>462</v>
      </c>
      <c r="AV18" s="78" t="s">
        <v>35</v>
      </c>
      <c r="AW18" s="82" t="s">
        <v>38</v>
      </c>
      <c r="AX18" s="78" t="s">
        <v>462</v>
      </c>
      <c r="AY18" s="78" t="s">
        <v>463</v>
      </c>
      <c r="AZ18" s="78" t="s">
        <v>462</v>
      </c>
      <c r="BA18" s="78" t="s">
        <v>462</v>
      </c>
      <c r="BB18" s="78" t="s">
        <v>462</v>
      </c>
      <c r="BC18" s="78" t="s">
        <v>35</v>
      </c>
      <c r="BD18" s="79" t="s">
        <v>363</v>
      </c>
      <c r="BE18" s="80" t="s">
        <v>363</v>
      </c>
      <c r="BF18" s="80" t="s">
        <v>363</v>
      </c>
      <c r="BG18" s="80" t="s">
        <v>363</v>
      </c>
      <c r="BH18" s="80" t="s">
        <v>363</v>
      </c>
      <c r="BI18" s="80" t="s">
        <v>27</v>
      </c>
      <c r="BJ18" s="80" t="s">
        <v>27</v>
      </c>
      <c r="BK18" s="80" t="s">
        <v>27</v>
      </c>
      <c r="BL18" s="80" t="s">
        <v>27</v>
      </c>
      <c r="BM18" s="80" t="s">
        <v>27</v>
      </c>
      <c r="BN18" s="80" t="s">
        <v>27</v>
      </c>
      <c r="BO18" s="80" t="s">
        <v>27</v>
      </c>
      <c r="BP18" s="80" t="s">
        <v>27</v>
      </c>
      <c r="BQ18" s="80" t="s">
        <v>27</v>
      </c>
      <c r="BR18" s="80" t="s">
        <v>27</v>
      </c>
      <c r="BS18" s="80" t="s">
        <v>27</v>
      </c>
      <c r="BT18" s="80" t="s">
        <v>27</v>
      </c>
      <c r="BU18" s="81" t="s">
        <v>27</v>
      </c>
      <c r="BV18" s="79" t="s">
        <v>27</v>
      </c>
      <c r="BW18" s="80" t="s">
        <v>27</v>
      </c>
      <c r="BX18" s="80" t="s">
        <v>27</v>
      </c>
      <c r="BY18" s="80" t="s">
        <v>27</v>
      </c>
      <c r="BZ18" s="80" t="s">
        <v>27</v>
      </c>
      <c r="CA18" s="80" t="s">
        <v>27</v>
      </c>
      <c r="CB18" s="80" t="s">
        <v>27</v>
      </c>
      <c r="CC18" s="80" t="s">
        <v>27</v>
      </c>
      <c r="CD18" s="81" t="s">
        <v>27</v>
      </c>
      <c r="CE18" s="94"/>
      <c r="CF18" s="44" t="s">
        <v>333</v>
      </c>
      <c r="CG18" s="75" t="s">
        <v>345</v>
      </c>
      <c r="CH18" s="75" t="s">
        <v>345</v>
      </c>
      <c r="CI18" s="75" t="s">
        <v>345</v>
      </c>
      <c r="CJ18" s="76" t="s">
        <v>345</v>
      </c>
      <c r="CK18" s="77" t="s">
        <v>165</v>
      </c>
      <c r="CL18" s="78" t="s">
        <v>464</v>
      </c>
      <c r="CM18" s="78" t="s">
        <v>464</v>
      </c>
      <c r="CN18" s="75" t="s">
        <v>165</v>
      </c>
      <c r="CO18" s="78" t="s">
        <v>464</v>
      </c>
      <c r="CP18" s="78" t="s">
        <v>464</v>
      </c>
      <c r="CQ18" s="77" t="s">
        <v>159</v>
      </c>
      <c r="CR18" s="75" t="s">
        <v>159</v>
      </c>
      <c r="CS18" s="75" t="s">
        <v>159</v>
      </c>
      <c r="CT18" s="75" t="s">
        <v>159</v>
      </c>
      <c r="CU18" s="76" t="s">
        <v>363</v>
      </c>
      <c r="CV18" s="75" t="s">
        <v>461</v>
      </c>
      <c r="CW18" s="75" t="s">
        <v>461</v>
      </c>
      <c r="CX18" s="75" t="s">
        <v>461</v>
      </c>
      <c r="CY18" s="77" t="s">
        <v>461</v>
      </c>
      <c r="CZ18" s="75" t="s">
        <v>461</v>
      </c>
      <c r="DA18" s="76" t="s">
        <v>461</v>
      </c>
    </row>
    <row r="19" spans="1:105" ht="15.75" thickBot="1" x14ac:dyDescent="0.3">
      <c r="A19" s="44">
        <v>0</v>
      </c>
      <c r="B19" s="75"/>
      <c r="C19" s="75"/>
      <c r="D19" s="75"/>
      <c r="E19" s="75"/>
      <c r="F19" s="75"/>
      <c r="G19" s="75"/>
      <c r="H19" s="75"/>
      <c r="I19" s="76"/>
      <c r="J19" s="77"/>
      <c r="K19" s="75"/>
      <c r="L19" s="75"/>
      <c r="M19" s="75"/>
      <c r="N19" s="76"/>
      <c r="O19" s="75"/>
      <c r="P19" s="75"/>
      <c r="Q19" s="75"/>
      <c r="R19" s="83"/>
      <c r="S19" s="75"/>
      <c r="T19" s="75"/>
      <c r="U19" s="75"/>
      <c r="V19" s="75"/>
      <c r="W19" s="75"/>
      <c r="X19" s="75"/>
      <c r="Y19" s="75"/>
      <c r="Z19" s="75"/>
      <c r="AA19" s="75"/>
      <c r="AB19" s="75"/>
      <c r="AC19" s="75"/>
      <c r="AD19" s="75"/>
      <c r="AE19" s="75"/>
      <c r="AF19" s="75"/>
      <c r="AG19" s="80"/>
      <c r="AH19" s="77"/>
      <c r="AI19" s="75"/>
      <c r="AJ19" s="75"/>
      <c r="AK19" s="75"/>
      <c r="AL19" s="75"/>
      <c r="AM19" s="75"/>
      <c r="AN19" s="75"/>
      <c r="AO19" s="75"/>
      <c r="AP19" s="78"/>
      <c r="AQ19" s="78"/>
      <c r="AR19" s="78"/>
      <c r="AS19" s="78"/>
      <c r="AT19" s="78"/>
      <c r="AU19" s="78"/>
      <c r="AV19" s="78"/>
      <c r="AW19" s="78"/>
      <c r="AX19" s="78"/>
      <c r="AY19" s="78"/>
      <c r="AZ19" s="78"/>
      <c r="BA19" s="78"/>
      <c r="BB19" s="78"/>
      <c r="BC19" s="78"/>
      <c r="BD19" s="80"/>
      <c r="BE19" s="80"/>
      <c r="BF19" s="80"/>
      <c r="BG19" s="80"/>
      <c r="BH19" s="80"/>
      <c r="BI19" s="80"/>
      <c r="BJ19" s="80"/>
      <c r="BK19" s="80"/>
      <c r="BL19" s="80"/>
      <c r="BM19" s="80"/>
      <c r="BN19" s="80"/>
      <c r="BO19" s="80"/>
      <c r="BP19" s="80"/>
      <c r="BQ19" s="80"/>
      <c r="BR19" s="80"/>
      <c r="BS19" s="80"/>
      <c r="BT19" s="80"/>
      <c r="BU19" s="80"/>
      <c r="BV19" s="79"/>
      <c r="BW19" s="80"/>
      <c r="BX19" s="80"/>
      <c r="BY19" s="80"/>
      <c r="BZ19" s="80"/>
      <c r="CA19" s="80"/>
      <c r="CB19" s="80"/>
      <c r="CC19" s="80"/>
      <c r="CD19" s="81"/>
      <c r="CE19" s="94"/>
      <c r="CF19" s="77">
        <v>0</v>
      </c>
      <c r="CG19" s="75"/>
      <c r="CH19" s="75"/>
      <c r="CI19" s="75"/>
      <c r="CJ19" s="76"/>
      <c r="CK19" s="77"/>
      <c r="CL19" s="78"/>
      <c r="CM19" s="78"/>
      <c r="CN19" s="75"/>
      <c r="CO19" s="78"/>
      <c r="CP19" s="78"/>
      <c r="CQ19" s="77"/>
      <c r="CR19" s="75"/>
      <c r="CS19" s="75"/>
      <c r="CT19" s="75"/>
      <c r="CU19" s="76"/>
      <c r="CV19" s="75"/>
      <c r="CW19" s="75"/>
      <c r="CX19" s="75"/>
      <c r="CY19" s="77"/>
      <c r="CZ19" s="75"/>
      <c r="DA19" s="76"/>
    </row>
    <row r="20" spans="1:105" x14ac:dyDescent="0.25">
      <c r="A20" s="38">
        <v>1</v>
      </c>
      <c r="B20" s="1387">
        <f>IF($A20&gt;$C$5," ",VLOOKUP($A20,Plot!$A$7:$T$67,Plot!P$2,FALSE))</f>
        <v>838.49454544821754</v>
      </c>
      <c r="C20" s="1377">
        <f>IF($A20&gt;$C$5," ",VLOOKUP($A20,Plot!$V$7:$CI$67,Plot!$CA$2,FALSE))</f>
        <v>-706.68363636363631</v>
      </c>
      <c r="D20" s="1377">
        <f ca="1">IF($A20&gt;$C$5," ",VLOOKUP($A20,Plot!$CK$7:$DD$67,Plot!$CZ$2,FALSE))</f>
        <v>647.99300873713764</v>
      </c>
      <c r="E20" s="1377">
        <f>IF($A20&gt;$C$5," ",VLOOKUP($A20,Plot!$DF$7:$FT$67,Plot!$FL$2,FALSE))</f>
        <v>-486.98030303030299</v>
      </c>
      <c r="F20" s="1378">
        <f ca="1">IF($A20&gt;$C$5," ",D20+E20)</f>
        <v>161.01270570683465</v>
      </c>
      <c r="G20" s="1376">
        <f>IF($A20&gt;$C$5," ",VLOOKUP($A20,Plot!$V$7:$CG$67,Plot!$CG$2,FALSE))</f>
        <v>-706.37202929513376</v>
      </c>
      <c r="H20" s="1377">
        <f>IF($A20&gt;$C$5," ",VLOOKUP($A20,Plot!$DF$7:$FT$67,Plot!$FR$2,FALSE))</f>
        <v>-486.7805486671582</v>
      </c>
      <c r="I20" s="1378">
        <f ca="1">IF($A20&gt;$C$5," ",D20+H20)</f>
        <v>161.21246006997944</v>
      </c>
      <c r="J20" s="1376">
        <f>IF($A20&gt;$C$5," ",SUM(B$20:$B20))</f>
        <v>838.49454544821754</v>
      </c>
      <c r="K20" s="1377">
        <f>IF($A20&gt;$C$5," ",SUM($C$20:C20))</f>
        <v>-706.68363636363631</v>
      </c>
      <c r="L20" s="1377">
        <f ca="1">IF($A20&gt;$C$5," ",SUM($D$20:D20))</f>
        <v>647.99300873713764</v>
      </c>
      <c r="M20" s="1377">
        <f>IF($A20&gt;$C$5," ",SUM($E$20:E20))</f>
        <v>-486.98030303030299</v>
      </c>
      <c r="N20" s="1378">
        <f ca="1">IF($A20&gt;$C$5," ",SUM($F$20:F20))</f>
        <v>161.01270570683465</v>
      </c>
      <c r="O20" s="1377">
        <f>IF($A20&gt;$C$5," ",SUM($G$20:G20))</f>
        <v>-706.37202929513376</v>
      </c>
      <c r="P20" s="1377">
        <f>IF($A20&gt;$C$5," ",SUM($H$20:H20))</f>
        <v>-486.7805486671582</v>
      </c>
      <c r="Q20" s="1377">
        <f ca="1">IF($A20&gt;$C$5," ",SUM($I$20:I20))</f>
        <v>161.21246006997944</v>
      </c>
      <c r="R20" s="1376">
        <f>IF($A20&gt;$C$5," ",VLOOKUP($A20,Plot!$HM$7:$IA$67,2,FALSE))</f>
        <v>838.49454544821765</v>
      </c>
      <c r="S20" s="1377">
        <f>IF($A20&gt;$C$5," ",VLOOKUP($A20,Plot!$HM$7:$IA$67,3,FALSE))</f>
        <v>-706.68363636363631</v>
      </c>
      <c r="T20" s="1377">
        <f ca="1">IF($A20&gt;$C$5," ",VLOOKUP($A20,Plot!$HM$7:$IA$67,4,FALSE))</f>
        <v>647.99300873713764</v>
      </c>
      <c r="U20" s="1377">
        <f>IF($A20&gt;$C$5," ",VLOOKUP($A20,Plot!$HM$7:$IA$67,5,FALSE))</f>
        <v>-486.98030303030299</v>
      </c>
      <c r="V20" s="1378">
        <f t="shared" ref="V20:V49" ca="1" si="16">IF($A20&gt;$C$5," ",T20+U20)</f>
        <v>161.01270570683465</v>
      </c>
      <c r="W20" s="1377">
        <f>IF($A20&gt;$C$5," ",VLOOKUP($A20,Plot!$HM$7:$IA$67,Plot!$HR$2,FALSE))</f>
        <v>-706.37202929513376</v>
      </c>
      <c r="X20" s="1377">
        <f>IF($A20&gt;$C$5," ",VLOOKUP($A20,Plot!$HM$7:$IA$67,Plot!$HS$2,FALSE))</f>
        <v>-486.7805486671582</v>
      </c>
      <c r="Y20" s="1378">
        <f ca="1">IF($A20&gt;$C$5," ",T20+X20)</f>
        <v>161.21246006997944</v>
      </c>
      <c r="Z20" s="1376">
        <f>IF($A20&gt;$C$5," ",SUM($R$20:R20))</f>
        <v>838.49454544821765</v>
      </c>
      <c r="AA20" s="1377">
        <f>IF($A20&gt;$C$5," ",SUM($S$20:S20))</f>
        <v>-706.68363636363631</v>
      </c>
      <c r="AB20" s="1377">
        <f ca="1">IF($A20&gt;$C$5," ",SUM($T$20:T20))</f>
        <v>647.99300873713764</v>
      </c>
      <c r="AC20" s="1377">
        <f>IF($A20&gt;$C$5," ",SUM($U$20:U20))</f>
        <v>-486.98030303030299</v>
      </c>
      <c r="AD20" s="1378">
        <f ca="1">IF($A20&gt;$C$5," ",AB20+AC20)</f>
        <v>161.01270570683465</v>
      </c>
      <c r="AE20" s="1377">
        <f>IF($A20&gt;$C$5," ",SUM($W$20:W20))</f>
        <v>-706.37202929513376</v>
      </c>
      <c r="AF20" s="1377">
        <f>IF($A20&gt;$C$5," ",SUM($X$20:X20))</f>
        <v>-486.7805486671582</v>
      </c>
      <c r="AG20" s="1377">
        <f ca="1">IF($A20&gt;$C$5," ",AF20+AB20)</f>
        <v>161.21246006997944</v>
      </c>
      <c r="AH20" s="1398">
        <f>IF($A20&gt;$C$5," ",VLOOKUP($A20,Plot!$A$7:$D$67,4,FALSE))</f>
        <v>1</v>
      </c>
      <c r="AI20" s="1388">
        <f>IF($A20&gt;$C$5," ",VLOOKUP($A20,Plot!$A$7:$E$67,5,FALSE))</f>
        <v>9.9183094992989567</v>
      </c>
      <c r="AJ20" s="1388">
        <f ca="1">IF($A20&gt;$C$5," ",IF(ROW()-ROW($A$18)&gt;='Options and results'!$AR$56,AVERAGE(OFFSET(AI20,0,0,COUNTA($BS:$BS)-'Options and results'!$AR$56,1)),NA()))</f>
        <v>7.0608674427769866</v>
      </c>
      <c r="AK20" s="1399">
        <f>IF($A20&gt;$C$5," ",VLOOKUP($A20,Plot!$A$7:$F$67,6,FALSE))</f>
        <v>3.9673237997195829</v>
      </c>
      <c r="AL20" s="1388">
        <f>IF($A20&gt;$C$5," ",VLOOKUP($A20,Plot!$CK$7:$CN$67,4,FALSE))</f>
        <v>0.99</v>
      </c>
      <c r="AM20" s="1388">
        <f ca="1">IF($A20&gt;$C$5," ",AL20*VLOOKUP($A20,Plot!$CK$7:$CO$67,5,FALSE))</f>
        <v>10.088099999999999</v>
      </c>
      <c r="AN20" s="1388">
        <f ca="1">IF($A20&gt;$C$5," ",IF(ROW()-ROW($A$18)&gt;='Options and results'!$AR$56,AVERAGE(OFFSET(AM20,0,0,COUNTA($BS:$BS)-'Options and results'!$AR$56,1)),NA()))</f>
        <v>2.9531699999999996</v>
      </c>
      <c r="AO20" s="1388">
        <f ca="1">IF($A20&gt;$C$5," ",VLOOKUP($A20,Plot!$CK$7:$CP$67,6,FALSE))</f>
        <v>4.0759999999999996</v>
      </c>
      <c r="AP20" s="1410">
        <f>IF($A20&gt;$C$5,0,VLOOKUP($A20,Plot!$V$7:$AH$67,7,FALSE))</f>
        <v>156</v>
      </c>
      <c r="AQ20" s="1388">
        <f>IF($A20&gt;$C$5," ",VLOOKUP($A20,Plot!$V$7:$AH$67,13,FALSE))</f>
        <v>2.8267045991225252E-2</v>
      </c>
      <c r="AR20" s="1388">
        <f>IF($A20&gt;$C$5," ",VLOOKUP($A20,Plot!$V$7:$AI$67,14,FALSE))</f>
        <v>1.8119901276426444E-4</v>
      </c>
      <c r="AS20" s="1388">
        <f>IF($A20&gt;$C$5," ",VLOOKUP($A20,Plot!$V$7:$AJ$67,15,FALSE))</f>
        <v>0</v>
      </c>
      <c r="AT20" s="1388">
        <f>IF($A20&gt;$C$5," ",AQ20+SUM($AS$20:AS20)+IF(AP21=0,-AQ20,0))</f>
        <v>2.8267045991225252E-2</v>
      </c>
      <c r="AU20" s="1388">
        <f>IF($A20&gt;$C$5," ",VLOOKUP($A20,Plot!$V$7:$AL$67,Plot!$AL$2,FALSE))</f>
        <v>0</v>
      </c>
      <c r="AV20" s="1399">
        <f>IF($A20&gt;$C$5," ",VLOOKUP($A20,Plot!$V$7:$AM$67,Plot!$AM$2,FALSE))</f>
        <v>0</v>
      </c>
      <c r="AW20" s="1406">
        <f>IF($A20&gt;$C$5,0,VLOOKUP($A20,Plot!$DF$7:$DS$67,7,FALSE))</f>
        <v>100</v>
      </c>
      <c r="AX20" s="1388">
        <f>IF($A20&gt;$C$5," ",VLOOKUP($A20,Plot!$DF$7:$DS$67,14,FALSE))</f>
        <v>1.8120467539768537E-2</v>
      </c>
      <c r="AY20" s="1388">
        <f>IF($A20&gt;$C$5," ",VLOOKUP($A20,Plot!$DF$7:$DT$67,15,FALSE))</f>
        <v>1.8120467539768537E-4</v>
      </c>
      <c r="AZ20" s="1388">
        <f>IF($A20&gt;$C$5," ",VLOOKUP($A20,Plot!$DF$7:$DU$67,16,FALSE))</f>
        <v>0</v>
      </c>
      <c r="BA20" s="1388">
        <f>IF($A20&gt;$C$5," ",AX20+SUM($AZ$20:AZ20)+IF(AW21=0,-AX20,0))</f>
        <v>1.8120467539768537E-2</v>
      </c>
      <c r="BB20" s="1388">
        <f>IF($A20&gt;$C$5," ",VLOOKUP($A20,Plot!$DF$7:$DW$67,Plot!$DW$2,FALSE))</f>
        <v>0</v>
      </c>
      <c r="BC20" s="1388">
        <f>IF($A20&gt;$C$5," ",VLOOKUP($A20,Plot!$DF$7:$DX$67,Plot!$DX$2,FALSE))</f>
        <v>0</v>
      </c>
      <c r="BD20" s="1400">
        <f>IF($A20&gt;$C$5," ",VLOOKUP($A20,Plot!$A$7:$N$67,14,FALSE))</f>
        <v>11.632834596849463</v>
      </c>
      <c r="BE20" s="1389">
        <f>IF($A20&gt;$C$5," ",VLOOKUP($A20,Plot!$V$7:$BW$67,Plot!$BW$2,FALSE))</f>
        <v>5.2654545454545456</v>
      </c>
      <c r="BF20" s="1389">
        <f>IF($A20&gt;$C$5," ",VLOOKUP($A20,Plot!$CK$7:$CX$67,14,FALSE))</f>
        <v>11.516506250880969</v>
      </c>
      <c r="BG20" s="1389">
        <f>IF($A20&gt;$C$5," ",VLOOKUP($A20,Plot!$DF$7:$FH$67,Plot!$FH$2,FALSE))</f>
        <v>5.6287878787878789</v>
      </c>
      <c r="BH20" s="1401">
        <f>IF($A20&gt;$C$5," ",BF20+BG20)</f>
        <v>17.145294129668848</v>
      </c>
      <c r="BI20" s="1389" t="str">
        <f>IF($A20&gt;$C$5," ",VLOOKUP($A20,Plot!$DF$7:$EJ$67,29,FALSE))</f>
        <v>Ground preparation</v>
      </c>
      <c r="BJ20" s="1389">
        <f>IF($A20&gt;$C$5," ",VLOOKUP($A20,Plot!$DF$7:$FT$67,30,FALSE))</f>
        <v>14.6</v>
      </c>
      <c r="BK20" s="1389">
        <f>IF($A20&gt;$C$5," ",VLOOKUP($A20,Plot!$DF$7:$FT$67,Plot!$EL$2,FALSE))</f>
        <v>0</v>
      </c>
      <c r="BL20" s="1389">
        <f>IF($A20&gt;$C$5," ",VLOOKUP($A20,Plot!$DF$7:$FT$67,Plot!$EM$2,FALSE))</f>
        <v>0</v>
      </c>
      <c r="BM20" s="1389">
        <f>IF($A20&gt;$C$5," ",VLOOKUP($A20,Plot!$DF$7:$FT$67,Plot!$EN$2,FALSE))</f>
        <v>0</v>
      </c>
      <c r="BN20" s="1389">
        <f>IF($A20&gt;$C$5," ",VLOOKUP($A20,Plot!$DF$7:$FT$67,Plot!$EO$2,FALSE))</f>
        <v>0</v>
      </c>
      <c r="BO20" s="1389">
        <f>IF($A20&gt;$C$5," ",SUM(BI20:BN20))</f>
        <v>14.6</v>
      </c>
      <c r="BP20" s="1389">
        <f>IF($A20&gt;$C$5," ",VLOOKUP($A20,Plot!$DF$7:$FT$67,Plot!$EQ$2,FALSE))</f>
        <v>0.8833333333333333</v>
      </c>
      <c r="BQ20" s="1389">
        <f>IF($A20&gt;$C$5," ",(VLOOKUP($A20,Plot!$DF$7:$FT$67,Plot!$ES$2,FALSE)+VLOOKUP($A20,Plot!$DF$7:$FT$67,Plot!$ET$2,FALSE)))</f>
        <v>0</v>
      </c>
      <c r="BR20" s="1389">
        <f>IF($A20&gt;$C$5," ",(VLOOKUP($A20,Plot!$DF$7:$FT$67,Plot!$EV$2,FALSE)+VLOOKUP($A20,Plot!$DF$7:$FT$67,Plot!$EW$2,FALSE)))</f>
        <v>0</v>
      </c>
      <c r="BS20" s="1389">
        <f>IF($A20&gt;$C$5," ",VLOOKUP($A20,Plot!$DF$7:$FT$67,Plot!$EY$2,FALSE))</f>
        <v>0</v>
      </c>
      <c r="BT20" s="1389">
        <f>IF($A20&gt;$C$5," ",(VLOOKUP($A20,Plot!$DF$7:$FT$67,Plot!$FB$2,FALSE)+VLOOKUP($A20,Plot!$DF$7:$FT$67,Plot!$FC$2,FALSE)))</f>
        <v>0</v>
      </c>
      <c r="BU20" s="1389">
        <f>IF($A20&gt;$C$5," ",(VLOOKUP($A20,Plot!$DF$7:$FT$67,Plot!$FE$2,FALSE)+VLOOKUP($A20,Plot!$DF$7:$FT$67,Plot!$FF$2,FALSE)))</f>
        <v>0</v>
      </c>
      <c r="BV20" s="1376">
        <f>IF($A20&gt;$C$5," ",VLOOKUP($A20,Plot!$FV$7:$GJ$67,2,FALSE))</f>
        <v>1870.7033750066644</v>
      </c>
      <c r="BW20" s="1377">
        <f>IF($A20&gt;$C$5," ",VLOOKUP($A20,Plot!$FV$7:$GJ$67,3,FALSE))</f>
        <v>0</v>
      </c>
      <c r="BX20" s="1378">
        <f ca="1">IF($A20&gt;$C$5," ",VLOOKUP($A20,Plot!$FV$7:$GJ$67,6,FALSE))</f>
        <v>1902.7277499999998</v>
      </c>
      <c r="BY20" s="1376">
        <f>IF($A20&gt;$C$5," ",VLOOKUP($A20,Plot!$GO$7:$GY$67,2,FALSE))</f>
        <v>235.2</v>
      </c>
      <c r="BZ20" s="1377">
        <f>IF($A20&gt;$C$5," ",VLOOKUP($A20,Plot!$GO$7:$GY$67,3,FALSE))</f>
        <v>0</v>
      </c>
      <c r="CA20" s="1378">
        <f>IF($A20&gt;$C$5," ",VLOOKUP($A20,Plot!$GO$7:$GY$67,6,FALSE))</f>
        <v>0</v>
      </c>
      <c r="CB20" s="1377">
        <f>IF($A20&gt;$C$5," ",-1*VLOOKUP($A20,Plot!$HA$7:$HK$67,2,FALSE))</f>
        <v>-1267.4088295584465</v>
      </c>
      <c r="CC20" s="1377">
        <f>IF($A20&gt;$C$5," ",-1*VLOOKUP($A20,Plot!$HA$7:$HK$67,3,FALSE))</f>
        <v>-706.68363636363631</v>
      </c>
      <c r="CD20" s="1380">
        <f>IF($A20&gt;$C$5," ",-1*VLOOKUP($A20,Plot!$HA$7:$HK$67,6,FALSE))</f>
        <v>-1741.7150442931652</v>
      </c>
      <c r="CE20" s="10"/>
      <c r="CF20" s="34">
        <v>1</v>
      </c>
      <c r="CG20" s="1387">
        <f>IF($CF20&gt;$C$5," ",VLOOKUP($CF20,Unit!$A$7:$BE$68,22,FALSE))</f>
        <v>33.340000000000003</v>
      </c>
      <c r="CH20" s="1377">
        <f>IF($CF20&gt;$C$5," ",VLOOKUP($CF20,Unit!$A$7:$BE$68,23,FALSE))</f>
        <v>33.33</v>
      </c>
      <c r="CI20" s="1377">
        <f>IF($CF20&gt;$C$5," ",VLOOKUP($CF20,Unit!$A$7:$BE$68,24,FALSE))</f>
        <v>32.996699999999997</v>
      </c>
      <c r="CJ20" s="1380">
        <f>IF($CF20&gt;$C$5," ",VLOOKUP($CF20,Unit!$A$7:$BE$68,25,FALSE))</f>
        <v>0.33330000000000026</v>
      </c>
      <c r="CK20" s="1387">
        <f>IF($CF20&gt;$C$5," ",VLOOKUP($CF20,Unit!$A$7:$BE$68,27,FALSE))</f>
        <v>330.67643870662727</v>
      </c>
      <c r="CL20" s="1377">
        <f>IF($CF20&gt;$C$5," ",VLOOKUP($CF20,Unit!$A$7:$BE$68,28,FALSE))</f>
        <v>0.94214064288753763</v>
      </c>
      <c r="CM20" s="1377">
        <f>IF($CF20&gt;$C$5," ",VLOOKUP($CF20,Unit!$A$7:$BE$68,29,FALSE))</f>
        <v>0</v>
      </c>
      <c r="CN20" s="1377">
        <f ca="1">IF($CF20&gt;$C$5," ",VLOOKUP($CF20,Unit!$A$7:$BE$68,30,FALSE))</f>
        <v>336.23637299999996</v>
      </c>
      <c r="CO20" s="1377">
        <f>IF($CF20&gt;$C$5," ",VLOOKUP($CF20,Unit!$A$7:$BE$68,31,FALSE))</f>
        <v>0.60395518310048535</v>
      </c>
      <c r="CP20" s="1377">
        <f>IF($CF20&gt;$C$5," ",VLOOKUP($CF20,Unit!$A$7:$BE$68,32,FALSE))</f>
        <v>0</v>
      </c>
      <c r="CQ20" s="1387">
        <f>IF($CF20&gt;$C$5," ",VLOOKUP($CF20,Unit!$A$7:$BE$68,33,FALSE))</f>
        <v>387.83870545896116</v>
      </c>
      <c r="CR20" s="1377">
        <f>IF($CF20&gt;$C$5," ",VLOOKUP($CF20,Unit!$A$7:$BE$68,34,FALSE))</f>
        <v>175.49760000000001</v>
      </c>
      <c r="CS20" s="1377">
        <f>IF($CF20&gt;$C$5," ",VLOOKUP($CF20,Unit!$A$7:$BE$68,35,FALSE))</f>
        <v>383.84515334186267</v>
      </c>
      <c r="CT20" s="1377">
        <f>IF($CF20&gt;$C$5," ",VLOOKUP($CF20,Unit!$A$7:$BE$68,36,FALSE))</f>
        <v>187.60749999999999</v>
      </c>
      <c r="CU20" s="1380">
        <f>IF($CF20&gt;$C$5," ",CS20+CT20)</f>
        <v>571.45265334186263</v>
      </c>
      <c r="CV20" s="1377">
        <f>IF($CF20&gt;$C$5," ",VLOOKUP($CF20,Unit!$A$7:$BA$68,43,FALSE))</f>
        <v>27955.408145243575</v>
      </c>
      <c r="CW20" s="1377">
        <f>IF($CF20&gt;$C$5," ",VLOOKUP($CF20,Unit!$A$7:$BB$68,44,FALSE))</f>
        <v>-23553.765599999999</v>
      </c>
      <c r="CX20" s="1380">
        <f ca="1">IF($CF20&gt;$C$5," ",VLOOKUP($CF20,Unit!$A$7:$BE$68,47,FALSE))</f>
        <v>5366.5534812087972</v>
      </c>
      <c r="CY20" s="1387">
        <f>IF($CF20&gt;$C$5," ",VLOOKUP($CF20,Unit!$A$7:$BA$68,53,FALSE))</f>
        <v>27955.408145243575</v>
      </c>
      <c r="CZ20" s="1377">
        <f>IF($CF20&gt;$C$5," ",VLOOKUP($CF20,Unit!$A$7:$BB$68,54,FALSE))</f>
        <v>-23553.765599999999</v>
      </c>
      <c r="DA20" s="1380">
        <f ca="1">IF($CF20&gt;$C$5," ",VLOOKUP($CF20,Unit!$A$7:$BE$68,57,FALSE))</f>
        <v>5366.5534812087972</v>
      </c>
    </row>
    <row r="21" spans="1:105" x14ac:dyDescent="0.25">
      <c r="A21" s="38">
        <v>2</v>
      </c>
      <c r="B21" s="1381">
        <f>IF($A21&gt;$C$5," ",VLOOKUP($A21,Plot!$A$7:$T$67,Plot!P$2,FALSE))</f>
        <v>491.3157451321116</v>
      </c>
      <c r="C21" s="1027">
        <f>IF($A21&gt;$C$5," ",VLOOKUP($A21,Plot!$V$7:$CI$67,Plot!$CA$2,FALSE))</f>
        <v>-63</v>
      </c>
      <c r="D21" s="1027">
        <f ca="1">IF($A21&gt;$C$5," ",VLOOKUP($A21,Plot!$CK$7:$DD$67,Plot!$CZ$2,FALSE))</f>
        <v>295.08275873713796</v>
      </c>
      <c r="E21" s="1027">
        <f>IF($A21&gt;$C$5," ",VLOOKUP($A21,Plot!$DF$7:$FT$67,Plot!$FL$2,FALSE))</f>
        <v>-43</v>
      </c>
      <c r="F21" s="1379">
        <f ca="1">IF($A21&gt;$C$5," ",D21+E21)</f>
        <v>252.08275873713796</v>
      </c>
      <c r="G21" s="1026">
        <f>IF($A21&gt;$C$5," ",VLOOKUP($A21,Plot!$V$7:$CG$67,Plot!$CG$2,FALSE))</f>
        <v>-62.69710070383843</v>
      </c>
      <c r="H21" s="1027">
        <f>IF($A21&gt;$C$5," ",VLOOKUP($A21,Plot!$DF$7:$FT$67,Plot!$FR$2,FALSE))</f>
        <v>-42.805803386830853</v>
      </c>
      <c r="I21" s="1379">
        <f t="shared" ref="I21:I79" ca="1" si="17">IF($A21&gt;$C$5," ",D21+H21)</f>
        <v>252.27695535030711</v>
      </c>
      <c r="J21" s="1026">
        <f>IF($A21&gt;$C$5," ",SUM(B$20:$B21))</f>
        <v>1329.8102905803291</v>
      </c>
      <c r="K21" s="1027">
        <f>IF($A21&gt;$C$5," ",SUM($C$20:C21))</f>
        <v>-769.68363636363631</v>
      </c>
      <c r="L21" s="1027">
        <f ca="1">IF($A21&gt;$C$5," ",SUM($D$20:D21))</f>
        <v>943.07576747427561</v>
      </c>
      <c r="M21" s="1027">
        <f>IF($A21&gt;$C$5," ",SUM($E$20:E21))</f>
        <v>-529.98030303030305</v>
      </c>
      <c r="N21" s="1379">
        <f ca="1">IF($A21&gt;$C$5," ",SUM($F$20:F21))</f>
        <v>413.09546444397262</v>
      </c>
      <c r="O21" s="1027">
        <f>IF($A21&gt;$C$5," ",SUM($G$20:G21))</f>
        <v>-769.06912999897213</v>
      </c>
      <c r="P21" s="1027">
        <f>IF($A21&gt;$C$5," ",SUM($H$20:H21))</f>
        <v>-529.586352053989</v>
      </c>
      <c r="Q21" s="1027">
        <f ca="1">IF($A21&gt;$C$5," ",SUM($I$20:I21))</f>
        <v>413.48941542028655</v>
      </c>
      <c r="R21" s="1026">
        <f>IF($A21&gt;$C$5," ",VLOOKUP($A21,Plot!$HM$7:$IA$67,2,FALSE))</f>
        <v>472.41898570395347</v>
      </c>
      <c r="S21" s="1027">
        <f>IF($A21&gt;$C$5," ",VLOOKUP($A21,Plot!$HM$7:$IA$67,3,FALSE))</f>
        <v>-60.576923076923073</v>
      </c>
      <c r="T21" s="1027">
        <f ca="1">IF($A21&gt;$C$5," ",VLOOKUP($A21,Plot!$HM$7:$IA$67,4,FALSE))</f>
        <v>283.73342186263267</v>
      </c>
      <c r="U21" s="1027">
        <f>IF($A21&gt;$C$5," ",VLOOKUP($A21,Plot!$HM$7:$IA$67,5,FALSE))</f>
        <v>-41.346153846153847</v>
      </c>
      <c r="V21" s="1379">
        <f t="shared" ca="1" si="16"/>
        <v>242.38726801647883</v>
      </c>
      <c r="W21" s="1027">
        <f>IF($A21&gt;$C$5," ",VLOOKUP($A21,Plot!$HM$7:$IA$67,Plot!$HR$2,FALSE))</f>
        <v>-60.297658640940888</v>
      </c>
      <c r="X21" s="1027">
        <f>IF($A21&gt;$C$5," ",VLOOKUP($A21,Plot!$HM$7:$IA$67,Plot!$HS$2,FALSE))</f>
        <v>-41.167109193612156</v>
      </c>
      <c r="Y21" s="1379">
        <f t="shared" ref="Y21:Y79" ca="1" si="18">IF($A21&gt;$C$5," ",T21+X21)</f>
        <v>242.5663126690205</v>
      </c>
      <c r="Z21" s="1026">
        <f>IF($A21&gt;$C$5," ",SUM($R$20:R21))</f>
        <v>1310.9135311521711</v>
      </c>
      <c r="AA21" s="1027">
        <f>IF($A21&gt;$C$5," ",SUM($S$20:S21))</f>
        <v>-767.2605594405594</v>
      </c>
      <c r="AB21" s="1027">
        <f ca="1">IF($A21&gt;$C$5," ",SUM($T$20:T21))</f>
        <v>931.72643059977031</v>
      </c>
      <c r="AC21" s="1027">
        <f>IF($A21&gt;$C$5," ",SUM($U$20:U21))</f>
        <v>-528.32645687645686</v>
      </c>
      <c r="AD21" s="1379">
        <f ca="1">IF($A21&gt;$C$5," ",AB21+AC21)</f>
        <v>403.39997372331345</v>
      </c>
      <c r="AE21" s="1027">
        <f>IF($A21&gt;$C$5," ",SUM($W$20:W21))</f>
        <v>-766.66968793607464</v>
      </c>
      <c r="AF21" s="1027">
        <f>IF($A21&gt;$C$5," ",SUM($X$20:X21))</f>
        <v>-527.94765786077039</v>
      </c>
      <c r="AG21" s="1027">
        <f ca="1">IF($A21&gt;$C$5," ",AF21+AB21)</f>
        <v>403.77877273899992</v>
      </c>
      <c r="AH21" s="1394">
        <f>IF($A21&gt;$C$5," ",VLOOKUP($A21,Plot!$A$7:$D$67,4,FALSE))</f>
        <v>1</v>
      </c>
      <c r="AI21" s="1390">
        <f>IF($A21&gt;$C$5," ",VLOOKUP($A21,Plot!$A$7:$E$67,5,FALSE))</f>
        <v>8.0775971559440496</v>
      </c>
      <c r="AJ21" s="1390">
        <f ca="1">IF($A21&gt;$C$5," ",IF(ROW()-ROW($A$18)&gt;='Options and results'!$AR$56,AVERAGE(OFFSET(AI21,0,0,COUNTA($BS:$BS)-'Options and results'!$AR$56,1)),NA()))</f>
        <v>6.9623349580693326</v>
      </c>
      <c r="AK21" s="1395">
        <f>IF($A21&gt;$C$5," ",VLOOKUP($A21,Plot!$A$7:$F$67,6,FALSE))</f>
        <v>3.2310388623776198</v>
      </c>
      <c r="AL21" s="1390">
        <f>IF($A21&gt;$C$5," ",VLOOKUP($A21,Plot!$CK$7:$CN$67,4,FALSE))</f>
        <v>0.99</v>
      </c>
      <c r="AM21" s="1390">
        <f ca="1">IF($A21&gt;$C$5," ",AL21*VLOOKUP($A21,Plot!$CK$7:$CO$67,5,FALSE))</f>
        <v>8.2170000000000005</v>
      </c>
      <c r="AN21" s="1390">
        <f ca="1">IF($A21&gt;$C$5," ",IF(ROW()-ROW($A$18)&gt;='Options and results'!$AR$56,AVERAGE(OFFSET(AM21,0,0,COUNTA($BS:$BS)-'Options and results'!$AR$56,1)),NA()))</f>
        <v>2.7071379310344823</v>
      </c>
      <c r="AO21" s="1390">
        <f ca="1">IF($A21&gt;$C$5," ",VLOOKUP($A21,Plot!$CK$7:$CP$67,6,FALSE))</f>
        <v>3.3200000000000003</v>
      </c>
      <c r="AP21" s="1409">
        <f>IF($A21&gt;$C$5,0,VLOOKUP($A21,Plot!$V$7:$AH$67,7,FALSE))</f>
        <v>156</v>
      </c>
      <c r="AQ21" s="1390">
        <f>IF($A21&gt;$C$5," ",VLOOKUP($A21,Plot!$V$7:$AH$67,13,FALSE))</f>
        <v>5.5744177291407571E-2</v>
      </c>
      <c r="AR21" s="1390">
        <f>IF($A21&gt;$C$5," ",VLOOKUP($A21,Plot!$V$7:$AI$67,14,FALSE))</f>
        <v>3.5733446981671521E-4</v>
      </c>
      <c r="AS21" s="1390">
        <f>IF($A21&gt;$C$5," ",VLOOKUP($A21,Plot!$V$7:$AJ$67,15,FALSE))</f>
        <v>0</v>
      </c>
      <c r="AT21" s="1390">
        <f>IF($A21&gt;$C$5," ",AQ21+SUM($AS$20:AS21)+IF(AP22=0,-AQ21,0))</f>
        <v>5.5744177291407571E-2</v>
      </c>
      <c r="AU21" s="1390">
        <f>IF($A21&gt;$C$5," ",VLOOKUP($A21,Plot!$V$7:$AL$67,Plot!$AL$2,FALSE))</f>
        <v>0</v>
      </c>
      <c r="AV21" s="1395">
        <f>IF($A21&gt;$C$5," ",VLOOKUP($A21,Plot!$V$7:$AM$67,Plot!$AM$2,FALSE))</f>
        <v>0</v>
      </c>
      <c r="AW21" s="1407">
        <f>IF($A21&gt;$C$5,0,VLOOKUP($A21,Plot!$DF$7:$DS$67,7,FALSE))</f>
        <v>100</v>
      </c>
      <c r="AX21" s="1390">
        <f>IF($A21&gt;$C$5," ",VLOOKUP($A21,Plot!$DF$7:$DS$67,14,FALSE))</f>
        <v>3.5736770732672521E-2</v>
      </c>
      <c r="AY21" s="1390">
        <f>IF($A21&gt;$C$5," ",VLOOKUP($A21,Plot!$DF$7:$DT$67,15,FALSE))</f>
        <v>3.5736770732672522E-4</v>
      </c>
      <c r="AZ21" s="1390">
        <f>IF($A21&gt;$C$5," ",VLOOKUP($A21,Plot!$DF$7:$DU$67,16,FALSE))</f>
        <v>0</v>
      </c>
      <c r="BA21" s="1390">
        <f>IF($A21&gt;$C$5," ",AX21+SUM($AZ$20:AZ21)+IF(AW22=0,-AX21,0))</f>
        <v>3.5736770732672521E-2</v>
      </c>
      <c r="BB21" s="1390">
        <f>IF($A21&gt;$C$5," ",VLOOKUP($A21,Plot!$DF$7:$DW$67,Plot!$DW$2,FALSE))</f>
        <v>0</v>
      </c>
      <c r="BC21" s="1390">
        <f>IF($A21&gt;$C$5," ",VLOOKUP($A21,Plot!$DF$7:$DX$67,Plot!$DX$2,FALSE))</f>
        <v>0</v>
      </c>
      <c r="BD21" s="1396">
        <f>IF($A21&gt;$C$5," ",VLOOKUP($A21,Plot!$A$7:$N$67,14,FALSE))</f>
        <v>11.632834596849463</v>
      </c>
      <c r="BE21" s="303">
        <f>IF($A21&gt;$C$5," ",VLOOKUP($A21,Plot!$V$7:$BW$67,Plot!$BW$2,FALSE))</f>
        <v>0</v>
      </c>
      <c r="BF21" s="303">
        <f>IF($A21&gt;$C$5," ",VLOOKUP($A21,Plot!$CK$7:$CX$67,14,FALSE))</f>
        <v>11.516506250880969</v>
      </c>
      <c r="BG21" s="303">
        <f>IF($A21&gt;$C$5," ",VLOOKUP($A21,Plot!$DF$7:$FH$67,Plot!$FH$2,FALSE))</f>
        <v>0</v>
      </c>
      <c r="BH21" s="1397">
        <f>IF($A21&gt;$C$5," ",BF21+BG21)</f>
        <v>11.516506250880969</v>
      </c>
      <c r="BI21" s="303" t="str">
        <f>IF($A21&gt;$C$5," ",VLOOKUP($A21,Plot!$DF$7:$EJ$67,29,FALSE))</f>
        <v>Full weeding</v>
      </c>
      <c r="BJ21" s="303">
        <f>IF($A21&gt;$C$5," ",VLOOKUP($A21,Plot!$DF$7:$FT$67,30,FALSE))</f>
        <v>14.6</v>
      </c>
      <c r="BK21" s="303">
        <f>IF($A21&gt;$C$5," ",VLOOKUP($A21,Plot!$DF$7:$FT$67,Plot!$EL$2,FALSE))</f>
        <v>0</v>
      </c>
      <c r="BL21" s="303">
        <f>IF($A21&gt;$C$5," ",VLOOKUP($A21,Plot!$DF$7:$FT$67,Plot!$EM$2,FALSE))</f>
        <v>0</v>
      </c>
      <c r="BM21" s="303">
        <f>IF($A21&gt;$C$5," ",VLOOKUP($A21,Plot!$DF$7:$FT$67,Plot!$EN$2,FALSE))</f>
        <v>0</v>
      </c>
      <c r="BN21" s="303">
        <f>IF($A21&gt;$C$5," ",VLOOKUP($A21,Plot!$DF$7:$FT$67,Plot!$EO$2,FALSE))</f>
        <v>0</v>
      </c>
      <c r="BO21" s="303">
        <f t="shared" ref="BO21:BO79" si="19">IF($A21&gt;$C$5," ",SUM(BI21:BN21))</f>
        <v>14.6</v>
      </c>
      <c r="BP21" s="303">
        <f>IF($A21&gt;$C$5," ",VLOOKUP($A21,Plot!$DF$7:$FT$67,Plot!$EQ$2,FALSE))</f>
        <v>0</v>
      </c>
      <c r="BQ21" s="303">
        <f>IF($A21&gt;$C$5," ",(VLOOKUP($A21,Plot!$DF$7:$FT$67,Plot!$ES$2,FALSE)+VLOOKUP($A21,Plot!$DF$7:$FT$67,Plot!$ET$2,FALSE)))</f>
        <v>0</v>
      </c>
      <c r="BR21" s="303">
        <f>IF($A21&gt;$C$5," ",(VLOOKUP($A21,Plot!$DF$7:$FT$67,Plot!$EV$2,FALSE)+VLOOKUP($A21,Plot!$DF$7:$FT$67,Plot!$EW$2,FALSE)))</f>
        <v>0</v>
      </c>
      <c r="BS21" s="303">
        <f>IF($A21&gt;$C$5," ",VLOOKUP($A21,Plot!$DF$7:$FT$67,Plot!$EY$2,FALSE))</f>
        <v>0</v>
      </c>
      <c r="BT21" s="303">
        <f>IF($A21&gt;$C$5," ",(VLOOKUP($A21,Plot!$DF$7:$FT$67,Plot!$FB$2,FALSE)+VLOOKUP($A21,Plot!$DF$7:$FT$67,Plot!$FC$2,FALSE)))</f>
        <v>0</v>
      </c>
      <c r="BU21" s="303">
        <f>IF($A21&gt;$C$5," ",(VLOOKUP($A21,Plot!$DF$7:$FT$67,Plot!$FE$2,FALSE)+VLOOKUP($A21,Plot!$DF$7:$FT$67,Plot!$FF$2,FALSE)))</f>
        <v>0</v>
      </c>
      <c r="BV21" s="1026">
        <f>IF($A21&gt;$C$5," ",VLOOKUP($A21,Plot!$FV$7:$GJ$67,2,FALSE))</f>
        <v>1464.9274756639982</v>
      </c>
      <c r="BW21" s="1027">
        <f>IF($A21&gt;$C$5," ",VLOOKUP($A21,Plot!$FV$7:$GJ$67,3,FALSE))</f>
        <v>0</v>
      </c>
      <c r="BX21" s="1379">
        <f ca="1">IF($A21&gt;$C$5," ",VLOOKUP($A21,Plot!$FV$7:$GJ$67,6,FALSE))</f>
        <v>1490.2091346153848</v>
      </c>
      <c r="BY21" s="1026">
        <f>IF($A21&gt;$C$5," ",VLOOKUP($A21,Plot!$GO$7:$GY$67,2,FALSE))</f>
        <v>226.15384615384613</v>
      </c>
      <c r="BZ21" s="1027">
        <f>IF($A21&gt;$C$5," ",VLOOKUP($A21,Plot!$GO$7:$GY$67,3,FALSE))</f>
        <v>0</v>
      </c>
      <c r="CA21" s="1379">
        <f>IF($A21&gt;$C$5," ",VLOOKUP($A21,Plot!$GO$7:$GY$67,6,FALSE))</f>
        <v>0</v>
      </c>
      <c r="CB21" s="1027">
        <f>IF($A21&gt;$C$5," ",-1*VLOOKUP($A21,Plot!$HA$7:$HK$67,2,FALSE))</f>
        <v>-1218.6623361138909</v>
      </c>
      <c r="CC21" s="1027">
        <f>IF($A21&gt;$C$5," ",-1*VLOOKUP($A21,Plot!$HA$7:$HK$67,3,FALSE))</f>
        <v>-60.576923076923073</v>
      </c>
      <c r="CD21" s="1189">
        <f>IF($A21&gt;$C$5," ",-1*VLOOKUP($A21,Plot!$HA$7:$HK$67,6,FALSE))</f>
        <v>-1247.8218665989059</v>
      </c>
      <c r="CE21" s="10"/>
      <c r="CF21" s="38">
        <v>2</v>
      </c>
      <c r="CG21" s="1381">
        <f>IF($CF21&gt;$C$5," ",VLOOKUP($CF21,Unit!$A$7:$BE$68,22,FALSE))</f>
        <v>33.340000000000003</v>
      </c>
      <c r="CH21" s="1027">
        <f>IF($CF21&gt;$C$5," ",VLOOKUP($CF21,Unit!$A$7:$BE$68,23,FALSE))</f>
        <v>33.33</v>
      </c>
      <c r="CI21" s="1027">
        <f>IF($CF21&gt;$C$5," ",VLOOKUP($CF21,Unit!$A$7:$BE$68,24,FALSE))</f>
        <v>32.996699999999997</v>
      </c>
      <c r="CJ21" s="1189">
        <f>IF($CF21&gt;$C$5," ",VLOOKUP($CF21,Unit!$A$7:$BE$68,25,FALSE))</f>
        <v>0.33330000000000026</v>
      </c>
      <c r="CK21" s="1381">
        <f>IF($CF21&gt;$C$5," ",VLOOKUP($CF21,Unit!$A$7:$BE$68,27,FALSE))</f>
        <v>269.30708917917462</v>
      </c>
      <c r="CL21" s="1027">
        <f>IF($CF21&gt;$C$5," ",VLOOKUP($CF21,Unit!$A$7:$BE$68,28,FALSE))</f>
        <v>1.8579534291226143</v>
      </c>
      <c r="CM21" s="1027">
        <f>IF($CF21&gt;$C$5," ",VLOOKUP($CF21,Unit!$A$7:$BE$68,29,FALSE))</f>
        <v>0</v>
      </c>
      <c r="CN21" s="1027">
        <f ca="1">IF($CF21&gt;$C$5," ",VLOOKUP($CF21,Unit!$A$7:$BE$68,30,FALSE))</f>
        <v>273.87261000000001</v>
      </c>
      <c r="CO21" s="1027">
        <f>IF($CF21&gt;$C$5," ",VLOOKUP($CF21,Unit!$A$7:$BE$68,31,FALSE))</f>
        <v>1.1911065685199751</v>
      </c>
      <c r="CP21" s="1027">
        <f>IF($CF21&gt;$C$5," ",VLOOKUP($CF21,Unit!$A$7:$BE$68,32,FALSE))</f>
        <v>0</v>
      </c>
      <c r="CQ21" s="1381">
        <f>IF($CF21&gt;$C$5," ",VLOOKUP($CF21,Unit!$A$7:$BE$68,33,FALSE))</f>
        <v>387.83870545896116</v>
      </c>
      <c r="CR21" s="1027">
        <f>IF($CF21&gt;$C$5," ",VLOOKUP($CF21,Unit!$A$7:$BE$68,34,FALSE))</f>
        <v>0</v>
      </c>
      <c r="CS21" s="1027">
        <f>IF($CF21&gt;$C$5," ",VLOOKUP($CF21,Unit!$A$7:$BE$68,35,FALSE))</f>
        <v>383.84515334186267</v>
      </c>
      <c r="CT21" s="1027">
        <f>IF($CF21&gt;$C$5," ",VLOOKUP($CF21,Unit!$A$7:$BE$68,36,FALSE))</f>
        <v>0</v>
      </c>
      <c r="CU21" s="1189">
        <f t="shared" ref="CU21:CU79" si="20">IF($CF21&gt;$C$5," ",CS21+CT21)</f>
        <v>383.84515334186267</v>
      </c>
      <c r="CV21" s="1027">
        <f>IF($CF21&gt;$C$5," ",VLOOKUP($CF21,Unit!$A$7:$BA$68,43,FALSE))</f>
        <v>44335.875087948181</v>
      </c>
      <c r="CW21" s="1027">
        <f>IF($CF21&gt;$C$5," ",VLOOKUP($CF21,Unit!$A$7:$BB$68,44,FALSE))</f>
        <v>-25653.5556</v>
      </c>
      <c r="CX21" s="1189">
        <f ca="1">IF($CF21&gt;$C$5," ",VLOOKUP($CF21,Unit!$A$7:$BE$68,47,FALSE))</f>
        <v>13768.471829917604</v>
      </c>
      <c r="CY21" s="1381">
        <f>IF($CF21&gt;$C$5," ",VLOOKUP($CF21,Unit!$A$7:$BA$68,53,FALSE))</f>
        <v>43705.857128613381</v>
      </c>
      <c r="CZ21" s="1027">
        <f>IF($CF21&gt;$C$5," ",VLOOKUP($CF21,Unit!$A$7:$BB$68,54,FALSE))</f>
        <v>-25572.794446153846</v>
      </c>
      <c r="DA21" s="1189">
        <f ca="1">IF($CF21&gt;$C$5," ",VLOOKUP($CF21,Unit!$A$7:$BE$68,57,FALSE))</f>
        <v>13445.321124198035</v>
      </c>
    </row>
    <row r="22" spans="1:105" x14ac:dyDescent="0.25">
      <c r="A22" s="38">
        <v>3</v>
      </c>
      <c r="B22" s="1381">
        <f>IF($A22&gt;$C$5," ",VLOOKUP($A22,Plot!$A$7:$T$67,Plot!P$2,FALSE))</f>
        <v>677.6582491682417</v>
      </c>
      <c r="C22" s="1027">
        <f>IF($A22&gt;$C$5," ",VLOOKUP($A22,Plot!$V$7:$CI$67,Plot!$CA$2,FALSE))</f>
        <v>-27.716150271160842</v>
      </c>
      <c r="D22" s="1027">
        <f ca="1">IF($A22&gt;$C$5," ",VLOOKUP($A22,Plot!$CK$7:$DD$67,Plot!$CZ$2,FALSE))</f>
        <v>317.91080095795428</v>
      </c>
      <c r="E22" s="1027">
        <f>IF($A22&gt;$C$5," ",VLOOKUP($A22,Plot!$DF$7:$FT$67,Plot!$FL$2,FALSE))</f>
        <v>-18.843686071256954</v>
      </c>
      <c r="F22" s="1379">
        <f t="shared" ref="F22:F49" ca="1" si="21">IF($A22&gt;$C$5," ",D22+E22)</f>
        <v>299.06711488669731</v>
      </c>
      <c r="G22" s="1026">
        <f>IF($A22&gt;$C$5," ",VLOOKUP($A22,Plot!$V$7:$CG$67,Plot!$CG$2,FALSE))</f>
        <v>-27.045949198890156</v>
      </c>
      <c r="H22" s="1027">
        <f>IF($A22&gt;$C$5," ",VLOOKUP($A22,Plot!$DF$7:$FT$67,Plot!$FR$2,FALSE))</f>
        <v>-18.413918271892708</v>
      </c>
      <c r="I22" s="1379">
        <f t="shared" ca="1" si="17"/>
        <v>299.49688268606155</v>
      </c>
      <c r="J22" s="1026">
        <f>IF($A22&gt;$C$5," ",SUM(B$20:$B22))</f>
        <v>2007.4685397485709</v>
      </c>
      <c r="K22" s="1027">
        <f>IF($A22&gt;$C$5," ",SUM($C$20:C22))</f>
        <v>-797.39978663479712</v>
      </c>
      <c r="L22" s="1027">
        <f ca="1">IF($A22&gt;$C$5," ",SUM($D$20:D22))</f>
        <v>1260.9865684322299</v>
      </c>
      <c r="M22" s="1027">
        <f>IF($A22&gt;$C$5," ",SUM($E$20:E22))</f>
        <v>-548.82398910155996</v>
      </c>
      <c r="N22" s="1379">
        <f ca="1">IF($A22&gt;$C$5," ",SUM($F$20:F22))</f>
        <v>712.16257933066993</v>
      </c>
      <c r="O22" s="1027">
        <f>IF($A22&gt;$C$5," ",SUM($G$20:G22))</f>
        <v>-796.11507919786231</v>
      </c>
      <c r="P22" s="1027">
        <f>IF($A22&gt;$C$5," ",SUM($H$20:H22))</f>
        <v>-548.00027032588173</v>
      </c>
      <c r="Q22" s="1027">
        <f ca="1">IF($A22&gt;$C$5," ",SUM($I$20:I22))</f>
        <v>712.98629810634816</v>
      </c>
      <c r="R22" s="1026">
        <f>IF($A22&gt;$C$5," ",VLOOKUP($A22,Plot!$HM$7:$IA$67,2,FALSE))</f>
        <v>626.53314457122951</v>
      </c>
      <c r="S22" s="1027">
        <f>IF($A22&gt;$C$5," ",VLOOKUP($A22,Plot!$HM$7:$IA$67,3,FALSE))</f>
        <v>-25.625138934135393</v>
      </c>
      <c r="T22" s="1027">
        <f ca="1">IF($A22&gt;$C$5," ",VLOOKUP($A22,Plot!$HM$7:$IA$67,4,FALSE))</f>
        <v>293.92640621112628</v>
      </c>
      <c r="U22" s="1027">
        <f>IF($A22&gt;$C$5," ",VLOOKUP($A22,Plot!$HM$7:$IA$67,5,FALSE))</f>
        <v>-17.422047033336678</v>
      </c>
      <c r="V22" s="1379">
        <f t="shared" ca="1" si="16"/>
        <v>276.50435917778958</v>
      </c>
      <c r="W22" s="1027">
        <f>IF($A22&gt;$C$5," ",VLOOKUP($A22,Plot!$HM$7:$IA$67,Plot!$HR$2,FALSE))</f>
        <v>-25.028226195891939</v>
      </c>
      <c r="X22" s="1027">
        <f>IF($A22&gt;$C$5," ",VLOOKUP($A22,Plot!$HM$7:$IA$67,Plot!$HS$2,FALSE))</f>
        <v>-17.039271737190518</v>
      </c>
      <c r="Y22" s="1379">
        <f t="shared" ca="1" si="18"/>
        <v>276.88713447393576</v>
      </c>
      <c r="Z22" s="1026">
        <f>IF($A22&gt;$C$5," ",SUM($R$20:R22))</f>
        <v>1937.4466757234006</v>
      </c>
      <c r="AA22" s="1027">
        <f>IF($A22&gt;$C$5," ",SUM($S$20:S22))</f>
        <v>-792.88569837469481</v>
      </c>
      <c r="AB22" s="1027">
        <f ca="1">IF($A22&gt;$C$5," ",SUM($T$20:T22))</f>
        <v>1225.6528368108966</v>
      </c>
      <c r="AC22" s="1027">
        <f>IF($A22&gt;$C$5," ",SUM($U$20:U22))</f>
        <v>-545.7485039097935</v>
      </c>
      <c r="AD22" s="1379">
        <f t="shared" ref="AD22:AD79" ca="1" si="22">IF($A22&gt;$C$5," ",AB22+AC22)</f>
        <v>679.90433290110309</v>
      </c>
      <c r="AE22" s="1027">
        <f>IF($A22&gt;$C$5," ",SUM($W$20:W22))</f>
        <v>-791.69791413196663</v>
      </c>
      <c r="AF22" s="1027">
        <f>IF($A22&gt;$C$5," ",SUM($X$20:X22))</f>
        <v>-544.98692959796085</v>
      </c>
      <c r="AG22" s="1027">
        <f t="shared" ref="AG22:AG79" ca="1" si="23">IF($A22&gt;$C$5," ",AF22+AB22)</f>
        <v>680.66590721293574</v>
      </c>
      <c r="AH22" s="1394">
        <f>IF($A22&gt;$C$5," ",VLOOKUP($A22,Plot!$A$7:$D$67,4,FALSE))</f>
        <v>1</v>
      </c>
      <c r="AI22" s="1390">
        <f>IF($A22&gt;$C$5," ",VLOOKUP($A22,Plot!$A$7:$E$67,5,FALSE))</f>
        <v>8.1997959365738353</v>
      </c>
      <c r="AJ22" s="1390">
        <f ca="1">IF($A22&gt;$C$5," ",IF(ROW()-ROW($A$18)&gt;='Options and results'!$AR$56,AVERAGE(OFFSET(AI22,0,0,COUNTA($BS:$BS)-'Options and results'!$AR$56,1)),NA()))</f>
        <v>6.9225041652880934</v>
      </c>
      <c r="AK22" s="1395">
        <f>IF($A22&gt;$C$5," ",VLOOKUP($A22,Plot!$A$7:$F$67,6,FALSE))</f>
        <v>4.9198775619443014</v>
      </c>
      <c r="AL22" s="1390">
        <f>IF($A22&gt;$C$5," ",VLOOKUP($A22,Plot!$CK$7:$CN$67,4,FALSE))</f>
        <v>0.99</v>
      </c>
      <c r="AM22" s="1390">
        <f ca="1">IF($A22&gt;$C$5," ",AL22*VLOOKUP($A22,Plot!$CK$7:$CO$67,5,FALSE))</f>
        <v>7.4249999999999998</v>
      </c>
      <c r="AN22" s="1390">
        <f ca="1">IF($A22&gt;$C$5," ",IF(ROW()-ROW($A$18)&gt;='Options and results'!$AR$56,AVERAGE(OFFSET(AM22,0,0,COUNTA($BS:$BS)-'Options and results'!$AR$56,1)),NA()))</f>
        <v>2.5103571428571425</v>
      </c>
      <c r="AO22" s="1390">
        <f ca="1">IF($A22&gt;$C$5," ",VLOOKUP($A22,Plot!$CK$7:$CP$67,6,FALSE))</f>
        <v>4.7459999999999996</v>
      </c>
      <c r="AP22" s="1409">
        <f>IF($A22&gt;$C$5,0,VLOOKUP($A22,Plot!$V$7:$AH$67,7,FALSE))</f>
        <v>156</v>
      </c>
      <c r="AQ22" s="1390">
        <f>IF($A22&gt;$C$5," ",VLOOKUP($A22,Plot!$V$7:$AH$67,13,FALSE))</f>
        <v>0.11654063041516</v>
      </c>
      <c r="AR22" s="1390">
        <f>IF($A22&gt;$C$5," ",VLOOKUP($A22,Plot!$V$7:$AI$67,14,FALSE))</f>
        <v>7.4705532317410255E-4</v>
      </c>
      <c r="AS22" s="1390">
        <f>IF($A22&gt;$C$5," ",VLOOKUP($A22,Plot!$V$7:$AJ$67,15,FALSE))</f>
        <v>0</v>
      </c>
      <c r="AT22" s="1390">
        <f>IF($A22&gt;$C$5," ",AQ22+SUM($AS$20:AS22)+IF(AP23=0,-AQ22,0))</f>
        <v>0.11654063041516</v>
      </c>
      <c r="AU22" s="1390">
        <f>IF($A22&gt;$C$5," ",VLOOKUP($A22,Plot!$V$7:$AL$67,Plot!$AL$2,FALSE))</f>
        <v>0</v>
      </c>
      <c r="AV22" s="1395">
        <f>IF($A22&gt;$C$5," ",VLOOKUP($A22,Plot!$V$7:$AM$67,Plot!$AM$2,FALSE))</f>
        <v>0</v>
      </c>
      <c r="AW22" s="1407">
        <f>IF($A22&gt;$C$5,0,VLOOKUP($A22,Plot!$DF$7:$DS$67,7,FALSE))</f>
        <v>100</v>
      </c>
      <c r="AX22" s="1390">
        <f>IF($A22&gt;$C$5," ",VLOOKUP($A22,Plot!$DF$7:$DS$67,14,FALSE))</f>
        <v>7.4722619829604042E-2</v>
      </c>
      <c r="AY22" s="1390">
        <f>IF($A22&gt;$C$5," ",VLOOKUP($A22,Plot!$DF$7:$DT$67,15,FALSE))</f>
        <v>7.4722619829604043E-4</v>
      </c>
      <c r="AZ22" s="1390">
        <f>IF($A22&gt;$C$5," ",VLOOKUP($A22,Plot!$DF$7:$DU$67,16,FALSE))</f>
        <v>0</v>
      </c>
      <c r="BA22" s="1390">
        <f>IF($A22&gt;$C$5," ",AX22+SUM($AZ$20:AZ22)+IF(AW23=0,-AX22,0))</f>
        <v>7.4722619829604042E-2</v>
      </c>
      <c r="BB22" s="1390">
        <f>IF($A22&gt;$C$5," ",VLOOKUP($A22,Plot!$DF$7:$DW$67,Plot!$DW$2,FALSE))</f>
        <v>0</v>
      </c>
      <c r="BC22" s="1390">
        <f>IF($A22&gt;$C$5," ",VLOOKUP($A22,Plot!$DF$7:$DX$67,Plot!$DX$2,FALSE))</f>
        <v>0</v>
      </c>
      <c r="BD22" s="1396">
        <f>IF($A22&gt;$C$5," ",VLOOKUP($A22,Plot!$A$7:$N$67,14,FALSE))</f>
        <v>10.833689569810836</v>
      </c>
      <c r="BE22" s="303">
        <f>IF($A22&gt;$C$5," ",VLOOKUP($A22,Plot!$V$7:$BW$67,Plot!$BW$2,FALSE))</f>
        <v>1.6928870048740305</v>
      </c>
      <c r="BF22" s="303">
        <f>IF($A22&gt;$C$5," ",VLOOKUP($A22,Plot!$CK$7:$CX$67,14,FALSE))</f>
        <v>10.725352674112727</v>
      </c>
      <c r="BG22" s="303">
        <f>IF($A22&gt;$C$5," ",VLOOKUP($A22,Plot!$DF$7:$FH$67,Plot!$FH$2,FALSE))</f>
        <v>1.0851839774833529</v>
      </c>
      <c r="BH22" s="1397">
        <f t="shared" ref="BH22:BH79" si="24">IF($A22&gt;$C$5," ",BF22+BG22)</f>
        <v>11.810536651596081</v>
      </c>
      <c r="BI22" s="303" t="str">
        <f>IF($A22&gt;$C$5," ",VLOOKUP($A22,Plot!$DF$7:$EJ$67,29,FALSE))</f>
        <v>Marking out</v>
      </c>
      <c r="BJ22" s="303">
        <f>IF($A22&gt;$C$5," ",VLOOKUP($A22,Plot!$DF$7:$FT$67,30,FALSE))</f>
        <v>14.6</v>
      </c>
      <c r="BK22" s="303">
        <f>IF($A22&gt;$C$5," ",VLOOKUP($A22,Plot!$DF$7:$FT$67,Plot!$EL$2,FALSE))</f>
        <v>0</v>
      </c>
      <c r="BL22" s="303">
        <f>IF($A22&gt;$C$5," ",VLOOKUP($A22,Plot!$DF$7:$FT$67,Plot!$EM$2,FALSE))</f>
        <v>0</v>
      </c>
      <c r="BM22" s="303">
        <f>IF($A22&gt;$C$5," ",VLOOKUP($A22,Plot!$DF$7:$FT$67,Plot!$EN$2,FALSE))</f>
        <v>0</v>
      </c>
      <c r="BN22" s="303">
        <f>IF($A22&gt;$C$5," ",VLOOKUP($A22,Plot!$DF$7:$FT$67,Plot!$EO$2,FALSE))</f>
        <v>0</v>
      </c>
      <c r="BO22" s="303">
        <f t="shared" si="19"/>
        <v>14.6</v>
      </c>
      <c r="BP22" s="303">
        <f>IF($A22&gt;$C$5," ",VLOOKUP($A22,Plot!$DF$7:$FT$67,Plot!$EQ$2,FALSE))</f>
        <v>0</v>
      </c>
      <c r="BQ22" s="303">
        <f>IF($A22&gt;$C$5," ",(VLOOKUP($A22,Plot!$DF$7:$FT$67,Plot!$ES$2,FALSE)+VLOOKUP($A22,Plot!$DF$7:$FT$67,Plot!$ET$2,FALSE)))</f>
        <v>1.0851839774833529</v>
      </c>
      <c r="BR22" s="303">
        <f>IF($A22&gt;$C$5," ",(VLOOKUP($A22,Plot!$DF$7:$FT$67,Plot!$EV$2,FALSE)+VLOOKUP($A22,Plot!$DF$7:$FT$67,Plot!$EW$2,FALSE)))</f>
        <v>0</v>
      </c>
      <c r="BS22" s="303">
        <f>IF($A22&gt;$C$5," ",VLOOKUP($A22,Plot!$DF$7:$FT$67,Plot!$EY$2,FALSE))</f>
        <v>0</v>
      </c>
      <c r="BT22" s="303">
        <f>IF($A22&gt;$C$5," ",(VLOOKUP($A22,Plot!$DF$7:$FT$67,Plot!$FB$2,FALSE)+VLOOKUP($A22,Plot!$DF$7:$FT$67,Plot!$FC$2,FALSE)))</f>
        <v>0</v>
      </c>
      <c r="BU22" s="303">
        <f>IF($A22&gt;$C$5," ",(VLOOKUP($A22,Plot!$DF$7:$FT$67,Plot!$FE$2,FALSE)+VLOOKUP($A22,Plot!$DF$7:$FT$67,Plot!$FF$2,FALSE)))</f>
        <v>0</v>
      </c>
      <c r="BV22" s="1026">
        <f>IF($A22&gt;$C$5," ",VLOOKUP($A22,Plot!$FV$7:$GJ$67,2,FALSE))</f>
        <v>1461.0603685884407</v>
      </c>
      <c r="BW22" s="1027">
        <f>IF($A22&gt;$C$5," ",VLOOKUP($A22,Plot!$FV$7:$GJ$67,3,FALSE))</f>
        <v>0</v>
      </c>
      <c r="BX22" s="1379">
        <f ca="1">IF($A22&gt;$C$5," ",VLOOKUP($A22,Plot!$FV$7:$GJ$67,6,FALSE))</f>
        <v>1335.3894230769231</v>
      </c>
      <c r="BY22" s="1026">
        <f>IF($A22&gt;$C$5," ",VLOOKUP($A22,Plot!$GO$7:$GY$67,2,FALSE))</f>
        <v>217.45562130177512</v>
      </c>
      <c r="BZ22" s="1027">
        <f>IF($A22&gt;$C$5," ",VLOOKUP($A22,Plot!$GO$7:$GY$67,3,FALSE))</f>
        <v>0</v>
      </c>
      <c r="CA22" s="1379">
        <f>IF($A22&gt;$C$5," ",VLOOKUP($A22,Plot!$GO$7:$GY$67,6,FALSE))</f>
        <v>0</v>
      </c>
      <c r="CB22" s="1027">
        <f>IF($A22&gt;$C$5," ",-1*VLOOKUP($A22,Plot!$HA$7:$HK$67,2,FALSE))</f>
        <v>-1051.9828453189864</v>
      </c>
      <c r="CC22" s="1027">
        <f>IF($A22&gt;$C$5," ",-1*VLOOKUP($A22,Plot!$HA$7:$HK$67,3,FALSE))</f>
        <v>-25.625138934135393</v>
      </c>
      <c r="CD22" s="1189">
        <f>IF($A22&gt;$C$5," ",-1*VLOOKUP($A22,Plot!$HA$7:$HK$67,6,FALSE))</f>
        <v>-1058.8850638991335</v>
      </c>
      <c r="CE22" s="10"/>
      <c r="CF22" s="38">
        <v>3</v>
      </c>
      <c r="CG22" s="1381">
        <f>IF($CF22&gt;$C$5," ",VLOOKUP($CF22,Unit!$A$7:$BE$68,22,FALSE))</f>
        <v>33.340000000000003</v>
      </c>
      <c r="CH22" s="1027">
        <f>IF($CF22&gt;$C$5," ",VLOOKUP($CF22,Unit!$A$7:$BE$68,23,FALSE))</f>
        <v>33.33</v>
      </c>
      <c r="CI22" s="1027">
        <f>IF($CF22&gt;$C$5," ",VLOOKUP($CF22,Unit!$A$7:$BE$68,24,FALSE))</f>
        <v>32.996699999999997</v>
      </c>
      <c r="CJ22" s="1189">
        <f>IF($CF22&gt;$C$5," ",VLOOKUP($CF22,Unit!$A$7:$BE$68,25,FALSE))</f>
        <v>0.33330000000000026</v>
      </c>
      <c r="CK22" s="1381">
        <f>IF($CF22&gt;$C$5," ",VLOOKUP($CF22,Unit!$A$7:$BE$68,27,FALSE))</f>
        <v>273.38119652537171</v>
      </c>
      <c r="CL22" s="1027">
        <f>IF($CF22&gt;$C$5," ",VLOOKUP($CF22,Unit!$A$7:$BE$68,28,FALSE))</f>
        <v>3.8842992117372823</v>
      </c>
      <c r="CM22" s="1027">
        <f>IF($CF22&gt;$C$5," ",VLOOKUP($CF22,Unit!$A$7:$BE$68,29,FALSE))</f>
        <v>0</v>
      </c>
      <c r="CN22" s="1027">
        <f ca="1">IF($CF22&gt;$C$5," ",VLOOKUP($CF22,Unit!$A$7:$BE$68,30,FALSE))</f>
        <v>247.47524999999999</v>
      </c>
      <c r="CO22" s="1027">
        <f>IF($CF22&gt;$C$5," ",VLOOKUP($CF22,Unit!$A$7:$BE$68,31,FALSE))</f>
        <v>2.4905049189207027</v>
      </c>
      <c r="CP22" s="1027">
        <f>IF($CF22&gt;$C$5," ",VLOOKUP($CF22,Unit!$A$7:$BE$68,32,FALSE))</f>
        <v>0</v>
      </c>
      <c r="CQ22" s="1381">
        <f>IF($CF22&gt;$C$5," ",VLOOKUP($CF22,Unit!$A$7:$BE$68,33,FALSE))</f>
        <v>361.19521025749333</v>
      </c>
      <c r="CR22" s="1027">
        <f>IF($CF22&gt;$C$5," ",VLOOKUP($CF22,Unit!$A$7:$BE$68,34,FALSE))</f>
        <v>56.423923872451432</v>
      </c>
      <c r="CS22" s="1027">
        <f>IF($CF22&gt;$C$5," ",VLOOKUP($CF22,Unit!$A$7:$BE$68,35,FALSE))</f>
        <v>357.47600462817718</v>
      </c>
      <c r="CT22" s="1027">
        <f>IF($CF22&gt;$C$5," ",VLOOKUP($CF22,Unit!$A$7:$BE$68,36,FALSE))</f>
        <v>36.169181969520153</v>
      </c>
      <c r="CU22" s="1189">
        <f t="shared" si="20"/>
        <v>393.64518659769732</v>
      </c>
      <c r="CV22" s="1027">
        <f>IF($CF22&gt;$C$5," ",VLOOKUP($CF22,Unit!$A$7:$BA$68,43,FALSE))</f>
        <v>66929.001115217368</v>
      </c>
      <c r="CW22" s="1027">
        <f>IF($CF22&gt;$C$5," ",VLOOKUP($CF22,Unit!$A$7:$BB$68,44,FALSE))</f>
        <v>-26577.334888537789</v>
      </c>
      <c r="CX22" s="1189">
        <f ca="1">IF($CF22&gt;$C$5," ",VLOOKUP($CF22,Unit!$A$7:$BE$68,47,FALSE))</f>
        <v>23736.378769091225</v>
      </c>
      <c r="CY22" s="1381">
        <f>IF($CF22&gt;$C$5," ",VLOOKUP($CF22,Unit!$A$7:$BA$68,53,FALSE))</f>
        <v>64594.472168618173</v>
      </c>
      <c r="CZ22" s="1027">
        <f>IF($CF22&gt;$C$5," ",VLOOKUP($CF22,Unit!$A$7:$BB$68,54,FALSE))</f>
        <v>-26426.880326828577</v>
      </c>
      <c r="DA22" s="1189">
        <f ca="1">IF($CF22&gt;$C$5," ",VLOOKUP($CF22,Unit!$A$7:$BE$68,57,FALSE))</f>
        <v>22661.211415593763</v>
      </c>
    </row>
    <row r="23" spans="1:105" x14ac:dyDescent="0.25">
      <c r="A23" s="38">
        <v>4</v>
      </c>
      <c r="B23" s="1381">
        <f>IF($A23&gt;$C$5," ",VLOOKUP($A23,Plot!$A$7:$T$67,Plot!P$2,FALSE))</f>
        <v>263.53714172105674</v>
      </c>
      <c r="C23" s="1027">
        <f>IF($A23&gt;$C$5," ",VLOOKUP($A23,Plot!$V$7:$CI$67,Plot!$CA$2,FALSE))</f>
        <v>-3</v>
      </c>
      <c r="D23" s="1027">
        <f ca="1">IF($A23&gt;$C$5," ",VLOOKUP($A23,Plot!$CK$7:$DD$67,Plot!$CZ$2,FALSE))</f>
        <v>22.260979645538555</v>
      </c>
      <c r="E23" s="1027">
        <f>IF($A23&gt;$C$5," ",VLOOKUP($A23,Plot!$DF$7:$FT$67,Plot!$FL$2,FALSE))</f>
        <v>-3</v>
      </c>
      <c r="F23" s="1379">
        <f t="shared" ca="1" si="21"/>
        <v>19.260979645538555</v>
      </c>
      <c r="G23" s="1026">
        <f>IF($A23&gt;$C$5," ",VLOOKUP($A23,Plot!$V$7:$CG$67,Plot!$CG$2,FALSE))</f>
        <v>-1.6959289900430798</v>
      </c>
      <c r="H23" s="1027">
        <f>IF($A23&gt;$C$5," ",VLOOKUP($A23,Plot!$DF$7:$FT$67,Plot!$FR$2,FALSE))</f>
        <v>-2.1633441304804668</v>
      </c>
      <c r="I23" s="1379">
        <f t="shared" ca="1" si="17"/>
        <v>20.097635515058087</v>
      </c>
      <c r="J23" s="1026">
        <f>IF($A23&gt;$C$5," ",SUM(B$20:$B23))</f>
        <v>2271.0056814696277</v>
      </c>
      <c r="K23" s="1027">
        <f>IF($A23&gt;$C$5," ",SUM($C$20:C23))</f>
        <v>-800.39978663479712</v>
      </c>
      <c r="L23" s="1027">
        <f ca="1">IF($A23&gt;$C$5," ",SUM($D$20:D23))</f>
        <v>1283.2475480777684</v>
      </c>
      <c r="M23" s="1027">
        <f>IF($A23&gt;$C$5," ",SUM($E$20:E23))</f>
        <v>-551.82398910155996</v>
      </c>
      <c r="N23" s="1379">
        <f ca="1">IF($A23&gt;$C$5," ",SUM($F$20:F23))</f>
        <v>731.42355897620848</v>
      </c>
      <c r="O23" s="1027">
        <f>IF($A23&gt;$C$5," ",SUM($G$20:G23))</f>
        <v>-797.81100818790537</v>
      </c>
      <c r="P23" s="1027">
        <f>IF($A23&gt;$C$5," ",SUM($H$20:H23))</f>
        <v>-550.16361445636221</v>
      </c>
      <c r="Q23" s="1027">
        <f ca="1">IF($A23&gt;$C$5," ",SUM($I$20:I23))</f>
        <v>733.08393362140623</v>
      </c>
      <c r="R23" s="1026">
        <f>IF($A23&gt;$C$5," ",VLOOKUP($A23,Plot!$HM$7:$IA$67,2,FALSE))</f>
        <v>234.28355936456001</v>
      </c>
      <c r="S23" s="1027">
        <f>IF($A23&gt;$C$5," ",VLOOKUP($A23,Plot!$HM$7:$IA$67,3,FALSE))</f>
        <v>-2.6669890760127446</v>
      </c>
      <c r="T23" s="1027">
        <f ca="1">IF($A23&gt;$C$5," ",VLOOKUP($A23,Plot!$HM$7:$IA$67,4,FALSE))</f>
        <v>19.789929845331017</v>
      </c>
      <c r="U23" s="1027">
        <f>IF($A23&gt;$C$5," ",VLOOKUP($A23,Plot!$HM$7:$IA$67,5,FALSE))</f>
        <v>-2.6669890760127446</v>
      </c>
      <c r="V23" s="1379">
        <f t="shared" ca="1" si="16"/>
        <v>17.122940769318273</v>
      </c>
      <c r="W23" s="1027">
        <f>IF($A23&gt;$C$5," ",VLOOKUP($A23,Plot!$HM$7:$IA$67,Plot!$HR$2,FALSE))</f>
        <v>-1.5533587060484388</v>
      </c>
      <c r="X23" s="1027">
        <f>IF($A23&gt;$C$5," ",VLOOKUP($A23,Plot!$HM$7:$IA$67,Plot!$HS$2,FALSE))</f>
        <v>-1.9524963742351038</v>
      </c>
      <c r="Y23" s="1379">
        <f t="shared" ca="1" si="18"/>
        <v>17.837433471095913</v>
      </c>
      <c r="Z23" s="1026">
        <f>IF($A23&gt;$C$5," ",SUM($R$20:R23))</f>
        <v>2171.7302350879609</v>
      </c>
      <c r="AA23" s="1027">
        <f>IF($A23&gt;$C$5," ",SUM($S$20:S23))</f>
        <v>-795.55268745070759</v>
      </c>
      <c r="AB23" s="1027">
        <f ca="1">IF($A23&gt;$C$5," ",SUM($T$20:T23))</f>
        <v>1245.4427666562276</v>
      </c>
      <c r="AC23" s="1027">
        <f>IF($A23&gt;$C$5," ",SUM($U$20:U23))</f>
        <v>-548.41549298580628</v>
      </c>
      <c r="AD23" s="1379">
        <f t="shared" ca="1" si="22"/>
        <v>697.02727367042132</v>
      </c>
      <c r="AE23" s="1027">
        <f>IF($A23&gt;$C$5," ",SUM($W$20:W23))</f>
        <v>-793.2512728380151</v>
      </c>
      <c r="AF23" s="1027">
        <f>IF($A23&gt;$C$5," ",SUM($X$20:X23))</f>
        <v>-546.93942597219598</v>
      </c>
      <c r="AG23" s="1027">
        <f t="shared" ca="1" si="23"/>
        <v>698.50334068403163</v>
      </c>
      <c r="AH23" s="1394">
        <f>IF($A23&gt;$C$5," ",VLOOKUP($A23,Plot!$A$7:$D$67,4,FALSE))</f>
        <v>1</v>
      </c>
      <c r="AI23" s="1390">
        <f>IF($A23&gt;$C$5," ",VLOOKUP($A23,Plot!$A$7:$E$67,5,FALSE))</f>
        <v>3.3662036102330277</v>
      </c>
      <c r="AJ23" s="1390">
        <f ca="1">IF($A23&gt;$C$5," ",IF(ROW()-ROW($A$18)&gt;='Options and results'!$AR$56,AVERAGE(OFFSET(AI23,0,0,COUNTA($BS:$BS)-'Options and results'!$AR$56,1)),NA()))</f>
        <v>6.8751970626478798</v>
      </c>
      <c r="AK23" s="1395">
        <f>IF($A23&gt;$C$5," ",VLOOKUP($A23,Plot!$A$7:$F$67,6,FALSE))</f>
        <v>1.6831018051165139</v>
      </c>
      <c r="AL23" s="1390">
        <f>IF($A23&gt;$C$5," ",VLOOKUP($A23,Plot!$CK$7:$CN$67,4,FALSE))</f>
        <v>0.99</v>
      </c>
      <c r="AM23" s="1390">
        <f ca="1">IF($A23&gt;$C$5," ",AL23*VLOOKUP($A23,Plot!$CK$7:$CO$67,5,FALSE))</f>
        <v>3.3165</v>
      </c>
      <c r="AN23" s="1390">
        <f ca="1">IF($A23&gt;$C$5," ",IF(ROW()-ROW($A$18)&gt;='Options and results'!$AR$56,AVERAGE(OFFSET(AM23,0,0,COUNTA($BS:$BS)-'Options and results'!$AR$56,1)),NA()))</f>
        <v>2.3283333333333336</v>
      </c>
      <c r="AO23" s="1390">
        <f ca="1">IF($A23&gt;$C$5," ",VLOOKUP($A23,Plot!$CK$7:$CP$67,6,FALSE))</f>
        <v>1.675</v>
      </c>
      <c r="AP23" s="1409">
        <f>IF($A23&gt;$C$5,0,VLOOKUP($A23,Plot!$V$7:$AH$67,7,FALSE))</f>
        <v>156</v>
      </c>
      <c r="AQ23" s="1390">
        <f>IF($A23&gt;$C$5," ",VLOOKUP($A23,Plot!$V$7:$AH$67,13,FALSE))</f>
        <v>0.2348378031700093</v>
      </c>
      <c r="AR23" s="1390">
        <f>IF($A23&gt;$C$5," ",VLOOKUP($A23,Plot!$V$7:$AI$67,14,FALSE))</f>
        <v>1.5053705331410853E-3</v>
      </c>
      <c r="AS23" s="1390">
        <f>IF($A23&gt;$C$5," ",VLOOKUP($A23,Plot!$V$7:$AJ$67,15,FALSE))</f>
        <v>0</v>
      </c>
      <c r="AT23" s="1390">
        <f>IF($A23&gt;$C$5," ",AQ23+SUM($AS$20:AS23)+IF(AP24=0,-AQ23,0))</f>
        <v>0.2348378031700093</v>
      </c>
      <c r="AU23" s="1390">
        <f>IF($A23&gt;$C$5," ",VLOOKUP($A23,Plot!$V$7:$AL$67,Plot!$AL$2,FALSE))</f>
        <v>0</v>
      </c>
      <c r="AV23" s="1395">
        <f>IF($A23&gt;$C$5," ",VLOOKUP($A23,Plot!$V$7:$AM$67,Plot!$AM$2,FALSE))</f>
        <v>0</v>
      </c>
      <c r="AW23" s="1407">
        <f>IF($A23&gt;$C$5,0,VLOOKUP($A23,Plot!$DF$7:$DS$67,7,FALSE))</f>
        <v>100</v>
      </c>
      <c r="AX23" s="1390">
        <f>IF($A23&gt;$C$5," ",VLOOKUP($A23,Plot!$DF$7:$DS$67,14,FALSE))</f>
        <v>0.15061881196731625</v>
      </c>
      <c r="AY23" s="1390">
        <f>IF($A23&gt;$C$5," ",VLOOKUP($A23,Plot!$DF$7:$DT$67,15,FALSE))</f>
        <v>1.5061881196731625E-3</v>
      </c>
      <c r="AZ23" s="1390">
        <f>IF($A23&gt;$C$5," ",VLOOKUP($A23,Plot!$DF$7:$DU$67,16,FALSE))</f>
        <v>0</v>
      </c>
      <c r="BA23" s="1390">
        <f>IF($A23&gt;$C$5," ",AX23+SUM($AZ$20:AZ23)+IF(AW24=0,-AX23,0))</f>
        <v>0.15061881196731625</v>
      </c>
      <c r="BB23" s="1390">
        <f>IF($A23&gt;$C$5," ",VLOOKUP($A23,Plot!$DF$7:$DW$67,Plot!$DW$2,FALSE))</f>
        <v>0</v>
      </c>
      <c r="BC23" s="1390">
        <f>IF($A23&gt;$C$5," ",VLOOKUP($A23,Plot!$DF$7:$DX$67,Plot!$DX$2,FALSE))</f>
        <v>0</v>
      </c>
      <c r="BD23" s="1396">
        <f>IF($A23&gt;$C$5," ",VLOOKUP($A23,Plot!$A$7:$N$67,14,FALSE))</f>
        <v>7.4591130728145263</v>
      </c>
      <c r="BE23" s="303">
        <f>IF($A23&gt;$C$5," ",VLOOKUP($A23,Plot!$V$7:$BW$67,Plot!$BW$2,FALSE))</f>
        <v>0</v>
      </c>
      <c r="BF23" s="303">
        <f>IF($A23&gt;$C$5," ",VLOOKUP($A23,Plot!$CK$7:$CX$67,14,FALSE))</f>
        <v>7.3845219420863808</v>
      </c>
      <c r="BG23" s="303">
        <f>IF($A23&gt;$C$5," ",VLOOKUP($A23,Plot!$DF$7:$FH$67,Plot!$FH$2,FALSE))</f>
        <v>0</v>
      </c>
      <c r="BH23" s="1397">
        <f t="shared" si="24"/>
        <v>7.3845219420863808</v>
      </c>
      <c r="BI23" s="303" t="str">
        <f>IF($A23&gt;$C$5," ",VLOOKUP($A23,Plot!$DF$7:$EJ$67,29,FALSE))</f>
        <v>Planting</v>
      </c>
      <c r="BJ23" s="303">
        <f>IF($A23&gt;$C$5," ",VLOOKUP($A23,Plot!$DF$7:$FT$67,30,FALSE))</f>
        <v>14.6</v>
      </c>
      <c r="BK23" s="303">
        <f>IF($A23&gt;$C$5," ",VLOOKUP($A23,Plot!$DF$7:$FT$67,Plot!$EL$2,FALSE))</f>
        <v>0</v>
      </c>
      <c r="BL23" s="303">
        <f>IF($A23&gt;$C$5," ",VLOOKUP($A23,Plot!$DF$7:$FT$67,Plot!$EM$2,FALSE))</f>
        <v>0</v>
      </c>
      <c r="BM23" s="303">
        <f>IF($A23&gt;$C$5," ",VLOOKUP($A23,Plot!$DF$7:$FT$67,Plot!$EN$2,FALSE))</f>
        <v>0</v>
      </c>
      <c r="BN23" s="303">
        <f>IF($A23&gt;$C$5," ",VLOOKUP($A23,Plot!$DF$7:$FT$67,Plot!$EO$2,FALSE))</f>
        <v>0</v>
      </c>
      <c r="BO23" s="303">
        <f t="shared" si="19"/>
        <v>14.6</v>
      </c>
      <c r="BP23" s="303">
        <f>IF($A23&gt;$C$5," ",VLOOKUP($A23,Plot!$DF$7:$FT$67,Plot!$EQ$2,FALSE))</f>
        <v>0</v>
      </c>
      <c r="BQ23" s="303">
        <f>IF($A23&gt;$C$5," ",(VLOOKUP($A23,Plot!$DF$7:$FT$67,Plot!$ES$2,FALSE)+VLOOKUP($A23,Plot!$DF$7:$FT$67,Plot!$ET$2,FALSE)))</f>
        <v>0</v>
      </c>
      <c r="BR23" s="303">
        <f>IF($A23&gt;$C$5," ",(VLOOKUP($A23,Plot!$DF$7:$FT$67,Plot!$EV$2,FALSE)+VLOOKUP($A23,Plot!$DF$7:$FT$67,Plot!$EW$2,FALSE)))</f>
        <v>0</v>
      </c>
      <c r="BS23" s="303">
        <f>IF($A23&gt;$C$5," ",VLOOKUP($A23,Plot!$DF$7:$FT$67,Plot!$EY$2,FALSE))</f>
        <v>0</v>
      </c>
      <c r="BT23" s="303">
        <f>IF($A23&gt;$C$5," ",(VLOOKUP($A23,Plot!$DF$7:$FT$67,Plot!$FB$2,FALSE)+VLOOKUP($A23,Plot!$DF$7:$FT$67,Plot!$FC$2,FALSE)))</f>
        <v>0</v>
      </c>
      <c r="BU23" s="303">
        <f>IF($A23&gt;$C$5," ",(VLOOKUP($A23,Plot!$DF$7:$FT$67,Plot!$FE$2,FALSE)+VLOOKUP($A23,Plot!$DF$7:$FT$67,Plot!$FF$2,FALSE)))</f>
        <v>0</v>
      </c>
      <c r="BV23" s="1026">
        <f>IF($A23&gt;$C$5," ",VLOOKUP($A23,Plot!$FV$7:$GJ$67,2,FALSE))</f>
        <v>1080.6404382374064</v>
      </c>
      <c r="BW23" s="1027">
        <f>IF($A23&gt;$C$5," ",VLOOKUP($A23,Plot!$FV$7:$GJ$67,3,FALSE))</f>
        <v>0</v>
      </c>
      <c r="BX23" s="1379">
        <f ca="1">IF($A23&gt;$C$5," ",VLOOKUP($A23,Plot!$FV$7:$GJ$67,6,FALSE))</f>
        <v>1064.6842640532543</v>
      </c>
      <c r="BY23" s="1026">
        <f>IF($A23&gt;$C$5," ",VLOOKUP($A23,Plot!$GO$7:$GY$67,2,FALSE))</f>
        <v>209.09194355939914</v>
      </c>
      <c r="BZ23" s="1027">
        <f>IF($A23&gt;$C$5," ",VLOOKUP($A23,Plot!$GO$7:$GY$67,3,FALSE))</f>
        <v>0</v>
      </c>
      <c r="CA23" s="1379">
        <f>IF($A23&gt;$C$5," ",VLOOKUP($A23,Plot!$GO$7:$GY$67,6,FALSE))</f>
        <v>0</v>
      </c>
      <c r="CB23" s="1027">
        <f>IF($A23&gt;$C$5," ",-1*VLOOKUP($A23,Plot!$HA$7:$HK$67,2,FALSE))</f>
        <v>-1055.4488224322456</v>
      </c>
      <c r="CC23" s="1027">
        <f>IF($A23&gt;$C$5," ",-1*VLOOKUP($A23,Plot!$HA$7:$HK$67,3,FALSE))</f>
        <v>-2.6669890760127446</v>
      </c>
      <c r="CD23" s="1189">
        <f>IF($A23&gt;$C$5," ",-1*VLOOKUP($A23,Plot!$HA$7:$HK$67,6,FALSE))</f>
        <v>-1047.561323283936</v>
      </c>
      <c r="CE23" s="10"/>
      <c r="CF23" s="38">
        <v>4</v>
      </c>
      <c r="CG23" s="1381">
        <f>IF($CF23&gt;$C$5," ",VLOOKUP($CF23,Unit!$A$7:$BE$68,22,FALSE))</f>
        <v>33.340000000000003</v>
      </c>
      <c r="CH23" s="1027">
        <f>IF($CF23&gt;$C$5," ",VLOOKUP($CF23,Unit!$A$7:$BE$68,23,FALSE))</f>
        <v>33.33</v>
      </c>
      <c r="CI23" s="1027">
        <f>IF($CF23&gt;$C$5," ",VLOOKUP($CF23,Unit!$A$7:$BE$68,24,FALSE))</f>
        <v>32.996699999999997</v>
      </c>
      <c r="CJ23" s="1189">
        <f>IF($CF23&gt;$C$5," ",VLOOKUP($CF23,Unit!$A$7:$BE$68,25,FALSE))</f>
        <v>0.33330000000000026</v>
      </c>
      <c r="CK23" s="1381">
        <f>IF($CF23&gt;$C$5," ",VLOOKUP($CF23,Unit!$A$7:$BE$68,27,FALSE))</f>
        <v>112.22922836516915</v>
      </c>
      <c r="CL23" s="1027">
        <f>IF($CF23&gt;$C$5," ",VLOOKUP($CF23,Unit!$A$7:$BE$68,28,FALSE))</f>
        <v>7.8271439796564097</v>
      </c>
      <c r="CM23" s="1027">
        <f>IF($CF23&gt;$C$5," ",VLOOKUP($CF23,Unit!$A$7:$BE$68,29,FALSE))</f>
        <v>0</v>
      </c>
      <c r="CN23" s="1027">
        <f ca="1">IF($CF23&gt;$C$5," ",VLOOKUP($CF23,Unit!$A$7:$BE$68,30,FALSE))</f>
        <v>110.538945</v>
      </c>
      <c r="CO23" s="1027">
        <f>IF($CF23&gt;$C$5," ",VLOOKUP($CF23,Unit!$A$7:$BE$68,31,FALSE))</f>
        <v>5.0201250028706506</v>
      </c>
      <c r="CP23" s="1027">
        <f>IF($CF23&gt;$C$5," ",VLOOKUP($CF23,Unit!$A$7:$BE$68,32,FALSE))</f>
        <v>0</v>
      </c>
      <c r="CQ23" s="1381">
        <f>IF($CF23&gt;$C$5," ",VLOOKUP($CF23,Unit!$A$7:$BE$68,33,FALSE))</f>
        <v>248.68682984763632</v>
      </c>
      <c r="CR23" s="1027">
        <f>IF($CF23&gt;$C$5," ",VLOOKUP($CF23,Unit!$A$7:$BE$68,34,FALSE))</f>
        <v>0</v>
      </c>
      <c r="CS23" s="1027">
        <f>IF($CF23&gt;$C$5," ",VLOOKUP($CF23,Unit!$A$7:$BE$68,35,FALSE))</f>
        <v>246.12611632973906</v>
      </c>
      <c r="CT23" s="1027">
        <f>IF($CF23&gt;$C$5," ",VLOOKUP($CF23,Unit!$A$7:$BE$68,36,FALSE))</f>
        <v>0</v>
      </c>
      <c r="CU23" s="1189">
        <f t="shared" si="20"/>
        <v>246.12611632973906</v>
      </c>
      <c r="CV23" s="1027">
        <f>IF($CF23&gt;$C$5," ",VLOOKUP($CF23,Unit!$A$7:$BA$68,43,FALSE))</f>
        <v>75715.329420197406</v>
      </c>
      <c r="CW23" s="1027">
        <f>IF($CF23&gt;$C$5," ",VLOOKUP($CF23,Unit!$A$7:$BB$68,44,FALSE))</f>
        <v>-26677.324888537791</v>
      </c>
      <c r="CX23" s="1189">
        <f ca="1">IF($CF23&gt;$C$5," ",VLOOKUP($CF23,Unit!$A$7:$BE$68,47,FALSE))</f>
        <v>24378.347220677024</v>
      </c>
      <c r="CY23" s="1381">
        <f>IF($CF23&gt;$C$5," ",VLOOKUP($CF23,Unit!$A$7:$BA$68,53,FALSE))</f>
        <v>72405.486037832612</v>
      </c>
      <c r="CZ23" s="1027">
        <f>IF($CF23&gt;$C$5," ",VLOOKUP($CF23,Unit!$A$7:$BB$68,54,FALSE))</f>
        <v>-26515.771072732081</v>
      </c>
      <c r="DA23" s="1189">
        <f ca="1">IF($CF23&gt;$C$5," ",VLOOKUP($CF23,Unit!$A$7:$BE$68,57,FALSE))</f>
        <v>23231.919031435144</v>
      </c>
    </row>
    <row r="24" spans="1:105" x14ac:dyDescent="0.25">
      <c r="A24" s="38">
        <v>5</v>
      </c>
      <c r="B24" s="1381">
        <f>IF($A24&gt;$C$5," ",VLOOKUP($A24,Plot!$A$7:$T$67,Plot!P$2,FALSE))</f>
        <v>857.05623685226192</v>
      </c>
      <c r="C24" s="1027">
        <f>IF($A24&gt;$C$5," ",VLOOKUP($A24,Plot!$V$7:$CI$67,Plot!$CA$2,FALSE))</f>
        <v>-3</v>
      </c>
      <c r="D24" s="1027">
        <f ca="1">IF($A24&gt;$C$5," ",VLOOKUP($A24,Plot!$CK$7:$DD$67,Plot!$CZ$2,FALSE))</f>
        <v>447.22100873713771</v>
      </c>
      <c r="E24" s="1027">
        <f>IF($A24&gt;$C$5," ",VLOOKUP($A24,Plot!$DF$7:$FT$67,Plot!$FL$2,FALSE))</f>
        <v>-3</v>
      </c>
      <c r="F24" s="1379">
        <f t="shared" ca="1" si="21"/>
        <v>444.22100873713771</v>
      </c>
      <c r="G24" s="1026">
        <f>IF($A24&gt;$C$5," ",VLOOKUP($A24,Plot!$V$7:$CG$67,Plot!$CG$2,FALSE))</f>
        <v>-0.53507979772982628</v>
      </c>
      <c r="H24" s="1027">
        <f>IF($A24&gt;$C$5," ",VLOOKUP($A24,Plot!$DF$7:$FT$67,Plot!$FR$2,FALSE))</f>
        <v>-1.4175769144113193</v>
      </c>
      <c r="I24" s="1379">
        <f ca="1">IF($A24&gt;$C$5," ",D24+H24)</f>
        <v>445.8034318227264</v>
      </c>
      <c r="J24" s="1026">
        <f>IF($A24&gt;$C$5," ",SUM(B$20:$B24))</f>
        <v>3128.0619183218896</v>
      </c>
      <c r="K24" s="1027">
        <f>IF($A24&gt;$C$5," ",SUM($C$20:C24))</f>
        <v>-803.39978663479712</v>
      </c>
      <c r="L24" s="1027">
        <f ca="1">IF($A24&gt;$C$5," ",SUM($D$20:D24))</f>
        <v>1730.4685568149062</v>
      </c>
      <c r="M24" s="1027">
        <f>IF($A24&gt;$C$5," ",SUM($E$20:E24))</f>
        <v>-554.82398910155996</v>
      </c>
      <c r="N24" s="1379">
        <f ca="1">IF($A24&gt;$C$5," ",SUM($F$20:F24))</f>
        <v>1175.6445677133461</v>
      </c>
      <c r="O24" s="1027">
        <f>IF($A24&gt;$C$5," ",SUM($G$20:G24))</f>
        <v>-798.34608798563522</v>
      </c>
      <c r="P24" s="1027">
        <f>IF($A24&gt;$C$5," ",SUM($H$20:H24))</f>
        <v>-551.58119137077358</v>
      </c>
      <c r="Q24" s="1027">
        <f ca="1">IF($A24&gt;$C$5," ",SUM($I$20:I24))</f>
        <v>1178.8873654441327</v>
      </c>
      <c r="R24" s="1026">
        <f>IF($A24&gt;$C$5," ",VLOOKUP($A24,Plot!$HM$7:$IA$67,2,FALSE))</f>
        <v>732.6152632094786</v>
      </c>
      <c r="S24" s="1027">
        <f>IF($A24&gt;$C$5," ",VLOOKUP($A24,Plot!$HM$7:$IA$67,3,FALSE))</f>
        <v>-2.5644125730891769</v>
      </c>
      <c r="T24" s="1027">
        <f ca="1">IF($A24&gt;$C$5," ",VLOOKUP($A24,Plot!$HM$7:$IA$67,4,FALSE))</f>
        <v>382.286392585047</v>
      </c>
      <c r="U24" s="1027">
        <f>IF($A24&gt;$C$5," ",VLOOKUP($A24,Plot!$HM$7:$IA$67,5,FALSE))</f>
        <v>-2.5644125730891769</v>
      </c>
      <c r="V24" s="1379">
        <f t="shared" ca="1" si="16"/>
        <v>379.72198001195784</v>
      </c>
      <c r="W24" s="1027">
        <f>IF($A24&gt;$C$5," ",VLOOKUP($A24,Plot!$HM$7:$IA$67,Plot!$HR$2,FALSE))</f>
        <v>-0.54590440027681186</v>
      </c>
      <c r="X24" s="1027">
        <f>IF($A24&gt;$C$5," ",VLOOKUP($A24,Plot!$HM$7:$IA$67,Plot!$HS$2,FALSE))</f>
        <v>-1.2685224957615635</v>
      </c>
      <c r="Y24" s="1379">
        <f t="shared" ca="1" si="18"/>
        <v>381.01787008928545</v>
      </c>
      <c r="Z24" s="1026">
        <f>IF($A24&gt;$C$5," ",SUM($R$20:R24))</f>
        <v>2904.3454982974395</v>
      </c>
      <c r="AA24" s="1027">
        <f>IF($A24&gt;$C$5," ",SUM($S$20:S24))</f>
        <v>-798.11710002379675</v>
      </c>
      <c r="AB24" s="1027">
        <f ca="1">IF($A24&gt;$C$5," ",SUM($T$20:T24))</f>
        <v>1627.7291592412746</v>
      </c>
      <c r="AC24" s="1027">
        <f>IF($A24&gt;$C$5," ",SUM($U$20:U24))</f>
        <v>-550.97990555889544</v>
      </c>
      <c r="AD24" s="1379">
        <f t="shared" ca="1" si="22"/>
        <v>1076.7492536823793</v>
      </c>
      <c r="AE24" s="1027">
        <f>IF($A24&gt;$C$5," ",SUM($W$20:W24))</f>
        <v>-793.79717723829197</v>
      </c>
      <c r="AF24" s="1027">
        <f>IF($A24&gt;$C$5," ",SUM($X$20:X24))</f>
        <v>-548.20794846795752</v>
      </c>
      <c r="AG24" s="1027">
        <f t="shared" ca="1" si="23"/>
        <v>1079.5212107733171</v>
      </c>
      <c r="AH24" s="1394">
        <f>IF($A24&gt;$C$5," ",VLOOKUP($A24,Plot!$A$7:$D$67,4,FALSE))</f>
        <v>1</v>
      </c>
      <c r="AI24" s="1390">
        <f>IF($A24&gt;$C$5," ",VLOOKUP($A24,Plot!$A$7:$E$67,5,FALSE))</f>
        <v>10.016722001588439</v>
      </c>
      <c r="AJ24" s="1390">
        <f ca="1">IF($A24&gt;$C$5," ",IF(ROW()-ROW($A$18)&gt;='Options and results'!$AR$56,AVERAGE(OFFSET(AI24,0,0,COUNTA($BS:$BS)-'Options and results'!$AR$56,1)),NA()))</f>
        <v>7.0101583492792194</v>
      </c>
      <c r="AK24" s="1395">
        <f>IF($A24&gt;$C$5," ",VLOOKUP($A24,Plot!$A$7:$F$67,6,FALSE))</f>
        <v>4.0066888006353762</v>
      </c>
      <c r="AL24" s="1390">
        <f>IF($A24&gt;$C$5," ",VLOOKUP($A24,Plot!$CK$7:$CN$67,4,FALSE))</f>
        <v>0.99</v>
      </c>
      <c r="AM24" s="1390">
        <f ca="1">IF($A24&gt;$C$5," ",AL24*VLOOKUP($A24,Plot!$CK$7:$CO$67,5,FALSE))</f>
        <v>9.0188999999999986</v>
      </c>
      <c r="AN24" s="1390">
        <f ca="1">IF($A24&gt;$C$5," ",IF(ROW()-ROW($A$18)&gt;='Options and results'!$AR$56,AVERAGE(OFFSET(AM24,0,0,COUNTA($BS:$BS)-'Options and results'!$AR$56,1)),NA()))</f>
        <v>2.2903269230769228</v>
      </c>
      <c r="AO24" s="1390">
        <f ca="1">IF($A24&gt;$C$5," ",VLOOKUP($A24,Plot!$CK$7:$CP$67,6,FALSE))</f>
        <v>3.6680000000000001</v>
      </c>
      <c r="AP24" s="1409">
        <f>IF($A24&gt;$C$5,0,VLOOKUP($A24,Plot!$V$7:$AH$67,7,FALSE))</f>
        <v>156</v>
      </c>
      <c r="AQ24" s="1390">
        <f>IF($A24&gt;$C$5," ",VLOOKUP($A24,Plot!$V$7:$AH$67,13,FALSE))</f>
        <v>0.45843996039034762</v>
      </c>
      <c r="AR24" s="1390">
        <f>IF($A24&gt;$C$5," ",VLOOKUP($A24,Plot!$V$7:$AI$67,14,FALSE))</f>
        <v>2.9387176948099205E-3</v>
      </c>
      <c r="AS24" s="1390">
        <f>IF($A24&gt;$C$5," ",VLOOKUP($A24,Plot!$V$7:$AJ$67,15,FALSE))</f>
        <v>0</v>
      </c>
      <c r="AT24" s="1390">
        <f>IF($A24&gt;$C$5," ",AQ24+SUM($AS$20:AS24)+IF(AP25=0,-AQ24,0))</f>
        <v>0.45843996039034762</v>
      </c>
      <c r="AU24" s="1390">
        <f>IF($A24&gt;$C$5," ",VLOOKUP($A24,Plot!$V$7:$AL$67,Plot!$AL$2,FALSE))</f>
        <v>0</v>
      </c>
      <c r="AV24" s="1395">
        <f>IF($A24&gt;$C$5," ",VLOOKUP($A24,Plot!$V$7:$AM$67,Plot!$AM$2,FALSE))</f>
        <v>0</v>
      </c>
      <c r="AW24" s="1407">
        <f>IF($A24&gt;$C$5,0,VLOOKUP($A24,Plot!$DF$7:$DS$67,7,FALSE))</f>
        <v>100</v>
      </c>
      <c r="AX24" s="1390">
        <f>IF($A24&gt;$C$5," ",VLOOKUP($A24,Plot!$DF$7:$DS$67,14,FALSE))</f>
        <v>0.2941663455738871</v>
      </c>
      <c r="AY24" s="1390">
        <f>IF($A24&gt;$C$5," ",VLOOKUP($A24,Plot!$DF$7:$DT$67,15,FALSE))</f>
        <v>2.9416634557388709E-3</v>
      </c>
      <c r="AZ24" s="1390">
        <f>IF($A24&gt;$C$5," ",VLOOKUP($A24,Plot!$DF$7:$DU$67,16,FALSE))</f>
        <v>0</v>
      </c>
      <c r="BA24" s="1390">
        <f>IF($A24&gt;$C$5," ",AX24+SUM($AZ$20:AZ24)+IF(AW25=0,-AX24,0))</f>
        <v>0.2941663455738871</v>
      </c>
      <c r="BB24" s="1390">
        <f>IF($A24&gt;$C$5," ",VLOOKUP($A24,Plot!$DF$7:$DW$67,Plot!$DW$2,FALSE))</f>
        <v>0</v>
      </c>
      <c r="BC24" s="1390">
        <f>IF($A24&gt;$C$5," ",VLOOKUP($A24,Plot!$DF$7:$DX$67,Plot!$DX$2,FALSE))</f>
        <v>0</v>
      </c>
      <c r="BD24" s="1396">
        <f>IF($A24&gt;$C$5," ",VLOOKUP($A24,Plot!$A$7:$N$67,14,FALSE))</f>
        <v>11.632834596849463</v>
      </c>
      <c r="BE24" s="303">
        <f>IF($A24&gt;$C$5," ",VLOOKUP($A24,Plot!$V$7:$BW$67,Plot!$BW$2,FALSE))</f>
        <v>0</v>
      </c>
      <c r="BF24" s="303">
        <f>IF($A24&gt;$C$5," ",VLOOKUP($A24,Plot!$CK$7:$CX$67,14,FALSE))</f>
        <v>11.516506250880969</v>
      </c>
      <c r="BG24" s="303">
        <f>IF($A24&gt;$C$5," ",VLOOKUP($A24,Plot!$DF$7:$FH$67,Plot!$FH$2,FALSE))</f>
        <v>0</v>
      </c>
      <c r="BH24" s="1397">
        <f t="shared" si="24"/>
        <v>11.516506250880969</v>
      </c>
      <c r="BI24" s="303" t="str">
        <f>IF($A24&gt;$C$5," ",VLOOKUP($A24,Plot!$DF$7:$EJ$67,29,FALSE))</f>
        <v>Protection</v>
      </c>
      <c r="BJ24" s="303">
        <f>IF($A24&gt;$C$5," ",VLOOKUP($A24,Plot!$DF$7:$FT$67,30,FALSE))</f>
        <v>14.6</v>
      </c>
      <c r="BK24" s="303">
        <f>IF($A24&gt;$C$5," ",VLOOKUP($A24,Plot!$DF$7:$FT$67,Plot!$EL$2,FALSE))</f>
        <v>0</v>
      </c>
      <c r="BL24" s="303">
        <f>IF($A24&gt;$C$5," ",VLOOKUP($A24,Plot!$DF$7:$FT$67,Plot!$EM$2,FALSE))</f>
        <v>0</v>
      </c>
      <c r="BM24" s="303">
        <f>IF($A24&gt;$C$5," ",VLOOKUP($A24,Plot!$DF$7:$FT$67,Plot!$EN$2,FALSE))</f>
        <v>0</v>
      </c>
      <c r="BN24" s="303">
        <f>IF($A24&gt;$C$5," ",VLOOKUP($A24,Plot!$DF$7:$FT$67,Plot!$EO$2,FALSE))</f>
        <v>0</v>
      </c>
      <c r="BO24" s="303">
        <f t="shared" si="19"/>
        <v>14.6</v>
      </c>
      <c r="BP24" s="303">
        <f>IF($A24&gt;$C$5," ",VLOOKUP($A24,Plot!$DF$7:$FT$67,Plot!$EQ$2,FALSE))</f>
        <v>0</v>
      </c>
      <c r="BQ24" s="303">
        <f>IF($A24&gt;$C$5," ",(VLOOKUP($A24,Plot!$DF$7:$FT$67,Plot!$ES$2,FALSE)+VLOOKUP($A24,Plot!$DF$7:$FT$67,Plot!$ET$2,FALSE)))</f>
        <v>0</v>
      </c>
      <c r="BR24" s="303">
        <f>IF($A24&gt;$C$5," ",(VLOOKUP($A24,Plot!$DF$7:$FT$67,Plot!$EV$2,FALSE)+VLOOKUP($A24,Plot!$DF$7:$FT$67,Plot!$EW$2,FALSE)))</f>
        <v>0</v>
      </c>
      <c r="BS24" s="303">
        <f>IF($A24&gt;$C$5," ",VLOOKUP($A24,Plot!$DF$7:$FT$67,Plot!$EY$2,FALSE))</f>
        <v>0</v>
      </c>
      <c r="BT24" s="303">
        <f>IF($A24&gt;$C$5," ",(VLOOKUP($A24,Plot!$DF$7:$FT$67,Plot!$FB$2,FALSE)+VLOOKUP($A24,Plot!$DF$7:$FT$67,Plot!$FC$2,FALSE)))</f>
        <v>0</v>
      </c>
      <c r="BU24" s="303">
        <f>IF($A24&gt;$C$5," ",(VLOOKUP($A24,Plot!$DF$7:$FT$67,Plot!$FE$2,FALSE)+VLOOKUP($A24,Plot!$DF$7:$FT$67,Plot!$FF$2,FALSE)))</f>
        <v>0</v>
      </c>
      <c r="BV24" s="1026">
        <f>IF($A24&gt;$C$5," ",VLOOKUP($A24,Plot!$FV$7:$GJ$67,2,FALSE))</f>
        <v>1614.9516967339266</v>
      </c>
      <c r="BW24" s="1027">
        <f>IF($A24&gt;$C$5," ",VLOOKUP($A24,Plot!$FV$7:$GJ$67,3,FALSE))</f>
        <v>0</v>
      </c>
      <c r="BX24" s="1379">
        <f ca="1">IF($A24&gt;$C$5," ",VLOOKUP($A24,Plot!$FV$7:$GJ$67,6,FALSE))</f>
        <v>1454.83890804714</v>
      </c>
      <c r="BY24" s="1026">
        <f>IF($A24&gt;$C$5," ",VLOOKUP($A24,Plot!$GO$7:$GY$67,2,FALSE))</f>
        <v>201.04994573019147</v>
      </c>
      <c r="BZ24" s="1027">
        <f>IF($A24&gt;$C$5," ",VLOOKUP($A24,Plot!$GO$7:$GY$67,3,FALSE))</f>
        <v>0</v>
      </c>
      <c r="CA24" s="1379">
        <f>IF($A24&gt;$C$5," ",VLOOKUP($A24,Plot!$GO$7:$GY$67,6,FALSE))</f>
        <v>0</v>
      </c>
      <c r="CB24" s="1027">
        <f>IF($A24&gt;$C$5," ",-1*VLOOKUP($A24,Plot!$HA$7:$HK$67,2,FALSE))</f>
        <v>-1083.3863792546395</v>
      </c>
      <c r="CC24" s="1027">
        <f>IF($A24&gt;$C$5," ",-1*VLOOKUP($A24,Plot!$HA$7:$HK$67,3,FALSE))</f>
        <v>-2.5644125730891769</v>
      </c>
      <c r="CD24" s="1189">
        <f>IF($A24&gt;$C$5," ",-1*VLOOKUP($A24,Plot!$HA$7:$HK$67,6,FALSE))</f>
        <v>-1075.1169280351821</v>
      </c>
      <c r="CE24" s="10"/>
      <c r="CF24" s="38">
        <v>5</v>
      </c>
      <c r="CG24" s="1381">
        <f>IF($CF24&gt;$C$5," ",VLOOKUP($CF24,Unit!$A$7:$BE$68,22,FALSE))</f>
        <v>33.340000000000003</v>
      </c>
      <c r="CH24" s="1027">
        <f>IF($CF24&gt;$C$5," ",VLOOKUP($CF24,Unit!$A$7:$BE$68,23,FALSE))</f>
        <v>33.33</v>
      </c>
      <c r="CI24" s="1027">
        <f>IF($CF24&gt;$C$5," ",VLOOKUP($CF24,Unit!$A$7:$BE$68,24,FALSE))</f>
        <v>32.996699999999997</v>
      </c>
      <c r="CJ24" s="1189">
        <f>IF($CF24&gt;$C$5," ",VLOOKUP($CF24,Unit!$A$7:$BE$68,25,FALSE))</f>
        <v>0.33330000000000026</v>
      </c>
      <c r="CK24" s="1381">
        <f>IF($CF24&gt;$C$5," ",VLOOKUP($CF24,Unit!$A$7:$BE$68,27,FALSE))</f>
        <v>333.95751153295862</v>
      </c>
      <c r="CL24" s="1027">
        <f>IF($CF24&gt;$C$5," ",VLOOKUP($CF24,Unit!$A$7:$BE$68,28,FALSE))</f>
        <v>15.279803879810286</v>
      </c>
      <c r="CM24" s="1027">
        <f>IF($CF24&gt;$C$5," ",VLOOKUP($CF24,Unit!$A$7:$BE$68,29,FALSE))</f>
        <v>0</v>
      </c>
      <c r="CN24" s="1027">
        <f ca="1">IF($CF24&gt;$C$5," ",VLOOKUP($CF24,Unit!$A$7:$BE$68,30,FALSE))</f>
        <v>300.59993699999995</v>
      </c>
      <c r="CO24" s="1027">
        <f>IF($CF24&gt;$C$5," ",VLOOKUP($CF24,Unit!$A$7:$BE$68,31,FALSE))</f>
        <v>9.8045642979776559</v>
      </c>
      <c r="CP24" s="1027">
        <f>IF($CF24&gt;$C$5," ",VLOOKUP($CF24,Unit!$A$7:$BE$68,32,FALSE))</f>
        <v>0</v>
      </c>
      <c r="CQ24" s="1381">
        <f>IF($CF24&gt;$C$5," ",VLOOKUP($CF24,Unit!$A$7:$BE$68,33,FALSE))</f>
        <v>387.83870545896116</v>
      </c>
      <c r="CR24" s="1027">
        <f>IF($CF24&gt;$C$5," ",VLOOKUP($CF24,Unit!$A$7:$BE$68,34,FALSE))</f>
        <v>0</v>
      </c>
      <c r="CS24" s="1027">
        <f>IF($CF24&gt;$C$5," ",VLOOKUP($CF24,Unit!$A$7:$BE$68,35,FALSE))</f>
        <v>383.84515334186267</v>
      </c>
      <c r="CT24" s="1027">
        <f>IF($CF24&gt;$C$5," ",VLOOKUP($CF24,Unit!$A$7:$BE$68,36,FALSE))</f>
        <v>0</v>
      </c>
      <c r="CU24" s="1189">
        <f t="shared" si="20"/>
        <v>383.84515334186267</v>
      </c>
      <c r="CV24" s="1027">
        <f>IF($CF24&gt;$C$5," ",VLOOKUP($CF24,Unit!$A$7:$BA$68,43,FALSE))</f>
        <v>104289.58435685182</v>
      </c>
      <c r="CW24" s="1027">
        <f>IF($CF24&gt;$C$5," ",VLOOKUP($CF24,Unit!$A$7:$BB$68,44,FALSE))</f>
        <v>-26777.314888537792</v>
      </c>
      <c r="CX24" s="1189">
        <f ca="1">IF($CF24&gt;$C$5," ",VLOOKUP($CF24,Unit!$A$7:$BE$68,47,FALSE))</f>
        <v>39184.233441885823</v>
      </c>
      <c r="CY24" s="1381">
        <f>IF($CF24&gt;$C$5," ",VLOOKUP($CF24,Unit!$A$7:$BA$68,53,FALSE))</f>
        <v>96830.878913236636</v>
      </c>
      <c r="CZ24" s="1027">
        <f>IF($CF24&gt;$C$5," ",VLOOKUP($CF24,Unit!$A$7:$BB$68,54,FALSE))</f>
        <v>-26601.242943793142</v>
      </c>
      <c r="DA24" s="1189">
        <f ca="1">IF($CF24&gt;$C$5," ",VLOOKUP($CF24,Unit!$A$7:$BE$68,57,FALSE))</f>
        <v>35888.052625233693</v>
      </c>
    </row>
    <row r="25" spans="1:105" x14ac:dyDescent="0.25">
      <c r="A25" s="38">
        <v>6</v>
      </c>
      <c r="B25" s="1381">
        <f>IF($A25&gt;$C$5," ",VLOOKUP($A25,Plot!$A$7:$T$67,Plot!P$2,FALSE))</f>
        <v>690.54318335795085</v>
      </c>
      <c r="C25" s="1027">
        <f>IF($A25&gt;$C$5," ",VLOOKUP($A25,Plot!$V$7:$CI$67,Plot!$CA$2,FALSE))</f>
        <v>-95.864148417656338</v>
      </c>
      <c r="D25" s="1027">
        <f ca="1">IF($A25&gt;$C$5," ",VLOOKUP($A25,Plot!$CK$7:$DD$67,Plot!$CZ$2,FALSE))</f>
        <v>251.98750873713811</v>
      </c>
      <c r="E25" s="1027">
        <f>IF($A25&gt;$C$5," ",VLOOKUP($A25,Plot!$DF$7:$FT$67,Plot!$FL$2,FALSE))</f>
        <v>-62.528300267728426</v>
      </c>
      <c r="F25" s="1379">
        <f t="shared" ca="1" si="21"/>
        <v>189.4592084694097</v>
      </c>
      <c r="G25" s="1026">
        <f>IF($A25&gt;$C$5," ",VLOOKUP($A25,Plot!$V$7:$CG$67,Plot!$CG$2,FALSE))</f>
        <v>-90.444782750526244</v>
      </c>
      <c r="H25" s="1027">
        <f>IF($A25&gt;$C$5," ",VLOOKUP($A25,Plot!$DF$7:$FT$67,Plot!$FR$2,FALSE))</f>
        <v>-59.044035537538846</v>
      </c>
      <c r="I25" s="1379">
        <f t="shared" ca="1" si="17"/>
        <v>192.94347319959928</v>
      </c>
      <c r="J25" s="1026">
        <f>IF($A25&gt;$C$5," ",SUM(B$20:$B25))</f>
        <v>3818.6051016798406</v>
      </c>
      <c r="K25" s="1027">
        <f>IF($A25&gt;$C$5," ",SUM($C$20:C25))</f>
        <v>-899.26393505245346</v>
      </c>
      <c r="L25" s="1027">
        <f ca="1">IF($A25&gt;$C$5," ",SUM($D$20:D25))</f>
        <v>1982.4560655520443</v>
      </c>
      <c r="M25" s="1027">
        <f>IF($A25&gt;$C$5," ",SUM($E$20:E25))</f>
        <v>-617.35228936928843</v>
      </c>
      <c r="N25" s="1379">
        <f ca="1">IF($A25&gt;$C$5," ",SUM($F$20:F25))</f>
        <v>1365.1037761827558</v>
      </c>
      <c r="O25" s="1027">
        <f>IF($A25&gt;$C$5," ",SUM($G$20:G25))</f>
        <v>-888.79087073616142</v>
      </c>
      <c r="P25" s="1027">
        <f>IF($A25&gt;$C$5," ",SUM($H$20:H25))</f>
        <v>-610.62522690831247</v>
      </c>
      <c r="Q25" s="1027">
        <f ca="1">IF($A25&gt;$C$5," ",SUM($I$20:I25))</f>
        <v>1371.830838643732</v>
      </c>
      <c r="R25" s="1026">
        <f>IF($A25&gt;$C$5," ",VLOOKUP($A25,Plot!$HM$7:$IA$67,2,FALSE))</f>
        <v>567.57616078979277</v>
      </c>
      <c r="S25" s="1027">
        <f>IF($A25&gt;$C$5," ",VLOOKUP($A25,Plot!$HM$7:$IA$67,3,FALSE))</f>
        <v>-78.793342150873343</v>
      </c>
      <c r="T25" s="1027">
        <f ca="1">IF($A25&gt;$C$5," ",VLOOKUP($A25,Plot!$HM$7:$IA$67,4,FALSE))</f>
        <v>207.11536399581269</v>
      </c>
      <c r="U25" s="1027">
        <f>IF($A25&gt;$C$5," ",VLOOKUP($A25,Plot!$HM$7:$IA$67,5,FALSE))</f>
        <v>-51.393704929634012</v>
      </c>
      <c r="V25" s="1379">
        <f t="shared" ca="1" si="16"/>
        <v>155.72165906617869</v>
      </c>
      <c r="W25" s="1027">
        <f>IF($A25&gt;$C$5," ",VLOOKUP($A25,Plot!$HM$7:$IA$67,Plot!$HR$2,FALSE))</f>
        <v>-74.505169483983707</v>
      </c>
      <c r="X25" s="1027">
        <f>IF($A25&gt;$C$5," ",VLOOKUP($A25,Plot!$HM$7:$IA$67,Plot!$HS$2,FALSE))</f>
        <v>-48.636507035032487</v>
      </c>
      <c r="Y25" s="1379">
        <f t="shared" ca="1" si="18"/>
        <v>158.47885696078021</v>
      </c>
      <c r="Z25" s="1026">
        <f>IF($A25&gt;$C$5," ",SUM($R$20:R25))</f>
        <v>3471.921659087232</v>
      </c>
      <c r="AA25" s="1027">
        <f>IF($A25&gt;$C$5," ",SUM($S$20:S25))</f>
        <v>-876.91044217467015</v>
      </c>
      <c r="AB25" s="1027">
        <f ca="1">IF($A25&gt;$C$5," ",SUM($T$20:T25))</f>
        <v>1834.8445232370873</v>
      </c>
      <c r="AC25" s="1027">
        <f>IF($A25&gt;$C$5," ",SUM($U$20:U25))</f>
        <v>-602.37361048852949</v>
      </c>
      <c r="AD25" s="1379">
        <f t="shared" ca="1" si="22"/>
        <v>1232.4709127485578</v>
      </c>
      <c r="AE25" s="1027">
        <f>IF($A25&gt;$C$5," ",SUM($W$20:W25))</f>
        <v>-868.30234672227562</v>
      </c>
      <c r="AF25" s="1027">
        <f>IF($A25&gt;$C$5," ",SUM($X$20:X25))</f>
        <v>-596.84445550299006</v>
      </c>
      <c r="AG25" s="1027">
        <f t="shared" ca="1" si="23"/>
        <v>1238.0000677340972</v>
      </c>
      <c r="AH25" s="1394">
        <f>IF($A25&gt;$C$5," ",VLOOKUP($A25,Plot!$A$7:$D$67,4,FALSE))</f>
        <v>1</v>
      </c>
      <c r="AI25" s="1390">
        <f>IF($A25&gt;$C$5," ",VLOOKUP($A25,Plot!$A$7:$E$67,5,FALSE))</f>
        <v>9.1338840154624883</v>
      </c>
      <c r="AJ25" s="1390">
        <f ca="1">IF($A25&gt;$C$5," ",IF(ROW()-ROW($A$18)&gt;='Options and results'!$AR$56,AVERAGE(OFFSET(AI25,0,0,COUNTA($BS:$BS)-'Options and results'!$AR$56,1)),NA()))</f>
        <v>6.8898958031868514</v>
      </c>
      <c r="AK25" s="1395">
        <f>IF($A25&gt;$C$5," ",VLOOKUP($A25,Plot!$A$7:$F$67,6,FALSE))</f>
        <v>3.6535536061849956</v>
      </c>
      <c r="AL25" s="1390">
        <f>IF($A25&gt;$C$5," ",VLOOKUP($A25,Plot!$CK$7:$CN$67,4,FALSE))</f>
        <v>0.99</v>
      </c>
      <c r="AM25" s="1390">
        <f ca="1">IF($A25&gt;$C$5," ",AL25*VLOOKUP($A25,Plot!$CK$7:$CO$67,5,FALSE))</f>
        <v>7.9893000000000001</v>
      </c>
      <c r="AN25" s="1390">
        <f ca="1">IF($A25&gt;$C$5," ",IF(ROW()-ROW($A$18)&gt;='Options and results'!$AR$56,AVERAGE(OFFSET(AM25,0,0,COUNTA($BS:$BS)-'Options and results'!$AR$56,1)),NA()))</f>
        <v>2.0211839999999999</v>
      </c>
      <c r="AO25" s="1390">
        <f ca="1">IF($A25&gt;$C$5," ",VLOOKUP($A25,Plot!$CK$7:$CP$67,6,FALSE))</f>
        <v>3.2240000000000002</v>
      </c>
      <c r="AP25" s="1409">
        <f>IF($A25&gt;$C$5,0,VLOOKUP($A25,Plot!$V$7:$AH$67,7,FALSE))</f>
        <v>156</v>
      </c>
      <c r="AQ25" s="1390">
        <f>IF($A25&gt;$C$5," ",VLOOKUP($A25,Plot!$V$7:$AH$67,13,FALSE))</f>
        <v>0.95005094756148822</v>
      </c>
      <c r="AR25" s="1390">
        <f>IF($A25&gt;$C$5," ",VLOOKUP($A25,Plot!$V$7:$AI$67,14,FALSE))</f>
        <v>6.0900701766762062E-3</v>
      </c>
      <c r="AS25" s="1390">
        <f>IF($A25&gt;$C$5," ",VLOOKUP($A25,Plot!$V$7:$AJ$67,15,FALSE))</f>
        <v>0</v>
      </c>
      <c r="AT25" s="1390">
        <f>IF($A25&gt;$C$5," ",AQ25+SUM($AS$20:AS25)+IF(AP26=0,-AQ25,0))</f>
        <v>0.95005094756148822</v>
      </c>
      <c r="AU25" s="1390">
        <f>IF($A25&gt;$C$5," ",VLOOKUP($A25,Plot!$V$7:$AL$67,Plot!$AL$2,FALSE))</f>
        <v>0</v>
      </c>
      <c r="AV25" s="1395">
        <f>IF($A25&gt;$C$5," ",VLOOKUP($A25,Plot!$V$7:$AM$67,Plot!$AM$2,FALSE))</f>
        <v>0</v>
      </c>
      <c r="AW25" s="1407">
        <f>IF($A25&gt;$C$5,0,VLOOKUP($A25,Plot!$DF$7:$DS$67,7,FALSE))</f>
        <v>100</v>
      </c>
      <c r="AX25" s="1390">
        <f>IF($A25&gt;$C$5," ",VLOOKUP($A25,Plot!$DF$7:$DS$67,14,FALSE))</f>
        <v>0.61023706838251768</v>
      </c>
      <c r="AY25" s="1390">
        <f>IF($A25&gt;$C$5," ",VLOOKUP($A25,Plot!$DF$7:$DT$67,15,FALSE))</f>
        <v>6.1023706838251764E-3</v>
      </c>
      <c r="AZ25" s="1390">
        <f>IF($A25&gt;$C$5," ",VLOOKUP($A25,Plot!$DF$7:$DU$67,16,FALSE))</f>
        <v>0</v>
      </c>
      <c r="BA25" s="1390">
        <f>IF($A25&gt;$C$5," ",AX25+SUM($AZ$20:AZ25)+IF(AW26=0,-AX25,0))</f>
        <v>0.61023706838251768</v>
      </c>
      <c r="BB25" s="1390">
        <f>IF($A25&gt;$C$5," ",VLOOKUP($A25,Plot!$DF$7:$DW$67,Plot!$DW$2,FALSE))</f>
        <v>0</v>
      </c>
      <c r="BC25" s="1390">
        <f>IF($A25&gt;$C$5," ",VLOOKUP($A25,Plot!$DF$7:$DX$67,Plot!$DX$2,FALSE))</f>
        <v>0</v>
      </c>
      <c r="BD25" s="1396">
        <f>IF($A25&gt;$C$5," ",VLOOKUP($A25,Plot!$A$7:$N$67,14,FALSE))</f>
        <v>11.632834596849463</v>
      </c>
      <c r="BE25" s="303">
        <f>IF($A25&gt;$C$5," ",VLOOKUP($A25,Plot!$V$7:$BW$67,Plot!$BW$2,FALSE))</f>
        <v>6.3605581107983795</v>
      </c>
      <c r="BF25" s="303">
        <f>IF($A25&gt;$C$5," ",VLOOKUP($A25,Plot!$CK$7:$CX$67,14,FALSE))</f>
        <v>11.516506250880969</v>
      </c>
      <c r="BG25" s="303">
        <f>IF($A25&gt;$C$5," ",VLOOKUP($A25,Plot!$DF$7:$FH$67,Plot!$FH$2,FALSE))</f>
        <v>4.0772808402553711</v>
      </c>
      <c r="BH25" s="1397">
        <f t="shared" si="24"/>
        <v>15.59378709113634</v>
      </c>
      <c r="BI25" s="303" t="str">
        <f>IF($A25&gt;$C$5," ",VLOOKUP($A25,Plot!$DF$7:$EJ$67,29,FALSE))</f>
        <v>Localised weeding</v>
      </c>
      <c r="BJ25" s="303">
        <f>IF($A25&gt;$C$5," ",VLOOKUP($A25,Plot!$DF$7:$FT$67,30,FALSE))</f>
        <v>14.6</v>
      </c>
      <c r="BK25" s="303">
        <f>IF($A25&gt;$C$5," ",VLOOKUP($A25,Plot!$DF$7:$FT$67,Plot!$EL$2,FALSE))</f>
        <v>0</v>
      </c>
      <c r="BL25" s="303">
        <f>IF($A25&gt;$C$5," ",VLOOKUP($A25,Plot!$DF$7:$FT$67,Plot!$EM$2,FALSE))</f>
        <v>0</v>
      </c>
      <c r="BM25" s="303">
        <f>IF($A25&gt;$C$5," ",VLOOKUP($A25,Plot!$DF$7:$FT$67,Plot!$EN$2,FALSE))</f>
        <v>0</v>
      </c>
      <c r="BN25" s="303">
        <f>IF($A25&gt;$C$5," ",VLOOKUP($A25,Plot!$DF$7:$FT$67,Plot!$EO$2,FALSE))</f>
        <v>0</v>
      </c>
      <c r="BO25" s="303">
        <f t="shared" si="19"/>
        <v>14.6</v>
      </c>
      <c r="BP25" s="303">
        <f>IF($A25&gt;$C$5," ",VLOOKUP($A25,Plot!$DF$7:$FT$67,Plot!$EQ$2,FALSE))</f>
        <v>0</v>
      </c>
      <c r="BQ25" s="303">
        <f>IF($A25&gt;$C$5," ",(VLOOKUP($A25,Plot!$DF$7:$FT$67,Plot!$ES$2,FALSE)+VLOOKUP($A25,Plot!$DF$7:$FT$67,Plot!$ET$2,FALSE)))</f>
        <v>4.0772808402553711</v>
      </c>
      <c r="BR25" s="303">
        <f>IF($A25&gt;$C$5," ",(VLOOKUP($A25,Plot!$DF$7:$FT$67,Plot!$EV$2,FALSE)+VLOOKUP($A25,Plot!$DF$7:$FT$67,Plot!$EW$2,FALSE)))</f>
        <v>0</v>
      </c>
      <c r="BS25" s="303">
        <f>IF($A25&gt;$C$5," ",VLOOKUP($A25,Plot!$DF$7:$FT$67,Plot!$EY$2,FALSE))</f>
        <v>0</v>
      </c>
      <c r="BT25" s="303">
        <f>IF($A25&gt;$C$5," ",(VLOOKUP($A25,Plot!$DF$7:$FT$67,Plot!$FB$2,FALSE)+VLOOKUP($A25,Plot!$DF$7:$FT$67,Plot!$FC$2,FALSE)))</f>
        <v>0</v>
      </c>
      <c r="BU25" s="303">
        <f>IF($A25&gt;$C$5," ",(VLOOKUP($A25,Plot!$DF$7:$FT$67,Plot!$FE$2,FALSE)+VLOOKUP($A25,Plot!$DF$7:$FT$67,Plot!$FF$2,FALSE)))</f>
        <v>0</v>
      </c>
      <c r="BV25" s="1026">
        <f>IF($A25&gt;$C$5," ",VLOOKUP($A25,Plot!$FV$7:$GJ$67,2,FALSE))</f>
        <v>1415.9765776402235</v>
      </c>
      <c r="BW25" s="1027">
        <f>IF($A25&gt;$C$5," ",VLOOKUP($A25,Plot!$FV$7:$GJ$67,3,FALSE))</f>
        <v>0</v>
      </c>
      <c r="BX25" s="1379">
        <f ca="1">IF($A25&gt;$C$5," ",VLOOKUP($A25,Plot!$FV$7:$GJ$67,6,FALSE))</f>
        <v>1238.4158596324405</v>
      </c>
      <c r="BY25" s="1026">
        <f>IF($A25&gt;$C$5," ",VLOOKUP($A25,Plot!$GO$7:$GY$67,2,FALSE))</f>
        <v>193.31725550979948</v>
      </c>
      <c r="BZ25" s="1027">
        <f>IF($A25&gt;$C$5," ",VLOOKUP($A25,Plot!$GO$7:$GY$67,3,FALSE))</f>
        <v>0</v>
      </c>
      <c r="CA25" s="1379">
        <f>IF($A25&gt;$C$5," ",VLOOKUP($A25,Plot!$GO$7:$GY$67,6,FALSE))</f>
        <v>0</v>
      </c>
      <c r="CB25" s="1027">
        <f>IF($A25&gt;$C$5," ",-1*VLOOKUP($A25,Plot!$HA$7:$HK$67,2,FALSE))</f>
        <v>-1041.7176723602302</v>
      </c>
      <c r="CC25" s="1027">
        <f>IF($A25&gt;$C$5," ",-1*VLOOKUP($A25,Plot!$HA$7:$HK$67,3,FALSE))</f>
        <v>-78.793342150873343</v>
      </c>
      <c r="CD25" s="1189">
        <f>IF($A25&gt;$C$5," ",-1*VLOOKUP($A25,Plot!$HA$7:$HK$67,6,FALSE))</f>
        <v>-1082.6942005662618</v>
      </c>
      <c r="CE25" s="10"/>
      <c r="CF25" s="38">
        <v>6</v>
      </c>
      <c r="CG25" s="1381">
        <f>IF($CF25&gt;$C$5," ",VLOOKUP($CF25,Unit!$A$7:$BE$68,22,FALSE))</f>
        <v>33.340000000000003</v>
      </c>
      <c r="CH25" s="1027">
        <f>IF($CF25&gt;$C$5," ",VLOOKUP($CF25,Unit!$A$7:$BE$68,23,FALSE))</f>
        <v>33.33</v>
      </c>
      <c r="CI25" s="1027">
        <f>IF($CF25&gt;$C$5," ",VLOOKUP($CF25,Unit!$A$7:$BE$68,24,FALSE))</f>
        <v>32.996699999999997</v>
      </c>
      <c r="CJ25" s="1189">
        <f>IF($CF25&gt;$C$5," ",VLOOKUP($CF25,Unit!$A$7:$BE$68,25,FALSE))</f>
        <v>0.33330000000000026</v>
      </c>
      <c r="CK25" s="1381">
        <f>IF($CF25&gt;$C$5," ",VLOOKUP($CF25,Unit!$A$7:$BE$68,27,FALSE))</f>
        <v>304.52369307551942</v>
      </c>
      <c r="CL25" s="1027">
        <f>IF($CF25&gt;$C$5," ",VLOOKUP($CF25,Unit!$A$7:$BE$68,28,FALSE))</f>
        <v>31.6651980822244</v>
      </c>
      <c r="CM25" s="1027">
        <f>IF($CF25&gt;$C$5," ",VLOOKUP($CF25,Unit!$A$7:$BE$68,29,FALSE))</f>
        <v>0</v>
      </c>
      <c r="CN25" s="1027">
        <f ca="1">IF($CF25&gt;$C$5," ",VLOOKUP($CF25,Unit!$A$7:$BE$68,30,FALSE))</f>
        <v>266.28336899999999</v>
      </c>
      <c r="CO25" s="1027">
        <f>IF($CF25&gt;$C$5," ",VLOOKUP($CF25,Unit!$A$7:$BE$68,31,FALSE))</f>
        <v>20.339201489189314</v>
      </c>
      <c r="CP25" s="1027">
        <f>IF($CF25&gt;$C$5," ",VLOOKUP($CF25,Unit!$A$7:$BE$68,32,FALSE))</f>
        <v>0</v>
      </c>
      <c r="CQ25" s="1381">
        <f>IF($CF25&gt;$C$5," ",VLOOKUP($CF25,Unit!$A$7:$BE$68,33,FALSE))</f>
        <v>387.83870545896116</v>
      </c>
      <c r="CR25" s="1027">
        <f>IF($CF25&gt;$C$5," ",VLOOKUP($CF25,Unit!$A$7:$BE$68,34,FALSE))</f>
        <v>211.99740183290999</v>
      </c>
      <c r="CS25" s="1027">
        <f>IF($CF25&gt;$C$5," ",VLOOKUP($CF25,Unit!$A$7:$BE$68,35,FALSE))</f>
        <v>383.84515334186267</v>
      </c>
      <c r="CT25" s="1027">
        <f>IF($CF25&gt;$C$5," ",VLOOKUP($CF25,Unit!$A$7:$BE$68,36,FALSE))</f>
        <v>135.89577040571152</v>
      </c>
      <c r="CU25" s="1189">
        <f t="shared" si="20"/>
        <v>519.74092374757424</v>
      </c>
      <c r="CV25" s="1027">
        <f>IF($CF25&gt;$C$5," ",VLOOKUP($CF25,Unit!$A$7:$BA$68,43,FALSE))</f>
        <v>127312.2940900059</v>
      </c>
      <c r="CW25" s="1027">
        <f>IF($CF25&gt;$C$5," ",VLOOKUP($CF25,Unit!$A$7:$BB$68,44,FALSE))</f>
        <v>-29972.466955298278</v>
      </c>
      <c r="CX25" s="1189">
        <f ca="1">IF($CF25&gt;$C$5," ",VLOOKUP($CF25,Unit!$A$7:$BE$68,47,FALSE))</f>
        <v>45498.90886017125</v>
      </c>
      <c r="CY25" s="1381">
        <f>IF($CF25&gt;$C$5," ",VLOOKUP($CF25,Unit!$A$7:$BA$68,53,FALSE))</f>
        <v>115753.86811396833</v>
      </c>
      <c r="CZ25" s="1027">
        <f>IF($CF25&gt;$C$5," ",VLOOKUP($CF25,Unit!$A$7:$BB$68,54,FALSE))</f>
        <v>-29227.425037681751</v>
      </c>
      <c r="DA25" s="1189">
        <f ca="1">IF($CF25&gt;$C$5," ",VLOOKUP($CF25,Unit!$A$7:$BE$68,57,FALSE))</f>
        <v>41078.255521909428</v>
      </c>
    </row>
    <row r="26" spans="1:105" x14ac:dyDescent="0.25">
      <c r="A26" s="38">
        <v>7</v>
      </c>
      <c r="B26" s="1381">
        <f>IF($A26&gt;$C$5," ",VLOOKUP($A26,Plot!$A$7:$T$67,Plot!P$2,FALSE))</f>
        <v>529.37652702864318</v>
      </c>
      <c r="C26" s="1027">
        <f>IF($A26&gt;$C$5," ",VLOOKUP($A26,Plot!$V$7:$CI$67,Plot!$CA$2,FALSE))</f>
        <v>-3</v>
      </c>
      <c r="D26" s="1027">
        <f ca="1">IF($A26&gt;$C$5," ",VLOOKUP($A26,Plot!$CK$7:$DD$67,Plot!$CZ$2,FALSE))</f>
        <v>-107.60109904204603</v>
      </c>
      <c r="E26" s="1027">
        <f>IF($A26&gt;$C$5," ",VLOOKUP($A26,Plot!$DF$7:$FT$67,Plot!$FL$2,FALSE))</f>
        <v>-3</v>
      </c>
      <c r="F26" s="1379">
        <f t="shared" ca="1" si="21"/>
        <v>-110.60109904204603</v>
      </c>
      <c r="G26" s="1026">
        <f>IF($A26&gt;$C$5," ",VLOOKUP($A26,Plot!$V$7:$CG$67,Plot!$CG$2,FALSE))</f>
        <v>12.391811880551575</v>
      </c>
      <c r="H26" s="1027">
        <f>IF($A26&gt;$C$5," ",VLOOKUP($A26,Plot!$DF$7:$FT$67,Plot!$FR$2,FALSE))</f>
        <v>6.9146982629294218</v>
      </c>
      <c r="I26" s="1379">
        <f t="shared" ca="1" si="17"/>
        <v>-100.68640077911661</v>
      </c>
      <c r="J26" s="1026">
        <f>IF($A26&gt;$C$5," ",SUM(B$20:$B26))</f>
        <v>4347.9816287084841</v>
      </c>
      <c r="K26" s="1027">
        <f>IF($A26&gt;$C$5," ",SUM($C$20:C26))</f>
        <v>-902.26393505245346</v>
      </c>
      <c r="L26" s="1027">
        <f ca="1">IF($A26&gt;$C$5," ",SUM($D$20:D26))</f>
        <v>1874.8549665099981</v>
      </c>
      <c r="M26" s="1027">
        <f>IF($A26&gt;$C$5," ",SUM($E$20:E26))</f>
        <v>-620.35228936928843</v>
      </c>
      <c r="N26" s="1379">
        <f ca="1">IF($A26&gt;$C$5," ",SUM($F$20:F26))</f>
        <v>1254.5026771407097</v>
      </c>
      <c r="O26" s="1027">
        <f>IF($A26&gt;$C$5," ",SUM($G$20:G26))</f>
        <v>-876.39905885560984</v>
      </c>
      <c r="P26" s="1027">
        <f>IF($A26&gt;$C$5," ",SUM($H$20:H26))</f>
        <v>-603.71052864538308</v>
      </c>
      <c r="Q26" s="1027">
        <f ca="1">IF($A26&gt;$C$5," ",SUM($I$20:I26))</f>
        <v>1271.1444378646154</v>
      </c>
      <c r="R26" s="1026">
        <f>IF($A26&gt;$C$5," ",VLOOKUP($A26,Plot!$HM$7:$IA$67,2,FALSE))</f>
        <v>418.37395889131369</v>
      </c>
      <c r="S26" s="1027">
        <f>IF($A26&gt;$C$5," ",VLOOKUP($A26,Plot!$HM$7:$IA$67,3,FALSE))</f>
        <v>-2.3709435771904372</v>
      </c>
      <c r="T26" s="1027">
        <f ca="1">IF($A26&gt;$C$5," ",VLOOKUP($A26,Plot!$HM$7:$IA$67,4,FALSE))</f>
        <v>-85.038711557457077</v>
      </c>
      <c r="U26" s="1027">
        <f>IF($A26&gt;$C$5," ",VLOOKUP($A26,Plot!$HM$7:$IA$67,5,FALSE))</f>
        <v>-2.3709435771904372</v>
      </c>
      <c r="V26" s="1379">
        <f t="shared" ca="1" si="16"/>
        <v>-87.409655134647508</v>
      </c>
      <c r="W26" s="1027">
        <f>IF($A26&gt;$C$5," ",VLOOKUP($A26,Plot!$HM$7:$IA$67,Plot!$HR$2,FALSE))</f>
        <v>9.4623483349924413</v>
      </c>
      <c r="X26" s="1027">
        <f>IF($A26&gt;$C$5," ",VLOOKUP($A26,Plot!$HM$7:$IA$67,Plot!$HS$2,FALSE))</f>
        <v>5.2521266710979964</v>
      </c>
      <c r="Y26" s="1379">
        <f t="shared" ca="1" si="18"/>
        <v>-79.78658488635908</v>
      </c>
      <c r="Z26" s="1026">
        <f>IF($A26&gt;$C$5," ",SUM($R$20:R26))</f>
        <v>3890.2956179785456</v>
      </c>
      <c r="AA26" s="1027">
        <f>IF($A26&gt;$C$5," ",SUM($S$20:S26))</f>
        <v>-879.28138575186063</v>
      </c>
      <c r="AB26" s="1027">
        <f ca="1">IF($A26&gt;$C$5," ",SUM($T$20:T26))</f>
        <v>1749.8058116796301</v>
      </c>
      <c r="AC26" s="1027">
        <f>IF($A26&gt;$C$5," ",SUM($U$20:U26))</f>
        <v>-604.74455406571997</v>
      </c>
      <c r="AD26" s="1379">
        <f ca="1">IF($A26&gt;$C$5," ",AB26+AC26)</f>
        <v>1145.0612576139101</v>
      </c>
      <c r="AE26" s="1027">
        <f>IF($A26&gt;$C$5," ",SUM($W$20:W26))</f>
        <v>-858.83999838728323</v>
      </c>
      <c r="AF26" s="1027">
        <f>IF($A26&gt;$C$5," ",SUM($X$20:X26))</f>
        <v>-591.59232883189202</v>
      </c>
      <c r="AG26" s="1027">
        <f t="shared" ca="1" si="23"/>
        <v>1158.2134828477381</v>
      </c>
      <c r="AH26" s="1394">
        <f>IF($A26&gt;$C$5," ",VLOOKUP($A26,Plot!$A$7:$D$67,4,FALSE))</f>
        <v>1</v>
      </c>
      <c r="AI26" s="1390">
        <f>IF($A26&gt;$C$5," ",VLOOKUP($A26,Plot!$A$7:$E$67,5,FALSE))</f>
        <v>7.4303894798102812</v>
      </c>
      <c r="AJ26" s="1390">
        <f ca="1">IF($A26&gt;$C$5," ",IF(ROW()-ROW($A$18)&gt;='Options and results'!$AR$56,AVERAGE(OFFSET(AI26,0,0,COUNTA($BS:$BS)-'Options and results'!$AR$56,1)),NA()))</f>
        <v>6.7963962943420322</v>
      </c>
      <c r="AK26" s="1395">
        <f>IF($A26&gt;$C$5," ",VLOOKUP($A26,Plot!$A$7:$F$67,6,FALSE))</f>
        <v>4.4582336878861684</v>
      </c>
      <c r="AL26" s="1390">
        <f>IF($A26&gt;$C$5," ",VLOOKUP($A26,Plot!$CK$7:$CN$67,4,FALSE))</f>
        <v>0.99</v>
      </c>
      <c r="AM26" s="1390">
        <f ca="1">IF($A26&gt;$C$5," ",AL26*VLOOKUP($A26,Plot!$CK$7:$CO$67,5,FALSE))</f>
        <v>5.2866</v>
      </c>
      <c r="AN26" s="1390">
        <f ca="1">IF($A26&gt;$C$5," ",IF(ROW()-ROW($A$18)&gt;='Options and results'!$AR$56,AVERAGE(OFFSET(AM26,0,0,COUNTA($BS:$BS)-'Options and results'!$AR$56,1)),NA()))</f>
        <v>1.7725124999999997</v>
      </c>
      <c r="AO26" s="1390">
        <f ca="1">IF($A26&gt;$C$5," ",VLOOKUP($A26,Plot!$CK$7:$CP$67,6,FALSE))</f>
        <v>3.2039999999999997</v>
      </c>
      <c r="AP26" s="1409">
        <f>IF($A26&gt;$C$5,0,VLOOKUP($A26,Plot!$V$7:$AH$67,7,FALSE))</f>
        <v>156</v>
      </c>
      <c r="AQ26" s="1390">
        <f>IF($A26&gt;$C$5," ",VLOOKUP($A26,Plot!$V$7:$AH$67,13,FALSE))</f>
        <v>1.8007501319971386</v>
      </c>
      <c r="AR26" s="1390">
        <f>IF($A26&gt;$C$5," ",VLOOKUP($A26,Plot!$V$7:$AI$67,14,FALSE))</f>
        <v>1.1543270076904736E-2</v>
      </c>
      <c r="AS26" s="1390">
        <f>IF($A26&gt;$C$5," ",VLOOKUP($A26,Plot!$V$7:$AJ$67,15,FALSE))</f>
        <v>0</v>
      </c>
      <c r="AT26" s="1390">
        <f>IF($A26&gt;$C$5," ",AQ26+SUM($AS$20:AS26)+IF(AP27=0,-AQ26,0))</f>
        <v>1.8007501319971386</v>
      </c>
      <c r="AU26" s="1390">
        <f>IF($A26&gt;$C$5," ",VLOOKUP($A26,Plot!$V$7:$AL$67,Plot!$AL$2,FALSE))</f>
        <v>0</v>
      </c>
      <c r="AV26" s="1395">
        <f>IF($A26&gt;$C$5," ",VLOOKUP($A26,Plot!$V$7:$AM$67,Plot!$AM$2,FALSE))</f>
        <v>0</v>
      </c>
      <c r="AW26" s="1407">
        <f>IF($A26&gt;$C$5,0,VLOOKUP($A26,Plot!$DF$7:$DS$67,7,FALSE))</f>
        <v>100</v>
      </c>
      <c r="AX26" s="1390">
        <f>IF($A26&gt;$C$5," ",VLOOKUP($A26,Plot!$DF$7:$DS$67,14,FALSE))</f>
        <v>1.1586234781164211</v>
      </c>
      <c r="AY26" s="1390">
        <f>IF($A26&gt;$C$5," ",VLOOKUP($A26,Plot!$DF$7:$DT$67,15,FALSE))</f>
        <v>1.1586234781164211E-2</v>
      </c>
      <c r="AZ26" s="1390">
        <f>IF($A26&gt;$C$5," ",VLOOKUP($A26,Plot!$DF$7:$DU$67,16,FALSE))</f>
        <v>0</v>
      </c>
      <c r="BA26" s="1390">
        <f>IF($A26&gt;$C$5," ",AX26+SUM($AZ$20:AZ26)+IF(AW27=0,-AX26,0))</f>
        <v>1.1586234781164211</v>
      </c>
      <c r="BB26" s="1390">
        <f>IF($A26&gt;$C$5," ",VLOOKUP($A26,Plot!$DF$7:$DW$67,Plot!$DW$2,FALSE))</f>
        <v>0</v>
      </c>
      <c r="BC26" s="1390">
        <f>IF($A26&gt;$C$5," ",VLOOKUP($A26,Plot!$DF$7:$DX$67,Plot!$DX$2,FALSE))</f>
        <v>0</v>
      </c>
      <c r="BD26" s="1396">
        <f>IF($A26&gt;$C$5," ",VLOOKUP($A26,Plot!$A$7:$N$67,14,FALSE))</f>
        <v>10.833689569810836</v>
      </c>
      <c r="BE26" s="303">
        <f>IF($A26&gt;$C$5," ",VLOOKUP($A26,Plot!$V$7:$BW$67,Plot!$BW$2,FALSE))</f>
        <v>0</v>
      </c>
      <c r="BF26" s="303">
        <f>IF($A26&gt;$C$5," ",VLOOKUP($A26,Plot!$CK$7:$CX$67,14,FALSE))</f>
        <v>10.725352674112727</v>
      </c>
      <c r="BG26" s="303">
        <f>IF($A26&gt;$C$5," ",VLOOKUP($A26,Plot!$DF$7:$FH$67,Plot!$FH$2,FALSE))</f>
        <v>0</v>
      </c>
      <c r="BH26" s="1397">
        <f t="shared" si="24"/>
        <v>10.725352674112727</v>
      </c>
      <c r="BI26" s="303" t="str">
        <f>IF($A26&gt;$C$5," ",VLOOKUP($A26,Plot!$DF$7:$EJ$67,29,FALSE))</f>
        <v>Maintenance weeding</v>
      </c>
      <c r="BJ26" s="303">
        <f>IF($A26&gt;$C$5," ",VLOOKUP($A26,Plot!$DF$7:$FT$67,30,FALSE))</f>
        <v>14.6</v>
      </c>
      <c r="BK26" s="303">
        <f>IF($A26&gt;$C$5," ",VLOOKUP($A26,Plot!$DF$7:$FT$67,Plot!$EL$2,FALSE))</f>
        <v>0</v>
      </c>
      <c r="BL26" s="303">
        <f>IF($A26&gt;$C$5," ",VLOOKUP($A26,Plot!$DF$7:$FT$67,Plot!$EM$2,FALSE))</f>
        <v>0</v>
      </c>
      <c r="BM26" s="303">
        <f>IF($A26&gt;$C$5," ",VLOOKUP($A26,Plot!$DF$7:$FT$67,Plot!$EN$2,FALSE))</f>
        <v>0</v>
      </c>
      <c r="BN26" s="303">
        <f>IF($A26&gt;$C$5," ",VLOOKUP($A26,Plot!$DF$7:$FT$67,Plot!$EO$2,FALSE))</f>
        <v>0</v>
      </c>
      <c r="BO26" s="303">
        <f t="shared" si="19"/>
        <v>14.6</v>
      </c>
      <c r="BP26" s="303">
        <f>IF($A26&gt;$C$5," ",VLOOKUP($A26,Plot!$DF$7:$FT$67,Plot!$EQ$2,FALSE))</f>
        <v>0</v>
      </c>
      <c r="BQ26" s="303">
        <f>IF($A26&gt;$C$5," ",(VLOOKUP($A26,Plot!$DF$7:$FT$67,Plot!$ES$2,FALSE)+VLOOKUP($A26,Plot!$DF$7:$FT$67,Plot!$ET$2,FALSE)))</f>
        <v>0</v>
      </c>
      <c r="BR26" s="303">
        <f>IF($A26&gt;$C$5," ",(VLOOKUP($A26,Plot!$DF$7:$FT$67,Plot!$EV$2,FALSE)+VLOOKUP($A26,Plot!$DF$7:$FT$67,Plot!$EW$2,FALSE)))</f>
        <v>0</v>
      </c>
      <c r="BS26" s="303">
        <f>IF($A26&gt;$C$5," ",VLOOKUP($A26,Plot!$DF$7:$FT$67,Plot!$EY$2,FALSE))</f>
        <v>0</v>
      </c>
      <c r="BT26" s="303">
        <f>IF($A26&gt;$C$5," ",(VLOOKUP($A26,Plot!$DF$7:$FT$67,Plot!$FB$2,FALSE)+VLOOKUP($A26,Plot!$DF$7:$FT$67,Plot!$FC$2,FALSE)))</f>
        <v>0</v>
      </c>
      <c r="BU26" s="303">
        <f>IF($A26&gt;$C$5," ",(VLOOKUP($A26,Plot!$DF$7:$FT$67,Plot!$FE$2,FALSE)+VLOOKUP($A26,Plot!$DF$7:$FT$67,Plot!$FF$2,FALSE)))</f>
        <v>0</v>
      </c>
      <c r="BV26" s="1026">
        <f>IF($A26&gt;$C$5," ",VLOOKUP($A26,Plot!$FV$7:$GJ$67,2,FALSE))</f>
        <v>1131.7313275096287</v>
      </c>
      <c r="BW26" s="1027">
        <f>IF($A26&gt;$C$5," ",VLOOKUP($A26,Plot!$FV$7:$GJ$67,3,FALSE))</f>
        <v>0</v>
      </c>
      <c r="BX26" s="1379">
        <f ca="1">IF($A26&gt;$C$5," ",VLOOKUP($A26,Plot!$FV$7:$GJ$67,6,FALSE))</f>
        <v>805.20824006188786</v>
      </c>
      <c r="BY26" s="1026">
        <f>IF($A26&gt;$C$5," ",VLOOKUP($A26,Plot!$GO$7:$GY$67,2,FALSE))</f>
        <v>185.88197645173025</v>
      </c>
      <c r="BZ26" s="1027">
        <f>IF($A26&gt;$C$5," ",VLOOKUP($A26,Plot!$GO$7:$GY$67,3,FALSE))</f>
        <v>0</v>
      </c>
      <c r="CA26" s="1379">
        <f>IF($A26&gt;$C$5," ",VLOOKUP($A26,Plot!$GO$7:$GY$67,6,FALSE))</f>
        <v>0</v>
      </c>
      <c r="CB26" s="1027">
        <f>IF($A26&gt;$C$5," ",-1*VLOOKUP($A26,Plot!$HA$7:$HK$67,2,FALSE))</f>
        <v>-899.23934507004526</v>
      </c>
      <c r="CC26" s="1027">
        <f>IF($A26&gt;$C$5," ",-1*VLOOKUP($A26,Plot!$HA$7:$HK$67,3,FALSE))</f>
        <v>-2.3709435771904372</v>
      </c>
      <c r="CD26" s="1189">
        <f>IF($A26&gt;$C$5," ",-1*VLOOKUP($A26,Plot!$HA$7:$HK$67,6,FALSE))</f>
        <v>-892.61789519653541</v>
      </c>
      <c r="CE26" s="10"/>
      <c r="CF26" s="38">
        <v>7</v>
      </c>
      <c r="CG26" s="1381">
        <f>IF($CF26&gt;$C$5," ",VLOOKUP($CF26,Unit!$A$7:$BE$68,22,FALSE))</f>
        <v>33.340000000000003</v>
      </c>
      <c r="CH26" s="1027">
        <f>IF($CF26&gt;$C$5," ",VLOOKUP($CF26,Unit!$A$7:$BE$68,23,FALSE))</f>
        <v>33.33</v>
      </c>
      <c r="CI26" s="1027">
        <f>IF($CF26&gt;$C$5," ",VLOOKUP($CF26,Unit!$A$7:$BE$68,24,FALSE))</f>
        <v>32.996699999999997</v>
      </c>
      <c r="CJ26" s="1189">
        <f>IF($CF26&gt;$C$5," ",VLOOKUP($CF26,Unit!$A$7:$BE$68,25,FALSE))</f>
        <v>0.33330000000000026</v>
      </c>
      <c r="CK26" s="1381">
        <f>IF($CF26&gt;$C$5," ",VLOOKUP($CF26,Unit!$A$7:$BE$68,27,FALSE))</f>
        <v>247.72918525687481</v>
      </c>
      <c r="CL26" s="1027">
        <f>IF($CF26&gt;$C$5," ",VLOOKUP($CF26,Unit!$A$7:$BE$68,28,FALSE))</f>
        <v>60.019001899464627</v>
      </c>
      <c r="CM26" s="1027">
        <f>IF($CF26&gt;$C$5," ",VLOOKUP($CF26,Unit!$A$7:$BE$68,29,FALSE))</f>
        <v>0</v>
      </c>
      <c r="CN26" s="1027">
        <f ca="1">IF($CF26&gt;$C$5," ",VLOOKUP($CF26,Unit!$A$7:$BE$68,30,FALSE))</f>
        <v>176.20237799999998</v>
      </c>
      <c r="CO26" s="1027">
        <f>IF($CF26&gt;$C$5," ",VLOOKUP($CF26,Unit!$A$7:$BE$68,31,FALSE))</f>
        <v>38.616920525620316</v>
      </c>
      <c r="CP26" s="1027">
        <f>IF($CF26&gt;$C$5," ",VLOOKUP($CF26,Unit!$A$7:$BE$68,32,FALSE))</f>
        <v>0</v>
      </c>
      <c r="CQ26" s="1381">
        <f>IF($CF26&gt;$C$5," ",VLOOKUP($CF26,Unit!$A$7:$BE$68,33,FALSE))</f>
        <v>361.19521025749333</v>
      </c>
      <c r="CR26" s="1027">
        <f>IF($CF26&gt;$C$5," ",VLOOKUP($CF26,Unit!$A$7:$BE$68,34,FALSE))</f>
        <v>0</v>
      </c>
      <c r="CS26" s="1027">
        <f>IF($CF26&gt;$C$5," ",VLOOKUP($CF26,Unit!$A$7:$BE$68,35,FALSE))</f>
        <v>357.47600462817718</v>
      </c>
      <c r="CT26" s="1027">
        <f>IF($CF26&gt;$C$5," ",VLOOKUP($CF26,Unit!$A$7:$BE$68,36,FALSE))</f>
        <v>0</v>
      </c>
      <c r="CU26" s="1189">
        <f t="shared" si="20"/>
        <v>357.47600462817718</v>
      </c>
      <c r="CV26" s="1027">
        <f>IF($CF26&gt;$C$5," ",VLOOKUP($CF26,Unit!$A$7:$BA$68,43,FALSE))</f>
        <v>144961.70750114086</v>
      </c>
      <c r="CW26" s="1027">
        <f>IF($CF26&gt;$C$5," ",VLOOKUP($CF26,Unit!$A$7:$BB$68,44,FALSE))</f>
        <v>-30072.456955298279</v>
      </c>
      <c r="CX26" s="1189">
        <f ca="1">IF($CF26&gt;$C$5," ",VLOOKUP($CF26,Unit!$A$7:$BE$68,47,FALSE))</f>
        <v>41812.574229099853</v>
      </c>
      <c r="CY26" s="1381">
        <f>IF($CF26&gt;$C$5," ",VLOOKUP($CF26,Unit!$A$7:$BA$68,53,FALSE))</f>
        <v>129702.45590340474</v>
      </c>
      <c r="CZ26" s="1027">
        <f>IF($CF26&gt;$C$5," ",VLOOKUP($CF26,Unit!$A$7:$BB$68,54,FALSE))</f>
        <v>-29306.448587109509</v>
      </c>
      <c r="DA26" s="1189">
        <f ca="1">IF($CF26&gt;$C$5," ",VLOOKUP($CF26,Unit!$A$7:$BE$68,57,FALSE))</f>
        <v>38164.891716271624</v>
      </c>
    </row>
    <row r="27" spans="1:105" x14ac:dyDescent="0.25">
      <c r="A27" s="38">
        <v>8</v>
      </c>
      <c r="B27" s="1381">
        <f>IF($A27&gt;$C$5," ",VLOOKUP($A27,Plot!$A$7:$T$67,Plot!P$2,FALSE))</f>
        <v>202.23390324700699</v>
      </c>
      <c r="C27" s="1027">
        <f>IF($A27&gt;$C$5," ",VLOOKUP($A27,Plot!$V$7:$CI$67,Plot!$CA$2,FALSE))</f>
        <v>-164.01214656415181</v>
      </c>
      <c r="D27" s="1027">
        <f ca="1">IF($A27&gt;$C$5," ",VLOOKUP($A27,Plot!$CK$7:$DD$67,Plot!$CZ$2,FALSE))</f>
        <v>-131.46402035446158</v>
      </c>
      <c r="E27" s="1027">
        <f>IF($A27&gt;$C$5," ",VLOOKUP($A27,Plot!$DF$7:$FT$67,Plot!$FL$2,FALSE))</f>
        <v>-106.21291446419988</v>
      </c>
      <c r="F27" s="1379">
        <f t="shared" ca="1" si="21"/>
        <v>-237.67693481866146</v>
      </c>
      <c r="G27" s="1026">
        <f>IF($A27&gt;$C$5," ",VLOOKUP($A27,Plot!$V$7:$CG$67,Plot!$CG$2,FALSE))</f>
        <v>-147.21068443488181</v>
      </c>
      <c r="H27" s="1027">
        <f>IF($A27&gt;$C$5," ",VLOOKUP($A27,Plot!$DF$7:$FT$67,Plot!$FR$2,FALSE))</f>
        <v>-95.326934369259874</v>
      </c>
      <c r="I27" s="1379">
        <f t="shared" ca="1" si="17"/>
        <v>-226.79095472372146</v>
      </c>
      <c r="J27" s="1026">
        <f>IF($A27&gt;$C$5," ",SUM(B$20:$B27))</f>
        <v>4550.2155319554913</v>
      </c>
      <c r="K27" s="1027">
        <f>IF($A27&gt;$C$5," ",SUM($C$20:C27))</f>
        <v>-1066.2760816166053</v>
      </c>
      <c r="L27" s="1027">
        <f ca="1">IF($A27&gt;$C$5," ",SUM($D$20:D27))</f>
        <v>1743.3909461555365</v>
      </c>
      <c r="M27" s="1027">
        <f>IF($A27&gt;$C$5," ",SUM($E$20:E27))</f>
        <v>-726.56520383348834</v>
      </c>
      <c r="N27" s="1379">
        <f ca="1">IF($A27&gt;$C$5," ",SUM($F$20:F27))</f>
        <v>1016.8257423220482</v>
      </c>
      <c r="O27" s="1027">
        <f>IF($A27&gt;$C$5," ",SUM($G$20:G27))</f>
        <v>-1023.6097432904917</v>
      </c>
      <c r="P27" s="1027">
        <f>IF($A27&gt;$C$5," ",SUM($H$20:H27))</f>
        <v>-699.03746301464298</v>
      </c>
      <c r="Q27" s="1027">
        <f ca="1">IF($A27&gt;$C$5," ",SUM($I$20:I27))</f>
        <v>1044.353483140894</v>
      </c>
      <c r="R27" s="1026">
        <f>IF($A27&gt;$C$5," ",VLOOKUP($A27,Plot!$HM$7:$IA$67,2,FALSE))</f>
        <v>153.68114551078293</v>
      </c>
      <c r="S27" s="1027">
        <f>IF($A27&gt;$C$5," ",VLOOKUP($A27,Plot!$HM$7:$IA$67,3,FALSE))</f>
        <v>-124.63575175560653</v>
      </c>
      <c r="T27" s="1027">
        <f ca="1">IF($A27&gt;$C$5," ",VLOOKUP($A27,Plot!$HM$7:$IA$67,4,FALSE))</f>
        <v>-99.901850862514038</v>
      </c>
      <c r="U27" s="1027">
        <f>IF($A27&gt;$C$5," ",VLOOKUP($A27,Plot!$HM$7:$IA$67,5,FALSE))</f>
        <v>-80.71308569345257</v>
      </c>
      <c r="V27" s="1379">
        <f t="shared" ca="1" si="16"/>
        <v>-180.61493655596661</v>
      </c>
      <c r="W27" s="1027">
        <f>IF($A27&gt;$C$5," ",VLOOKUP($A27,Plot!$HM$7:$IA$67,Plot!$HR$2,FALSE))</f>
        <v>-112.65422860206428</v>
      </c>
      <c r="X27" s="1027">
        <f>IF($A27&gt;$C$5," ",VLOOKUP($A27,Plot!$HM$7:$IA$67,Plot!$HS$2,FALSE))</f>
        <v>-72.946490321830254</v>
      </c>
      <c r="Y27" s="1379">
        <f t="shared" ca="1" si="18"/>
        <v>-172.84834118434429</v>
      </c>
      <c r="Z27" s="1026">
        <f>IF($A27&gt;$C$5," ",SUM($R$20:R27))</f>
        <v>4043.9767634893287</v>
      </c>
      <c r="AA27" s="1027">
        <f>IF($A27&gt;$C$5," ",SUM($S$20:S27))</f>
        <v>-1003.9171375074671</v>
      </c>
      <c r="AB27" s="1027">
        <f ca="1">IF($A27&gt;$C$5," ",SUM($T$20:T27))</f>
        <v>1649.9039608171161</v>
      </c>
      <c r="AC27" s="1027">
        <f>IF($A27&gt;$C$5," ",SUM($U$20:U27))</f>
        <v>-685.45763975917248</v>
      </c>
      <c r="AD27" s="1379">
        <f t="shared" ca="1" si="22"/>
        <v>964.44632105794358</v>
      </c>
      <c r="AE27" s="1027">
        <f>IF($A27&gt;$C$5," ",SUM($W$20:W27))</f>
        <v>-971.49422698934745</v>
      </c>
      <c r="AF27" s="1027">
        <f>IF($A27&gt;$C$5," ",SUM($X$20:X27))</f>
        <v>-664.53881915372222</v>
      </c>
      <c r="AG27" s="1027">
        <f t="shared" ca="1" si="23"/>
        <v>985.36514166339384</v>
      </c>
      <c r="AH27" s="1394">
        <f>IF($A27&gt;$C$5," ",VLOOKUP($A27,Plot!$A$7:$D$67,4,FALSE))</f>
        <v>1</v>
      </c>
      <c r="AI27" s="1390">
        <f>IF($A27&gt;$C$5," ",VLOOKUP($A27,Plot!$A$7:$E$67,5,FALSE))</f>
        <v>3.1964407959971979</v>
      </c>
      <c r="AJ27" s="1390">
        <f ca="1">IF($A27&gt;$C$5," ",IF(ROW()-ROW($A$18)&gt;='Options and results'!$AR$56,AVERAGE(OFFSET(AI27,0,0,COUNTA($BS:$BS)-'Options and results'!$AR$56,1)),NA()))</f>
        <v>6.7688313732347174</v>
      </c>
      <c r="AK27" s="1395">
        <f>IF($A27&gt;$C$5," ",VLOOKUP($A27,Plot!$A$7:$F$67,6,FALSE))</f>
        <v>1.5982203979985989</v>
      </c>
      <c r="AL27" s="1390">
        <f>IF($A27&gt;$C$5," ",VLOOKUP($A27,Plot!$CK$7:$CN$67,4,FALSE))</f>
        <v>0.99</v>
      </c>
      <c r="AM27" s="1390">
        <f ca="1">IF($A27&gt;$C$5," ",AL27*VLOOKUP($A27,Plot!$CK$7:$CO$67,5,FALSE))</f>
        <v>2.8908</v>
      </c>
      <c r="AN27" s="1390">
        <f ca="1">IF($A27&gt;$C$5," ",IF(ROW()-ROW($A$18)&gt;='Options and results'!$AR$56,AVERAGE(OFFSET(AM27,0,0,COUNTA($BS:$BS)-'Options and results'!$AR$56,1)),NA()))</f>
        <v>1.6197260869565215</v>
      </c>
      <c r="AO27" s="1390">
        <f ca="1">IF($A27&gt;$C$5," ",VLOOKUP($A27,Plot!$CK$7:$CP$67,6,FALSE))</f>
        <v>1.46</v>
      </c>
      <c r="AP27" s="1409">
        <f>IF($A27&gt;$C$5,0,VLOOKUP($A27,Plot!$V$7:$AH$67,7,FALSE))</f>
        <v>156</v>
      </c>
      <c r="AQ27" s="1390">
        <f>IF($A27&gt;$C$5," ",VLOOKUP($A27,Plot!$V$7:$AH$67,13,FALSE))</f>
        <v>2.9704922531954656</v>
      </c>
      <c r="AR27" s="1390">
        <f>IF($A27&gt;$C$5," ",VLOOKUP($A27,Plot!$V$7:$AI$67,14,FALSE))</f>
        <v>1.9041617007663242E-2</v>
      </c>
      <c r="AS27" s="1390">
        <f>IF($A27&gt;$C$5," ",VLOOKUP($A27,Plot!$V$7:$AJ$67,15,FALSE))</f>
        <v>0</v>
      </c>
      <c r="AT27" s="1390">
        <f>IF($A27&gt;$C$5," ",AQ27+SUM($AS$20:AS27)+IF(AP28=0,-AQ27,0))</f>
        <v>2.9704922531954656</v>
      </c>
      <c r="AU27" s="1390">
        <f>IF($A27&gt;$C$5," ",VLOOKUP($A27,Plot!$V$7:$AL$67,Plot!$AL$2,FALSE))</f>
        <v>0</v>
      </c>
      <c r="AV27" s="1395">
        <f>IF($A27&gt;$C$5," ",VLOOKUP($A27,Plot!$V$7:$AM$67,Plot!$AM$2,FALSE))</f>
        <v>0</v>
      </c>
      <c r="AW27" s="1407">
        <f>IF($A27&gt;$C$5,0,VLOOKUP($A27,Plot!$DF$7:$DS$67,7,FALSE))</f>
        <v>100</v>
      </c>
      <c r="AX27" s="1390">
        <f>IF($A27&gt;$C$5," ",VLOOKUP($A27,Plot!$DF$7:$DS$67,14,FALSE))</f>
        <v>1.9165211747338018</v>
      </c>
      <c r="AY27" s="1390">
        <f>IF($A27&gt;$C$5," ",VLOOKUP($A27,Plot!$DF$7:$DT$67,15,FALSE))</f>
        <v>1.9165211747338019E-2</v>
      </c>
      <c r="AZ27" s="1390">
        <f>IF($A27&gt;$C$5," ",VLOOKUP($A27,Plot!$DF$7:$DU$67,16,FALSE))</f>
        <v>0</v>
      </c>
      <c r="BA27" s="1390">
        <f>IF($A27&gt;$C$5," ",AX27+SUM($AZ$20:AZ27)+IF(AW28=0,-AX27,0))</f>
        <v>1.9165211747338018</v>
      </c>
      <c r="BB27" s="1390">
        <f>IF($A27&gt;$C$5," ",VLOOKUP($A27,Plot!$DF$7:$DW$67,Plot!$DW$2,FALSE))</f>
        <v>0</v>
      </c>
      <c r="BC27" s="1390">
        <f>IF($A27&gt;$C$5," ",VLOOKUP($A27,Plot!$DF$7:$DX$67,Plot!$DX$2,FALSE))</f>
        <v>0</v>
      </c>
      <c r="BD27" s="1396">
        <f>IF($A27&gt;$C$5," ",VLOOKUP($A27,Plot!$A$7:$N$67,14,FALSE))</f>
        <v>7.4591130728145263</v>
      </c>
      <c r="BE27" s="303">
        <f>IF($A27&gt;$C$5," ",VLOOKUP($A27,Plot!$V$7:$BW$67,Plot!$BW$2,FALSE))</f>
        <v>11.028229216722728</v>
      </c>
      <c r="BF27" s="303">
        <f>IF($A27&gt;$C$5," ",VLOOKUP($A27,Plot!$CK$7:$CX$67,14,FALSE))</f>
        <v>7.3845219420863808</v>
      </c>
      <c r="BG27" s="303">
        <f>IF($A27&gt;$C$5," ",VLOOKUP($A27,Plot!$DF$7:$FH$67,Plot!$FH$2,FALSE))</f>
        <v>7.0693777030273894</v>
      </c>
      <c r="BH27" s="1397">
        <f t="shared" si="24"/>
        <v>14.45389964511377</v>
      </c>
      <c r="BI27" s="303" t="str">
        <f>IF($A27&gt;$C$5," ",VLOOKUP($A27,Plot!$DF$7:$EJ$67,29,FALSE))</f>
        <v>Pruning</v>
      </c>
      <c r="BJ27" s="303">
        <f>IF($A27&gt;$C$5," ",VLOOKUP($A27,Plot!$DF$7:$FT$67,30,FALSE))</f>
        <v>14.6</v>
      </c>
      <c r="BK27" s="303">
        <f>IF($A27&gt;$C$5," ",VLOOKUP($A27,Plot!$DF$7:$FT$67,Plot!$EL$2,FALSE))</f>
        <v>0</v>
      </c>
      <c r="BL27" s="303">
        <f>IF($A27&gt;$C$5," ",VLOOKUP($A27,Plot!$DF$7:$FT$67,Plot!$EM$2,FALSE))</f>
        <v>0</v>
      </c>
      <c r="BM27" s="303">
        <f>IF($A27&gt;$C$5," ",VLOOKUP($A27,Plot!$DF$7:$FT$67,Plot!$EN$2,FALSE))</f>
        <v>0</v>
      </c>
      <c r="BN27" s="303">
        <f>IF($A27&gt;$C$5," ",VLOOKUP($A27,Plot!$DF$7:$FT$67,Plot!$EO$2,FALSE))</f>
        <v>0</v>
      </c>
      <c r="BO27" s="303">
        <f t="shared" si="19"/>
        <v>14.6</v>
      </c>
      <c r="BP27" s="303">
        <f>IF($A27&gt;$C$5," ",VLOOKUP($A27,Plot!$DF$7:$FT$67,Plot!$EQ$2,FALSE))</f>
        <v>0</v>
      </c>
      <c r="BQ27" s="303">
        <f>IF($A27&gt;$C$5," ",(VLOOKUP($A27,Plot!$DF$7:$FT$67,Plot!$ES$2,FALSE)+VLOOKUP($A27,Plot!$DF$7:$FT$67,Plot!$ET$2,FALSE)))</f>
        <v>7.0693777030273894</v>
      </c>
      <c r="BR27" s="303">
        <f>IF($A27&gt;$C$5," ",(VLOOKUP($A27,Plot!$DF$7:$FT$67,Plot!$EV$2,FALSE)+VLOOKUP($A27,Plot!$DF$7:$FT$67,Plot!$EW$2,FALSE)))</f>
        <v>0</v>
      </c>
      <c r="BS27" s="303">
        <f>IF($A27&gt;$C$5," ",VLOOKUP($A27,Plot!$DF$7:$FT$67,Plot!$EY$2,FALSE))</f>
        <v>0</v>
      </c>
      <c r="BT27" s="303">
        <f>IF($A27&gt;$C$5," ",(VLOOKUP($A27,Plot!$DF$7:$FT$67,Plot!$FB$2,FALSE)+VLOOKUP($A27,Plot!$DF$7:$FT$67,Plot!$FC$2,FALSE)))</f>
        <v>0</v>
      </c>
      <c r="BU27" s="303">
        <f>IF($A27&gt;$C$5," ",(VLOOKUP($A27,Plot!$DF$7:$FT$67,Plot!$FE$2,FALSE)+VLOOKUP($A27,Plot!$DF$7:$FT$67,Plot!$FF$2,FALSE)))</f>
        <v>0</v>
      </c>
      <c r="BV27" s="1026">
        <f>IF($A27&gt;$C$5," ",VLOOKUP($A27,Plot!$FV$7:$GJ$67,2,FALSE))</f>
        <v>877.15055267813011</v>
      </c>
      <c r="BW27" s="1027">
        <f>IF($A27&gt;$C$5," ",VLOOKUP($A27,Plot!$FV$7:$GJ$67,3,FALSE))</f>
        <v>0</v>
      </c>
      <c r="BX27" s="1379">
        <f ca="1">IF($A27&gt;$C$5," ",VLOOKUP($A27,Plot!$FV$7:$GJ$67,6,FALSE))</f>
        <v>793.27820520163368</v>
      </c>
      <c r="BY27" s="1026">
        <f>IF($A27&gt;$C$5," ",VLOOKUP($A27,Plot!$GO$7:$GY$67,2,FALSE))</f>
        <v>178.73266966512526</v>
      </c>
      <c r="BZ27" s="1027">
        <f>IF($A27&gt;$C$5," ",VLOOKUP($A27,Plot!$GO$7:$GY$67,3,FALSE))</f>
        <v>0</v>
      </c>
      <c r="CA27" s="1379">
        <f>IF($A27&gt;$C$5," ",VLOOKUP($A27,Plot!$GO$7:$GY$67,6,FALSE))</f>
        <v>0</v>
      </c>
      <c r="CB27" s="1027">
        <f>IF($A27&gt;$C$5," ",-1*VLOOKUP($A27,Plot!$HA$7:$HK$67,2,FALSE))</f>
        <v>-902.20207683247236</v>
      </c>
      <c r="CC27" s="1027">
        <f>IF($A27&gt;$C$5," ",-1*VLOOKUP($A27,Plot!$HA$7:$HK$67,3,FALSE))</f>
        <v>-124.63575175560653</v>
      </c>
      <c r="CD27" s="1189">
        <f>IF($A27&gt;$C$5," ",-1*VLOOKUP($A27,Plot!$HA$7:$HK$67,6,FALSE))</f>
        <v>-973.89314175760023</v>
      </c>
      <c r="CE27" s="10"/>
      <c r="CF27" s="38">
        <v>8</v>
      </c>
      <c r="CG27" s="1381">
        <f>IF($CF27&gt;$C$5," ",VLOOKUP($CF27,Unit!$A$7:$BE$68,22,FALSE))</f>
        <v>33.340000000000003</v>
      </c>
      <c r="CH27" s="1027">
        <f>IF($CF27&gt;$C$5," ",VLOOKUP($CF27,Unit!$A$7:$BE$68,23,FALSE))</f>
        <v>33.33</v>
      </c>
      <c r="CI27" s="1027">
        <f>IF($CF27&gt;$C$5," ",VLOOKUP($CF27,Unit!$A$7:$BE$68,24,FALSE))</f>
        <v>32.996699999999997</v>
      </c>
      <c r="CJ27" s="1189">
        <f>IF($CF27&gt;$C$5," ",VLOOKUP($CF27,Unit!$A$7:$BE$68,25,FALSE))</f>
        <v>0.33330000000000026</v>
      </c>
      <c r="CK27" s="1381">
        <f>IF($CF27&gt;$C$5," ",VLOOKUP($CF27,Unit!$A$7:$BE$68,27,FALSE))</f>
        <v>106.56933613854659</v>
      </c>
      <c r="CL27" s="1027">
        <f>IF($CF27&gt;$C$5," ",VLOOKUP($CF27,Unit!$A$7:$BE$68,28,FALSE))</f>
        <v>99.006506799004868</v>
      </c>
      <c r="CM27" s="1027">
        <f>IF($CF27&gt;$C$5," ",VLOOKUP($CF27,Unit!$A$7:$BE$68,29,FALSE))</f>
        <v>0</v>
      </c>
      <c r="CN27" s="1027">
        <f ca="1">IF($CF27&gt;$C$5," ",VLOOKUP($CF27,Unit!$A$7:$BE$68,30,FALSE))</f>
        <v>96.350363999999999</v>
      </c>
      <c r="CO27" s="1027">
        <f>IF($CF27&gt;$C$5," ",VLOOKUP($CF27,Unit!$A$7:$BE$68,31,FALSE))</f>
        <v>63.87765075387761</v>
      </c>
      <c r="CP27" s="1027">
        <f>IF($CF27&gt;$C$5," ",VLOOKUP($CF27,Unit!$A$7:$BE$68,32,FALSE))</f>
        <v>0</v>
      </c>
      <c r="CQ27" s="1381">
        <f>IF($CF27&gt;$C$5," ",VLOOKUP($CF27,Unit!$A$7:$BE$68,33,FALSE))</f>
        <v>248.68682984763632</v>
      </c>
      <c r="CR27" s="1027">
        <f>IF($CF27&gt;$C$5," ",VLOOKUP($CF27,Unit!$A$7:$BE$68,34,FALSE))</f>
        <v>367.57087979336853</v>
      </c>
      <c r="CS27" s="1027">
        <f>IF($CF27&gt;$C$5," ",VLOOKUP($CF27,Unit!$A$7:$BE$68,35,FALSE))</f>
        <v>246.12611632973906</v>
      </c>
      <c r="CT27" s="1027">
        <f>IF($CF27&gt;$C$5," ",VLOOKUP($CF27,Unit!$A$7:$BE$68,36,FALSE))</f>
        <v>235.62235884190287</v>
      </c>
      <c r="CU27" s="1189">
        <f t="shared" si="20"/>
        <v>481.74847517164193</v>
      </c>
      <c r="CV27" s="1027">
        <f>IF($CF27&gt;$C$5," ",VLOOKUP($CF27,Unit!$A$7:$BA$68,43,FALSE))</f>
        <v>151704.18583539609</v>
      </c>
      <c r="CW27" s="1027">
        <f>IF($CF27&gt;$C$5," ",VLOOKUP($CF27,Unit!$A$7:$BB$68,44,FALSE))</f>
        <v>-35538.981800281457</v>
      </c>
      <c r="CX27" s="1189">
        <f ca="1">IF($CF27&gt;$C$5," ",VLOOKUP($CF27,Unit!$A$7:$BE$68,47,FALSE))</f>
        <v>33890.801991593864</v>
      </c>
      <c r="CY27" s="1381">
        <f>IF($CF27&gt;$C$5," ",VLOOKUP($CF27,Unit!$A$7:$BA$68,53,FALSE))</f>
        <v>134826.18529473426</v>
      </c>
      <c r="CZ27" s="1027">
        <f>IF($CF27&gt;$C$5," ",VLOOKUP($CF27,Unit!$A$7:$BB$68,54,FALSE))</f>
        <v>-33460.558193123878</v>
      </c>
      <c r="DA27" s="1189">
        <f ca="1">IF($CF27&gt;$C$5," ",VLOOKUP($CF27,Unit!$A$7:$BE$68,57,FALSE))</f>
        <v>32144.995880861257</v>
      </c>
    </row>
    <row r="28" spans="1:105" x14ac:dyDescent="0.25">
      <c r="A28" s="38">
        <v>9</v>
      </c>
      <c r="B28" s="1381">
        <f>IF($A28&gt;$C$5," ",VLOOKUP($A28,Plot!$A$7:$T$67,Plot!P$2,FALSE))</f>
        <v>825.4912736799937</v>
      </c>
      <c r="C28" s="1027">
        <f>IF($A28&gt;$C$5," ",VLOOKUP($A28,Plot!$V$7:$CI$67,Plot!$CA$2,FALSE))</f>
        <v>-232.16014471064733</v>
      </c>
      <c r="D28" s="1027">
        <f ca="1">IF($A28&gt;$C$5," ",VLOOKUP($A28,Plot!$CK$7:$DD$67,Plot!$CZ$2,FALSE))</f>
        <v>171.84425873713781</v>
      </c>
      <c r="E28" s="1027">
        <f>IF($A28&gt;$C$5," ",VLOOKUP($A28,Plot!$DF$7:$FT$67,Plot!$FL$2,FALSE))</f>
        <v>-149.89752866067138</v>
      </c>
      <c r="F28" s="1379">
        <f t="shared" ca="1" si="21"/>
        <v>21.946730076466423</v>
      </c>
      <c r="G28" s="1026">
        <f>IF($A28&gt;$C$5," ",VLOOKUP($A28,Plot!$V$7:$CG$67,Plot!$CG$2,FALSE))</f>
        <v>-190.60039713180305</v>
      </c>
      <c r="H28" s="1027">
        <f>IF($A28&gt;$C$5," ",VLOOKUP($A28,Plot!$DF$7:$FT$67,Plot!$FR$2,FALSE))</f>
        <v>-122.89888016005882</v>
      </c>
      <c r="I28" s="1379">
        <f t="shared" ca="1" si="17"/>
        <v>48.945378577078984</v>
      </c>
      <c r="J28" s="1026">
        <f>IF($A28&gt;$C$5," ",SUM(B$20:$B28))</f>
        <v>5375.7068056354847</v>
      </c>
      <c r="K28" s="1027">
        <f>IF($A28&gt;$C$5," ",SUM($C$20:C28))</f>
        <v>-1298.4362263272526</v>
      </c>
      <c r="L28" s="1027">
        <f ca="1">IF($A28&gt;$C$5," ",SUM($D$20:D28))</f>
        <v>1915.2352048926743</v>
      </c>
      <c r="M28" s="1027">
        <f>IF($A28&gt;$C$5," ",SUM($E$20:E28))</f>
        <v>-876.4627324941597</v>
      </c>
      <c r="N28" s="1379">
        <f ca="1">IF($A28&gt;$C$5," ",SUM($F$20:F28))</f>
        <v>1038.7724723985145</v>
      </c>
      <c r="O28" s="1027">
        <f>IF($A28&gt;$C$5," ",SUM($G$20:G28))</f>
        <v>-1214.2101404222947</v>
      </c>
      <c r="P28" s="1027">
        <f>IF($A28&gt;$C$5," ",SUM($H$20:H28))</f>
        <v>-821.93634317470185</v>
      </c>
      <c r="Q28" s="1027">
        <f ca="1">IF($A28&gt;$C$5," ",SUM($I$20:I28))</f>
        <v>1093.2988617179731</v>
      </c>
      <c r="R28" s="1026">
        <f>IF($A28&gt;$C$5," ",VLOOKUP($A28,Plot!$HM$7:$IA$67,2,FALSE))</f>
        <v>603.17838799258323</v>
      </c>
      <c r="S28" s="1027">
        <f>IF($A28&gt;$C$5," ",VLOOKUP($A28,Plot!$HM$7:$IA$67,3,FALSE))</f>
        <v>-169.63714373191311</v>
      </c>
      <c r="T28" s="1027">
        <f ca="1">IF($A28&gt;$C$5," ",VLOOKUP($A28,Plot!$HM$7:$IA$67,4,FALSE))</f>
        <v>125.56491664505324</v>
      </c>
      <c r="U28" s="1027">
        <f>IF($A28&gt;$C$5," ",VLOOKUP($A28,Plot!$HM$7:$IA$67,5,FALSE))</f>
        <v>-109.52865594635671</v>
      </c>
      <c r="V28" s="1379">
        <f t="shared" ca="1" si="16"/>
        <v>16.036260698696537</v>
      </c>
      <c r="W28" s="1027">
        <f>IF($A28&gt;$C$5," ",VLOOKUP($A28,Plot!$HM$7:$IA$67,Plot!$HR$2,FALSE))</f>
        <v>-140.51687827362437</v>
      </c>
      <c r="X28" s="1027">
        <f>IF($A28&gt;$C$5," ",VLOOKUP($A28,Plot!$HM$7:$IA$67,Plot!$HS$2,FALSE))</f>
        <v>-90.605577961954168</v>
      </c>
      <c r="Y28" s="1379">
        <f t="shared" ca="1" si="18"/>
        <v>34.959338683099077</v>
      </c>
      <c r="Z28" s="1026">
        <f>IF($A28&gt;$C$5," ",SUM($R$20:R28))</f>
        <v>4647.1551514819121</v>
      </c>
      <c r="AA28" s="1027">
        <f>IF($A28&gt;$C$5," ",SUM($S$20:S28))</f>
        <v>-1173.5542812393803</v>
      </c>
      <c r="AB28" s="1027">
        <f ca="1">IF($A28&gt;$C$5," ",SUM($T$20:T28))</f>
        <v>1775.4688774621693</v>
      </c>
      <c r="AC28" s="1027">
        <f>IF($A28&gt;$C$5," ",SUM($U$20:U28))</f>
        <v>-794.98629570552919</v>
      </c>
      <c r="AD28" s="1379">
        <f t="shared" ca="1" si="22"/>
        <v>980.48258175664012</v>
      </c>
      <c r="AE28" s="1027">
        <f>IF($A28&gt;$C$5," ",SUM($W$20:W28))</f>
        <v>-1112.0111052629718</v>
      </c>
      <c r="AF28" s="1027">
        <f>IF($A28&gt;$C$5," ",SUM($X$20:X28))</f>
        <v>-755.14439711567638</v>
      </c>
      <c r="AG28" s="1027">
        <f t="shared" ca="1" si="23"/>
        <v>1020.3244803464929</v>
      </c>
      <c r="AH28" s="1394">
        <f>IF($A28&gt;$C$5," ",VLOOKUP($A28,Plot!$A$7:$D$67,4,FALSE))</f>
        <v>1</v>
      </c>
      <c r="AI28" s="1390">
        <f>IF($A28&gt;$C$5," ",VLOOKUP($A28,Plot!$A$7:$E$67,5,FALSE))</f>
        <v>9.8493672631198592</v>
      </c>
      <c r="AJ28" s="1390">
        <f ca="1">IF($A28&gt;$C$5," ",IF(ROW()-ROW($A$18)&gt;='Options and results'!$AR$56,AVERAGE(OFFSET(AI28,0,0,COUNTA($BS:$BS)-'Options and results'!$AR$56,1)),NA()))</f>
        <v>6.9312127631091505</v>
      </c>
      <c r="AK28" s="1395">
        <f>IF($A28&gt;$C$5," ",VLOOKUP($A28,Plot!$A$7:$F$67,6,FALSE))</f>
        <v>3.9397469052479437</v>
      </c>
      <c r="AL28" s="1390">
        <f>IF($A28&gt;$C$5," ",VLOOKUP($A28,Plot!$CK$7:$CN$67,4,FALSE))</f>
        <v>0.99</v>
      </c>
      <c r="AM28" s="1390">
        <f ca="1">IF($A28&gt;$C$5," ",AL28*VLOOKUP($A28,Plot!$CK$7:$CO$67,5,FALSE))</f>
        <v>7.5635999999999992</v>
      </c>
      <c r="AN28" s="1390">
        <f ca="1">IF($A28&gt;$C$5," ",IF(ROW()-ROW($A$18)&gt;='Options and results'!$AR$56,AVERAGE(OFFSET(AM28,0,0,COUNTA($BS:$BS)-'Options and results'!$AR$56,1)),NA()))</f>
        <v>1.5619499999999997</v>
      </c>
      <c r="AO28" s="1390">
        <f ca="1">IF($A28&gt;$C$5," ",VLOOKUP($A28,Plot!$CK$7:$CP$67,6,FALSE))</f>
        <v>3.056</v>
      </c>
      <c r="AP28" s="1409">
        <f>IF($A28&gt;$C$5,0,VLOOKUP($A28,Plot!$V$7:$AH$67,7,FALSE))</f>
        <v>156</v>
      </c>
      <c r="AQ28" s="1390">
        <f>IF($A28&gt;$C$5," ",VLOOKUP($A28,Plot!$V$7:$AH$67,13,FALSE))</f>
        <v>5.1431003603587255</v>
      </c>
      <c r="AR28" s="1390">
        <f>IF($A28&gt;$C$5," ",VLOOKUP($A28,Plot!$V$7:$AI$67,14,FALSE))</f>
        <v>3.2968592053581575E-2</v>
      </c>
      <c r="AS28" s="1390">
        <f>IF($A28&gt;$C$5," ",VLOOKUP($A28,Plot!$V$7:$AJ$67,15,FALSE))</f>
        <v>0</v>
      </c>
      <c r="AT28" s="1390">
        <f>IF($A28&gt;$C$5," ",AQ28+SUM($AS$20:AS28)+IF(AP29=0,-AQ28,0))</f>
        <v>5.1431003603587255</v>
      </c>
      <c r="AU28" s="1390">
        <f>IF($A28&gt;$C$5," ",VLOOKUP($A28,Plot!$V$7:$AL$67,Plot!$AL$2,FALSE))</f>
        <v>0</v>
      </c>
      <c r="AV28" s="1395">
        <f>IF($A28&gt;$C$5," ",VLOOKUP($A28,Plot!$V$7:$AM$67,Plot!$AM$2,FALSE))</f>
        <v>0</v>
      </c>
      <c r="AW28" s="1407">
        <f>IF($A28&gt;$C$5,0,VLOOKUP($A28,Plot!$DF$7:$DS$67,7,FALSE))</f>
        <v>100</v>
      </c>
      <c r="AX28" s="1390">
        <f>IF($A28&gt;$C$5," ",VLOOKUP($A28,Plot!$DF$7:$DS$67,14,FALSE))</f>
        <v>3.3295467733643926</v>
      </c>
      <c r="AY28" s="1390">
        <f>IF($A28&gt;$C$5," ",VLOOKUP($A28,Plot!$DF$7:$DT$67,15,FALSE))</f>
        <v>3.3295467733643926E-2</v>
      </c>
      <c r="AZ28" s="1390">
        <f>IF($A28&gt;$C$5," ",VLOOKUP($A28,Plot!$DF$7:$DU$67,16,FALSE))</f>
        <v>0</v>
      </c>
      <c r="BA28" s="1390">
        <f>IF($A28&gt;$C$5," ",AX28+SUM($AZ$20:AZ28)+IF(AW29=0,-AX28,0))</f>
        <v>3.3295467733643926</v>
      </c>
      <c r="BB28" s="1390">
        <f>IF($A28&gt;$C$5," ",VLOOKUP($A28,Plot!$DF$7:$DW$67,Plot!$DW$2,FALSE))</f>
        <v>0</v>
      </c>
      <c r="BC28" s="1390">
        <f>IF($A28&gt;$C$5," ",VLOOKUP($A28,Plot!$DF$7:$DX$67,Plot!$DX$2,FALSE))</f>
        <v>0</v>
      </c>
      <c r="BD28" s="1396">
        <f>IF($A28&gt;$C$5," ",VLOOKUP($A28,Plot!$A$7:$N$67,14,FALSE))</f>
        <v>11.632834596849463</v>
      </c>
      <c r="BE28" s="303">
        <f>IF($A28&gt;$C$5," ",VLOOKUP($A28,Plot!$V$7:$BW$67,Plot!$BW$2,FALSE))</f>
        <v>15.695900322647079</v>
      </c>
      <c r="BF28" s="303">
        <f>IF($A28&gt;$C$5," ",VLOOKUP($A28,Plot!$CK$7:$CX$67,14,FALSE))</f>
        <v>11.516506250880969</v>
      </c>
      <c r="BG28" s="303">
        <f>IF($A28&gt;$C$5," ",VLOOKUP($A28,Plot!$DF$7:$FH$67,Plot!$FH$2,FALSE))</f>
        <v>10.06147456579941</v>
      </c>
      <c r="BH28" s="1397">
        <f t="shared" si="24"/>
        <v>21.57798081668038</v>
      </c>
      <c r="BI28" s="303" t="str">
        <f>IF($A28&gt;$C$5," ",VLOOKUP($A28,Plot!$DF$7:$EJ$67,29,FALSE))</f>
        <v>Sward establishment</v>
      </c>
      <c r="BJ28" s="303">
        <f>IF($A28&gt;$C$5," ",VLOOKUP($A28,Plot!$DF$7:$FT$67,30,FALSE))</f>
        <v>14.6</v>
      </c>
      <c r="BK28" s="303">
        <f>IF($A28&gt;$C$5," ",VLOOKUP($A28,Plot!$DF$7:$FT$67,Plot!$EL$2,FALSE))</f>
        <v>0</v>
      </c>
      <c r="BL28" s="303">
        <f>IF($A28&gt;$C$5," ",VLOOKUP($A28,Plot!$DF$7:$FT$67,Plot!$EM$2,FALSE))</f>
        <v>0</v>
      </c>
      <c r="BM28" s="303">
        <f>IF($A28&gt;$C$5," ",VLOOKUP($A28,Plot!$DF$7:$FT$67,Plot!$EN$2,FALSE))</f>
        <v>0</v>
      </c>
      <c r="BN28" s="303">
        <f>IF($A28&gt;$C$5," ",VLOOKUP($A28,Plot!$DF$7:$FT$67,Plot!$EO$2,FALSE))</f>
        <v>0</v>
      </c>
      <c r="BO28" s="303">
        <f t="shared" si="19"/>
        <v>14.6</v>
      </c>
      <c r="BP28" s="303">
        <f>IF($A28&gt;$C$5," ",VLOOKUP($A28,Plot!$DF$7:$FT$67,Plot!$EQ$2,FALSE))</f>
        <v>0</v>
      </c>
      <c r="BQ28" s="303">
        <f>IF($A28&gt;$C$5," ",(VLOOKUP($A28,Plot!$DF$7:$FT$67,Plot!$ES$2,FALSE)+VLOOKUP($A28,Plot!$DF$7:$FT$67,Plot!$ET$2,FALSE)))</f>
        <v>10.06147456579941</v>
      </c>
      <c r="BR28" s="303">
        <f>IF($A28&gt;$C$5," ",(VLOOKUP($A28,Plot!$DF$7:$FT$67,Plot!$EV$2,FALSE)+VLOOKUP($A28,Plot!$DF$7:$FT$67,Plot!$EW$2,FALSE)))</f>
        <v>0</v>
      </c>
      <c r="BS28" s="303">
        <f>IF($A28&gt;$C$5," ",VLOOKUP($A28,Plot!$DF$7:$FT$67,Plot!$EY$2,FALSE))</f>
        <v>0</v>
      </c>
      <c r="BT28" s="303">
        <f>IF($A28&gt;$C$5," ",(VLOOKUP($A28,Plot!$DF$7:$FT$67,Plot!$FB$2,FALSE)+VLOOKUP($A28,Plot!$DF$7:$FT$67,Plot!$FC$2,FALSE)))</f>
        <v>0</v>
      </c>
      <c r="BU28" s="303">
        <f>IF($A28&gt;$C$5," ",(VLOOKUP($A28,Plot!$DF$7:$FT$67,Plot!$FE$2,FALSE)+VLOOKUP($A28,Plot!$DF$7:$FT$67,Plot!$FF$2,FALSE)))</f>
        <v>0</v>
      </c>
      <c r="BV28" s="1026">
        <f>IF($A28&gt;$C$5," ",VLOOKUP($A28,Plot!$FV$7:$GJ$67,2,FALSE))</f>
        <v>1357.4032692675023</v>
      </c>
      <c r="BW28" s="1027">
        <f>IF($A28&gt;$C$5," ",VLOOKUP($A28,Plot!$FV$7:$GJ$67,3,FALSE))</f>
        <v>0</v>
      </c>
      <c r="BX28" s="1379">
        <f ca="1">IF($A28&gt;$C$5," ",VLOOKUP($A28,Plot!$FV$7:$GJ$67,6,FALSE))</f>
        <v>1042.3873019615251</v>
      </c>
      <c r="BY28" s="1026">
        <f>IF($A28&gt;$C$5," ",VLOOKUP($A28,Plot!$GO$7:$GY$67,2,FALSE))</f>
        <v>171.85833621646657</v>
      </c>
      <c r="BZ28" s="1027">
        <f>IF($A28&gt;$C$5," ",VLOOKUP($A28,Plot!$GO$7:$GY$67,3,FALSE))</f>
        <v>0</v>
      </c>
      <c r="CA28" s="1379">
        <f>IF($A28&gt;$C$5," ",VLOOKUP($A28,Plot!$GO$7:$GY$67,6,FALSE))</f>
        <v>0</v>
      </c>
      <c r="CB28" s="1027">
        <f>IF($A28&gt;$C$5," ",-1*VLOOKUP($A28,Plot!$HA$7:$HK$67,2,FALSE))</f>
        <v>-926.08321749138565</v>
      </c>
      <c r="CC28" s="1027">
        <f>IF($A28&gt;$C$5," ",-1*VLOOKUP($A28,Plot!$HA$7:$HK$67,3,FALSE))</f>
        <v>-169.63714373191311</v>
      </c>
      <c r="CD28" s="1189">
        <f>IF($A28&gt;$C$5," ",-1*VLOOKUP($A28,Plot!$HA$7:$HK$67,6,FALSE))</f>
        <v>-1026.3510412628284</v>
      </c>
      <c r="CE28" s="10"/>
      <c r="CF28" s="38">
        <v>9</v>
      </c>
      <c r="CG28" s="1381">
        <f>IF($CF28&gt;$C$5," ",VLOOKUP($CF28,Unit!$A$7:$BE$68,22,FALSE))</f>
        <v>33.340000000000003</v>
      </c>
      <c r="CH28" s="1027">
        <f>IF($CF28&gt;$C$5," ",VLOOKUP($CF28,Unit!$A$7:$BE$68,23,FALSE))</f>
        <v>33.33</v>
      </c>
      <c r="CI28" s="1027">
        <f>IF($CF28&gt;$C$5," ",VLOOKUP($CF28,Unit!$A$7:$BE$68,24,FALSE))</f>
        <v>32.996699999999997</v>
      </c>
      <c r="CJ28" s="1189">
        <f>IF($CF28&gt;$C$5," ",VLOOKUP($CF28,Unit!$A$7:$BE$68,25,FALSE))</f>
        <v>0.33330000000000026</v>
      </c>
      <c r="CK28" s="1381">
        <f>IF($CF28&gt;$C$5," ",VLOOKUP($CF28,Unit!$A$7:$BE$68,27,FALSE))</f>
        <v>328.37790455241611</v>
      </c>
      <c r="CL28" s="1027">
        <f>IF($CF28&gt;$C$5," ",VLOOKUP($CF28,Unit!$A$7:$BE$68,28,FALSE))</f>
        <v>171.41953501075631</v>
      </c>
      <c r="CM28" s="1027">
        <f>IF($CF28&gt;$C$5," ",VLOOKUP($CF28,Unit!$A$7:$BE$68,29,FALSE))</f>
        <v>0</v>
      </c>
      <c r="CN28" s="1027">
        <f ca="1">IF($CF28&gt;$C$5," ",VLOOKUP($CF28,Unit!$A$7:$BE$68,30,FALSE))</f>
        <v>252.09478799999997</v>
      </c>
      <c r="CO28" s="1027">
        <f>IF($CF28&gt;$C$5," ",VLOOKUP($CF28,Unit!$A$7:$BE$68,31,FALSE))</f>
        <v>110.9737939562352</v>
      </c>
      <c r="CP28" s="1027">
        <f>IF($CF28&gt;$C$5," ",VLOOKUP($CF28,Unit!$A$7:$BE$68,32,FALSE))</f>
        <v>0</v>
      </c>
      <c r="CQ28" s="1381">
        <f>IF($CF28&gt;$C$5," ",VLOOKUP($CF28,Unit!$A$7:$BE$68,33,FALSE))</f>
        <v>387.83870545896116</v>
      </c>
      <c r="CR28" s="1027">
        <f>IF($CF28&gt;$C$5," ",VLOOKUP($CF28,Unit!$A$7:$BE$68,34,FALSE))</f>
        <v>523.14435775382708</v>
      </c>
      <c r="CS28" s="1027">
        <f>IF($CF28&gt;$C$5," ",VLOOKUP($CF28,Unit!$A$7:$BE$68,35,FALSE))</f>
        <v>383.84515334186267</v>
      </c>
      <c r="CT28" s="1027">
        <f>IF($CF28&gt;$C$5," ",VLOOKUP($CF28,Unit!$A$7:$BE$68,36,FALSE))</f>
        <v>335.34894727809433</v>
      </c>
      <c r="CU28" s="1189">
        <f t="shared" si="20"/>
        <v>719.194100619957</v>
      </c>
      <c r="CV28" s="1027">
        <f>IF($CF28&gt;$C$5," ",VLOOKUP($CF28,Unit!$A$7:$BA$68,43,FALSE))</f>
        <v>179226.06489988707</v>
      </c>
      <c r="CW28" s="1027">
        <f>IF($CF28&gt;$C$5," ",VLOOKUP($CF28,Unit!$A$7:$BB$68,44,FALSE))</f>
        <v>-43276.879423487335</v>
      </c>
      <c r="CX28" s="1189">
        <f ca="1">IF($CF28&gt;$C$5," ",VLOOKUP($CF28,Unit!$A$7:$BE$68,47,FALSE))</f>
        <v>34622.286505042488</v>
      </c>
      <c r="CY28" s="1381">
        <f>IF($CF28&gt;$C$5," ",VLOOKUP($CF28,Unit!$A$7:$BA$68,53,FALSE))</f>
        <v>154936.152750407</v>
      </c>
      <c r="CZ28" s="1027">
        <f>IF($CF28&gt;$C$5," ",VLOOKUP($CF28,Unit!$A$7:$BB$68,54,FALSE))</f>
        <v>-39114.564193708538</v>
      </c>
      <c r="DA28" s="1189">
        <f ca="1">IF($CF28&gt;$C$5," ",VLOOKUP($CF28,Unit!$A$7:$BE$68,57,FALSE))</f>
        <v>32679.48444994881</v>
      </c>
    </row>
    <row r="29" spans="1:105" x14ac:dyDescent="0.25">
      <c r="A29" s="38">
        <v>10</v>
      </c>
      <c r="B29" s="1381">
        <f>IF($A29&gt;$C$5," ",VLOOKUP($A29,Plot!$A$7:$T$67,Plot!P$2,FALSE))</f>
        <v>625.74046368426104</v>
      </c>
      <c r="C29" s="1027">
        <f>IF($A29&gt;$C$5," ",VLOOKUP($A29,Plot!$V$7:$CI$67,Plot!$CA$2,FALSE))</f>
        <v>-3</v>
      </c>
      <c r="D29" s="1027">
        <f ca="1">IF($A29&gt;$C$5," ",VLOOKUP($A29,Plot!$CK$7:$DD$67,Plot!$CZ$2,FALSE))</f>
        <v>-29.818741262861977</v>
      </c>
      <c r="E29" s="1027">
        <f>IF($A29&gt;$C$5," ",VLOOKUP($A29,Plot!$DF$7:$FT$67,Plot!$FL$2,FALSE))</f>
        <v>-3</v>
      </c>
      <c r="F29" s="1379">
        <f t="shared" ca="1" si="21"/>
        <v>-32.818741262861977</v>
      </c>
      <c r="G29" s="1026">
        <f>IF($A29&gt;$C$5," ",VLOOKUP($A29,Plot!$V$7:$CG$67,Plot!$CG$2,FALSE))</f>
        <v>58.421768915555859</v>
      </c>
      <c r="H29" s="1027">
        <f>IF($A29&gt;$C$5," ",VLOOKUP($A29,Plot!$DF$7:$FT$67,Plot!$FR$2,FALSE))</f>
        <v>37.301423088581871</v>
      </c>
      <c r="I29" s="1379">
        <f t="shared" ca="1" si="17"/>
        <v>7.4826818257198937</v>
      </c>
      <c r="J29" s="1026">
        <f>IF($A29&gt;$C$5," ",SUM(B$20:$B29))</f>
        <v>6001.4472693197458</v>
      </c>
      <c r="K29" s="1027">
        <f>IF($A29&gt;$C$5," ",SUM($C$20:C29))</f>
        <v>-1301.4362263272526</v>
      </c>
      <c r="L29" s="1027">
        <f ca="1">IF($A29&gt;$C$5," ",SUM($D$20:D29))</f>
        <v>1885.4164636298124</v>
      </c>
      <c r="M29" s="1027">
        <f>IF($A29&gt;$C$5," ",SUM($E$20:E29))</f>
        <v>-879.4627324941597</v>
      </c>
      <c r="N29" s="1379">
        <f ca="1">IF($A29&gt;$C$5," ",SUM($F$20:F29))</f>
        <v>1005.9537311356526</v>
      </c>
      <c r="O29" s="1027">
        <f>IF($A29&gt;$C$5," ",SUM($G$20:G29))</f>
        <v>-1155.7883715067387</v>
      </c>
      <c r="P29" s="1027">
        <f>IF($A29&gt;$C$5," ",SUM($H$20:H29))</f>
        <v>-784.63492008612002</v>
      </c>
      <c r="Q29" s="1027">
        <f ca="1">IF($A29&gt;$C$5," ",SUM($I$20:I29))</f>
        <v>1100.781543543693</v>
      </c>
      <c r="R29" s="1026">
        <f>IF($A29&gt;$C$5," ",VLOOKUP($A29,Plot!$HM$7:$IA$67,2,FALSE))</f>
        <v>439.63694969950859</v>
      </c>
      <c r="S29" s="1027">
        <f>IF($A29&gt;$C$5," ",VLOOKUP($A29,Plot!$HM$7:$IA$67,3,FALSE))</f>
        <v>-2.1077602067364913</v>
      </c>
      <c r="T29" s="1027">
        <f ca="1">IF($A29&gt;$C$5," ",VLOOKUP($A29,Plot!$HM$7:$IA$67,4,FALSE))</f>
        <v>-20.950252082943962</v>
      </c>
      <c r="U29" s="1027">
        <f>IF($A29&gt;$C$5," ",VLOOKUP($A29,Plot!$HM$7:$IA$67,5,FALSE))</f>
        <v>-2.1077602067364913</v>
      </c>
      <c r="V29" s="1379">
        <f t="shared" ca="1" si="16"/>
        <v>-23.058012289680452</v>
      </c>
      <c r="W29" s="1027">
        <f>IF($A29&gt;$C$5," ",VLOOKUP($A29,Plot!$HM$7:$IA$67,Plot!$HR$2,FALSE))</f>
        <v>38.679314679259321</v>
      </c>
      <c r="X29" s="1027">
        <f>IF($A29&gt;$C$5," ",VLOOKUP($A29,Plot!$HM$7:$IA$67,Plot!$HS$2,FALSE))</f>
        <v>24.675104365257216</v>
      </c>
      <c r="Y29" s="1379">
        <f t="shared" ca="1" si="18"/>
        <v>3.7248522823132539</v>
      </c>
      <c r="Z29" s="1026">
        <f>IF($A29&gt;$C$5," ",SUM($R$20:R29))</f>
        <v>5086.7921011814205</v>
      </c>
      <c r="AA29" s="1027">
        <f>IF($A29&gt;$C$5," ",SUM($S$20:S29))</f>
        <v>-1175.6620414461167</v>
      </c>
      <c r="AB29" s="1027">
        <f ca="1">IF($A29&gt;$C$5," ",SUM($T$20:T29))</f>
        <v>1754.5186253792253</v>
      </c>
      <c r="AC29" s="1027">
        <f>IF($A29&gt;$C$5," ",SUM($U$20:U29))</f>
        <v>-797.09405591226573</v>
      </c>
      <c r="AD29" s="1379">
        <f t="shared" ca="1" si="22"/>
        <v>957.42456946695961</v>
      </c>
      <c r="AE29" s="1027">
        <f>IF($A29&gt;$C$5," ",SUM($W$20:W29))</f>
        <v>-1073.3317905837125</v>
      </c>
      <c r="AF29" s="1027">
        <f>IF($A29&gt;$C$5," ",SUM($X$20:X29))</f>
        <v>-730.46929275041919</v>
      </c>
      <c r="AG29" s="1027">
        <f t="shared" ca="1" si="23"/>
        <v>1024.049332628806</v>
      </c>
      <c r="AH29" s="1394">
        <f>IF($A29&gt;$C$5," ",VLOOKUP($A29,Plot!$A$7:$D$67,4,FALSE))</f>
        <v>1</v>
      </c>
      <c r="AI29" s="1390">
        <f>IF($A29&gt;$C$5," ",VLOOKUP($A29,Plot!$A$7:$E$67,5,FALSE))</f>
        <v>8.790305531183721</v>
      </c>
      <c r="AJ29" s="1390">
        <f ca="1">IF($A29&gt;$C$5," ",IF(ROW()-ROW($A$18)&gt;='Options and results'!$AR$56,AVERAGE(OFFSET(AI29,0,0,COUNTA($BS:$BS)-'Options and results'!$AR$56,1)),NA()))</f>
        <v>6.7922530250133999</v>
      </c>
      <c r="AK29" s="1395">
        <f>IF($A29&gt;$C$5," ",VLOOKUP($A29,Plot!$A$7:$F$67,6,FALSE))</f>
        <v>3.5161222124734888</v>
      </c>
      <c r="AL29" s="1390">
        <f>IF($A29&gt;$C$5," ",VLOOKUP($A29,Plot!$CK$7:$CN$67,4,FALSE))</f>
        <v>0.99</v>
      </c>
      <c r="AM29" s="1390">
        <f ca="1">IF($A29&gt;$C$5," ",AL29*VLOOKUP($A29,Plot!$CK$7:$CO$67,5,FALSE))</f>
        <v>6.4943999999999997</v>
      </c>
      <c r="AN29" s="1390">
        <f ca="1">IF($A29&gt;$C$5," ",IF(ROW()-ROW($A$18)&gt;='Options and results'!$AR$56,AVERAGE(OFFSET(AM29,0,0,COUNTA($BS:$BS)-'Options and results'!$AR$56,1)),NA()))</f>
        <v>1.2761571428571428</v>
      </c>
      <c r="AO29" s="1390">
        <f ca="1">IF($A29&gt;$C$5," ",VLOOKUP($A29,Plot!$CK$7:$CP$67,6,FALSE))</f>
        <v>2.6240000000000001</v>
      </c>
      <c r="AP29" s="1409">
        <f>IF($A29&gt;$C$5,0,VLOOKUP($A29,Plot!$V$7:$AH$67,7,FALSE))</f>
        <v>156</v>
      </c>
      <c r="AQ29" s="1390">
        <f>IF($A29&gt;$C$5," ",VLOOKUP($A29,Plot!$V$7:$AH$67,13,FALSE))</f>
        <v>8.2336308346738214</v>
      </c>
      <c r="AR29" s="1390">
        <f>IF($A29&gt;$C$5," ",VLOOKUP($A29,Plot!$V$7:$AI$67,14,FALSE))</f>
        <v>5.2779684837652704E-2</v>
      </c>
      <c r="AS29" s="1390">
        <f>IF($A29&gt;$C$5," ",VLOOKUP($A29,Plot!$V$7:$AJ$67,15,FALSE))</f>
        <v>0</v>
      </c>
      <c r="AT29" s="1390">
        <f>IF($A29&gt;$C$5," ",AQ29+SUM($AS$20:AS29)+IF(AP30=0,-AQ29,0))</f>
        <v>8.2336308346738214</v>
      </c>
      <c r="AU29" s="1390">
        <f>IF($A29&gt;$C$5," ",VLOOKUP($A29,Plot!$V$7:$AL$67,Plot!$AL$2,FALSE))</f>
        <v>0</v>
      </c>
      <c r="AV29" s="1395">
        <f>IF($A29&gt;$C$5," ",VLOOKUP($A29,Plot!$V$7:$AM$67,Plot!$AM$2,FALSE))</f>
        <v>0</v>
      </c>
      <c r="AW29" s="1407">
        <f>IF($A29&gt;$C$5,0,VLOOKUP($A29,Plot!$DF$7:$DS$67,7,FALSE))</f>
        <v>100</v>
      </c>
      <c r="AX29" s="1390">
        <f>IF($A29&gt;$C$5," ",VLOOKUP($A29,Plot!$DF$7:$DS$67,14,FALSE))</f>
        <v>5.3607188460803448</v>
      </c>
      <c r="AY29" s="1390">
        <f>IF($A29&gt;$C$5," ",VLOOKUP($A29,Plot!$DF$7:$DT$67,15,FALSE))</f>
        <v>5.3607188460803451E-2</v>
      </c>
      <c r="AZ29" s="1390">
        <f>IF($A29&gt;$C$5," ",VLOOKUP($A29,Plot!$DF$7:$DU$67,16,FALSE))</f>
        <v>0</v>
      </c>
      <c r="BA29" s="1390">
        <f>IF($A29&gt;$C$5," ",AX29+SUM($AZ$20:AZ29)+IF(AW30=0,-AX29,0))</f>
        <v>5.3607188460803448</v>
      </c>
      <c r="BB29" s="1390">
        <f>IF($A29&gt;$C$5," ",VLOOKUP($A29,Plot!$DF$7:$DW$67,Plot!$DW$2,FALSE))</f>
        <v>0</v>
      </c>
      <c r="BC29" s="1390">
        <f>IF($A29&gt;$C$5," ",VLOOKUP($A29,Plot!$DF$7:$DX$67,Plot!$DX$2,FALSE))</f>
        <v>0</v>
      </c>
      <c r="BD29" s="1396">
        <f>IF($A29&gt;$C$5," ",VLOOKUP($A29,Plot!$A$7:$N$67,14,FALSE))</f>
        <v>11.632834596849463</v>
      </c>
      <c r="BE29" s="303">
        <f>IF($A29&gt;$C$5," ",VLOOKUP($A29,Plot!$V$7:$BW$67,Plot!$BW$2,FALSE))</f>
        <v>0</v>
      </c>
      <c r="BF29" s="303">
        <f>IF($A29&gt;$C$5," ",VLOOKUP($A29,Plot!$CK$7:$CX$67,14,FALSE))</f>
        <v>11.516506250880969</v>
      </c>
      <c r="BG29" s="303">
        <f>IF($A29&gt;$C$5," ",VLOOKUP($A29,Plot!$DF$7:$FH$67,Plot!$FH$2,FALSE))</f>
        <v>0</v>
      </c>
      <c r="BH29" s="1397">
        <f t="shared" si="24"/>
        <v>11.516506250880969</v>
      </c>
      <c r="BI29" s="303" t="str">
        <f>IF($A29&gt;$C$5," ",VLOOKUP($A29,Plot!$DF$7:$EJ$67,29,FALSE))</f>
        <v>Sward maintenance</v>
      </c>
      <c r="BJ29" s="303">
        <f>IF($A29&gt;$C$5," ",VLOOKUP($A29,Plot!$DF$7:$FT$67,30,FALSE))</f>
        <v>14.6</v>
      </c>
      <c r="BK29" s="303">
        <f>IF($A29&gt;$C$5," ",VLOOKUP($A29,Plot!$DF$7:$FT$67,Plot!$EL$2,FALSE))</f>
        <v>0</v>
      </c>
      <c r="BL29" s="303">
        <f>IF($A29&gt;$C$5," ",VLOOKUP($A29,Plot!$DF$7:$FT$67,Plot!$EM$2,FALSE))</f>
        <v>0</v>
      </c>
      <c r="BM29" s="303">
        <f>IF($A29&gt;$C$5," ",VLOOKUP($A29,Plot!$DF$7:$FT$67,Plot!$EN$2,FALSE))</f>
        <v>0</v>
      </c>
      <c r="BN29" s="303">
        <f>IF($A29&gt;$C$5," ",VLOOKUP($A29,Plot!$DF$7:$FT$67,Plot!$EO$2,FALSE))</f>
        <v>0</v>
      </c>
      <c r="BO29" s="303">
        <f t="shared" si="19"/>
        <v>14.6</v>
      </c>
      <c r="BP29" s="303">
        <f>IF($A29&gt;$C$5," ",VLOOKUP($A29,Plot!$DF$7:$FT$67,Plot!$EQ$2,FALSE))</f>
        <v>0</v>
      </c>
      <c r="BQ29" s="303">
        <f>IF($A29&gt;$C$5," ",(VLOOKUP($A29,Plot!$DF$7:$FT$67,Plot!$ES$2,FALSE)+VLOOKUP($A29,Plot!$DF$7:$FT$67,Plot!$ET$2,FALSE)))</f>
        <v>0</v>
      </c>
      <c r="BR29" s="303">
        <f>IF($A29&gt;$C$5," ",(VLOOKUP($A29,Plot!$DF$7:$FT$67,Plot!$EV$2,FALSE)+VLOOKUP($A29,Plot!$DF$7:$FT$67,Plot!$EW$2,FALSE)))</f>
        <v>0</v>
      </c>
      <c r="BS29" s="303">
        <f>IF($A29&gt;$C$5," ",VLOOKUP($A29,Plot!$DF$7:$FT$67,Plot!$EY$2,FALSE))</f>
        <v>0</v>
      </c>
      <c r="BT29" s="303">
        <f>IF($A29&gt;$C$5," ",(VLOOKUP($A29,Plot!$DF$7:$FT$67,Plot!$FB$2,FALSE)+VLOOKUP($A29,Plot!$DF$7:$FT$67,Plot!$FC$2,FALSE)))</f>
        <v>0</v>
      </c>
      <c r="BU29" s="303">
        <f>IF($A29&gt;$C$5," ",(VLOOKUP($A29,Plot!$DF$7:$FT$67,Plot!$FE$2,FALSE)+VLOOKUP($A29,Plot!$DF$7:$FT$67,Plot!$FF$2,FALSE)))</f>
        <v>0</v>
      </c>
      <c r="BV29" s="1026">
        <f>IF($A29&gt;$C$5," ",VLOOKUP($A29,Plot!$FV$7:$GJ$67,2,FALSE))</f>
        <v>1164.8531816946229</v>
      </c>
      <c r="BW29" s="1027">
        <f>IF($A29&gt;$C$5," ",VLOOKUP($A29,Plot!$FV$7:$GJ$67,3,FALSE))</f>
        <v>0</v>
      </c>
      <c r="BX29" s="1379">
        <f ca="1">IF($A29&gt;$C$5," ",VLOOKUP($A29,Plot!$FV$7:$GJ$67,6,FALSE))</f>
        <v>860.60973379827885</v>
      </c>
      <c r="BY29" s="1026">
        <f>IF($A29&gt;$C$5," ",VLOOKUP($A29,Plot!$GO$7:$GY$67,2,FALSE))</f>
        <v>165.24840020814094</v>
      </c>
      <c r="BZ29" s="1027">
        <f>IF($A29&gt;$C$5," ",VLOOKUP($A29,Plot!$GO$7:$GY$67,3,FALSE))</f>
        <v>0</v>
      </c>
      <c r="CA29" s="1379">
        <f>IF($A29&gt;$C$5," ",VLOOKUP($A29,Plot!$GO$7:$GY$67,6,FALSE))</f>
        <v>0</v>
      </c>
      <c r="CB29" s="1027">
        <f>IF($A29&gt;$C$5," ",-1*VLOOKUP($A29,Plot!$HA$7:$HK$67,2,FALSE))</f>
        <v>-890.46463220325529</v>
      </c>
      <c r="CC29" s="1027">
        <f>IF($A29&gt;$C$5," ",-1*VLOOKUP($A29,Plot!$HA$7:$HK$67,3,FALSE))</f>
        <v>-2.1077602067364913</v>
      </c>
      <c r="CD29" s="1189">
        <f>IF($A29&gt;$C$5," ",-1*VLOOKUP($A29,Plot!$HA$7:$HK$67,6,FALSE))</f>
        <v>-883.66774608795936</v>
      </c>
      <c r="CE29" s="10"/>
      <c r="CF29" s="38">
        <v>10</v>
      </c>
      <c r="CG29" s="1381">
        <f>IF($CF29&gt;$C$5," ",VLOOKUP($CF29,Unit!$A$7:$BE$68,22,FALSE))</f>
        <v>33.340000000000003</v>
      </c>
      <c r="CH29" s="1027">
        <f>IF($CF29&gt;$C$5," ",VLOOKUP($CF29,Unit!$A$7:$BE$68,23,FALSE))</f>
        <v>33.33</v>
      </c>
      <c r="CI29" s="1027">
        <f>IF($CF29&gt;$C$5," ",VLOOKUP($CF29,Unit!$A$7:$BE$68,24,FALSE))</f>
        <v>32.996699999999997</v>
      </c>
      <c r="CJ29" s="1189">
        <f>IF($CF29&gt;$C$5," ",VLOOKUP($CF29,Unit!$A$7:$BE$68,25,FALSE))</f>
        <v>0.33330000000000026</v>
      </c>
      <c r="CK29" s="1381">
        <f>IF($CF29&gt;$C$5," ",VLOOKUP($CF29,Unit!$A$7:$BE$68,27,FALSE))</f>
        <v>293.06878640966528</v>
      </c>
      <c r="CL29" s="1027">
        <f>IF($CF29&gt;$C$5," ",VLOOKUP($CF29,Unit!$A$7:$BE$68,28,FALSE))</f>
        <v>274.42691571967845</v>
      </c>
      <c r="CM29" s="1027">
        <f>IF($CF29&gt;$C$5," ",VLOOKUP($CF29,Unit!$A$7:$BE$68,29,FALSE))</f>
        <v>0</v>
      </c>
      <c r="CN29" s="1027">
        <f ca="1">IF($CF29&gt;$C$5," ",VLOOKUP($CF29,Unit!$A$7:$BE$68,30,FALSE))</f>
        <v>216.45835199999999</v>
      </c>
      <c r="CO29" s="1027">
        <f>IF($CF29&gt;$C$5," ",VLOOKUP($CF29,Unit!$A$7:$BE$68,31,FALSE))</f>
        <v>178.67275913985787</v>
      </c>
      <c r="CP29" s="1027">
        <f>IF($CF29&gt;$C$5," ",VLOOKUP($CF29,Unit!$A$7:$BE$68,32,FALSE))</f>
        <v>0</v>
      </c>
      <c r="CQ29" s="1381">
        <f>IF($CF29&gt;$C$5," ",VLOOKUP($CF29,Unit!$A$7:$BE$68,33,FALSE))</f>
        <v>387.83870545896116</v>
      </c>
      <c r="CR29" s="1027">
        <f>IF($CF29&gt;$C$5," ",VLOOKUP($CF29,Unit!$A$7:$BE$68,34,FALSE))</f>
        <v>0</v>
      </c>
      <c r="CS29" s="1027">
        <f>IF($CF29&gt;$C$5," ",VLOOKUP($CF29,Unit!$A$7:$BE$68,35,FALSE))</f>
        <v>383.84515334186267</v>
      </c>
      <c r="CT29" s="1027">
        <f>IF($CF29&gt;$C$5," ",VLOOKUP($CF29,Unit!$A$7:$BE$68,36,FALSE))</f>
        <v>0</v>
      </c>
      <c r="CU29" s="1189">
        <f t="shared" si="20"/>
        <v>383.84515334186267</v>
      </c>
      <c r="CV29" s="1027">
        <f>IF($CF29&gt;$C$5," ",VLOOKUP($CF29,Unit!$A$7:$BA$68,43,FALSE))</f>
        <v>200088.25195912033</v>
      </c>
      <c r="CW29" s="1027">
        <f>IF($CF29&gt;$C$5," ",VLOOKUP($CF29,Unit!$A$7:$BB$68,44,FALSE))</f>
        <v>-43376.869423487333</v>
      </c>
      <c r="CX29" s="1189">
        <f ca="1">IF($CF29&gt;$C$5," ",VLOOKUP($CF29,Unit!$A$7:$BE$68,47,FALSE))</f>
        <v>33528.437858751298</v>
      </c>
      <c r="CY29" s="1381">
        <f>IF($CF29&gt;$C$5," ",VLOOKUP($CF29,Unit!$A$7:$BA$68,53,FALSE))</f>
        <v>169593.64865338861</v>
      </c>
      <c r="CZ29" s="1027">
        <f>IF($CF29&gt;$C$5," ",VLOOKUP($CF29,Unit!$A$7:$BB$68,54,FALSE))</f>
        <v>-39184.815841399068</v>
      </c>
      <c r="DA29" s="1189">
        <f ca="1">IF($CF29&gt;$C$5," ",VLOOKUP($CF29,Unit!$A$7:$BE$68,57,FALSE))</f>
        <v>31910.960900333761</v>
      </c>
    </row>
    <row r="30" spans="1:105" x14ac:dyDescent="0.25">
      <c r="A30" s="38">
        <v>11</v>
      </c>
      <c r="B30" s="1381">
        <f>IF($A30&gt;$C$5," ",VLOOKUP($A30,Plot!$A$7:$T$67,Plot!P$2,FALSE))</f>
        <v>891.56939792325534</v>
      </c>
      <c r="C30" s="1027">
        <f>IF($A30&gt;$C$5," ",VLOOKUP($A30,Plot!$V$7:$CI$67,Plot!$CA$2,FALSE))</f>
        <v>-300.30814285714285</v>
      </c>
      <c r="D30" s="1027">
        <f ca="1">IF($A30&gt;$C$5," ",VLOOKUP($A30,Plot!$CK$7:$DD$67,Plot!$CZ$2,FALSE))</f>
        <v>-147.66804904204594</v>
      </c>
      <c r="E30" s="1027">
        <f>IF($A30&gt;$C$5," ",VLOOKUP($A30,Plot!$DF$7:$FT$67,Plot!$FL$2,FALSE))</f>
        <v>-3</v>
      </c>
      <c r="F30" s="1379">
        <f t="shared" ca="1" si="21"/>
        <v>-150.66804904204594</v>
      </c>
      <c r="G30" s="1026">
        <f>IF($A30&gt;$C$5," ",VLOOKUP($A30,Plot!$V$7:$CG$67,Plot!$CG$2,FALSE))</f>
        <v>-206.30789289043153</v>
      </c>
      <c r="H30" s="1027">
        <f>IF($A30&gt;$C$5," ",VLOOKUP($A30,Plot!$DF$7:$FT$67,Plot!$FR$2,FALSE))</f>
        <v>59.018692802239059</v>
      </c>
      <c r="I30" s="1379">
        <f t="shared" ca="1" si="17"/>
        <v>-88.649356239806878</v>
      </c>
      <c r="J30" s="1026">
        <f>IF($A30&gt;$C$5," ",SUM(B$20:$B30))</f>
        <v>6893.0166672430014</v>
      </c>
      <c r="K30" s="1027">
        <f>IF($A30&gt;$C$5," ",SUM($C$20:C30))</f>
        <v>-1601.7443691843955</v>
      </c>
      <c r="L30" s="1027">
        <f ca="1">IF($A30&gt;$C$5," ",SUM($D$20:D30))</f>
        <v>1737.7484145877665</v>
      </c>
      <c r="M30" s="1027">
        <f>IF($A30&gt;$C$5," ",SUM($E$20:E30))</f>
        <v>-882.4627324941597</v>
      </c>
      <c r="N30" s="1379">
        <f ca="1">IF($A30&gt;$C$5," ",SUM($F$20:F30))</f>
        <v>855.28568209360662</v>
      </c>
      <c r="O30" s="1027">
        <f>IF($A30&gt;$C$5," ",SUM($G$20:G30))</f>
        <v>-1362.0962643971702</v>
      </c>
      <c r="P30" s="1027">
        <f>IF($A30&gt;$C$5," ",SUM($H$20:H30))</f>
        <v>-725.61622728388102</v>
      </c>
      <c r="Q30" s="1027">
        <f ca="1">IF($A30&gt;$C$5," ",SUM($I$20:I30))</f>
        <v>1012.1321873038862</v>
      </c>
      <c r="R30" s="1026">
        <f>IF($A30&gt;$C$5," ",VLOOKUP($A30,Plot!$HM$7:$IA$67,2,FALSE))</f>
        <v>602.31233925854156</v>
      </c>
      <c r="S30" s="1027">
        <f>IF($A30&gt;$C$5," ",VLOOKUP($A30,Plot!$HM$7:$IA$67,3,FALSE))</f>
        <v>-202.87742092090488</v>
      </c>
      <c r="T30" s="1027">
        <f ca="1">IF($A30&gt;$C$5," ",VLOOKUP($A30,Plot!$HM$7:$IA$67,4,FALSE))</f>
        <v>-99.759242813217043</v>
      </c>
      <c r="U30" s="1027">
        <f>IF($A30&gt;$C$5," ",VLOOKUP($A30,Plot!$HM$7:$IA$67,5,FALSE))</f>
        <v>-2.0266925064773957</v>
      </c>
      <c r="V30" s="1379">
        <f t="shared" ca="1" si="16"/>
        <v>-101.78593531969443</v>
      </c>
      <c r="W30" s="1027">
        <f>IF($A30&gt;$C$5," ",VLOOKUP($A30,Plot!$HM$7:$IA$67,Plot!$HR$2,FALSE))</f>
        <v>-143.30999906204949</v>
      </c>
      <c r="X30" s="1027">
        <f>IF($A30&gt;$C$5," ",VLOOKUP($A30,Plot!$HM$7:$IA$67,Plot!$HS$2,FALSE))</f>
        <v>37.308423257289512</v>
      </c>
      <c r="Y30" s="1379">
        <f t="shared" ca="1" si="18"/>
        <v>-62.450819555927531</v>
      </c>
      <c r="Z30" s="1026">
        <f>IF($A30&gt;$C$5," ",SUM($R$20:R30))</f>
        <v>5689.1044404399618</v>
      </c>
      <c r="AA30" s="1027">
        <f>IF($A30&gt;$C$5," ",SUM($S$20:S30))</f>
        <v>-1378.5394623670215</v>
      </c>
      <c r="AB30" s="1027">
        <f ca="1">IF($A30&gt;$C$5," ",SUM($T$20:T30))</f>
        <v>1654.7593825660083</v>
      </c>
      <c r="AC30" s="1027">
        <f>IF($A30&gt;$C$5," ",SUM($U$20:U30))</f>
        <v>-799.12074841874312</v>
      </c>
      <c r="AD30" s="1379">
        <f t="shared" ca="1" si="22"/>
        <v>855.63863414726518</v>
      </c>
      <c r="AE30" s="1027">
        <f>IF($A30&gt;$C$5," ",SUM($W$20:W30))</f>
        <v>-1216.6417896457619</v>
      </c>
      <c r="AF30" s="1027">
        <f>IF($A30&gt;$C$5," ",SUM($X$20:X30))</f>
        <v>-693.16086949312967</v>
      </c>
      <c r="AG30" s="1027">
        <f t="shared" ca="1" si="23"/>
        <v>961.59851307287863</v>
      </c>
      <c r="AH30" s="1394">
        <f>IF($A30&gt;$C$5," ",VLOOKUP($A30,Plot!$A$7:$D$67,4,FALSE))</f>
        <v>1</v>
      </c>
      <c r="AI30" s="1390">
        <f>IF($A30&gt;$C$5," ",VLOOKUP($A30,Plot!$A$7:$E$67,5,FALSE))</f>
        <v>9.3097413610737618</v>
      </c>
      <c r="AJ30" s="1390">
        <f ca="1">IF($A30&gt;$C$5," ",IF(ROW()-ROW($A$18)&gt;='Options and results'!$AR$56,AVERAGE(OFFSET(AI30,0,0,COUNTA($BS:$BS)-'Options and results'!$AR$56,1)),NA()))</f>
        <v>6.6923503997048837</v>
      </c>
      <c r="AK30" s="1395">
        <f>IF($A30&gt;$C$5," ",VLOOKUP($A30,Plot!$A$7:$F$67,6,FALSE))</f>
        <v>5.5858448166442569</v>
      </c>
      <c r="AL30" s="1390">
        <f>IF($A30&gt;$C$5," ",VLOOKUP($A30,Plot!$CK$7:$CN$67,4,FALSE))</f>
        <v>0.99</v>
      </c>
      <c r="AM30" s="1390">
        <f ca="1">IF($A30&gt;$C$5," ",AL30*VLOOKUP($A30,Plot!$CK$7:$CO$67,5,FALSE))</f>
        <v>5.0786999999999995</v>
      </c>
      <c r="AN30" s="1390">
        <f ca="1">IF($A30&gt;$C$5," ",IF(ROW()-ROW($A$18)&gt;='Options and results'!$AR$56,AVERAGE(OFFSET(AM30,0,0,COUNTA($BS:$BS)-'Options and results'!$AR$56,1)),NA()))</f>
        <v>1.015245</v>
      </c>
      <c r="AO30" s="1390">
        <f ca="1">IF($A30&gt;$C$5," ",VLOOKUP($A30,Plot!$CK$7:$CP$67,6,FALSE))</f>
        <v>3.0779999999999998</v>
      </c>
      <c r="AP30" s="1409">
        <f>IF($A30&gt;$C$5,0,VLOOKUP($A30,Plot!$V$7:$AH$67,7,FALSE))</f>
        <v>156</v>
      </c>
      <c r="AQ30" s="1390">
        <f>IF($A30&gt;$C$5," ",VLOOKUP($A30,Plot!$V$7:$AH$67,13,FALSE))</f>
        <v>12.494677842039225</v>
      </c>
      <c r="AR30" s="1390">
        <f>IF($A30&gt;$C$5," ",VLOOKUP($A30,Plot!$V$7:$AI$67,14,FALSE))</f>
        <v>8.0094088731020668E-2</v>
      </c>
      <c r="AS30" s="1390">
        <f>IF($A30&gt;$C$5," ",VLOOKUP($A30,Plot!$V$7:$AJ$67,15,FALSE))</f>
        <v>0</v>
      </c>
      <c r="AT30" s="1390">
        <f>IF($A30&gt;$C$5," ",AQ30+SUM($AS$20:AS30)+IF(AP31=0,-AQ30,0))</f>
        <v>12.494677842039225</v>
      </c>
      <c r="AU30" s="1390">
        <f>IF($A30&gt;$C$5," ",VLOOKUP($A30,Plot!$V$7:$AL$67,Plot!$AL$2,FALSE))</f>
        <v>0</v>
      </c>
      <c r="AV30" s="1395">
        <f>IF($A30&gt;$C$5," ",VLOOKUP($A30,Plot!$V$7:$AM$67,Plot!$AM$2,FALSE))</f>
        <v>0</v>
      </c>
      <c r="AW30" s="1407">
        <f>IF($A30&gt;$C$5,0,VLOOKUP($A30,Plot!$DF$7:$DS$67,7,FALSE))</f>
        <v>100</v>
      </c>
      <c r="AX30" s="1390">
        <f>IF($A30&gt;$C$5," ",VLOOKUP($A30,Plot!$DF$7:$DS$67,14,FALSE))</f>
        <v>8.1776008827282425</v>
      </c>
      <c r="AY30" s="1390">
        <f>IF($A30&gt;$C$5," ",VLOOKUP($A30,Plot!$DF$7:$DT$67,15,FALSE))</f>
        <v>8.177600882728242E-2</v>
      </c>
      <c r="AZ30" s="1390">
        <f>IF($A30&gt;$C$5," ",VLOOKUP($A30,Plot!$DF$7:$DU$67,16,FALSE))</f>
        <v>0</v>
      </c>
      <c r="BA30" s="1390">
        <f>IF($A30&gt;$C$5," ",AX30+SUM($AZ$20:AZ30)+IF(AW31=0,-AX30,0))</f>
        <v>8.1776008827282425</v>
      </c>
      <c r="BB30" s="1390">
        <f>IF($A30&gt;$C$5," ",VLOOKUP($A30,Plot!$DF$7:$DW$67,Plot!$DW$2,FALSE))</f>
        <v>0</v>
      </c>
      <c r="BC30" s="1390">
        <f>IF($A30&gt;$C$5," ",VLOOKUP($A30,Plot!$DF$7:$DX$67,Plot!$DX$2,FALSE))</f>
        <v>0</v>
      </c>
      <c r="BD30" s="1396">
        <f>IF($A30&gt;$C$5," ",VLOOKUP($A30,Plot!$A$7:$N$67,14,FALSE))</f>
        <v>10.833689569810836</v>
      </c>
      <c r="BE30" s="303">
        <f>IF($A30&gt;$C$5," ",VLOOKUP($A30,Plot!$V$7:$BW$67,Plot!$BW$2,FALSE))</f>
        <v>20.363571428571426</v>
      </c>
      <c r="BF30" s="303">
        <f>IF($A30&gt;$C$5," ",VLOOKUP($A30,Plot!$CK$7:$CX$67,14,FALSE))</f>
        <v>10.725352674112727</v>
      </c>
      <c r="BG30" s="303">
        <f>IF($A30&gt;$C$5," ",VLOOKUP($A30,Plot!$DF$7:$FH$67,Plot!$FH$2,FALSE))</f>
        <v>0</v>
      </c>
      <c r="BH30" s="1397">
        <f t="shared" si="24"/>
        <v>10.725352674112727</v>
      </c>
      <c r="BI30" s="303" t="str">
        <f>IF($A30&gt;$C$5," ",VLOOKUP($A30,Plot!$DF$7:$EJ$67,29,FALSE))</f>
        <v>Epicormics</v>
      </c>
      <c r="BJ30" s="303">
        <f>IF($A30&gt;$C$5," ",VLOOKUP($A30,Plot!$DF$7:$FT$67,30,FALSE))</f>
        <v>14.6</v>
      </c>
      <c r="BK30" s="303">
        <f>IF($A30&gt;$C$5," ",VLOOKUP($A30,Plot!$DF$7:$FT$67,Plot!$EL$2,FALSE))</f>
        <v>0</v>
      </c>
      <c r="BL30" s="303">
        <f>IF($A30&gt;$C$5," ",VLOOKUP($A30,Plot!$DF$7:$FT$67,Plot!$EM$2,FALSE))</f>
        <v>0</v>
      </c>
      <c r="BM30" s="303">
        <f>IF($A30&gt;$C$5," ",VLOOKUP($A30,Plot!$DF$7:$FT$67,Plot!$EN$2,FALSE))</f>
        <v>0</v>
      </c>
      <c r="BN30" s="303">
        <f>IF($A30&gt;$C$5," ",VLOOKUP($A30,Plot!$DF$7:$FT$67,Plot!$EO$2,FALSE))</f>
        <v>0</v>
      </c>
      <c r="BO30" s="303">
        <f t="shared" si="19"/>
        <v>14.6</v>
      </c>
      <c r="BP30" s="303">
        <f>IF($A30&gt;$C$5," ",VLOOKUP($A30,Plot!$DF$7:$FT$67,Plot!$EQ$2,FALSE))</f>
        <v>0</v>
      </c>
      <c r="BQ30" s="303">
        <f>IF($A30&gt;$C$5," ",(VLOOKUP($A30,Plot!$DF$7:$FT$67,Plot!$ES$2,FALSE)+VLOOKUP($A30,Plot!$DF$7:$FT$67,Plot!$ET$2,FALSE)))</f>
        <v>0</v>
      </c>
      <c r="BR30" s="303">
        <f>IF($A30&gt;$C$5," ",(VLOOKUP($A30,Plot!$DF$7:$FT$67,Plot!$EV$2,FALSE)+VLOOKUP($A30,Plot!$DF$7:$FT$67,Plot!$EW$2,FALSE)))</f>
        <v>0</v>
      </c>
      <c r="BS30" s="303">
        <f>IF($A30&gt;$C$5," ",VLOOKUP($A30,Plot!$DF$7:$FT$67,Plot!$EY$2,FALSE))</f>
        <v>0</v>
      </c>
      <c r="BT30" s="303">
        <f>IF($A30&gt;$C$5," ",(VLOOKUP($A30,Plot!$DF$7:$FT$67,Plot!$FB$2,FALSE)+VLOOKUP($A30,Plot!$DF$7:$FT$67,Plot!$FC$2,FALSE)))</f>
        <v>0</v>
      </c>
      <c r="BU30" s="303">
        <f>IF($A30&gt;$C$5," ",(VLOOKUP($A30,Plot!$DF$7:$FT$67,Plot!$FE$2,FALSE)+VLOOKUP($A30,Plot!$DF$7:$FT$67,Plot!$FF$2,FALSE)))</f>
        <v>0</v>
      </c>
      <c r="BV30" s="1026">
        <f>IF($A30&gt;$C$5," ",VLOOKUP($A30,Plot!$FV$7:$GJ$67,2,FALSE))</f>
        <v>1212.0932076554141</v>
      </c>
      <c r="BW30" s="1027">
        <f>IF($A30&gt;$C$5," ",VLOOKUP($A30,Plot!$FV$7:$GJ$67,3,FALSE))</f>
        <v>0</v>
      </c>
      <c r="BX30" s="1379">
        <f ca="1">IF($A30&gt;$C$5," ",VLOOKUP($A30,Plot!$FV$7:$GJ$67,6,FALSE))</f>
        <v>661.22758248243645</v>
      </c>
      <c r="BY30" s="1026">
        <f>IF($A30&gt;$C$5," ",VLOOKUP($A30,Plot!$GO$7:$GY$67,2,FALSE))</f>
        <v>158.8926925078278</v>
      </c>
      <c r="BZ30" s="1027">
        <f>IF($A30&gt;$C$5," ",VLOOKUP($A30,Plot!$GO$7:$GY$67,3,FALSE))</f>
        <v>0</v>
      </c>
      <c r="CA30" s="1379">
        <f>IF($A30&gt;$C$5," ",VLOOKUP($A30,Plot!$GO$7:$GY$67,6,FALSE))</f>
        <v>0</v>
      </c>
      <c r="CB30" s="1027">
        <f>IF($A30&gt;$C$5," ",-1*VLOOKUP($A30,Plot!$HA$7:$HK$67,2,FALSE))</f>
        <v>-768.67356090470037</v>
      </c>
      <c r="CC30" s="1027">
        <f>IF($A30&gt;$C$5," ",-1*VLOOKUP($A30,Plot!$HA$7:$HK$67,3,FALSE))</f>
        <v>-202.87742092090488</v>
      </c>
      <c r="CD30" s="1189">
        <f>IF($A30&gt;$C$5," ",-1*VLOOKUP($A30,Plot!$HA$7:$HK$67,6,FALSE))</f>
        <v>-763.01351780213088</v>
      </c>
      <c r="CE30" s="10"/>
      <c r="CF30" s="38">
        <v>11</v>
      </c>
      <c r="CG30" s="1381">
        <f>IF($CF30&gt;$C$5," ",VLOOKUP($CF30,Unit!$A$7:$BE$68,22,FALSE))</f>
        <v>33.340000000000003</v>
      </c>
      <c r="CH30" s="1027">
        <f>IF($CF30&gt;$C$5," ",VLOOKUP($CF30,Unit!$A$7:$BE$68,23,FALSE))</f>
        <v>33.33</v>
      </c>
      <c r="CI30" s="1027">
        <f>IF($CF30&gt;$C$5," ",VLOOKUP($CF30,Unit!$A$7:$BE$68,24,FALSE))</f>
        <v>32.996699999999997</v>
      </c>
      <c r="CJ30" s="1189">
        <f>IF($CF30&gt;$C$5," ",VLOOKUP($CF30,Unit!$A$7:$BE$68,25,FALSE))</f>
        <v>0.33330000000000026</v>
      </c>
      <c r="CK30" s="1381">
        <f>IF($CF30&gt;$C$5," ",VLOOKUP($CF30,Unit!$A$7:$BE$68,27,FALSE))</f>
        <v>310.38677697819924</v>
      </c>
      <c r="CL30" s="1027">
        <f>IF($CF30&gt;$C$5," ",VLOOKUP($CF30,Unit!$A$7:$BE$68,28,FALSE))</f>
        <v>416.44761247516738</v>
      </c>
      <c r="CM30" s="1027">
        <f>IF($CF30&gt;$C$5," ",VLOOKUP($CF30,Unit!$A$7:$BE$68,29,FALSE))</f>
        <v>0</v>
      </c>
      <c r="CN30" s="1027">
        <f ca="1">IF($CF30&gt;$C$5," ",VLOOKUP($CF30,Unit!$A$7:$BE$68,30,FALSE))</f>
        <v>169.27307099999999</v>
      </c>
      <c r="CO30" s="1027">
        <f>IF($CF30&gt;$C$5," ",VLOOKUP($CF30,Unit!$A$7:$BE$68,31,FALSE))</f>
        <v>272.55943742133229</v>
      </c>
      <c r="CP30" s="1027">
        <f>IF($CF30&gt;$C$5," ",VLOOKUP($CF30,Unit!$A$7:$BE$68,32,FALSE))</f>
        <v>0</v>
      </c>
      <c r="CQ30" s="1381">
        <f>IF($CF30&gt;$C$5," ",VLOOKUP($CF30,Unit!$A$7:$BE$68,33,FALSE))</f>
        <v>361.19521025749333</v>
      </c>
      <c r="CR30" s="1027">
        <f>IF($CF30&gt;$C$5," ",VLOOKUP($CF30,Unit!$A$7:$BE$68,34,FALSE))</f>
        <v>678.71783571428557</v>
      </c>
      <c r="CS30" s="1027">
        <f>IF($CF30&gt;$C$5," ",VLOOKUP($CF30,Unit!$A$7:$BE$68,35,FALSE))</f>
        <v>357.47600462817718</v>
      </c>
      <c r="CT30" s="1027">
        <f>IF($CF30&gt;$C$5," ",VLOOKUP($CF30,Unit!$A$7:$BE$68,36,FALSE))</f>
        <v>0</v>
      </c>
      <c r="CU30" s="1189">
        <f t="shared" si="20"/>
        <v>357.47600462817718</v>
      </c>
      <c r="CV30" s="1027">
        <f>IF($CF30&gt;$C$5," ",VLOOKUP($CF30,Unit!$A$7:$BA$68,43,FALSE))</f>
        <v>229813.17568588167</v>
      </c>
      <c r="CW30" s="1027">
        <f>IF($CF30&gt;$C$5," ",VLOOKUP($CF30,Unit!$A$7:$BB$68,44,FALSE))</f>
        <v>-53386.139824915903</v>
      </c>
      <c r="CX30" s="1189">
        <f ca="1">IF($CF30&gt;$C$5," ",VLOOKUP($CF30,Unit!$A$7:$BE$68,47,FALSE))</f>
        <v>28506.671784179907</v>
      </c>
      <c r="CY30" s="1381">
        <f>IF($CF30&gt;$C$5," ",VLOOKUP($CF30,Unit!$A$7:$BA$68,53,FALSE))</f>
        <v>189674.74204426838</v>
      </c>
      <c r="CZ30" s="1027">
        <f>IF($CF30&gt;$C$5," ",VLOOKUP($CF30,Unit!$A$7:$BB$68,54,FALSE))</f>
        <v>-45946.720280692825</v>
      </c>
      <c r="DA30" s="1189">
        <f ca="1">IF($CF30&gt;$C$5," ",VLOOKUP($CF30,Unit!$A$7:$BE$68,57,FALSE))</f>
        <v>28518.435676128345</v>
      </c>
    </row>
    <row r="31" spans="1:105" x14ac:dyDescent="0.25">
      <c r="A31" s="38">
        <v>12</v>
      </c>
      <c r="B31" s="1381">
        <f>IF($A31&gt;$C$5," ",VLOOKUP($A31,Plot!$A$7:$T$67,Plot!P$2,FALSE))</f>
        <v>328.72596567583901</v>
      </c>
      <c r="C31" s="1027">
        <f>IF($A31&gt;$C$5," ",VLOOKUP($A31,Plot!$V$7:$CI$67,Plot!$CA$2,FALSE))</f>
        <v>-3</v>
      </c>
      <c r="D31" s="1027">
        <f ca="1">IF($A31&gt;$C$5," ",VLOOKUP($A31,Plot!$CK$7:$DD$67,Plot!$CZ$2,FALSE))</f>
        <v>-24.214020354461354</v>
      </c>
      <c r="E31" s="1027">
        <f>IF($A31&gt;$C$5," ",VLOOKUP($A31,Plot!$DF$7:$FT$67,Plot!$FL$2,FALSE))</f>
        <v>-193.58214285714286</v>
      </c>
      <c r="F31" s="1379">
        <f t="shared" ca="1" si="21"/>
        <v>-217.79616321160421</v>
      </c>
      <c r="G31" s="1026">
        <f>IF($A31&gt;$C$5," ",VLOOKUP($A31,Plot!$V$7:$CG$67,Plot!$CG$2,FALSE))</f>
        <v>118.31020709528123</v>
      </c>
      <c r="H31" s="1027">
        <f>IF($A31&gt;$C$5," ",VLOOKUP($A31,Plot!$DF$7:$FT$67,Plot!$FR$2,FALSE))</f>
        <v>-111.88294191020455</v>
      </c>
      <c r="I31" s="1379">
        <f t="shared" ca="1" si="17"/>
        <v>-136.0969622646659</v>
      </c>
      <c r="J31" s="1026">
        <f>IF($A31&gt;$C$5," ",SUM(B$20:$B31))</f>
        <v>7221.7426329188402</v>
      </c>
      <c r="K31" s="1027">
        <f>IF($A31&gt;$C$5," ",SUM($C$20:C31))</f>
        <v>-1604.7443691843955</v>
      </c>
      <c r="L31" s="1027">
        <f ca="1">IF($A31&gt;$C$5," ",SUM($D$20:D31))</f>
        <v>1713.5343942333052</v>
      </c>
      <c r="M31" s="1027">
        <f>IF($A31&gt;$C$5," ",SUM($E$20:E31))</f>
        <v>-1076.0448753513026</v>
      </c>
      <c r="N31" s="1379">
        <f ca="1">IF($A31&gt;$C$5," ",SUM($F$20:F31))</f>
        <v>637.48951888200236</v>
      </c>
      <c r="O31" s="1027">
        <f>IF($A31&gt;$C$5," ",SUM($G$20:G31))</f>
        <v>-1243.7860573018891</v>
      </c>
      <c r="P31" s="1027">
        <f>IF($A31&gt;$C$5," ",SUM($H$20:H31))</f>
        <v>-837.49916919408554</v>
      </c>
      <c r="Q31" s="1027">
        <f ca="1">IF($A31&gt;$C$5," ",SUM($I$20:I31))</f>
        <v>876.03522503922034</v>
      </c>
      <c r="R31" s="1026">
        <f>IF($A31&gt;$C$5," ",VLOOKUP($A31,Plot!$HM$7:$IA$67,2,FALSE))</f>
        <v>213.53411901274615</v>
      </c>
      <c r="S31" s="1027">
        <f>IF($A31&gt;$C$5," ",VLOOKUP($A31,Plot!$HM$7:$IA$67,3,FALSE))</f>
        <v>-1.9487427946898037</v>
      </c>
      <c r="T31" s="1027">
        <f ca="1">IF($A31&gt;$C$5," ",VLOOKUP($A31,Plot!$HM$7:$IA$67,4,FALSE))</f>
        <v>-15.728965898742899</v>
      </c>
      <c r="U31" s="1027">
        <f>IF($A31&gt;$C$5," ",VLOOKUP($A31,Plot!$HM$7:$IA$67,5,FALSE))</f>
        <v>-125.74726869115646</v>
      </c>
      <c r="V31" s="1379">
        <f t="shared" ca="1" si="16"/>
        <v>-141.47623458989938</v>
      </c>
      <c r="W31" s="1027">
        <f>IF($A31&gt;$C$5," ",VLOOKUP($A31,Plot!$HM$7:$IA$67,Plot!$HR$2,FALSE))</f>
        <v>70.625220972193645</v>
      </c>
      <c r="X31" s="1027">
        <f>IF($A31&gt;$C$5," ",VLOOKUP($A31,Plot!$HM$7:$IA$67,Plot!$HS$2,FALSE))</f>
        <v>-76.75240559074706</v>
      </c>
      <c r="Y31" s="1379">
        <f t="shared" ca="1" si="18"/>
        <v>-92.481371489489959</v>
      </c>
      <c r="Z31" s="1026">
        <f>IF($A31&gt;$C$5," ",SUM($R$20:R31))</f>
        <v>5902.6385594527083</v>
      </c>
      <c r="AA31" s="1027">
        <f>IF($A31&gt;$C$5," ",SUM($S$20:S31))</f>
        <v>-1380.4882051617114</v>
      </c>
      <c r="AB31" s="1027">
        <f ca="1">IF($A31&gt;$C$5," ",SUM($T$20:T31))</f>
        <v>1639.0304166672654</v>
      </c>
      <c r="AC31" s="1027">
        <f>IF($A31&gt;$C$5," ",SUM($U$20:U31))</f>
        <v>-924.8680171098996</v>
      </c>
      <c r="AD31" s="1379">
        <f t="shared" ca="1" si="22"/>
        <v>714.1623995573658</v>
      </c>
      <c r="AE31" s="1027">
        <f>IF($A31&gt;$C$5," ",SUM($W$20:W31))</f>
        <v>-1146.0165686735684</v>
      </c>
      <c r="AF31" s="1027">
        <f>IF($A31&gt;$C$5," ",SUM($X$20:X31))</f>
        <v>-769.91327508387667</v>
      </c>
      <c r="AG31" s="1027">
        <f t="shared" ca="1" si="23"/>
        <v>869.11714158338873</v>
      </c>
      <c r="AH31" s="1394">
        <f>IF($A31&gt;$C$5," ",VLOOKUP($A31,Plot!$A$7:$D$67,4,FALSE))</f>
        <v>1</v>
      </c>
      <c r="AI31" s="1390">
        <f>IF($A31&gt;$C$5," ",VLOOKUP($A31,Plot!$A$7:$E$67,5,FALSE))</f>
        <v>3.5467265073385787</v>
      </c>
      <c r="AJ31" s="1390">
        <f ca="1">IF($A31&gt;$C$5," ",IF(ROW()-ROW($A$18)&gt;='Options and results'!$AR$56,AVERAGE(OFFSET(AI31,0,0,COUNTA($BS:$BS)-'Options and results'!$AR$56,1)),NA()))</f>
        <v>6.5545929806854693</v>
      </c>
      <c r="AK31" s="1395">
        <f>IF($A31&gt;$C$5," ",VLOOKUP($A31,Plot!$A$7:$F$67,6,FALSE))</f>
        <v>1.7733632536692894</v>
      </c>
      <c r="AL31" s="1390">
        <f>IF($A31&gt;$C$5," ",VLOOKUP($A31,Plot!$CK$7:$CN$67,4,FALSE))</f>
        <v>0.99</v>
      </c>
      <c r="AM31" s="1390">
        <f ca="1">IF($A31&gt;$C$5," ",AL31*VLOOKUP($A31,Plot!$CK$7:$CO$67,5,FALSE))</f>
        <v>3.1878000000000002</v>
      </c>
      <c r="AN31" s="1390">
        <f ca="1">IF($A31&gt;$C$5," ",IF(ROW()-ROW($A$18)&gt;='Options and results'!$AR$56,AVERAGE(OFFSET(AM31,0,0,COUNTA($BS:$BS)-'Options and results'!$AR$56,1)),NA()))</f>
        <v>0.80137894736842108</v>
      </c>
      <c r="AO31" s="1390">
        <f ca="1">IF($A31&gt;$C$5," ",VLOOKUP($A31,Plot!$CK$7:$CP$67,6,FALSE))</f>
        <v>1.61</v>
      </c>
      <c r="AP31" s="1409">
        <f>IF($A31&gt;$C$5,0,VLOOKUP($A31,Plot!$V$7:$AH$67,7,FALSE))</f>
        <v>156</v>
      </c>
      <c r="AQ31" s="1390">
        <f>IF($A31&gt;$C$5," ",VLOOKUP($A31,Plot!$V$7:$AH$67,13,FALSE))</f>
        <v>17.715572163609639</v>
      </c>
      <c r="AR31" s="1390">
        <f>IF($A31&gt;$C$5," ",VLOOKUP($A31,Plot!$V$7:$AI$67,14,FALSE))</f>
        <v>0.11356136002313871</v>
      </c>
      <c r="AS31" s="1390">
        <f>IF($A31&gt;$C$5," ",VLOOKUP($A31,Plot!$V$7:$AJ$67,15,FALSE))</f>
        <v>0</v>
      </c>
      <c r="AT31" s="1390">
        <f>IF($A31&gt;$C$5," ",AQ31+SUM($AS$20:AS31)+IF(AP32=0,-AQ31,0))</f>
        <v>17.715572163609639</v>
      </c>
      <c r="AU31" s="1390">
        <f>IF($A31&gt;$C$5," ",VLOOKUP($A31,Plot!$V$7:$AL$67,Plot!$AL$2,FALSE))</f>
        <v>0</v>
      </c>
      <c r="AV31" s="1395">
        <f>IF($A31&gt;$C$5," ",VLOOKUP($A31,Plot!$V$7:$AM$67,Plot!$AM$2,FALSE))</f>
        <v>0</v>
      </c>
      <c r="AW31" s="1407">
        <f>IF($A31&gt;$C$5,0,VLOOKUP($A31,Plot!$DF$7:$DS$67,7,FALSE))</f>
        <v>100</v>
      </c>
      <c r="AX31" s="1390">
        <f>IF($A31&gt;$C$5," ",VLOOKUP($A31,Plot!$DF$7:$DS$67,14,FALSE))</f>
        <v>11.707650253869144</v>
      </c>
      <c r="AY31" s="1390">
        <f>IF($A31&gt;$C$5," ",VLOOKUP($A31,Plot!$DF$7:$DT$67,15,FALSE))</f>
        <v>0.11707650253869144</v>
      </c>
      <c r="AZ31" s="1390">
        <f>IF($A31&gt;$C$5," ",VLOOKUP($A31,Plot!$DF$7:$DU$67,16,FALSE))</f>
        <v>0</v>
      </c>
      <c r="BA31" s="1390">
        <f>IF($A31&gt;$C$5," ",AX31+SUM($AZ$20:AZ31)+IF(AW32=0,-AX31,0))</f>
        <v>11.707650253869144</v>
      </c>
      <c r="BB31" s="1390">
        <f>IF($A31&gt;$C$5," ",VLOOKUP($A31,Plot!$DF$7:$DW$67,Plot!$DW$2,FALSE))</f>
        <v>0</v>
      </c>
      <c r="BC31" s="1390">
        <f>IF($A31&gt;$C$5," ",VLOOKUP($A31,Plot!$DF$7:$DX$67,Plot!$DX$2,FALSE))</f>
        <v>0</v>
      </c>
      <c r="BD31" s="1396">
        <f>IF($A31&gt;$C$5," ",VLOOKUP($A31,Plot!$A$7:$N$67,14,FALSE))</f>
        <v>7.4591130728145263</v>
      </c>
      <c r="BE31" s="303">
        <f>IF($A31&gt;$C$5," ",VLOOKUP($A31,Plot!$V$7:$BW$67,Plot!$BW$2,FALSE))</f>
        <v>0</v>
      </c>
      <c r="BF31" s="303">
        <f>IF($A31&gt;$C$5," ",VLOOKUP($A31,Plot!$CK$7:$CX$67,14,FALSE))</f>
        <v>7.3845219420863808</v>
      </c>
      <c r="BG31" s="303">
        <f>IF($A31&gt;$C$5," ",VLOOKUP($A31,Plot!$DF$7:$FH$67,Plot!$FH$2,FALSE))</f>
        <v>13.053571428571427</v>
      </c>
      <c r="BH31" s="1397">
        <f t="shared" si="24"/>
        <v>20.438093370657807</v>
      </c>
      <c r="BI31" s="303" t="str">
        <f>IF($A31&gt;$C$5," ",VLOOKUP($A31,Plot!$DF$7:$EJ$67,29,FALSE))</f>
        <v>Removal of prunings</v>
      </c>
      <c r="BJ31" s="303">
        <f>IF($A31&gt;$C$5," ",VLOOKUP($A31,Plot!$DF$7:$FT$67,30,FALSE))</f>
        <v>14.6</v>
      </c>
      <c r="BK31" s="303">
        <f>IF($A31&gt;$C$5," ",VLOOKUP($A31,Plot!$DF$7:$FT$67,Plot!$EL$2,FALSE))</f>
        <v>0</v>
      </c>
      <c r="BL31" s="303">
        <f>IF($A31&gt;$C$5," ",VLOOKUP($A31,Plot!$DF$7:$FT$67,Plot!$EM$2,FALSE))</f>
        <v>0</v>
      </c>
      <c r="BM31" s="303">
        <f>IF($A31&gt;$C$5," ",VLOOKUP($A31,Plot!$DF$7:$FT$67,Plot!$EN$2,FALSE))</f>
        <v>0</v>
      </c>
      <c r="BN31" s="303">
        <f>IF($A31&gt;$C$5," ",VLOOKUP($A31,Plot!$DF$7:$FT$67,Plot!$EO$2,FALSE))</f>
        <v>0</v>
      </c>
      <c r="BO31" s="303">
        <f t="shared" si="19"/>
        <v>14.6</v>
      </c>
      <c r="BP31" s="303">
        <f>IF($A31&gt;$C$5," ",VLOOKUP($A31,Plot!$DF$7:$FT$67,Plot!$EQ$2,FALSE))</f>
        <v>0</v>
      </c>
      <c r="BQ31" s="303">
        <f>IF($A31&gt;$C$5," ",(VLOOKUP($A31,Plot!$DF$7:$FT$67,Plot!$ES$2,FALSE)+VLOOKUP($A31,Plot!$DF$7:$FT$67,Plot!$ET$2,FALSE)))</f>
        <v>13.053571428571427</v>
      </c>
      <c r="BR31" s="303">
        <f>IF($A31&gt;$C$5," ",(VLOOKUP($A31,Plot!$DF$7:$FT$67,Plot!$EV$2,FALSE)+VLOOKUP($A31,Plot!$DF$7:$FT$67,Plot!$EW$2,FALSE)))</f>
        <v>0</v>
      </c>
      <c r="BS31" s="303">
        <f>IF($A31&gt;$C$5," ",VLOOKUP($A31,Plot!$DF$7:$FT$67,Plot!$EY$2,FALSE))</f>
        <v>0</v>
      </c>
      <c r="BT31" s="303">
        <f>IF($A31&gt;$C$5," ",(VLOOKUP($A31,Plot!$DF$7:$FT$67,Plot!$FB$2,FALSE)+VLOOKUP($A31,Plot!$DF$7:$FT$67,Plot!$FC$2,FALSE)))</f>
        <v>0</v>
      </c>
      <c r="BU31" s="303">
        <f>IF($A31&gt;$C$5," ",(VLOOKUP($A31,Plot!$DF$7:$FT$67,Plot!$FE$2,FALSE)+VLOOKUP($A31,Plot!$DF$7:$FT$67,Plot!$FF$2,FALSE)))</f>
        <v>0</v>
      </c>
      <c r="BV31" s="1026">
        <f>IF($A31&gt;$C$5," ",VLOOKUP($A31,Plot!$FV$7:$GJ$67,2,FALSE))</f>
        <v>831.95880034118557</v>
      </c>
      <c r="BW31" s="1027">
        <f>IF($A31&gt;$C$5," ",VLOOKUP($A31,Plot!$FV$7:$GJ$67,3,FALSE))</f>
        <v>0</v>
      </c>
      <c r="BX31" s="1379">
        <f ca="1">IF($A31&gt;$C$5," ",VLOOKUP($A31,Plot!$FV$7:$GJ$67,6,FALSE))</f>
        <v>747.76508936905589</v>
      </c>
      <c r="BY31" s="1026">
        <f>IF($A31&gt;$C$5," ",VLOOKUP($A31,Plot!$GO$7:$GY$67,2,FALSE))</f>
        <v>152.78143510368059</v>
      </c>
      <c r="BZ31" s="1027">
        <f>IF($A31&gt;$C$5," ",VLOOKUP($A31,Plot!$GO$7:$GY$67,3,FALSE))</f>
        <v>0</v>
      </c>
      <c r="CA31" s="1379">
        <f>IF($A31&gt;$C$5," ",VLOOKUP($A31,Plot!$GO$7:$GY$67,6,FALSE))</f>
        <v>0</v>
      </c>
      <c r="CB31" s="1027">
        <f>IF($A31&gt;$C$5," ",-1*VLOOKUP($A31,Plot!$HA$7:$HK$67,2,FALSE))</f>
        <v>-771.20611643211998</v>
      </c>
      <c r="CC31" s="1027">
        <f>IF($A31&gt;$C$5," ",-1*VLOOKUP($A31,Plot!$HA$7:$HK$67,3,FALSE))</f>
        <v>-1.9487427946898037</v>
      </c>
      <c r="CD31" s="1189">
        <f>IF($A31&gt;$C$5," ",-1*VLOOKUP($A31,Plot!$HA$7:$HK$67,6,FALSE))</f>
        <v>-889.24132395895526</v>
      </c>
      <c r="CE31" s="10"/>
      <c r="CF31" s="38">
        <v>12</v>
      </c>
      <c r="CG31" s="1381">
        <f>IF($CF31&gt;$C$5," ",VLOOKUP($CF31,Unit!$A$7:$BE$68,22,FALSE))</f>
        <v>33.340000000000003</v>
      </c>
      <c r="CH31" s="1027">
        <f>IF($CF31&gt;$C$5," ",VLOOKUP($CF31,Unit!$A$7:$BE$68,23,FALSE))</f>
        <v>33.33</v>
      </c>
      <c r="CI31" s="1027">
        <f>IF($CF31&gt;$C$5," ",VLOOKUP($CF31,Unit!$A$7:$BE$68,24,FALSE))</f>
        <v>32.996699999999997</v>
      </c>
      <c r="CJ31" s="1189">
        <f>IF($CF31&gt;$C$5," ",VLOOKUP($CF31,Unit!$A$7:$BE$68,25,FALSE))</f>
        <v>0.33330000000000026</v>
      </c>
      <c r="CK31" s="1381">
        <f>IF($CF31&gt;$C$5," ",VLOOKUP($CF31,Unit!$A$7:$BE$68,27,FALSE))</f>
        <v>118.24786175466822</v>
      </c>
      <c r="CL31" s="1027">
        <f>IF($CF31&gt;$C$5," ",VLOOKUP($CF31,Unit!$A$7:$BE$68,28,FALSE))</f>
        <v>590.46002021310926</v>
      </c>
      <c r="CM31" s="1027">
        <f>IF($CF31&gt;$C$5," ",VLOOKUP($CF31,Unit!$A$7:$BE$68,29,FALSE))</f>
        <v>0</v>
      </c>
      <c r="CN31" s="1027">
        <f ca="1">IF($CF31&gt;$C$5," ",VLOOKUP($CF31,Unit!$A$7:$BE$68,30,FALSE))</f>
        <v>106.249374</v>
      </c>
      <c r="CO31" s="1027">
        <f>IF($CF31&gt;$C$5," ",VLOOKUP($CF31,Unit!$A$7:$BE$68,31,FALSE))</f>
        <v>390.21598296145851</v>
      </c>
      <c r="CP31" s="1027">
        <f>IF($CF31&gt;$C$5," ",VLOOKUP($CF31,Unit!$A$7:$BE$68,32,FALSE))</f>
        <v>0</v>
      </c>
      <c r="CQ31" s="1381">
        <f>IF($CF31&gt;$C$5," ",VLOOKUP($CF31,Unit!$A$7:$BE$68,33,FALSE))</f>
        <v>248.68682984763632</v>
      </c>
      <c r="CR31" s="1027">
        <f>IF($CF31&gt;$C$5," ",VLOOKUP($CF31,Unit!$A$7:$BE$68,34,FALSE))</f>
        <v>0</v>
      </c>
      <c r="CS31" s="1027">
        <f>IF($CF31&gt;$C$5," ",VLOOKUP($CF31,Unit!$A$7:$BE$68,35,FALSE))</f>
        <v>246.12611632973906</v>
      </c>
      <c r="CT31" s="1027">
        <f>IF($CF31&gt;$C$5," ",VLOOKUP($CF31,Unit!$A$7:$BE$68,36,FALSE))</f>
        <v>435.07553571428565</v>
      </c>
      <c r="CU31" s="1189">
        <f t="shared" si="20"/>
        <v>681.20165204402474</v>
      </c>
      <c r="CV31" s="1027">
        <f>IF($CF31&gt;$C$5," ",VLOOKUP($CF31,Unit!$A$7:$BA$68,43,FALSE))</f>
        <v>240772.89938151414</v>
      </c>
      <c r="CW31" s="1027">
        <f>IF($CF31&gt;$C$5," ",VLOOKUP($CF31,Unit!$A$7:$BB$68,44,FALSE))</f>
        <v>-53486.129824915901</v>
      </c>
      <c r="CX31" s="1189">
        <f ca="1">IF($CF31&gt;$C$5," ",VLOOKUP($CF31,Unit!$A$7:$BE$68,47,FALSE))</f>
        <v>21247.525664337139</v>
      </c>
      <c r="CY31" s="1381">
        <f>IF($CF31&gt;$C$5," ",VLOOKUP($CF31,Unit!$A$7:$BA$68,53,FALSE))</f>
        <v>196793.96957215335</v>
      </c>
      <c r="CZ31" s="1027">
        <f>IF($CF31&gt;$C$5," ",VLOOKUP($CF31,Unit!$A$7:$BB$68,54,FALSE))</f>
        <v>-46011.671878039837</v>
      </c>
      <c r="DA31" s="1189">
        <f ca="1">IF($CF31&gt;$C$5," ",VLOOKUP($CF31,Unit!$A$7:$BE$68,57,FALSE))</f>
        <v>23803.032777246997</v>
      </c>
    </row>
    <row r="32" spans="1:105" x14ac:dyDescent="0.25">
      <c r="A32" s="38">
        <v>13</v>
      </c>
      <c r="B32" s="1381">
        <f>IF($A32&gt;$C$5," ",VLOOKUP($A32,Plot!$A$7:$T$67,Plot!P$2,FALSE))</f>
        <v>472.18949219313333</v>
      </c>
      <c r="C32" s="1027">
        <f>IF($A32&gt;$C$5," ",VLOOKUP($A32,Plot!$V$7:$CI$67,Plot!$CA$2,FALSE))</f>
        <v>-3</v>
      </c>
      <c r="D32" s="1027">
        <f ca="1">IF($A32&gt;$C$5," ",VLOOKUP($A32,Plot!$CK$7:$DD$67,Plot!$CZ$2,FALSE))</f>
        <v>-136.25199126286225</v>
      </c>
      <c r="E32" s="1027">
        <f>IF($A32&gt;$C$5," ",VLOOKUP($A32,Plot!$DF$7:$FT$67,Plot!$FL$2,FALSE))</f>
        <v>-3</v>
      </c>
      <c r="F32" s="1379">
        <f t="shared" ca="1" si="21"/>
        <v>-139.25199126286225</v>
      </c>
      <c r="G32" s="1026">
        <f>IF($A32&gt;$C$5," ",VLOOKUP($A32,Plot!$V$7:$CG$67,Plot!$CG$2,FALSE))</f>
        <v>189.37025222910771</v>
      </c>
      <c r="H32" s="1027">
        <f>IF($A32&gt;$C$5," ",VLOOKUP($A32,Plot!$DF$7:$FT$67,Plot!$FR$2,FALSE))</f>
        <v>126.76523603888205</v>
      </c>
      <c r="I32" s="1379">
        <f t="shared" ca="1" si="17"/>
        <v>-9.4867552239801967</v>
      </c>
      <c r="J32" s="1026">
        <f>IF($A32&gt;$C$5," ",SUM(B$20:$B32))</f>
        <v>7693.9321251119736</v>
      </c>
      <c r="K32" s="1027">
        <f>IF($A32&gt;$C$5," ",SUM($C$20:C32))</f>
        <v>-1607.7443691843955</v>
      </c>
      <c r="L32" s="1027">
        <f ca="1">IF($A32&gt;$C$5," ",SUM($D$20:D32))</f>
        <v>1577.2824029704429</v>
      </c>
      <c r="M32" s="1027">
        <f>IF($A32&gt;$C$5," ",SUM($E$20:E32))</f>
        <v>-1079.0448753513026</v>
      </c>
      <c r="N32" s="1379">
        <f ca="1">IF($A32&gt;$C$5," ",SUM($F$20:F32))</f>
        <v>498.23752761914011</v>
      </c>
      <c r="O32" s="1027">
        <f>IF($A32&gt;$C$5," ",SUM($G$20:G32))</f>
        <v>-1054.4158050727813</v>
      </c>
      <c r="P32" s="1027">
        <f>IF($A32&gt;$C$5," ",SUM($H$20:H32))</f>
        <v>-710.73393315520343</v>
      </c>
      <c r="Q32" s="1027">
        <f ca="1">IF($A32&gt;$C$5," ",SUM($I$20:I32))</f>
        <v>866.5484698152402</v>
      </c>
      <c r="R32" s="1026">
        <f>IF($A32&gt;$C$5," ",VLOOKUP($A32,Plot!$HM$7:$IA$67,2,FALSE))</f>
        <v>294.92816366654006</v>
      </c>
      <c r="S32" s="1027">
        <f>IF($A32&gt;$C$5," ",VLOOKUP($A32,Plot!$HM$7:$IA$67,3,FALSE))</f>
        <v>-1.8737911487401955</v>
      </c>
      <c r="T32" s="1027">
        <f ca="1">IF($A32&gt;$C$5," ",VLOOKUP($A32,Plot!$HM$7:$IA$67,4,FALSE))</f>
        <v>-85.102591742192544</v>
      </c>
      <c r="U32" s="1027">
        <f>IF($A32&gt;$C$5," ",VLOOKUP($A32,Plot!$HM$7:$IA$67,5,FALSE))</f>
        <v>-1.8737911487401955</v>
      </c>
      <c r="V32" s="1379">
        <f t="shared" ca="1" si="16"/>
        <v>-86.97638289093274</v>
      </c>
      <c r="W32" s="1027">
        <f>IF($A32&gt;$C$5," ",VLOOKUP($A32,Plot!$HM$7:$IA$67,Plot!$HR$2,FALSE))</f>
        <v>109.26196095560482</v>
      </c>
      <c r="X32" s="1027">
        <f>IF($A32&gt;$C$5," ",VLOOKUP($A32,Plot!$HM$7:$IA$67,Plot!$HS$2,FALSE))</f>
        <v>73.21739464897459</v>
      </c>
      <c r="Y32" s="1379">
        <f t="shared" ca="1" si="18"/>
        <v>-11.885197093217954</v>
      </c>
      <c r="Z32" s="1026">
        <f>IF($A32&gt;$C$5," ",SUM($R$20:R32))</f>
        <v>6197.5667231192483</v>
      </c>
      <c r="AA32" s="1027">
        <f>IF($A32&gt;$C$5," ",SUM($S$20:S32))</f>
        <v>-1382.3619963104516</v>
      </c>
      <c r="AB32" s="1027">
        <f ca="1">IF($A32&gt;$C$5," ",SUM($T$20:T32))</f>
        <v>1553.9278249250729</v>
      </c>
      <c r="AC32" s="1027">
        <f>IF($A32&gt;$C$5," ",SUM($U$20:U32))</f>
        <v>-926.74180825863982</v>
      </c>
      <c r="AD32" s="1379">
        <f t="shared" ca="1" si="22"/>
        <v>627.18601666643303</v>
      </c>
      <c r="AE32" s="1027">
        <f>IF($A32&gt;$C$5," ",SUM($W$20:W32))</f>
        <v>-1036.7546077179636</v>
      </c>
      <c r="AF32" s="1027">
        <f>IF($A32&gt;$C$5," ",SUM($X$20:X32))</f>
        <v>-696.69588043490205</v>
      </c>
      <c r="AG32" s="1027">
        <f t="shared" ca="1" si="23"/>
        <v>857.2319444901708</v>
      </c>
      <c r="AH32" s="1394">
        <f>IF($A32&gt;$C$5," ",VLOOKUP($A32,Plot!$A$7:$D$67,4,FALSE))</f>
        <v>1</v>
      </c>
      <c r="AI32" s="1390">
        <f>IF($A32&gt;$C$5," ",VLOOKUP($A32,Plot!$A$7:$E$67,5,FALSE))</f>
        <v>7.9761913966210409</v>
      </c>
      <c r="AJ32" s="1390">
        <f ca="1">IF($A32&gt;$C$5," ",IF(ROW()-ROW($A$18)&gt;='Options and results'!$AR$56,AVERAGE(OFFSET(AI32,0,0,COUNTA($BS:$BS)-'Options and results'!$AR$56,1)),NA()))</f>
        <v>6.7216966736491859</v>
      </c>
      <c r="AK32" s="1395">
        <f>IF($A32&gt;$C$5," ",VLOOKUP($A32,Plot!$A$7:$F$67,6,FALSE))</f>
        <v>3.1904765586484167</v>
      </c>
      <c r="AL32" s="1390">
        <f>IF($A32&gt;$C$5," ",VLOOKUP($A32,Plot!$CK$7:$CN$67,4,FALSE))</f>
        <v>0.99</v>
      </c>
      <c r="AM32" s="1390">
        <f ca="1">IF($A32&gt;$C$5," ",AL32*VLOOKUP($A32,Plot!$CK$7:$CO$67,5,FALSE))</f>
        <v>5.9301000000000004</v>
      </c>
      <c r="AN32" s="1390">
        <f ca="1">IF($A32&gt;$C$5," ",IF(ROW()-ROW($A$18)&gt;='Options and results'!$AR$56,AVERAGE(OFFSET(AM32,0,0,COUNTA($BS:$BS)-'Options and results'!$AR$56,1)),NA()))</f>
        <v>0.66879999999999995</v>
      </c>
      <c r="AO32" s="1390">
        <f ca="1">IF($A32&gt;$C$5," ",VLOOKUP($A32,Plot!$CK$7:$CP$67,6,FALSE))</f>
        <v>2.3960000000000004</v>
      </c>
      <c r="AP32" s="1409">
        <f>IF($A32&gt;$C$5,0,VLOOKUP($A32,Plot!$V$7:$AH$67,7,FALSE))</f>
        <v>156</v>
      </c>
      <c r="AQ32" s="1390">
        <f>IF($A32&gt;$C$5," ",VLOOKUP($A32,Plot!$V$7:$AH$67,13,FALSE))</f>
        <v>25.142616726174616</v>
      </c>
      <c r="AR32" s="1390">
        <f>IF($A32&gt;$C$5," ",VLOOKUP($A32,Plot!$V$7:$AI$67,14,FALSE))</f>
        <v>0.16117062003958088</v>
      </c>
      <c r="AS32" s="1390">
        <f>IF($A32&gt;$C$5," ",VLOOKUP($A32,Plot!$V$7:$AJ$67,15,FALSE))</f>
        <v>0</v>
      </c>
      <c r="AT32" s="1390">
        <f>IF($A32&gt;$C$5," ",AQ32+SUM($AS$20:AS32)+IF(AP33=0,-AQ32,0))</f>
        <v>25.142616726174616</v>
      </c>
      <c r="AU32" s="1390">
        <f>IF($A32&gt;$C$5," ",VLOOKUP($A32,Plot!$V$7:$AL$67,Plot!$AL$2,FALSE))</f>
        <v>0</v>
      </c>
      <c r="AV32" s="1395">
        <f>IF($A32&gt;$C$5," ",VLOOKUP($A32,Plot!$V$7:$AM$67,Plot!$AM$2,FALSE))</f>
        <v>0</v>
      </c>
      <c r="AW32" s="1407">
        <f>IF($A32&gt;$C$5,0,VLOOKUP($A32,Plot!$DF$7:$DS$67,7,FALSE))</f>
        <v>100</v>
      </c>
      <c r="AX32" s="1390">
        <f>IF($A32&gt;$C$5," ",VLOOKUP($A32,Plot!$DF$7:$DS$67,14,FALSE))</f>
        <v>16.735627719780698</v>
      </c>
      <c r="AY32" s="1390">
        <f>IF($A32&gt;$C$5," ",VLOOKUP($A32,Plot!$DF$7:$DT$67,15,FALSE))</f>
        <v>0.16735627719780699</v>
      </c>
      <c r="AZ32" s="1390">
        <f>IF($A32&gt;$C$5," ",VLOOKUP($A32,Plot!$DF$7:$DU$67,16,FALSE))</f>
        <v>0</v>
      </c>
      <c r="BA32" s="1390">
        <f>IF($A32&gt;$C$5," ",AX32+SUM($AZ$20:AZ32)+IF(AW33=0,-AX32,0))</f>
        <v>16.735627719780698</v>
      </c>
      <c r="BB32" s="1390">
        <f>IF($A32&gt;$C$5," ",VLOOKUP($A32,Plot!$DF$7:$DW$67,Plot!$DW$2,FALSE))</f>
        <v>0</v>
      </c>
      <c r="BC32" s="1390">
        <f>IF($A32&gt;$C$5," ",VLOOKUP($A32,Plot!$DF$7:$DX$67,Plot!$DX$2,FALSE))</f>
        <v>0</v>
      </c>
      <c r="BD32" s="1396">
        <f>IF($A32&gt;$C$5," ",VLOOKUP($A32,Plot!$A$7:$N$67,14,FALSE))</f>
        <v>11.632834596849463</v>
      </c>
      <c r="BE32" s="303">
        <f>IF($A32&gt;$C$5," ",VLOOKUP($A32,Plot!$V$7:$BW$67,Plot!$BW$2,FALSE))</f>
        <v>0</v>
      </c>
      <c r="BF32" s="303">
        <f>IF($A32&gt;$C$5," ",VLOOKUP($A32,Plot!$CK$7:$CX$67,14,FALSE))</f>
        <v>11.516506250880969</v>
      </c>
      <c r="BG32" s="303">
        <f>IF($A32&gt;$C$5," ",VLOOKUP($A32,Plot!$DF$7:$FH$67,Plot!$FH$2,FALSE))</f>
        <v>0</v>
      </c>
      <c r="BH32" s="1397">
        <f t="shared" si="24"/>
        <v>11.516506250880969</v>
      </c>
      <c r="BI32" s="303" t="str">
        <f>IF($A32&gt;$C$5," ",VLOOKUP($A32,Plot!$DF$7:$EJ$67,29,FALSE))</f>
        <v>Marking-up &amp; thinning</v>
      </c>
      <c r="BJ32" s="303">
        <f>IF($A32&gt;$C$5," ",VLOOKUP($A32,Plot!$DF$7:$FT$67,30,FALSE))</f>
        <v>14.6</v>
      </c>
      <c r="BK32" s="303">
        <f>IF($A32&gt;$C$5," ",VLOOKUP($A32,Plot!$DF$7:$FT$67,Plot!$EL$2,FALSE))</f>
        <v>0</v>
      </c>
      <c r="BL32" s="303">
        <f>IF($A32&gt;$C$5," ",VLOOKUP($A32,Plot!$DF$7:$FT$67,Plot!$EM$2,FALSE))</f>
        <v>0</v>
      </c>
      <c r="BM32" s="303">
        <f>IF($A32&gt;$C$5," ",VLOOKUP($A32,Plot!$DF$7:$FT$67,Plot!$EN$2,FALSE))</f>
        <v>0</v>
      </c>
      <c r="BN32" s="303">
        <f>IF($A32&gt;$C$5," ",VLOOKUP($A32,Plot!$DF$7:$FT$67,Plot!$EO$2,FALSE))</f>
        <v>0</v>
      </c>
      <c r="BO32" s="303">
        <f t="shared" si="19"/>
        <v>14.6</v>
      </c>
      <c r="BP32" s="303">
        <f>IF($A32&gt;$C$5," ",VLOOKUP($A32,Plot!$DF$7:$FT$67,Plot!$EQ$2,FALSE))</f>
        <v>0</v>
      </c>
      <c r="BQ32" s="303">
        <f>IF($A32&gt;$C$5," ",(VLOOKUP($A32,Plot!$DF$7:$FT$67,Plot!$ES$2,FALSE)+VLOOKUP($A32,Plot!$DF$7:$FT$67,Plot!$ET$2,FALSE)))</f>
        <v>0</v>
      </c>
      <c r="BR32" s="303">
        <f>IF($A32&gt;$C$5," ",(VLOOKUP($A32,Plot!$DF$7:$FT$67,Plot!$EV$2,FALSE)+VLOOKUP($A32,Plot!$DF$7:$FT$67,Plot!$EW$2,FALSE)))</f>
        <v>0</v>
      </c>
      <c r="BS32" s="303">
        <f>IF($A32&gt;$C$5," ",VLOOKUP($A32,Plot!$DF$7:$FT$67,Plot!$EY$2,FALSE))</f>
        <v>0</v>
      </c>
      <c r="BT32" s="303">
        <f>IF($A32&gt;$C$5," ",(VLOOKUP($A32,Plot!$DF$7:$FT$67,Plot!$FB$2,FALSE)+VLOOKUP($A32,Plot!$DF$7:$FT$67,Plot!$FC$2,FALSE)))</f>
        <v>0</v>
      </c>
      <c r="BU32" s="303">
        <f>IF($A32&gt;$C$5," ",(VLOOKUP($A32,Plot!$DF$7:$FT$67,Plot!$FE$2,FALSE)+VLOOKUP($A32,Plot!$DF$7:$FT$67,Plot!$FF$2,FALSE)))</f>
        <v>0</v>
      </c>
      <c r="BV32" s="1026">
        <f>IF($A32&gt;$C$5," ",VLOOKUP($A32,Plot!$FV$7:$GJ$67,2,FALSE))</f>
        <v>939.64275315923817</v>
      </c>
      <c r="BW32" s="1027">
        <f>IF($A32&gt;$C$5," ",VLOOKUP($A32,Plot!$FV$7:$GJ$67,3,FALSE))</f>
        <v>0</v>
      </c>
      <c r="BX32" s="1379">
        <f ca="1">IF($A32&gt;$C$5," ",VLOOKUP($A32,Plot!$FV$7:$GJ$67,6,FALSE))</f>
        <v>698.60102565619752</v>
      </c>
      <c r="BY32" s="1026">
        <f>IF($A32&gt;$C$5," ",VLOOKUP($A32,Plot!$GO$7:$GY$67,2,FALSE))</f>
        <v>146.9052260612313</v>
      </c>
      <c r="BZ32" s="1027">
        <f>IF($A32&gt;$C$5," ",VLOOKUP($A32,Plot!$GO$7:$GY$67,3,FALSE))</f>
        <v>0</v>
      </c>
      <c r="CA32" s="1379">
        <f>IF($A32&gt;$C$5," ",VLOOKUP($A32,Plot!$GO$7:$GY$67,6,FALSE))</f>
        <v>0</v>
      </c>
      <c r="CB32" s="1027">
        <f>IF($A32&gt;$C$5," ",-1*VLOOKUP($A32,Plot!$HA$7:$HK$67,2,FALSE))</f>
        <v>-791.61981555392936</v>
      </c>
      <c r="CC32" s="1027">
        <f>IF($A32&gt;$C$5," ",-1*VLOOKUP($A32,Plot!$HA$7:$HK$67,3,FALSE))</f>
        <v>-1.8737911487401955</v>
      </c>
      <c r="CD32" s="1189">
        <f>IF($A32&gt;$C$5," ",-1*VLOOKUP($A32,Plot!$HA$7:$HK$67,6,FALSE))</f>
        <v>-785.57740854713029</v>
      </c>
      <c r="CE32" s="10"/>
      <c r="CF32" s="38">
        <v>13</v>
      </c>
      <c r="CG32" s="1381">
        <f>IF($CF32&gt;$C$5," ",VLOOKUP($CF32,Unit!$A$7:$BE$68,22,FALSE))</f>
        <v>33.340000000000003</v>
      </c>
      <c r="CH32" s="1027">
        <f>IF($CF32&gt;$C$5," ",VLOOKUP($CF32,Unit!$A$7:$BE$68,23,FALSE))</f>
        <v>33.33</v>
      </c>
      <c r="CI32" s="1027">
        <f>IF($CF32&gt;$C$5," ",VLOOKUP($CF32,Unit!$A$7:$BE$68,24,FALSE))</f>
        <v>32.996699999999997</v>
      </c>
      <c r="CJ32" s="1189">
        <f>IF($CF32&gt;$C$5," ",VLOOKUP($CF32,Unit!$A$7:$BE$68,25,FALSE))</f>
        <v>0.33330000000000026</v>
      </c>
      <c r="CK32" s="1381">
        <f>IF($CF32&gt;$C$5," ",VLOOKUP($CF32,Unit!$A$7:$BE$68,27,FALSE))</f>
        <v>265.92622116334553</v>
      </c>
      <c r="CL32" s="1027">
        <f>IF($CF32&gt;$C$5," ",VLOOKUP($CF32,Unit!$A$7:$BE$68,28,FALSE))</f>
        <v>838.00341548339986</v>
      </c>
      <c r="CM32" s="1027">
        <f>IF($CF32&gt;$C$5," ",VLOOKUP($CF32,Unit!$A$7:$BE$68,29,FALSE))</f>
        <v>0</v>
      </c>
      <c r="CN32" s="1027">
        <f ca="1">IF($CF32&gt;$C$5," ",VLOOKUP($CF32,Unit!$A$7:$BE$68,30,FALSE))</f>
        <v>197.65023300000001</v>
      </c>
      <c r="CO32" s="1027">
        <f>IF($CF32&gt;$C$5," ",VLOOKUP($CF32,Unit!$A$7:$BE$68,31,FALSE))</f>
        <v>557.79847190029068</v>
      </c>
      <c r="CP32" s="1027">
        <f>IF($CF32&gt;$C$5," ",VLOOKUP($CF32,Unit!$A$7:$BE$68,32,FALSE))</f>
        <v>0</v>
      </c>
      <c r="CQ32" s="1381">
        <f>IF($CF32&gt;$C$5," ",VLOOKUP($CF32,Unit!$A$7:$BE$68,33,FALSE))</f>
        <v>387.83870545896116</v>
      </c>
      <c r="CR32" s="1027">
        <f>IF($CF32&gt;$C$5," ",VLOOKUP($CF32,Unit!$A$7:$BE$68,34,FALSE))</f>
        <v>0</v>
      </c>
      <c r="CS32" s="1027">
        <f>IF($CF32&gt;$C$5," ",VLOOKUP($CF32,Unit!$A$7:$BE$68,35,FALSE))</f>
        <v>383.84515334186267</v>
      </c>
      <c r="CT32" s="1027">
        <f>IF($CF32&gt;$C$5," ",VLOOKUP($CF32,Unit!$A$7:$BE$68,36,FALSE))</f>
        <v>0</v>
      </c>
      <c r="CU32" s="1189">
        <f t="shared" si="20"/>
        <v>383.84515334186267</v>
      </c>
      <c r="CV32" s="1027">
        <f>IF($CF32&gt;$C$5," ",VLOOKUP($CF32,Unit!$A$7:$BA$68,43,FALSE))</f>
        <v>256515.6970512332</v>
      </c>
      <c r="CW32" s="1027">
        <f>IF($CF32&gt;$C$5," ",VLOOKUP($CF32,Unit!$A$7:$BB$68,44,FALSE))</f>
        <v>-53586.119824915899</v>
      </c>
      <c r="CX32" s="1189">
        <f ca="1">IF($CF32&gt;$C$5," ",VLOOKUP($CF32,Unit!$A$7:$BE$68,47,FALSE))</f>
        <v>16606.256795545942</v>
      </c>
      <c r="CY32" s="1381">
        <f>IF($CF32&gt;$C$5," ",VLOOKUP($CF32,Unit!$A$7:$BA$68,53,FALSE))</f>
        <v>206626.87454879581</v>
      </c>
      <c r="CZ32" s="1027">
        <f>IF($CF32&gt;$C$5," ",VLOOKUP($CF32,Unit!$A$7:$BB$68,54,FALSE))</f>
        <v>-46074.125337027348</v>
      </c>
      <c r="DA32" s="1189">
        <f ca="1">IF($CF32&gt;$C$5," ",VLOOKUP($CF32,Unit!$A$7:$BE$68,57,FALSE))</f>
        <v>20904.109935492208</v>
      </c>
    </row>
    <row r="33" spans="1:105" x14ac:dyDescent="0.25">
      <c r="A33" s="38">
        <v>14</v>
      </c>
      <c r="B33" s="1381">
        <f>IF($A33&gt;$C$5," ",VLOOKUP($A33,Plot!$A$7:$T$67,Plot!P$2,FALSE))</f>
        <v>719.63599051924382</v>
      </c>
      <c r="C33" s="1027">
        <f>IF($A33&gt;$C$5," ",VLOOKUP($A33,Plot!$V$7:$CI$67,Plot!$CA$2,FALSE))</f>
        <v>-3</v>
      </c>
      <c r="D33" s="1027">
        <f ca="1">IF($A33&gt;$C$5," ",VLOOKUP($A33,Plot!$CK$7:$DD$67,Plot!$CZ$2,FALSE))</f>
        <v>-102.64149126286202</v>
      </c>
      <c r="E33" s="1027">
        <f>IF($A33&gt;$C$5," ",VLOOKUP($A33,Plot!$DF$7:$FT$67,Plot!$FL$2,FALSE))</f>
        <v>-3</v>
      </c>
      <c r="F33" s="1379">
        <f t="shared" ca="1" si="21"/>
        <v>-105.64149126286202</v>
      </c>
      <c r="G33" s="1026">
        <f>IF($A33&gt;$C$5," ",VLOOKUP($A33,Plot!$V$7:$CG$67,Plot!$CG$2,FALSE))</f>
        <v>139.37934614889031</v>
      </c>
      <c r="H33" s="1027">
        <f>IF($A33&gt;$C$5," ",VLOOKUP($A33,Plot!$DF$7:$FT$67,Plot!$FR$2,FALSE))</f>
        <v>130.03942448070856</v>
      </c>
      <c r="I33" s="1379">
        <f t="shared" ca="1" si="17"/>
        <v>27.397933217846543</v>
      </c>
      <c r="J33" s="1026">
        <f>IF($A33&gt;$C$5," ",SUM(B$20:$B33))</f>
        <v>8413.5681156312166</v>
      </c>
      <c r="K33" s="1027">
        <f>IF($A33&gt;$C$5," ",SUM($C$20:C33))</f>
        <v>-1610.7443691843955</v>
      </c>
      <c r="L33" s="1027">
        <f ca="1">IF($A33&gt;$C$5," ",SUM($D$20:D33))</f>
        <v>1474.6409117075809</v>
      </c>
      <c r="M33" s="1027">
        <f>IF($A33&gt;$C$5," ",SUM($E$20:E33))</f>
        <v>-1082.0448753513026</v>
      </c>
      <c r="N33" s="1379">
        <f ca="1">IF($A33&gt;$C$5," ",SUM($F$20:F33))</f>
        <v>392.59603635627809</v>
      </c>
      <c r="O33" s="1027">
        <f>IF($A33&gt;$C$5," ",SUM($G$20:G33))</f>
        <v>-915.0364589238909</v>
      </c>
      <c r="P33" s="1027">
        <f>IF($A33&gt;$C$5," ",SUM($H$20:H33))</f>
        <v>-580.69450867449484</v>
      </c>
      <c r="Q33" s="1027">
        <f ca="1">IF($A33&gt;$C$5," ",SUM($I$20:I33))</f>
        <v>893.94640303308677</v>
      </c>
      <c r="R33" s="1026">
        <f>IF($A33&gt;$C$5," ",VLOOKUP($A33,Plot!$HM$7:$IA$67,2,FALSE))</f>
        <v>432.19472735571878</v>
      </c>
      <c r="S33" s="1027">
        <f>IF($A33&gt;$C$5," ",VLOOKUP($A33,Plot!$HM$7:$IA$67,3,FALSE))</f>
        <v>-1.801722258404034</v>
      </c>
      <c r="T33" s="1027">
        <f ca="1">IF($A33&gt;$C$5," ",VLOOKUP($A33,Plot!$HM$7:$IA$67,4,FALSE))</f>
        <v>-61.64381981469387</v>
      </c>
      <c r="U33" s="1027">
        <f>IF($A33&gt;$C$5," ",VLOOKUP($A33,Plot!$HM$7:$IA$67,5,FALSE))</f>
        <v>-1.801722258404034</v>
      </c>
      <c r="V33" s="1379">
        <f t="shared" ca="1" si="16"/>
        <v>-63.445542073097904</v>
      </c>
      <c r="W33" s="1027">
        <f>IF($A33&gt;$C$5," ",VLOOKUP($A33,Plot!$HM$7:$IA$67,Plot!$HR$2,FALSE))</f>
        <v>70.415031570476913</v>
      </c>
      <c r="X33" s="1027">
        <f>IF($A33&gt;$C$5," ",VLOOKUP($A33,Plot!$HM$7:$IA$67,Plot!$HS$2,FALSE))</f>
        <v>69.250388218067997</v>
      </c>
      <c r="Y33" s="1379">
        <f t="shared" ca="1" si="18"/>
        <v>7.6065684033741263</v>
      </c>
      <c r="Z33" s="1026">
        <f>IF($A33&gt;$C$5," ",SUM($R$20:R33))</f>
        <v>6629.7614504749672</v>
      </c>
      <c r="AA33" s="1027">
        <f>IF($A33&gt;$C$5," ",SUM($S$20:S33))</f>
        <v>-1384.1637185688555</v>
      </c>
      <c r="AB33" s="1027">
        <f ca="1">IF($A33&gt;$C$5," ",SUM($T$20:T33))</f>
        <v>1492.284005110379</v>
      </c>
      <c r="AC33" s="1027">
        <f>IF($A33&gt;$C$5," ",SUM($U$20:U33))</f>
        <v>-928.54353051704391</v>
      </c>
      <c r="AD33" s="1379">
        <f t="shared" ca="1" si="22"/>
        <v>563.74047459333508</v>
      </c>
      <c r="AE33" s="1027">
        <f>IF($A33&gt;$C$5," ",SUM($W$20:W33))</f>
        <v>-966.3395761474867</v>
      </c>
      <c r="AF33" s="1027">
        <f>IF($A33&gt;$C$5," ",SUM($X$20:X33))</f>
        <v>-627.44549221683405</v>
      </c>
      <c r="AG33" s="1027">
        <f t="shared" ca="1" si="23"/>
        <v>864.83851289354493</v>
      </c>
      <c r="AH33" s="1394">
        <f>IF($A33&gt;$C$5," ",VLOOKUP($A33,Plot!$A$7:$D$67,4,FALSE))</f>
        <v>1</v>
      </c>
      <c r="AI33" s="1390">
        <f>IF($A33&gt;$C$5," ",VLOOKUP($A33,Plot!$A$7:$E$67,5,FALSE))</f>
        <v>9.2881315939317908</v>
      </c>
      <c r="AJ33" s="1390">
        <f ca="1">IF($A33&gt;$C$5," ",IF(ROW()-ROW($A$18)&gt;='Options and results'!$AR$56,AVERAGE(OFFSET(AI33,0,0,COUNTA($BS:$BS)-'Options and results'!$AR$56,1)),NA()))</f>
        <v>6.6479028664155466</v>
      </c>
      <c r="AK33" s="1395">
        <f>IF($A33&gt;$C$5," ",VLOOKUP($A33,Plot!$A$7:$F$67,6,FALSE))</f>
        <v>3.7152526375727164</v>
      </c>
      <c r="AL33" s="1390">
        <f>IF($A33&gt;$C$5," ",VLOOKUP($A33,Plot!$CK$7:$CN$67,4,FALSE))</f>
        <v>0.99</v>
      </c>
      <c r="AM33" s="1390">
        <f ca="1">IF($A33&gt;$C$5," ",AL33*VLOOKUP($A33,Plot!$CK$7:$CO$67,5,FALSE))</f>
        <v>6.1082999999999998</v>
      </c>
      <c r="AN33" s="1390">
        <f ca="1">IF($A33&gt;$C$5," ",IF(ROW()-ROW($A$18)&gt;='Options and results'!$AR$56,AVERAGE(OFFSET(AM33,0,0,COUNTA($BS:$BS)-'Options and results'!$AR$56,1)),NA()))</f>
        <v>0.35931176470588233</v>
      </c>
      <c r="AO33" s="1390">
        <f ca="1">IF($A33&gt;$C$5," ",VLOOKUP($A33,Plot!$CK$7:$CP$67,6,FALSE))</f>
        <v>2.468</v>
      </c>
      <c r="AP33" s="1409">
        <f>IF($A33&gt;$C$5,0,VLOOKUP($A33,Plot!$V$7:$AH$67,7,FALSE))</f>
        <v>156</v>
      </c>
      <c r="AQ33" s="1390">
        <f>IF($A33&gt;$C$5," ",VLOOKUP($A33,Plot!$V$7:$AH$67,13,FALSE))</f>
        <v>30.448359302089404</v>
      </c>
      <c r="AR33" s="1390">
        <f>IF($A33&gt;$C$5," ",VLOOKUP($A33,Plot!$V$7:$AI$67,14,FALSE))</f>
        <v>0.19518179039800901</v>
      </c>
      <c r="AS33" s="1390">
        <f>IF($A33&gt;$C$5," ",VLOOKUP($A33,Plot!$V$7:$AJ$67,15,FALSE))</f>
        <v>0</v>
      </c>
      <c r="AT33" s="1390">
        <f>IF($A33&gt;$C$5," ",AQ33+SUM($AS$20:AS33)+IF(AP34=0,-AQ33,0))</f>
        <v>30.448359302089404</v>
      </c>
      <c r="AU33" s="1390">
        <f>IF($A33&gt;$C$5," ",VLOOKUP($A33,Plot!$V$7:$AL$67,Plot!$AL$2,FALSE))</f>
        <v>0</v>
      </c>
      <c r="AV33" s="1395">
        <f>IF($A33&gt;$C$5," ",VLOOKUP($A33,Plot!$V$7:$AM$67,Plot!$AM$2,FALSE))</f>
        <v>0</v>
      </c>
      <c r="AW33" s="1407">
        <f>IF($A33&gt;$C$5,0,VLOOKUP($A33,Plot!$DF$7:$DS$67,7,FALSE))</f>
        <v>100</v>
      </c>
      <c r="AX33" s="1390">
        <f>IF($A33&gt;$C$5," ",VLOOKUP($A33,Plot!$DF$7:$DS$67,14,FALSE))</f>
        <v>21.692095207628785</v>
      </c>
      <c r="AY33" s="1390">
        <f>IF($A33&gt;$C$5," ",VLOOKUP($A33,Plot!$DF$7:$DT$67,15,FALSE))</f>
        <v>0.21692095207628787</v>
      </c>
      <c r="AZ33" s="1390">
        <f>IF($A33&gt;$C$5," ",VLOOKUP($A33,Plot!$DF$7:$DU$67,16,FALSE))</f>
        <v>0</v>
      </c>
      <c r="BA33" s="1390">
        <f>IF($A33&gt;$C$5," ",AX33+SUM($AZ$20:AZ33)+IF(AW34=0,-AX33,0))</f>
        <v>21.692095207628785</v>
      </c>
      <c r="BB33" s="1390">
        <f>IF($A33&gt;$C$5," ",VLOOKUP($A33,Plot!$DF$7:$DW$67,Plot!$DW$2,FALSE))</f>
        <v>0</v>
      </c>
      <c r="BC33" s="1390">
        <f>IF($A33&gt;$C$5," ",VLOOKUP($A33,Plot!$DF$7:$DX$67,Plot!$DX$2,FALSE))</f>
        <v>0</v>
      </c>
      <c r="BD33" s="1396">
        <f>IF($A33&gt;$C$5," ",VLOOKUP($A33,Plot!$A$7:$N$67,14,FALSE))</f>
        <v>11.632834596849463</v>
      </c>
      <c r="BE33" s="303">
        <f>IF($A33&gt;$C$5," ",VLOOKUP($A33,Plot!$V$7:$BW$67,Plot!$BW$2,FALSE))</f>
        <v>0</v>
      </c>
      <c r="BF33" s="303">
        <f>IF($A33&gt;$C$5," ",VLOOKUP($A33,Plot!$CK$7:$CX$67,14,FALSE))</f>
        <v>11.516506250880969</v>
      </c>
      <c r="BG33" s="303">
        <f>IF($A33&gt;$C$5," ",VLOOKUP($A33,Plot!$DF$7:$FH$67,Plot!$FH$2,FALSE))</f>
        <v>0</v>
      </c>
      <c r="BH33" s="1397">
        <f t="shared" si="24"/>
        <v>11.516506250880969</v>
      </c>
      <c r="BI33" s="303" t="str">
        <f>IF($A33&gt;$C$5," ",VLOOKUP($A33,Plot!$DF$7:$EJ$67,29,FALSE))</f>
        <v>Removal of thinned tree</v>
      </c>
      <c r="BJ33" s="303">
        <f>IF($A33&gt;$C$5," ",VLOOKUP($A33,Plot!$DF$7:$FT$67,30,FALSE))</f>
        <v>14.6</v>
      </c>
      <c r="BK33" s="303">
        <f>IF($A33&gt;$C$5," ",VLOOKUP($A33,Plot!$DF$7:$FT$67,Plot!$EL$2,FALSE))</f>
        <v>0</v>
      </c>
      <c r="BL33" s="303">
        <f>IF($A33&gt;$C$5," ",VLOOKUP($A33,Plot!$DF$7:$FT$67,Plot!$EM$2,FALSE))</f>
        <v>0</v>
      </c>
      <c r="BM33" s="303">
        <f>IF($A33&gt;$C$5," ",VLOOKUP($A33,Plot!$DF$7:$FT$67,Plot!$EN$2,FALSE))</f>
        <v>0</v>
      </c>
      <c r="BN33" s="303">
        <f>IF($A33&gt;$C$5," ",VLOOKUP($A33,Plot!$DF$7:$FT$67,Plot!$EO$2,FALSE))</f>
        <v>0</v>
      </c>
      <c r="BO33" s="303">
        <f t="shared" si="19"/>
        <v>14.6</v>
      </c>
      <c r="BP33" s="303">
        <f>IF($A33&gt;$C$5," ",VLOOKUP($A33,Plot!$DF$7:$FT$67,Plot!$EQ$2,FALSE))</f>
        <v>0</v>
      </c>
      <c r="BQ33" s="303">
        <f>IF($A33&gt;$C$5," ",(VLOOKUP($A33,Plot!$DF$7:$FT$67,Plot!$ES$2,FALSE)+VLOOKUP($A33,Plot!$DF$7:$FT$67,Plot!$ET$2,FALSE)))</f>
        <v>0</v>
      </c>
      <c r="BR33" s="303">
        <f>IF($A33&gt;$C$5," ",(VLOOKUP($A33,Plot!$DF$7:$FT$67,Plot!$EV$2,FALSE)+VLOOKUP($A33,Plot!$DF$7:$FT$67,Plot!$EW$2,FALSE)))</f>
        <v>0</v>
      </c>
      <c r="BS33" s="303">
        <f>IF($A33&gt;$C$5," ",VLOOKUP($A33,Plot!$DF$7:$FT$67,Plot!$EY$2,FALSE))</f>
        <v>0</v>
      </c>
      <c r="BT33" s="303">
        <f>IF($A33&gt;$C$5," ",(VLOOKUP($A33,Plot!$DF$7:$FT$67,Plot!$FB$2,FALSE)+VLOOKUP($A33,Plot!$DF$7:$FT$67,Plot!$FC$2,FALSE)))</f>
        <v>0</v>
      </c>
      <c r="BU33" s="303">
        <f>IF($A33&gt;$C$5," ",(VLOOKUP($A33,Plot!$DF$7:$FT$67,Plot!$FE$2,FALSE)+VLOOKUP($A33,Plot!$DF$7:$FT$67,Plot!$FF$2,FALSE)))</f>
        <v>0</v>
      </c>
      <c r="BV33" s="1026">
        <f>IF($A33&gt;$C$5," ",VLOOKUP($A33,Plot!$FV$7:$GJ$67,2,FALSE))</f>
        <v>1052.1126018679283</v>
      </c>
      <c r="BW33" s="1027">
        <f>IF($A33&gt;$C$5," ",VLOOKUP($A33,Plot!$FV$7:$GJ$67,3,FALSE))</f>
        <v>0</v>
      </c>
      <c r="BX33" s="1379">
        <f ca="1">IF($A33&gt;$C$5," ",VLOOKUP($A33,Plot!$FV$7:$GJ$67,6,FALSE))</f>
        <v>691.91735076068119</v>
      </c>
      <c r="BY33" s="1026">
        <f>IF($A33&gt;$C$5," ",VLOOKUP($A33,Plot!$GO$7:$GY$67,2,FALSE))</f>
        <v>141.25502505887627</v>
      </c>
      <c r="BZ33" s="1027">
        <f>IF($A33&gt;$C$5," ",VLOOKUP($A33,Plot!$GO$7:$GY$67,3,FALSE))</f>
        <v>0</v>
      </c>
      <c r="CA33" s="1379">
        <f>IF($A33&gt;$C$5," ",VLOOKUP($A33,Plot!$GO$7:$GY$67,6,FALSE))</f>
        <v>0</v>
      </c>
      <c r="CB33" s="1027">
        <f>IF($A33&gt;$C$5," ",-1*VLOOKUP($A33,Plot!$HA$7:$HK$67,2,FALSE))</f>
        <v>-761.17289957108585</v>
      </c>
      <c r="CC33" s="1027">
        <f>IF($A33&gt;$C$5," ",-1*VLOOKUP($A33,Plot!$HA$7:$HK$67,3,FALSE))</f>
        <v>-1.801722258404034</v>
      </c>
      <c r="CD33" s="1189">
        <f>IF($A33&gt;$C$5," ",-1*VLOOKUP($A33,Plot!$HA$7:$HK$67,6,FALSE))</f>
        <v>-755.36289283377914</v>
      </c>
      <c r="CE33" s="10"/>
      <c r="CF33" s="38">
        <v>14</v>
      </c>
      <c r="CG33" s="1381">
        <f>IF($CF33&gt;$C$5," ",VLOOKUP($CF33,Unit!$A$7:$BE$68,22,FALSE))</f>
        <v>33.340000000000003</v>
      </c>
      <c r="CH33" s="1027">
        <f>IF($CF33&gt;$C$5," ",VLOOKUP($CF33,Unit!$A$7:$BE$68,23,FALSE))</f>
        <v>33.33</v>
      </c>
      <c r="CI33" s="1027">
        <f>IF($CF33&gt;$C$5," ",VLOOKUP($CF33,Unit!$A$7:$BE$68,24,FALSE))</f>
        <v>32.996699999999997</v>
      </c>
      <c r="CJ33" s="1189">
        <f>IF($CF33&gt;$C$5," ",VLOOKUP($CF33,Unit!$A$7:$BE$68,25,FALSE))</f>
        <v>0.33330000000000026</v>
      </c>
      <c r="CK33" s="1381">
        <f>IF($CF33&gt;$C$5," ",VLOOKUP($CF33,Unit!$A$7:$BE$68,27,FALSE))</f>
        <v>309.66630734168592</v>
      </c>
      <c r="CL33" s="1027">
        <f>IF($CF33&gt;$C$5," ",VLOOKUP($CF33,Unit!$A$7:$BE$68,28,FALSE))</f>
        <v>1014.8438155386398</v>
      </c>
      <c r="CM33" s="1027">
        <f>IF($CF33&gt;$C$5," ",VLOOKUP($CF33,Unit!$A$7:$BE$68,29,FALSE))</f>
        <v>0</v>
      </c>
      <c r="CN33" s="1027">
        <f ca="1">IF($CF33&gt;$C$5," ",VLOOKUP($CF33,Unit!$A$7:$BE$68,30,FALSE))</f>
        <v>203.58963899999998</v>
      </c>
      <c r="CO33" s="1027">
        <f>IF($CF33&gt;$C$5," ",VLOOKUP($CF33,Unit!$A$7:$BE$68,31,FALSE))</f>
        <v>722.99753327026735</v>
      </c>
      <c r="CP33" s="1027">
        <f>IF($CF33&gt;$C$5," ",VLOOKUP($CF33,Unit!$A$7:$BE$68,32,FALSE))</f>
        <v>0</v>
      </c>
      <c r="CQ33" s="1381">
        <f>IF($CF33&gt;$C$5," ",VLOOKUP($CF33,Unit!$A$7:$BE$68,33,FALSE))</f>
        <v>387.83870545896116</v>
      </c>
      <c r="CR33" s="1027">
        <f>IF($CF33&gt;$C$5," ",VLOOKUP($CF33,Unit!$A$7:$BE$68,34,FALSE))</f>
        <v>0</v>
      </c>
      <c r="CS33" s="1027">
        <f>IF($CF33&gt;$C$5," ",VLOOKUP($CF33,Unit!$A$7:$BE$68,35,FALSE))</f>
        <v>383.84515334186267</v>
      </c>
      <c r="CT33" s="1027">
        <f>IF($CF33&gt;$C$5," ",VLOOKUP($CF33,Unit!$A$7:$BE$68,36,FALSE))</f>
        <v>0</v>
      </c>
      <c r="CU33" s="1189">
        <f t="shared" si="20"/>
        <v>383.84515334186267</v>
      </c>
      <c r="CV33" s="1027">
        <f>IF($CF33&gt;$C$5," ",VLOOKUP($CF33,Unit!$A$7:$BA$68,43,FALSE))</f>
        <v>280508.36097514478</v>
      </c>
      <c r="CW33" s="1027">
        <f>IF($CF33&gt;$C$5," ",VLOOKUP($CF33,Unit!$A$7:$BB$68,44,FALSE))</f>
        <v>-53686.109824915897</v>
      </c>
      <c r="CX33" s="1189">
        <f ca="1">IF($CF33&gt;$C$5," ",VLOOKUP($CF33,Unit!$A$7:$BE$68,47,FALSE))</f>
        <v>13085.225891754752</v>
      </c>
      <c r="CY33" s="1381">
        <f>IF($CF33&gt;$C$5," ",VLOOKUP($CF33,Unit!$A$7:$BA$68,53,FALSE))</f>
        <v>221036.24675883548</v>
      </c>
      <c r="CZ33" s="1027">
        <f>IF($CF33&gt;$C$5," ",VLOOKUP($CF33,Unit!$A$7:$BB$68,54,FALSE))</f>
        <v>-46134.176739899951</v>
      </c>
      <c r="DA33" s="1189">
        <f ca="1">IF($CF33&gt;$C$5," ",VLOOKUP($CF33,Unit!$A$7:$BE$68,57,FALSE))</f>
        <v>18789.470018195854</v>
      </c>
    </row>
    <row r="34" spans="1:105" x14ac:dyDescent="0.25">
      <c r="A34" s="38">
        <v>15</v>
      </c>
      <c r="B34" s="1381">
        <f>IF($A34&gt;$C$5," ",VLOOKUP($A34,Plot!$A$7:$T$67,Plot!P$2,FALSE))</f>
        <v>679.12163818464307</v>
      </c>
      <c r="C34" s="1027">
        <f>IF($A34&gt;$C$5," ",VLOOKUP($A34,Plot!$V$7:$CI$67,Plot!$CA$2,FALSE))</f>
        <v>-3</v>
      </c>
      <c r="D34" s="1027">
        <f ca="1">IF($A34&gt;$C$5," ",VLOOKUP($A34,Plot!$CK$7:$DD$67,Plot!$CZ$2,FALSE))</f>
        <v>0</v>
      </c>
      <c r="E34" s="1027">
        <f>IF($A34&gt;$C$5," ",VLOOKUP($A34,Plot!$DF$7:$FT$67,Plot!$FL$2,FALSE))</f>
        <v>-3</v>
      </c>
      <c r="F34" s="1379">
        <f t="shared" ca="1" si="21"/>
        <v>-3</v>
      </c>
      <c r="G34" s="1026">
        <f>IF($A34&gt;$C$5," ",VLOOKUP($A34,Plot!$V$7:$CG$67,Plot!$CG$2,FALSE))</f>
        <v>249.4738309242378</v>
      </c>
      <c r="H34" s="1027">
        <f>IF($A34&gt;$C$5," ",VLOOKUP($A34,Plot!$DF$7:$FT$67,Plot!$FR$2,FALSE))</f>
        <v>263.90418157393111</v>
      </c>
      <c r="I34" s="1379">
        <f t="shared" ca="1" si="17"/>
        <v>263.90418157393111</v>
      </c>
      <c r="J34" s="1026">
        <f>IF($A34&gt;$C$5," ",SUM(B$20:$B34))</f>
        <v>9092.6897538158591</v>
      </c>
      <c r="K34" s="1027">
        <f>IF($A34&gt;$C$5," ",SUM($C$20:C34))</f>
        <v>-1613.7443691843955</v>
      </c>
      <c r="L34" s="1027">
        <f ca="1">IF($A34&gt;$C$5," ",SUM($D$20:D34))</f>
        <v>1474.6409117075809</v>
      </c>
      <c r="M34" s="1027">
        <f>IF($A34&gt;$C$5," ",SUM($E$20:E34))</f>
        <v>-1085.0448753513026</v>
      </c>
      <c r="N34" s="1379">
        <f ca="1">IF($A34&gt;$C$5," ",SUM($F$20:F34))</f>
        <v>389.59603635627809</v>
      </c>
      <c r="O34" s="1027">
        <f>IF($A34&gt;$C$5," ",SUM($G$20:G34))</f>
        <v>-665.56262799965316</v>
      </c>
      <c r="P34" s="1027">
        <f>IF($A34&gt;$C$5," ",SUM($H$20:H34))</f>
        <v>-316.79032710056373</v>
      </c>
      <c r="Q34" s="1027">
        <f ca="1">IF($A34&gt;$C$5," ",SUM($I$20:I34))</f>
        <v>1157.8505846070179</v>
      </c>
      <c r="R34" s="1026">
        <f>IF($A34&gt;$C$5," ",VLOOKUP($A34,Plot!$HM$7:$IA$67,2,FALSE))</f>
        <v>392.17582425675732</v>
      </c>
      <c r="S34" s="1027">
        <f>IF($A34&gt;$C$5," ",VLOOKUP($A34,Plot!$HM$7:$IA$67,3,FALSE))</f>
        <v>-1.7324252484654172</v>
      </c>
      <c r="T34" s="1027">
        <f ca="1">IF($A34&gt;$C$5," ",VLOOKUP($A34,Plot!$HM$7:$IA$67,4,FALSE))</f>
        <v>0</v>
      </c>
      <c r="U34" s="1027">
        <f>IF($A34&gt;$C$5," ",VLOOKUP($A34,Plot!$HM$7:$IA$67,5,FALSE))</f>
        <v>-1.7324252484654172</v>
      </c>
      <c r="V34" s="1379">
        <f t="shared" ca="1" si="16"/>
        <v>-1.7324252484654172</v>
      </c>
      <c r="W34" s="1027">
        <f>IF($A34&gt;$C$5," ",VLOOKUP($A34,Plot!$HM$7:$IA$67,Plot!$HR$2,FALSE))</f>
        <v>127.99476185094856</v>
      </c>
      <c r="X34" s="1027">
        <f>IF($A34&gt;$C$5," ",VLOOKUP($A34,Plot!$HM$7:$IA$67,Plot!$HS$2,FALSE))</f>
        <v>140.8173953306495</v>
      </c>
      <c r="Y34" s="1379">
        <f t="shared" ca="1" si="18"/>
        <v>140.8173953306495</v>
      </c>
      <c r="Z34" s="1026">
        <f>IF($A34&gt;$C$5," ",SUM($R$20:R34))</f>
        <v>7021.9372747317248</v>
      </c>
      <c r="AA34" s="1027">
        <f>IF($A34&gt;$C$5," ",SUM($S$20:S34))</f>
        <v>-1385.896143817321</v>
      </c>
      <c r="AB34" s="1027">
        <f ca="1">IF($A34&gt;$C$5," ",SUM($T$20:T34))</f>
        <v>1492.284005110379</v>
      </c>
      <c r="AC34" s="1027">
        <f>IF($A34&gt;$C$5," ",SUM($U$20:U34))</f>
        <v>-930.27595576550937</v>
      </c>
      <c r="AD34" s="1379">
        <f t="shared" ca="1" si="22"/>
        <v>562.00804934486962</v>
      </c>
      <c r="AE34" s="1027">
        <f>IF($A34&gt;$C$5," ",SUM($W$20:W34))</f>
        <v>-838.34481429653817</v>
      </c>
      <c r="AF34" s="1027">
        <f>IF($A34&gt;$C$5," ",SUM($X$20:X34))</f>
        <v>-486.62809688618455</v>
      </c>
      <c r="AG34" s="1027">
        <f t="shared" ca="1" si="23"/>
        <v>1005.6559082241945</v>
      </c>
      <c r="AH34" s="1394">
        <f>IF($A34&gt;$C$5," ",VLOOKUP($A34,Plot!$A$7:$D$67,4,FALSE))</f>
        <v>1</v>
      </c>
      <c r="AI34" s="1390">
        <f>IF($A34&gt;$C$5," ",VLOOKUP($A34,Plot!$A$7:$E$67,5,FALSE))</f>
        <v>8.2073891917756878</v>
      </c>
      <c r="AJ34" s="1390">
        <f ca="1">IF($A34&gt;$C$5," ",IF(ROW()-ROW($A$18)&gt;='Options and results'!$AR$56,AVERAGE(OFFSET(AI34,0,0,COUNTA($BS:$BS)-'Options and results'!$AR$56,1)),NA()))</f>
        <v>6.482888570945784</v>
      </c>
      <c r="AK34" s="1395">
        <f>IF($A34&gt;$C$5," ",VLOOKUP($A34,Plot!$A$7:$F$67,6,FALSE))</f>
        <v>4.9244335150654122</v>
      </c>
      <c r="AL34" s="1390">
        <f>IF($A34&gt;$C$5," ",VLOOKUP($A34,Plot!$CK$7:$CN$67,4,FALSE))</f>
        <v>0.99</v>
      </c>
      <c r="AM34" s="1390">
        <f ca="1">IF($A34&gt;$C$5," ",AL34*VLOOKUP($A34,Plot!$CK$7:$CO$67,5,FALSE))</f>
        <v>0</v>
      </c>
      <c r="AN34" s="1390">
        <f ca="1">IF($A34&gt;$C$5," ",IF(ROW()-ROW($A$18)&gt;='Options and results'!$AR$56,AVERAGE(OFFSET(AM34,0,0,COUNTA($BS:$BS)-'Options and results'!$AR$56,1)),NA()))</f>
        <v>0</v>
      </c>
      <c r="AO34" s="1390">
        <f ca="1">IF($A34&gt;$C$5," ",VLOOKUP($A34,Plot!$CK$7:$CP$67,6,FALSE))</f>
        <v>0</v>
      </c>
      <c r="AP34" s="1409">
        <f>IF($A34&gt;$C$5,0,VLOOKUP($A34,Plot!$V$7:$AH$67,7,FALSE))</f>
        <v>156</v>
      </c>
      <c r="AQ34" s="1390">
        <f>IF($A34&gt;$C$5," ",VLOOKUP($A34,Plot!$V$7:$AH$67,13,FALSE))</f>
        <v>41.02529881497766</v>
      </c>
      <c r="AR34" s="1390">
        <f>IF($A34&gt;$C$5," ",VLOOKUP($A34,Plot!$V$7:$AI$67,14,FALSE))</f>
        <v>0.26298268471139524</v>
      </c>
      <c r="AS34" s="1390">
        <f>IF($A34&gt;$C$5," ",VLOOKUP($A34,Plot!$V$7:$AJ$67,15,FALSE))</f>
        <v>0</v>
      </c>
      <c r="AT34" s="1390">
        <f>IF($A34&gt;$C$5," ",AQ34+SUM($AS$20:AS34)+IF(AP35=0,-AQ34,0))</f>
        <v>41.02529881497766</v>
      </c>
      <c r="AU34" s="1390">
        <f>IF($A34&gt;$C$5," ",VLOOKUP($A34,Plot!$V$7:$AL$67,Plot!$AL$2,FALSE))</f>
        <v>0</v>
      </c>
      <c r="AV34" s="1395">
        <f>IF($A34&gt;$C$5," ",VLOOKUP($A34,Plot!$V$7:$AM$67,Plot!$AM$2,FALSE))</f>
        <v>0</v>
      </c>
      <c r="AW34" s="1407">
        <f>IF($A34&gt;$C$5,0,VLOOKUP($A34,Plot!$DF$7:$DS$67,7,FALSE))</f>
        <v>100</v>
      </c>
      <c r="AX34" s="1390">
        <f>IF($A34&gt;$C$5," ",VLOOKUP($A34,Plot!$DF$7:$DS$67,14,FALSE))</f>
        <v>30.232991290963536</v>
      </c>
      <c r="AY34" s="1390">
        <f>IF($A34&gt;$C$5," ",VLOOKUP($A34,Plot!$DF$7:$DT$67,15,FALSE))</f>
        <v>0.30232991290963535</v>
      </c>
      <c r="AZ34" s="1390">
        <f>IF($A34&gt;$C$5," ",VLOOKUP($A34,Plot!$DF$7:$DU$67,16,FALSE))</f>
        <v>0</v>
      </c>
      <c r="BA34" s="1390">
        <f>IF($A34&gt;$C$5," ",AX34+SUM($AZ$20:AZ34)+IF(AW35=0,-AX34,0))</f>
        <v>30.232991290963536</v>
      </c>
      <c r="BB34" s="1390">
        <f>IF($A34&gt;$C$5," ",VLOOKUP($A34,Plot!$DF$7:$DW$67,Plot!$DW$2,FALSE))</f>
        <v>0</v>
      </c>
      <c r="BC34" s="1390">
        <f>IF($A34&gt;$C$5," ",VLOOKUP($A34,Plot!$DF$7:$DX$67,Plot!$DX$2,FALSE))</f>
        <v>0</v>
      </c>
      <c r="BD34" s="1396">
        <f>IF($A34&gt;$C$5," ",VLOOKUP($A34,Plot!$A$7:$N$67,14,FALSE))</f>
        <v>10.833689569810836</v>
      </c>
      <c r="BE34" s="303">
        <f>IF($A34&gt;$C$5," ",VLOOKUP($A34,Plot!$V$7:$BW$67,Plot!$BW$2,FALSE))</f>
        <v>0</v>
      </c>
      <c r="BF34" s="303">
        <f>IF($A34&gt;$C$5," ",VLOOKUP($A34,Plot!$CK$7:$CX$67,14,FALSE))</f>
        <v>0</v>
      </c>
      <c r="BG34" s="303">
        <f>IF($A34&gt;$C$5," ",VLOOKUP($A34,Plot!$DF$7:$FH$67,Plot!$FH$2,FALSE))</f>
        <v>0</v>
      </c>
      <c r="BH34" s="1397">
        <f t="shared" si="24"/>
        <v>0</v>
      </c>
      <c r="BI34" s="303" t="str">
        <f>IF($A34&gt;$C$5," ",VLOOKUP($A34,Plot!$DF$7:$EJ$67,29,FALSE))</f>
        <v>Clear felling</v>
      </c>
      <c r="BJ34" s="303">
        <f>IF($A34&gt;$C$5," ",VLOOKUP($A34,Plot!$DF$7:$FT$67,30,FALSE))</f>
        <v>30</v>
      </c>
      <c r="BK34" s="303">
        <f>IF($A34&gt;$C$5," ",VLOOKUP($A34,Plot!$DF$7:$FT$67,Plot!$EL$2,FALSE))</f>
        <v>0</v>
      </c>
      <c r="BL34" s="303">
        <f>IF($A34&gt;$C$5," ",VLOOKUP($A34,Plot!$DF$7:$FT$67,Plot!$EM$2,FALSE))</f>
        <v>0</v>
      </c>
      <c r="BM34" s="303">
        <f>IF($A34&gt;$C$5," ",VLOOKUP($A34,Plot!$DF$7:$FT$67,Plot!$EN$2,FALSE))</f>
        <v>0</v>
      </c>
      <c r="BN34" s="303">
        <f>IF($A34&gt;$C$5," ",VLOOKUP($A34,Plot!$DF$7:$FT$67,Plot!$EO$2,FALSE))</f>
        <v>0</v>
      </c>
      <c r="BO34" s="303">
        <f t="shared" si="19"/>
        <v>30</v>
      </c>
      <c r="BP34" s="303">
        <f>IF($A34&gt;$C$5," ",VLOOKUP($A34,Plot!$DF$7:$FT$67,Plot!$EQ$2,FALSE))</f>
        <v>0</v>
      </c>
      <c r="BQ34" s="303">
        <f>IF($A34&gt;$C$5," ",(VLOOKUP($A34,Plot!$DF$7:$FT$67,Plot!$ES$2,FALSE)+VLOOKUP($A34,Plot!$DF$7:$FT$67,Plot!$ET$2,FALSE)))</f>
        <v>0</v>
      </c>
      <c r="BR34" s="303">
        <f>IF($A34&gt;$C$5," ",(VLOOKUP($A34,Plot!$DF$7:$FT$67,Plot!$EV$2,FALSE)+VLOOKUP($A34,Plot!$DF$7:$FT$67,Plot!$EW$2,FALSE)))</f>
        <v>0</v>
      </c>
      <c r="BS34" s="303">
        <f>IF($A34&gt;$C$5," ",VLOOKUP($A34,Plot!$DF$7:$FT$67,Plot!$EY$2,FALSE))</f>
        <v>0</v>
      </c>
      <c r="BT34" s="303">
        <f>IF($A34&gt;$C$5," ",(VLOOKUP($A34,Plot!$DF$7:$FT$67,Plot!$FB$2,FALSE)+VLOOKUP($A34,Plot!$DF$7:$FT$67,Plot!$FC$2,FALSE)))</f>
        <v>0</v>
      </c>
      <c r="BU34" s="303">
        <f>IF($A34&gt;$C$5," ",(VLOOKUP($A34,Plot!$DF$7:$FT$67,Plot!$FE$2,FALSE)+VLOOKUP($A34,Plot!$DF$7:$FT$67,Plot!$FF$2,FALSE)))</f>
        <v>0</v>
      </c>
      <c r="BV34" s="1026">
        <f>IF($A34&gt;$C$5," ",VLOOKUP($A34,Plot!$FV$7:$GJ$67,2,FALSE))</f>
        <v>913.41906617214954</v>
      </c>
      <c r="BW34" s="1027">
        <f>IF($A34&gt;$C$5," ",VLOOKUP($A34,Plot!$FV$7:$GJ$67,3,FALSE))</f>
        <v>0</v>
      </c>
      <c r="BX34" s="1379">
        <f ca="1">IF($A34&gt;$C$5," ",VLOOKUP($A34,Plot!$FV$7:$GJ$67,6,FALSE))</f>
        <v>0</v>
      </c>
      <c r="BY34" s="1026">
        <f>IF($A34&gt;$C$5," ",VLOOKUP($A34,Plot!$GO$7:$GY$67,2,FALSE))</f>
        <v>135.8221394796887</v>
      </c>
      <c r="BZ34" s="1027">
        <f>IF($A34&gt;$C$5," ",VLOOKUP($A34,Plot!$GO$7:$GY$67,3,FALSE))</f>
        <v>0</v>
      </c>
      <c r="CA34" s="1379">
        <f>IF($A34&gt;$C$5," ",VLOOKUP($A34,Plot!$GO$7:$GY$67,6,FALSE))</f>
        <v>0</v>
      </c>
      <c r="CB34" s="1027">
        <f>IF($A34&gt;$C$5," ",-1*VLOOKUP($A34,Plot!$HA$7:$HK$67,2,FALSE))</f>
        <v>-657.06538139508098</v>
      </c>
      <c r="CC34" s="1027">
        <f>IF($A34&gt;$C$5," ",-1*VLOOKUP($A34,Plot!$HA$7:$HK$67,3,FALSE))</f>
        <v>-1.7324252484654172</v>
      </c>
      <c r="CD34" s="1189">
        <f>IF($A34&gt;$C$5," ",-1*VLOOKUP($A34,Plot!$HA$7:$HK$67,6,FALSE))</f>
        <v>-1.7324252484654172</v>
      </c>
      <c r="CE34" s="10"/>
      <c r="CF34" s="38">
        <v>15</v>
      </c>
      <c r="CG34" s="1381">
        <f>IF($CF34&gt;$C$5," ",VLOOKUP($CF34,Unit!$A$7:$BE$68,22,FALSE))</f>
        <v>33.340000000000003</v>
      </c>
      <c r="CH34" s="1027">
        <f>IF($CF34&gt;$C$5," ",VLOOKUP($CF34,Unit!$A$7:$BE$68,23,FALSE))</f>
        <v>33.33</v>
      </c>
      <c r="CI34" s="1027">
        <f>IF($CF34&gt;$C$5," ",VLOOKUP($CF34,Unit!$A$7:$BE$68,24,FALSE))</f>
        <v>32.996699999999997</v>
      </c>
      <c r="CJ34" s="1189">
        <f>IF($CF34&gt;$C$5," ",VLOOKUP($CF34,Unit!$A$7:$BE$68,25,FALSE))</f>
        <v>0.33330000000000026</v>
      </c>
      <c r="CK34" s="1381">
        <f>IF($CF34&gt;$C$5," ",VLOOKUP($CF34,Unit!$A$7:$BE$68,27,FALSE))</f>
        <v>273.63435565380144</v>
      </c>
      <c r="CL34" s="1027">
        <f>IF($CF34&gt;$C$5," ",VLOOKUP($CF34,Unit!$A$7:$BE$68,28,FALSE))</f>
        <v>1367.3732095032053</v>
      </c>
      <c r="CM34" s="1027">
        <f>IF($CF34&gt;$C$5," ",VLOOKUP($CF34,Unit!$A$7:$BE$68,29,FALSE))</f>
        <v>0</v>
      </c>
      <c r="CN34" s="1027">
        <f ca="1">IF($CF34&gt;$C$5," ",VLOOKUP($CF34,Unit!$A$7:$BE$68,30,FALSE))</f>
        <v>0</v>
      </c>
      <c r="CO34" s="1027">
        <f>IF($CF34&gt;$C$5," ",VLOOKUP($CF34,Unit!$A$7:$BE$68,31,FALSE))</f>
        <v>1007.6655997278147</v>
      </c>
      <c r="CP34" s="1027">
        <f>IF($CF34&gt;$C$5," ",VLOOKUP($CF34,Unit!$A$7:$BE$68,32,FALSE))</f>
        <v>0</v>
      </c>
      <c r="CQ34" s="1381">
        <f>IF($CF34&gt;$C$5," ",VLOOKUP($CF34,Unit!$A$7:$BE$68,33,FALSE))</f>
        <v>361.19521025749333</v>
      </c>
      <c r="CR34" s="1027">
        <f>IF($CF34&gt;$C$5," ",VLOOKUP($CF34,Unit!$A$7:$BE$68,34,FALSE))</f>
        <v>0</v>
      </c>
      <c r="CS34" s="1027">
        <f>IF($CF34&gt;$C$5," ",VLOOKUP($CF34,Unit!$A$7:$BE$68,35,FALSE))</f>
        <v>0</v>
      </c>
      <c r="CT34" s="1027">
        <f>IF($CF34&gt;$C$5," ",VLOOKUP($CF34,Unit!$A$7:$BE$68,36,FALSE))</f>
        <v>0</v>
      </c>
      <c r="CU34" s="1189">
        <f t="shared" si="20"/>
        <v>0</v>
      </c>
      <c r="CV34" s="1027">
        <f>IF($CF34&gt;$C$5," ",VLOOKUP($CF34,Unit!$A$7:$BA$68,43,FALSE))</f>
        <v>303150.27639222075</v>
      </c>
      <c r="CW34" s="1027">
        <f>IF($CF34&gt;$C$5," ",VLOOKUP($CF34,Unit!$A$7:$BB$68,44,FALSE))</f>
        <v>-53786.099824915895</v>
      </c>
      <c r="CX34" s="1189">
        <f ca="1">IF($CF34&gt;$C$5," ",VLOOKUP($CF34,Unit!$A$7:$BE$68,47,FALSE))</f>
        <v>12985.235891754752</v>
      </c>
      <c r="CY34" s="1381">
        <f>IF($CF34&gt;$C$5," ",VLOOKUP($CF34,Unit!$A$7:$BA$68,53,FALSE))</f>
        <v>234111.38873955575</v>
      </c>
      <c r="CZ34" s="1027">
        <f>IF($CF34&gt;$C$5," ",VLOOKUP($CF34,Unit!$A$7:$BB$68,54,FALSE))</f>
        <v>-46191.918473431302</v>
      </c>
      <c r="DA34" s="1189">
        <f ca="1">IF($CF34&gt;$C$5," ",VLOOKUP($CF34,Unit!$A$7:$BE$68,57,FALSE))</f>
        <v>18731.728284664503</v>
      </c>
    </row>
    <row r="35" spans="1:105" x14ac:dyDescent="0.25">
      <c r="A35" s="38">
        <v>16</v>
      </c>
      <c r="B35" s="1381">
        <f>IF($A35&gt;$C$5," ",VLOOKUP($A35,Plot!$A$7:$T$67,Plot!P$2,FALSE))</f>
        <v>354.14840356651121</v>
      </c>
      <c r="C35" s="1027">
        <f>IF($A35&gt;$C$5," ",VLOOKUP($A35,Plot!$V$7:$CI$67,Plot!$CA$2,FALSE))</f>
        <v>-3</v>
      </c>
      <c r="D35" s="1027">
        <f ca="1">IF($A35&gt;$C$5," ",VLOOKUP($A35,Plot!$CK$7:$DD$67,Plot!$CZ$2,FALSE))</f>
        <v>0</v>
      </c>
      <c r="E35" s="1027">
        <f>IF($A35&gt;$C$5," ",VLOOKUP($A35,Plot!$DF$7:$FT$67,Plot!$FL$2,FALSE))</f>
        <v>-3</v>
      </c>
      <c r="F35" s="1379">
        <f t="shared" ca="1" si="21"/>
        <v>-3</v>
      </c>
      <c r="G35" s="1026">
        <f>IF($A35&gt;$C$5," ",VLOOKUP($A35,Plot!$V$7:$CG$67,Plot!$CG$2,FALSE))</f>
        <v>367.80842142167756</v>
      </c>
      <c r="H35" s="1027">
        <f>IF($A35&gt;$C$5," ",VLOOKUP($A35,Plot!$DF$7:$FT$67,Plot!$FR$2,FALSE))</f>
        <v>338.04521471818862</v>
      </c>
      <c r="I35" s="1379">
        <f t="shared" ca="1" si="17"/>
        <v>338.04521471818862</v>
      </c>
      <c r="J35" s="1026">
        <f>IF($A35&gt;$C$5," ",SUM(B$20:$B35))</f>
        <v>9446.8381573823699</v>
      </c>
      <c r="K35" s="1027">
        <f>IF($A35&gt;$C$5," ",SUM($C$20:C35))</f>
        <v>-1616.7443691843955</v>
      </c>
      <c r="L35" s="1027">
        <f ca="1">IF($A35&gt;$C$5," ",SUM($D$20:D35))</f>
        <v>1474.6409117075809</v>
      </c>
      <c r="M35" s="1027">
        <f>IF($A35&gt;$C$5," ",SUM($E$20:E35))</f>
        <v>-1088.0448753513026</v>
      </c>
      <c r="N35" s="1379">
        <f ca="1">IF($A35&gt;$C$5," ",SUM($F$20:F35))</f>
        <v>386.59603635627809</v>
      </c>
      <c r="O35" s="1027">
        <f>IF($A35&gt;$C$5," ",SUM($G$20:G35))</f>
        <v>-297.75420657797559</v>
      </c>
      <c r="P35" s="1027">
        <f>IF($A35&gt;$C$5," ",SUM($H$20:H35))</f>
        <v>21.254887617624888</v>
      </c>
      <c r="Q35" s="1027">
        <f ca="1">IF($A35&gt;$C$5," ",SUM($I$20:I35))</f>
        <v>1495.8957993252066</v>
      </c>
      <c r="R35" s="1026">
        <f>IF($A35&gt;$C$5," ",VLOOKUP($A35,Plot!$HM$7:$IA$67,2,FALSE))</f>
        <v>196.64603719305876</v>
      </c>
      <c r="S35" s="1027">
        <f>IF($A35&gt;$C$5," ",VLOOKUP($A35,Plot!$HM$7:$IA$67,3,FALSE))</f>
        <v>-1.6657935081398245</v>
      </c>
      <c r="T35" s="1027">
        <f ca="1">IF($A35&gt;$C$5," ",VLOOKUP($A35,Plot!$HM$7:$IA$67,4,FALSE))</f>
        <v>0</v>
      </c>
      <c r="U35" s="1027">
        <f>IF($A35&gt;$C$5," ",VLOOKUP($A35,Plot!$HM$7:$IA$67,5,FALSE))</f>
        <v>-1.6657935081398245</v>
      </c>
      <c r="V35" s="1379">
        <f t="shared" ca="1" si="16"/>
        <v>-1.6657935081398245</v>
      </c>
      <c r="W35" s="1027">
        <f>IF($A35&gt;$C$5," ",VLOOKUP($A35,Plot!$HM$7:$IA$67,Plot!$HR$2,FALSE))</f>
        <v>183.17129369443239</v>
      </c>
      <c r="X35" s="1027">
        <f>IF($A35&gt;$C$5," ",VLOOKUP($A35,Plot!$HM$7:$IA$67,Plot!$HS$2,FALSE))</f>
        <v>170.64112885743083</v>
      </c>
      <c r="Y35" s="1379">
        <f t="shared" ca="1" si="18"/>
        <v>170.64112885743083</v>
      </c>
      <c r="Z35" s="1026">
        <f>IF($A35&gt;$C$5," ",SUM($R$20:R35))</f>
        <v>7218.5833119247836</v>
      </c>
      <c r="AA35" s="1027">
        <f>IF($A35&gt;$C$5," ",SUM($S$20:S35))</f>
        <v>-1387.5619373254608</v>
      </c>
      <c r="AB35" s="1027">
        <f ca="1">IF($A35&gt;$C$5," ",SUM($T$20:T35))</f>
        <v>1492.284005110379</v>
      </c>
      <c r="AC35" s="1027">
        <f>IF($A35&gt;$C$5," ",SUM($U$20:U35))</f>
        <v>-931.94174927364918</v>
      </c>
      <c r="AD35" s="1379">
        <f t="shared" ca="1" si="22"/>
        <v>560.34225583672981</v>
      </c>
      <c r="AE35" s="1027">
        <f>IF($A35&gt;$C$5," ",SUM($W$20:W35))</f>
        <v>-655.17352060210578</v>
      </c>
      <c r="AF35" s="1027">
        <f>IF($A35&gt;$C$5," ",SUM($X$20:X35))</f>
        <v>-315.98696802875372</v>
      </c>
      <c r="AG35" s="1027">
        <f t="shared" ca="1" si="23"/>
        <v>1176.2970370816251</v>
      </c>
      <c r="AH35" s="1394">
        <f>IF($A35&gt;$C$5," ",VLOOKUP($A35,Plot!$A$7:$D$67,4,FALSE))</f>
        <v>1</v>
      </c>
      <c r="AI35" s="1390">
        <f>IF($A35&gt;$C$5," ",VLOOKUP($A35,Plot!$A$7:$E$67,5,FALSE))</f>
        <v>3.6171271045742861</v>
      </c>
      <c r="AJ35" s="1390">
        <f ca="1">IF($A35&gt;$C$5," ",IF(ROW()-ROW($A$18)&gt;='Options and results'!$AR$56,AVERAGE(OFFSET(AI35,0,0,COUNTA($BS:$BS)-'Options and results'!$AR$56,1)),NA()))</f>
        <v>6.3679218628904559</v>
      </c>
      <c r="AK35" s="1395">
        <f>IF($A35&gt;$C$5," ",VLOOKUP($A35,Plot!$A$7:$F$67,6,FALSE))</f>
        <v>1.8085635522871431</v>
      </c>
      <c r="AL35" s="1390">
        <f>IF($A35&gt;$C$5," ",VLOOKUP($A35,Plot!$CK$7:$CN$67,4,FALSE))</f>
        <v>0.99</v>
      </c>
      <c r="AM35" s="1390">
        <f ca="1">IF($A35&gt;$C$5," ",AL35*VLOOKUP($A35,Plot!$CK$7:$CO$67,5,FALSE))</f>
        <v>0</v>
      </c>
      <c r="AN35" s="1390">
        <f ca="1">IF($A35&gt;$C$5," ",IF(ROW()-ROW($A$18)&gt;='Options and results'!$AR$56,AVERAGE(OFFSET(AM35,0,0,COUNTA($BS:$BS)-'Options and results'!$AR$56,1)),NA()))</f>
        <v>0</v>
      </c>
      <c r="AO35" s="1390">
        <f ca="1">IF($A35&gt;$C$5," ",VLOOKUP($A35,Plot!$CK$7:$CP$67,6,FALSE))</f>
        <v>0</v>
      </c>
      <c r="AP35" s="1409">
        <f>IF($A35&gt;$C$5,0,VLOOKUP($A35,Plot!$V$7:$AH$67,7,FALSE))</f>
        <v>156</v>
      </c>
      <c r="AQ35" s="1390">
        <f>IF($A35&gt;$C$5," ",VLOOKUP($A35,Plot!$V$7:$AH$67,13,FALSE))</f>
        <v>51.905996768575733</v>
      </c>
      <c r="AR35" s="1390">
        <f>IF($A35&gt;$C$5," ",VLOOKUP($A35,Plot!$V$7:$AI$67,14,FALSE))</f>
        <v>0.33273074851651113</v>
      </c>
      <c r="AS35" s="1390">
        <f>IF($A35&gt;$C$5," ",VLOOKUP($A35,Plot!$V$7:$AJ$67,15,FALSE))</f>
        <v>0</v>
      </c>
      <c r="AT35" s="1390">
        <f>IF($A35&gt;$C$5," ",AQ35+SUM($AS$20:AS35)+IF(AP36=0,-AQ35,0))</f>
        <v>51.905996768575733</v>
      </c>
      <c r="AU35" s="1390">
        <f>IF($A35&gt;$C$5," ",VLOOKUP($A35,Plot!$V$7:$AL$67,Plot!$AL$2,FALSE))</f>
        <v>0</v>
      </c>
      <c r="AV35" s="1395">
        <f>IF($A35&gt;$C$5," ",VLOOKUP($A35,Plot!$V$7:$AM$67,Plot!$AM$2,FALSE))</f>
        <v>0</v>
      </c>
      <c r="AW35" s="1407">
        <f>IF($A35&gt;$C$5,0,VLOOKUP($A35,Plot!$DF$7:$DS$67,7,FALSE))</f>
        <v>100</v>
      </c>
      <c r="AX35" s="1390">
        <f>IF($A35&gt;$C$5," ",VLOOKUP($A35,Plot!$DF$7:$DS$67,14,FALSE))</f>
        <v>40.629431907125252</v>
      </c>
      <c r="AY35" s="1390">
        <f>IF($A35&gt;$C$5," ",VLOOKUP($A35,Plot!$DF$7:$DT$67,15,FALSE))</f>
        <v>0.40629431907125252</v>
      </c>
      <c r="AZ35" s="1390">
        <f>IF($A35&gt;$C$5," ",VLOOKUP($A35,Plot!$DF$7:$DU$67,16,FALSE))</f>
        <v>0</v>
      </c>
      <c r="BA35" s="1390">
        <f>IF($A35&gt;$C$5," ",AX35+SUM($AZ$20:AZ35)+IF(AW36=0,-AX35,0))</f>
        <v>40.629431907125252</v>
      </c>
      <c r="BB35" s="1390">
        <f>IF($A35&gt;$C$5," ",VLOOKUP($A35,Plot!$DF$7:$DW$67,Plot!$DW$2,FALSE))</f>
        <v>0</v>
      </c>
      <c r="BC35" s="1390">
        <f>IF($A35&gt;$C$5," ",VLOOKUP($A35,Plot!$DF$7:$DX$67,Plot!$DX$2,FALSE))</f>
        <v>0</v>
      </c>
      <c r="BD35" s="1396">
        <f>IF($A35&gt;$C$5," ",VLOOKUP($A35,Plot!$A$7:$N$67,14,FALSE))</f>
        <v>7.4591130728145263</v>
      </c>
      <c r="BE35" s="303">
        <f>IF($A35&gt;$C$5," ",VLOOKUP($A35,Plot!$V$7:$BW$67,Plot!$BW$2,FALSE))</f>
        <v>0</v>
      </c>
      <c r="BF35" s="303">
        <f>IF($A35&gt;$C$5," ",VLOOKUP($A35,Plot!$CK$7:$CX$67,14,FALSE))</f>
        <v>0</v>
      </c>
      <c r="BG35" s="303">
        <f>IF($A35&gt;$C$5," ",VLOOKUP($A35,Plot!$DF$7:$FH$67,Plot!$FH$2,FALSE))</f>
        <v>0</v>
      </c>
      <c r="BH35" s="1397">
        <f t="shared" si="24"/>
        <v>0</v>
      </c>
      <c r="BI35" s="303" t="str">
        <f>IF($A35&gt;$C$5," ",VLOOKUP($A35,Plot!$DF$7:$EJ$67,29,FALSE))</f>
        <v>Removal of clear fell trees</v>
      </c>
      <c r="BJ35" s="303">
        <f>IF($A35&gt;$C$5," ",VLOOKUP($A35,Plot!$DF$7:$FT$67,30,FALSE))</f>
        <v>14.6</v>
      </c>
      <c r="BK35" s="303">
        <f>IF($A35&gt;$C$5," ",VLOOKUP($A35,Plot!$DF$7:$FT$67,Plot!$EL$2,FALSE))</f>
        <v>0</v>
      </c>
      <c r="BL35" s="303">
        <f>IF($A35&gt;$C$5," ",VLOOKUP($A35,Plot!$DF$7:$FT$67,Plot!$EM$2,FALSE))</f>
        <v>0</v>
      </c>
      <c r="BM35" s="303">
        <f>IF($A35&gt;$C$5," ",VLOOKUP($A35,Plot!$DF$7:$FT$67,Plot!$EN$2,FALSE))</f>
        <v>0</v>
      </c>
      <c r="BN35" s="303">
        <f>IF($A35&gt;$C$5," ",VLOOKUP($A35,Plot!$DF$7:$FT$67,Plot!$EO$2,FALSE))</f>
        <v>0</v>
      </c>
      <c r="BO35" s="303">
        <f t="shared" si="19"/>
        <v>14.6</v>
      </c>
      <c r="BP35" s="303">
        <f>IF($A35&gt;$C$5," ",VLOOKUP($A35,Plot!$DF$7:$FT$67,Plot!$EQ$2,FALSE))</f>
        <v>0</v>
      </c>
      <c r="BQ35" s="303">
        <f>IF($A35&gt;$C$5," ",(VLOOKUP($A35,Plot!$DF$7:$FT$67,Plot!$ES$2,FALSE)+VLOOKUP($A35,Plot!$DF$7:$FT$67,Plot!$ET$2,FALSE)))</f>
        <v>0</v>
      </c>
      <c r="BR35" s="303">
        <f>IF($A35&gt;$C$5," ",(VLOOKUP($A35,Plot!$DF$7:$FT$67,Plot!$EV$2,FALSE)+VLOOKUP($A35,Plot!$DF$7:$FT$67,Plot!$EW$2,FALSE)))</f>
        <v>0</v>
      </c>
      <c r="BS35" s="303">
        <f>IF($A35&gt;$C$5," ",VLOOKUP($A35,Plot!$DF$7:$FT$67,Plot!$EY$2,FALSE))</f>
        <v>0</v>
      </c>
      <c r="BT35" s="303">
        <f>IF($A35&gt;$C$5," ",(VLOOKUP($A35,Plot!$DF$7:$FT$67,Plot!$FB$2,FALSE)+VLOOKUP($A35,Plot!$DF$7:$FT$67,Plot!$FC$2,FALSE)))</f>
        <v>0</v>
      </c>
      <c r="BU35" s="303">
        <f>IF($A35&gt;$C$5," ",(VLOOKUP($A35,Plot!$DF$7:$FT$67,Plot!$FE$2,FALSE)+VLOOKUP($A35,Plot!$DF$7:$FT$67,Plot!$FF$2,FALSE)))</f>
        <v>0</v>
      </c>
      <c r="BV35" s="1026">
        <f>IF($A35&gt;$C$5," ",VLOOKUP($A35,Plot!$FV$7:$GJ$67,2,FALSE))</f>
        <v>725.27804662883136</v>
      </c>
      <c r="BW35" s="1027">
        <f>IF($A35&gt;$C$5," ",VLOOKUP($A35,Plot!$FV$7:$GJ$67,3,FALSE))</f>
        <v>0</v>
      </c>
      <c r="BX35" s="1379">
        <f ca="1">IF($A35&gt;$C$5," ",VLOOKUP($A35,Plot!$FV$7:$GJ$67,6,FALSE))</f>
        <v>0</v>
      </c>
      <c r="BY35" s="1026">
        <f>IF($A35&gt;$C$5," ",VLOOKUP($A35,Plot!$GO$7:$GY$67,2,FALSE))</f>
        <v>130.59821103816222</v>
      </c>
      <c r="BZ35" s="1027">
        <f>IF($A35&gt;$C$5," ",VLOOKUP($A35,Plot!$GO$7:$GY$67,3,FALSE))</f>
        <v>0</v>
      </c>
      <c r="CA35" s="1379">
        <f>IF($A35&gt;$C$5," ",VLOOKUP($A35,Plot!$GO$7:$GY$67,6,FALSE))</f>
        <v>0</v>
      </c>
      <c r="CB35" s="1027">
        <f>IF($A35&gt;$C$5," ",-1*VLOOKUP($A35,Plot!$HA$7:$HK$67,2,FALSE))</f>
        <v>-659.23022047393476</v>
      </c>
      <c r="CC35" s="1027">
        <f>IF($A35&gt;$C$5," ",-1*VLOOKUP($A35,Plot!$HA$7:$HK$67,3,FALSE))</f>
        <v>-1.6657935081398245</v>
      </c>
      <c r="CD35" s="1189">
        <f>IF($A35&gt;$C$5," ",-1*VLOOKUP($A35,Plot!$HA$7:$HK$67,6,FALSE))</f>
        <v>-1.6657935081398245</v>
      </c>
      <c r="CE35" s="10"/>
      <c r="CF35" s="38">
        <v>16</v>
      </c>
      <c r="CG35" s="1381">
        <f>IF($CF35&gt;$C$5," ",VLOOKUP($CF35,Unit!$A$7:$BE$68,22,FALSE))</f>
        <v>33.340000000000003</v>
      </c>
      <c r="CH35" s="1027">
        <f>IF($CF35&gt;$C$5," ",VLOOKUP($CF35,Unit!$A$7:$BE$68,23,FALSE))</f>
        <v>33.33</v>
      </c>
      <c r="CI35" s="1027">
        <f>IF($CF35&gt;$C$5," ",VLOOKUP($CF35,Unit!$A$7:$BE$68,24,FALSE))</f>
        <v>32.996699999999997</v>
      </c>
      <c r="CJ35" s="1189">
        <f>IF($CF35&gt;$C$5," ",VLOOKUP($CF35,Unit!$A$7:$BE$68,25,FALSE))</f>
        <v>0.33330000000000026</v>
      </c>
      <c r="CK35" s="1381">
        <f>IF($CF35&gt;$C$5," ",VLOOKUP($CF35,Unit!$A$7:$BE$68,27,FALSE))</f>
        <v>120.59501766650671</v>
      </c>
      <c r="CL35" s="1027">
        <f>IF($CF35&gt;$C$5," ",VLOOKUP($CF35,Unit!$A$7:$BE$68,28,FALSE))</f>
        <v>1730.0268722966291</v>
      </c>
      <c r="CM35" s="1027">
        <f>IF($CF35&gt;$C$5," ",VLOOKUP($CF35,Unit!$A$7:$BE$68,29,FALSE))</f>
        <v>0</v>
      </c>
      <c r="CN35" s="1027">
        <f ca="1">IF($CF35&gt;$C$5," ",VLOOKUP($CF35,Unit!$A$7:$BE$68,30,FALSE))</f>
        <v>0</v>
      </c>
      <c r="CO35" s="1027">
        <f>IF($CF35&gt;$C$5," ",VLOOKUP($CF35,Unit!$A$7:$BE$68,31,FALSE))</f>
        <v>1354.1789654644845</v>
      </c>
      <c r="CP35" s="1027">
        <f>IF($CF35&gt;$C$5," ",VLOOKUP($CF35,Unit!$A$7:$BE$68,32,FALSE))</f>
        <v>0</v>
      </c>
      <c r="CQ35" s="1381">
        <f>IF($CF35&gt;$C$5," ",VLOOKUP($CF35,Unit!$A$7:$BE$68,33,FALSE))</f>
        <v>248.68682984763632</v>
      </c>
      <c r="CR35" s="1027">
        <f>IF($CF35&gt;$C$5," ",VLOOKUP($CF35,Unit!$A$7:$BE$68,34,FALSE))</f>
        <v>0</v>
      </c>
      <c r="CS35" s="1027">
        <f>IF($CF35&gt;$C$5," ",VLOOKUP($CF35,Unit!$A$7:$BE$68,35,FALSE))</f>
        <v>0</v>
      </c>
      <c r="CT35" s="1027">
        <f>IF($CF35&gt;$C$5," ",VLOOKUP($CF35,Unit!$A$7:$BE$68,36,FALSE))</f>
        <v>0</v>
      </c>
      <c r="CU35" s="1189">
        <f t="shared" si="20"/>
        <v>0</v>
      </c>
      <c r="CV35" s="1027">
        <f>IF($CF35&gt;$C$5," ",VLOOKUP($CF35,Unit!$A$7:$BA$68,43,FALSE))</f>
        <v>314957.58416712825</v>
      </c>
      <c r="CW35" s="1027">
        <f>IF($CF35&gt;$C$5," ",VLOOKUP($CF35,Unit!$A$7:$BB$68,44,FALSE))</f>
        <v>-53886.089824915893</v>
      </c>
      <c r="CX35" s="1189">
        <f ca="1">IF($CF35&gt;$C$5," ",VLOOKUP($CF35,Unit!$A$7:$BE$68,47,FALSE))</f>
        <v>12885.245891754752</v>
      </c>
      <c r="CY35" s="1381">
        <f>IF($CF35&gt;$C$5," ",VLOOKUP($CF35,Unit!$A$7:$BA$68,53,FALSE))</f>
        <v>240667.56761957234</v>
      </c>
      <c r="CZ35" s="1027">
        <f>IF($CF35&gt;$C$5," ",VLOOKUP($CF35,Unit!$A$7:$BB$68,54,FALSE))</f>
        <v>-46247.439371057604</v>
      </c>
      <c r="DA35" s="1189">
        <f ca="1">IF($CF35&gt;$C$5," ",VLOOKUP($CF35,Unit!$A$7:$BE$68,57,FALSE))</f>
        <v>18676.207387038201</v>
      </c>
    </row>
    <row r="36" spans="1:105" x14ac:dyDescent="0.25">
      <c r="A36" s="38">
        <v>17</v>
      </c>
      <c r="B36" s="1381">
        <f>IF($A36&gt;$C$5," ",VLOOKUP($A36,Plot!$A$7:$T$67,Plot!P$2,FALSE))</f>
        <v>703.88512036027203</v>
      </c>
      <c r="C36" s="1027">
        <f>IF($A36&gt;$C$5," ",VLOOKUP($A36,Plot!$V$7:$CI$67,Plot!$CA$2,FALSE))</f>
        <v>-3</v>
      </c>
      <c r="D36" s="1027">
        <f ca="1">IF($A36&gt;$C$5," ",VLOOKUP($A36,Plot!$CK$7:$DD$67,Plot!$CZ$2,FALSE))</f>
        <v>0</v>
      </c>
      <c r="E36" s="1027">
        <f>IF($A36&gt;$C$5," ",VLOOKUP($A36,Plot!$DF$7:$FT$67,Plot!$FL$2,FALSE))</f>
        <v>-3</v>
      </c>
      <c r="F36" s="1379">
        <f t="shared" ca="1" si="21"/>
        <v>-3</v>
      </c>
      <c r="G36" s="1026">
        <f>IF($A36&gt;$C$5," ",VLOOKUP($A36,Plot!$V$7:$CG$67,Plot!$CG$2,FALSE))</f>
        <v>468.00859383454633</v>
      </c>
      <c r="H36" s="1027">
        <f>IF($A36&gt;$C$5," ",VLOOKUP($A36,Plot!$DF$7:$FT$67,Plot!$FR$2,FALSE))</f>
        <v>427.18692173767852</v>
      </c>
      <c r="I36" s="1379">
        <f t="shared" ca="1" si="17"/>
        <v>427.18692173767852</v>
      </c>
      <c r="J36" s="1026">
        <f>IF($A36&gt;$C$5," ",SUM(B$20:$B36))</f>
        <v>10150.723277742642</v>
      </c>
      <c r="K36" s="1027">
        <f>IF($A36&gt;$C$5," ",SUM($C$20:C36))</f>
        <v>-1619.7443691843955</v>
      </c>
      <c r="L36" s="1027">
        <f ca="1">IF($A36&gt;$C$5," ",SUM($D$20:D36))</f>
        <v>1474.6409117075809</v>
      </c>
      <c r="M36" s="1027">
        <f>IF($A36&gt;$C$5," ",SUM($E$20:E36))</f>
        <v>-1091.0448753513026</v>
      </c>
      <c r="N36" s="1379">
        <f ca="1">IF($A36&gt;$C$5," ",SUM($F$20:F36))</f>
        <v>383.59603635627809</v>
      </c>
      <c r="O36" s="1027">
        <f>IF($A36&gt;$C$5," ",SUM($G$20:G36))</f>
        <v>170.25438725657074</v>
      </c>
      <c r="P36" s="1027">
        <f>IF($A36&gt;$C$5," ",SUM($H$20:H36))</f>
        <v>448.44180935530341</v>
      </c>
      <c r="Q36" s="1027">
        <f ca="1">IF($A36&gt;$C$5," ",SUM($I$20:I36))</f>
        <v>1923.082721062885</v>
      </c>
      <c r="R36" s="1026">
        <f>IF($A36&gt;$C$5," ",VLOOKUP($A36,Plot!$HM$7:$IA$67,2,FALSE))</f>
        <v>375.81002050396148</v>
      </c>
      <c r="S36" s="1027">
        <f>IF($A36&gt;$C$5," ",VLOOKUP($A36,Plot!$HM$7:$IA$67,3,FALSE))</f>
        <v>-1.6017245270575231</v>
      </c>
      <c r="T36" s="1027">
        <f ca="1">IF($A36&gt;$C$5," ",VLOOKUP($A36,Plot!$HM$7:$IA$67,4,FALSE))</f>
        <v>0</v>
      </c>
      <c r="U36" s="1027">
        <f>IF($A36&gt;$C$5," ",VLOOKUP($A36,Plot!$HM$7:$IA$67,5,FALSE))</f>
        <v>-1.6017245270575231</v>
      </c>
      <c r="V36" s="1379">
        <f t="shared" ca="1" si="16"/>
        <v>-1.6017245270575231</v>
      </c>
      <c r="W36" s="1027">
        <f>IF($A36&gt;$C$5," ",VLOOKUP($A36,Plot!$HM$7:$IA$67,Plot!$HR$2,FALSE))</f>
        <v>221.70482928090769</v>
      </c>
      <c r="X36" s="1027">
        <f>IF($A36&gt;$C$5," ",VLOOKUP($A36,Plot!$HM$7:$IA$67,Plot!$HS$2,FALSE))</f>
        <v>204.388021552395</v>
      </c>
      <c r="Y36" s="1379">
        <f t="shared" ca="1" si="18"/>
        <v>204.388021552395</v>
      </c>
      <c r="Z36" s="1026">
        <f>IF($A36&gt;$C$5," ",SUM($R$20:R36))</f>
        <v>7594.3933324287455</v>
      </c>
      <c r="AA36" s="1027">
        <f>IF($A36&gt;$C$5," ",SUM($S$20:S36))</f>
        <v>-1389.1636618525183</v>
      </c>
      <c r="AB36" s="1027">
        <f ca="1">IF($A36&gt;$C$5," ",SUM($T$20:T36))</f>
        <v>1492.284005110379</v>
      </c>
      <c r="AC36" s="1027">
        <f>IF($A36&gt;$C$5," ",SUM($U$20:U36))</f>
        <v>-933.54347380070669</v>
      </c>
      <c r="AD36" s="1379">
        <f t="shared" ca="1" si="22"/>
        <v>558.74053130967229</v>
      </c>
      <c r="AE36" s="1027">
        <f>IF($A36&gt;$C$5," ",SUM($W$20:W36))</f>
        <v>-433.46869132119809</v>
      </c>
      <c r="AF36" s="1027">
        <f>IF($A36&gt;$C$5," ",SUM($X$20:X36))</f>
        <v>-111.59894647635872</v>
      </c>
      <c r="AG36" s="1027">
        <f t="shared" ca="1" si="23"/>
        <v>1380.6850586340202</v>
      </c>
      <c r="AH36" s="1394">
        <f>IF($A36&gt;$C$5," ",VLOOKUP($A36,Plot!$A$7:$D$67,4,FALSE))</f>
        <v>1</v>
      </c>
      <c r="AI36" s="1390">
        <f>IF($A36&gt;$C$5," ",VLOOKUP($A36,Plot!$A$7:$E$67,5,FALSE))</f>
        <v>9.2046218257840753</v>
      </c>
      <c r="AJ36" s="1390">
        <f ca="1">IF($A36&gt;$C$5," ",IF(ROW()-ROW($A$18)&gt;='Options and results'!$AR$56,AVERAGE(OFFSET(AI36,0,0,COUNTA($BS:$BS)-'Options and results'!$AR$56,1)),NA()))</f>
        <v>6.564407202770183</v>
      </c>
      <c r="AK36" s="1395">
        <f>IF($A36&gt;$C$5," ",VLOOKUP($A36,Plot!$A$7:$F$67,6,FALSE))</f>
        <v>3.6818487303136305</v>
      </c>
      <c r="AL36" s="1390">
        <f>IF($A36&gt;$C$5," ",VLOOKUP($A36,Plot!$CK$7:$CN$67,4,FALSE))</f>
        <v>0.99</v>
      </c>
      <c r="AM36" s="1390">
        <f ca="1">IF($A36&gt;$C$5," ",AL36*VLOOKUP($A36,Plot!$CK$7:$CO$67,5,FALSE))</f>
        <v>0</v>
      </c>
      <c r="AN36" s="1390">
        <f ca="1">IF($A36&gt;$C$5," ",IF(ROW()-ROW($A$18)&gt;='Options and results'!$AR$56,AVERAGE(OFFSET(AM36,0,0,COUNTA($BS:$BS)-'Options and results'!$AR$56,1)),NA()))</f>
        <v>0</v>
      </c>
      <c r="AO36" s="1390">
        <f ca="1">IF($A36&gt;$C$5," ",VLOOKUP($A36,Plot!$CK$7:$CP$67,6,FALSE))</f>
        <v>0</v>
      </c>
      <c r="AP36" s="1409">
        <f>IF($A36&gt;$C$5,0,VLOOKUP($A36,Plot!$V$7:$AH$67,7,FALSE))</f>
        <v>156</v>
      </c>
      <c r="AQ36" s="1390">
        <f>IF($A36&gt;$C$5," ",VLOOKUP($A36,Plot!$V$7:$AH$67,13,FALSE))</f>
        <v>65.560847497173981</v>
      </c>
      <c r="AR36" s="1390">
        <f>IF($A36&gt;$C$5," ",VLOOKUP($A36,Plot!$V$7:$AI$67,14,FALSE))</f>
        <v>0.42026184293060243</v>
      </c>
      <c r="AS36" s="1390">
        <f>IF($A36&gt;$C$5," ",VLOOKUP($A36,Plot!$V$7:$AJ$67,15,FALSE))</f>
        <v>0</v>
      </c>
      <c r="AT36" s="1390">
        <f>IF($A36&gt;$C$5," ",AQ36+SUM($AS$20:AS36)+IF(AP37=0,-AQ36,0))</f>
        <v>65.560847497173981</v>
      </c>
      <c r="AU36" s="1390">
        <f>IF($A36&gt;$C$5," ",VLOOKUP($A36,Plot!$V$7:$AL$67,Plot!$AL$2,FALSE))</f>
        <v>0</v>
      </c>
      <c r="AV36" s="1395">
        <f>IF($A36&gt;$C$5," ",VLOOKUP($A36,Plot!$V$7:$AM$67,Plot!$AM$2,FALSE))</f>
        <v>0</v>
      </c>
      <c r="AW36" s="1407">
        <f>IF($A36&gt;$C$5,0,VLOOKUP($A36,Plot!$DF$7:$DS$67,7,FALSE))</f>
        <v>100</v>
      </c>
      <c r="AX36" s="1390">
        <f>IF($A36&gt;$C$5," ",VLOOKUP($A36,Plot!$DF$7:$DS$67,14,FALSE))</f>
        <v>53.196042808101986</v>
      </c>
      <c r="AY36" s="1390">
        <f>IF($A36&gt;$C$5," ",VLOOKUP($A36,Plot!$DF$7:$DT$67,15,FALSE))</f>
        <v>0.53196042808101984</v>
      </c>
      <c r="AZ36" s="1390">
        <f>IF($A36&gt;$C$5," ",VLOOKUP($A36,Plot!$DF$7:$DU$67,16,FALSE))</f>
        <v>0</v>
      </c>
      <c r="BA36" s="1390">
        <f>IF($A36&gt;$C$5," ",AX36+SUM($AZ$20:AZ36)+IF(AW37=0,-AX36,0))</f>
        <v>53.196042808101986</v>
      </c>
      <c r="BB36" s="1390">
        <f>IF($A36&gt;$C$5," ",VLOOKUP($A36,Plot!$DF$7:$DW$67,Plot!$DW$2,FALSE))</f>
        <v>0</v>
      </c>
      <c r="BC36" s="1390">
        <f>IF($A36&gt;$C$5," ",VLOOKUP($A36,Plot!$DF$7:$DX$67,Plot!$DX$2,FALSE))</f>
        <v>0</v>
      </c>
      <c r="BD36" s="1396">
        <f>IF($A36&gt;$C$5," ",VLOOKUP($A36,Plot!$A$7:$N$67,14,FALSE))</f>
        <v>11.632834596849463</v>
      </c>
      <c r="BE36" s="303">
        <f>IF($A36&gt;$C$5," ",VLOOKUP($A36,Plot!$V$7:$BW$67,Plot!$BW$2,FALSE))</f>
        <v>0</v>
      </c>
      <c r="BF36" s="303">
        <f>IF($A36&gt;$C$5," ",VLOOKUP($A36,Plot!$CK$7:$CX$67,14,FALSE))</f>
        <v>0</v>
      </c>
      <c r="BG36" s="303">
        <f>IF($A36&gt;$C$5," ",VLOOKUP($A36,Plot!$DF$7:$FH$67,Plot!$FH$2,FALSE))</f>
        <v>0</v>
      </c>
      <c r="BH36" s="1397">
        <f t="shared" si="24"/>
        <v>0</v>
      </c>
      <c r="BI36" s="303">
        <f>IF($A36&gt;$C$5," ",VLOOKUP($A36,Plot!$DF$7:$EJ$67,29,FALSE))</f>
        <v>0</v>
      </c>
      <c r="BJ36" s="303">
        <f>IF($A36&gt;$C$5," ",VLOOKUP($A36,Plot!$DF$7:$FT$67,30,FALSE))</f>
        <v>0</v>
      </c>
      <c r="BK36" s="303">
        <f>IF($A36&gt;$C$5," ",VLOOKUP($A36,Plot!$DF$7:$FT$67,Plot!$EL$2,FALSE))</f>
        <v>0</v>
      </c>
      <c r="BL36" s="303">
        <f>IF($A36&gt;$C$5," ",VLOOKUP($A36,Plot!$DF$7:$FT$67,Plot!$EM$2,FALSE))</f>
        <v>0</v>
      </c>
      <c r="BM36" s="303">
        <f>IF($A36&gt;$C$5," ",VLOOKUP($A36,Plot!$DF$7:$FT$67,Plot!$EN$2,FALSE))</f>
        <v>0</v>
      </c>
      <c r="BN36" s="303">
        <f>IF($A36&gt;$C$5," ",VLOOKUP($A36,Plot!$DF$7:$FT$67,Plot!$EO$2,FALSE))</f>
        <v>0</v>
      </c>
      <c r="BO36" s="303">
        <f t="shared" si="19"/>
        <v>0</v>
      </c>
      <c r="BP36" s="303">
        <f>IF($A36&gt;$C$5," ",VLOOKUP($A36,Plot!$DF$7:$FT$67,Plot!$EQ$2,FALSE))</f>
        <v>0</v>
      </c>
      <c r="BQ36" s="303">
        <f>IF($A36&gt;$C$5," ",(VLOOKUP($A36,Plot!$DF$7:$FT$67,Plot!$ES$2,FALSE)+VLOOKUP($A36,Plot!$DF$7:$FT$67,Plot!$ET$2,FALSE)))</f>
        <v>0</v>
      </c>
      <c r="BR36" s="303">
        <f>IF($A36&gt;$C$5," ",(VLOOKUP($A36,Plot!$DF$7:$FT$67,Plot!$EV$2,FALSE)+VLOOKUP($A36,Plot!$DF$7:$FT$67,Plot!$EW$2,FALSE)))</f>
        <v>0</v>
      </c>
      <c r="BS36" s="303">
        <f>IF($A36&gt;$C$5," ",VLOOKUP($A36,Plot!$DF$7:$FT$67,Plot!$EY$2,FALSE))</f>
        <v>0</v>
      </c>
      <c r="BT36" s="303">
        <f>IF($A36&gt;$C$5," ",(VLOOKUP($A36,Plot!$DF$7:$FT$67,Plot!$FB$2,FALSE)+VLOOKUP($A36,Plot!$DF$7:$FT$67,Plot!$FC$2,FALSE)))</f>
        <v>0</v>
      </c>
      <c r="BU36" s="303">
        <f>IF($A36&gt;$C$5," ",(VLOOKUP($A36,Plot!$DF$7:$FT$67,Plot!$FE$2,FALSE)+VLOOKUP($A36,Plot!$DF$7:$FT$67,Plot!$FF$2,FALSE)))</f>
        <v>0</v>
      </c>
      <c r="BV36" s="1026">
        <f>IF($A36&gt;$C$5," ",VLOOKUP($A36,Plot!$FV$7:$GJ$67,2,FALSE))</f>
        <v>926.91475362032895</v>
      </c>
      <c r="BW36" s="1027">
        <f>IF($A36&gt;$C$5," ",VLOOKUP($A36,Plot!$FV$7:$GJ$67,3,FALSE))</f>
        <v>0</v>
      </c>
      <c r="BX36" s="1379">
        <f ca="1">IF($A36&gt;$C$5," ",VLOOKUP($A36,Plot!$FV$7:$GJ$67,6,FALSE))</f>
        <v>0</v>
      </c>
      <c r="BY36" s="1026">
        <f>IF($A36&gt;$C$5," ",VLOOKUP($A36,Plot!$GO$7:$GY$67,2,FALSE))</f>
        <v>125.57520292130981</v>
      </c>
      <c r="BZ36" s="1027">
        <f>IF($A36&gt;$C$5," ",VLOOKUP($A36,Plot!$GO$7:$GY$67,3,FALSE))</f>
        <v>0</v>
      </c>
      <c r="CA36" s="1379">
        <f>IF($A36&gt;$C$5," ",VLOOKUP($A36,Plot!$GO$7:$GY$67,6,FALSE))</f>
        <v>0</v>
      </c>
      <c r="CB36" s="1027">
        <f>IF($A36&gt;$C$5," ",-1*VLOOKUP($A36,Plot!$HA$7:$HK$67,2,FALSE))</f>
        <v>-676.67993603767729</v>
      </c>
      <c r="CC36" s="1027">
        <f>IF($A36&gt;$C$5," ",-1*VLOOKUP($A36,Plot!$HA$7:$HK$67,3,FALSE))</f>
        <v>-1.6017245270575231</v>
      </c>
      <c r="CD36" s="1189">
        <f>IF($A36&gt;$C$5," ",-1*VLOOKUP($A36,Plot!$HA$7:$HK$67,6,FALSE))</f>
        <v>-1.6017245270575231</v>
      </c>
      <c r="CE36" s="10"/>
      <c r="CF36" s="38">
        <v>17</v>
      </c>
      <c r="CG36" s="1381">
        <f>IF($CF36&gt;$C$5," ",VLOOKUP($CF36,Unit!$A$7:$BE$68,22,FALSE))</f>
        <v>33.340000000000003</v>
      </c>
      <c r="CH36" s="1027">
        <f>IF($CF36&gt;$C$5," ",VLOOKUP($CF36,Unit!$A$7:$BE$68,23,FALSE))</f>
        <v>33.33</v>
      </c>
      <c r="CI36" s="1027">
        <f>IF($CF36&gt;$C$5," ",VLOOKUP($CF36,Unit!$A$7:$BE$68,24,FALSE))</f>
        <v>32.996699999999997</v>
      </c>
      <c r="CJ36" s="1189">
        <f>IF($CF36&gt;$C$5," ",VLOOKUP($CF36,Unit!$A$7:$BE$68,25,FALSE))</f>
        <v>0.33330000000000026</v>
      </c>
      <c r="CK36" s="1381">
        <f>IF($CF36&gt;$C$5," ",VLOOKUP($CF36,Unit!$A$7:$BE$68,27,FALSE))</f>
        <v>306.88209167164109</v>
      </c>
      <c r="CL36" s="1027">
        <f>IF($CF36&gt;$C$5," ",VLOOKUP($CF36,Unit!$A$7:$BE$68,28,FALSE))</f>
        <v>2185.1430470808086</v>
      </c>
      <c r="CM36" s="1027">
        <f>IF($CF36&gt;$C$5," ",VLOOKUP($CF36,Unit!$A$7:$BE$68,29,FALSE))</f>
        <v>0</v>
      </c>
      <c r="CN36" s="1027">
        <f ca="1">IF($CF36&gt;$C$5," ",VLOOKUP($CF36,Unit!$A$7:$BE$68,30,FALSE))</f>
        <v>0</v>
      </c>
      <c r="CO36" s="1027">
        <f>IF($CF36&gt;$C$5," ",VLOOKUP($CF36,Unit!$A$7:$BE$68,31,FALSE))</f>
        <v>1773.0241067940392</v>
      </c>
      <c r="CP36" s="1027">
        <f>IF($CF36&gt;$C$5," ",VLOOKUP($CF36,Unit!$A$7:$BE$68,32,FALSE))</f>
        <v>0</v>
      </c>
      <c r="CQ36" s="1381">
        <f>IF($CF36&gt;$C$5," ",VLOOKUP($CF36,Unit!$A$7:$BE$68,33,FALSE))</f>
        <v>387.83870545896116</v>
      </c>
      <c r="CR36" s="1027">
        <f>IF($CF36&gt;$C$5," ",VLOOKUP($CF36,Unit!$A$7:$BE$68,34,FALSE))</f>
        <v>0</v>
      </c>
      <c r="CS36" s="1027">
        <f>IF($CF36&gt;$C$5," ",VLOOKUP($CF36,Unit!$A$7:$BE$68,35,FALSE))</f>
        <v>0</v>
      </c>
      <c r="CT36" s="1027">
        <f>IF($CF36&gt;$C$5," ",VLOOKUP($CF36,Unit!$A$7:$BE$68,36,FALSE))</f>
        <v>0</v>
      </c>
      <c r="CU36" s="1189">
        <f t="shared" si="20"/>
        <v>0</v>
      </c>
      <c r="CV36" s="1027">
        <f>IF($CF36&gt;$C$5," ",VLOOKUP($CF36,Unit!$A$7:$BA$68,43,FALSE))</f>
        <v>338425.11407993973</v>
      </c>
      <c r="CW36" s="1027">
        <f>IF($CF36&gt;$C$5," ",VLOOKUP($CF36,Unit!$A$7:$BB$68,44,FALSE))</f>
        <v>-53986.079824915891</v>
      </c>
      <c r="CX36" s="1189">
        <f ca="1">IF($CF36&gt;$C$5," ",VLOOKUP($CF36,Unit!$A$7:$BE$68,47,FALSE))</f>
        <v>12785.255891754752</v>
      </c>
      <c r="CY36" s="1381">
        <f>IF($CF36&gt;$C$5," ",VLOOKUP($CF36,Unit!$A$7:$BA$68,53,FALSE))</f>
        <v>253197.07370317442</v>
      </c>
      <c r="CZ36" s="1027">
        <f>IF($CF36&gt;$C$5," ",VLOOKUP($CF36,Unit!$A$7:$BB$68,54,FALSE))</f>
        <v>-46300.824849544435</v>
      </c>
      <c r="DA36" s="1189">
        <f ca="1">IF($CF36&gt;$C$5," ",VLOOKUP($CF36,Unit!$A$7:$BE$68,57,FALSE))</f>
        <v>18622.821908551374</v>
      </c>
    </row>
    <row r="37" spans="1:105" x14ac:dyDescent="0.25">
      <c r="A37" s="38">
        <v>18</v>
      </c>
      <c r="B37" s="1381">
        <f>IF($A37&gt;$C$5," ",VLOOKUP($A37,Plot!$A$7:$T$67,Plot!P$2,FALSE))</f>
        <v>284.06611206096181</v>
      </c>
      <c r="C37" s="1027">
        <f>IF($A37&gt;$C$5," ",VLOOKUP($A37,Plot!$V$7:$CI$67,Plot!$CA$2,FALSE))</f>
        <v>-3</v>
      </c>
      <c r="D37" s="1027">
        <f ca="1">IF($A37&gt;$C$5," ",VLOOKUP($A37,Plot!$CK$7:$DD$67,Plot!$CZ$2,FALSE))</f>
        <v>0</v>
      </c>
      <c r="E37" s="1027">
        <f>IF($A37&gt;$C$5," ",VLOOKUP($A37,Plot!$DF$7:$FT$67,Plot!$FL$2,FALSE))</f>
        <v>-3</v>
      </c>
      <c r="F37" s="1379">
        <f t="shared" ca="1" si="21"/>
        <v>-3</v>
      </c>
      <c r="G37" s="1026">
        <f>IF($A37&gt;$C$5," ",VLOOKUP($A37,Plot!$V$7:$CG$67,Plot!$CG$2,FALSE))</f>
        <v>333.72367588823954</v>
      </c>
      <c r="H37" s="1027">
        <f>IF($A37&gt;$C$5," ",VLOOKUP($A37,Plot!$DF$7:$FT$67,Plot!$FR$2,FALSE))</f>
        <v>430.36643176157372</v>
      </c>
      <c r="I37" s="1379">
        <f t="shared" ca="1" si="17"/>
        <v>430.36643176157372</v>
      </c>
      <c r="J37" s="1026">
        <f>IF($A37&gt;$C$5," ",SUM(B$20:$B37))</f>
        <v>10434.789389803604</v>
      </c>
      <c r="K37" s="1027">
        <f>IF($A37&gt;$C$5," ",SUM($C$20:C37))</f>
        <v>-1622.7443691843955</v>
      </c>
      <c r="L37" s="1027">
        <f ca="1">IF($A37&gt;$C$5," ",SUM($D$20:D37))</f>
        <v>1474.6409117075809</v>
      </c>
      <c r="M37" s="1027">
        <f>IF($A37&gt;$C$5," ",SUM($E$20:E37))</f>
        <v>-1094.0448753513026</v>
      </c>
      <c r="N37" s="1379">
        <f ca="1">IF($A37&gt;$C$5," ",SUM($F$20:F37))</f>
        <v>380.59603635627809</v>
      </c>
      <c r="O37" s="1027">
        <f>IF($A37&gt;$C$5," ",SUM($G$20:G37))</f>
        <v>503.97806314481028</v>
      </c>
      <c r="P37" s="1027">
        <f>IF($A37&gt;$C$5," ",SUM($H$20:H37))</f>
        <v>878.80824111687707</v>
      </c>
      <c r="Q37" s="1027">
        <f ca="1">IF($A37&gt;$C$5," ",SUM($I$20:I37))</f>
        <v>2353.4491528244589</v>
      </c>
      <c r="R37" s="1026">
        <f>IF($A37&gt;$C$5," ",VLOOKUP($A37,Plot!$HM$7:$IA$67,2,FALSE))</f>
        <v>145.83194198522858</v>
      </c>
      <c r="S37" s="1027">
        <f>IF($A37&gt;$C$5," ",VLOOKUP($A37,Plot!$HM$7:$IA$67,3,FALSE))</f>
        <v>-1.5401197375553106</v>
      </c>
      <c r="T37" s="1027">
        <f ca="1">IF($A37&gt;$C$5," ",VLOOKUP($A37,Plot!$HM$7:$IA$67,4,FALSE))</f>
        <v>0</v>
      </c>
      <c r="U37" s="1027">
        <f>IF($A37&gt;$C$5," ",VLOOKUP($A37,Plot!$HM$7:$IA$67,5,FALSE))</f>
        <v>-1.5401197375553106</v>
      </c>
      <c r="V37" s="1379">
        <f t="shared" ca="1" si="16"/>
        <v>-1.5401197375553106</v>
      </c>
      <c r="W37" s="1027">
        <f>IF($A37&gt;$C$5," ",VLOOKUP($A37,Plot!$HM$7:$IA$67,Plot!$HR$2,FALSE))</f>
        <v>134.56730784174056</v>
      </c>
      <c r="X37" s="1027">
        <f>IF($A37&gt;$C$5," ",VLOOKUP($A37,Plot!$HM$7:$IA$67,Plot!$HS$2,FALSE))</f>
        <v>189.32536092814712</v>
      </c>
      <c r="Y37" s="1379">
        <f t="shared" ca="1" si="18"/>
        <v>189.32536092814712</v>
      </c>
      <c r="Z37" s="1026">
        <f>IF($A37&gt;$C$5," ",SUM($R$20:R37))</f>
        <v>7740.2252744139741</v>
      </c>
      <c r="AA37" s="1027">
        <f>IF($A37&gt;$C$5," ",SUM($S$20:S37))</f>
        <v>-1390.7037815900737</v>
      </c>
      <c r="AB37" s="1027">
        <f ca="1">IF($A37&gt;$C$5," ",SUM($T$20:T37))</f>
        <v>1492.284005110379</v>
      </c>
      <c r="AC37" s="1027">
        <f>IF($A37&gt;$C$5," ",SUM($U$20:U37))</f>
        <v>-935.08359353826199</v>
      </c>
      <c r="AD37" s="1379">
        <f t="shared" ca="1" si="22"/>
        <v>557.20041157211699</v>
      </c>
      <c r="AE37" s="1027">
        <f>IF($A37&gt;$C$5," ",SUM($W$20:W37))</f>
        <v>-298.90138347945754</v>
      </c>
      <c r="AF37" s="1027">
        <f>IF($A37&gt;$C$5," ",SUM($X$20:X37))</f>
        <v>77.726414451788401</v>
      </c>
      <c r="AG37" s="1027">
        <f t="shared" ca="1" si="23"/>
        <v>1570.0104195621675</v>
      </c>
      <c r="AH37" s="1394">
        <f>IF($A37&gt;$C$5," ",VLOOKUP($A37,Plot!$A$7:$D$67,4,FALSE))</f>
        <v>1</v>
      </c>
      <c r="AI37" s="1390">
        <f>IF($A37&gt;$C$5," ",VLOOKUP($A37,Plot!$A$7:$E$67,5,FALSE))</f>
        <v>6.9787773046095287</v>
      </c>
      <c r="AJ37" s="1390">
        <f ca="1">IF($A37&gt;$C$5," ",IF(ROW()-ROW($A$18)&gt;='Options and results'!$AR$56,AVERAGE(OFFSET(AI37,0,0,COUNTA($BS:$BS)-'Options and results'!$AR$56,1)),NA()))</f>
        <v>6.3613137702306553</v>
      </c>
      <c r="AK37" s="1395">
        <f>IF($A37&gt;$C$5," ",VLOOKUP($A37,Plot!$A$7:$F$67,6,FALSE))</f>
        <v>2.7915109218438117</v>
      </c>
      <c r="AL37" s="1390">
        <f>IF($A37&gt;$C$5," ",VLOOKUP($A37,Plot!$CK$7:$CN$67,4,FALSE))</f>
        <v>0.99</v>
      </c>
      <c r="AM37" s="1390">
        <f ca="1">IF($A37&gt;$C$5," ",AL37*VLOOKUP($A37,Plot!$CK$7:$CO$67,5,FALSE))</f>
        <v>0</v>
      </c>
      <c r="AN37" s="1390">
        <f ca="1">IF($A37&gt;$C$5," ",IF(ROW()-ROW($A$18)&gt;='Options and results'!$AR$56,AVERAGE(OFFSET(AM37,0,0,COUNTA($BS:$BS)-'Options and results'!$AR$56,1)),NA()))</f>
        <v>0</v>
      </c>
      <c r="AO37" s="1390">
        <f ca="1">IF($A37&gt;$C$5," ",VLOOKUP($A37,Plot!$CK$7:$CP$67,6,FALSE))</f>
        <v>0</v>
      </c>
      <c r="AP37" s="1409">
        <f>IF($A37&gt;$C$5,0,VLOOKUP($A37,Plot!$V$7:$AH$67,7,FALSE))</f>
        <v>156</v>
      </c>
      <c r="AQ37" s="1390">
        <f>IF($A37&gt;$C$5," ",VLOOKUP($A37,Plot!$V$7:$AH$67,13,FALSE))</f>
        <v>77.893755262702228</v>
      </c>
      <c r="AR37" s="1390">
        <f>IF($A37&gt;$C$5," ",VLOOKUP($A37,Plot!$V$7:$AI$67,14,FALSE))</f>
        <v>0.49931894399168097</v>
      </c>
      <c r="AS37" s="1390">
        <f>IF($A37&gt;$C$5," ",VLOOKUP($A37,Plot!$V$7:$AJ$67,15,FALSE))</f>
        <v>0</v>
      </c>
      <c r="AT37" s="1390">
        <f>IF($A37&gt;$C$5," ",AQ37+SUM($AS$20:AS37)+IF(AP38=0,-AQ37,0))</f>
        <v>77.893755262702228</v>
      </c>
      <c r="AU37" s="1390">
        <f>IF($A37&gt;$C$5," ",VLOOKUP($A37,Plot!$V$7:$AL$67,Plot!$AL$2,FALSE))</f>
        <v>0</v>
      </c>
      <c r="AV37" s="1395">
        <f>IF($A37&gt;$C$5," ",VLOOKUP($A37,Plot!$V$7:$AM$67,Plot!$AM$2,FALSE))</f>
        <v>0</v>
      </c>
      <c r="AW37" s="1407">
        <f>IF($A37&gt;$C$5,0,VLOOKUP($A37,Plot!$DF$7:$DS$67,7,FALSE))</f>
        <v>100</v>
      </c>
      <c r="AX37" s="1390">
        <f>IF($A37&gt;$C$5," ",VLOOKUP($A37,Plot!$DF$7:$DS$67,14,FALSE))</f>
        <v>64.898881319576986</v>
      </c>
      <c r="AY37" s="1390">
        <f>IF($A37&gt;$C$5," ",VLOOKUP($A37,Plot!$DF$7:$DT$67,15,FALSE))</f>
        <v>0.64898881319576984</v>
      </c>
      <c r="AZ37" s="1390">
        <f>IF($A37&gt;$C$5," ",VLOOKUP($A37,Plot!$DF$7:$DU$67,16,FALSE))</f>
        <v>0</v>
      </c>
      <c r="BA37" s="1390">
        <f>IF($A37&gt;$C$5," ",AX37+SUM($AZ$20:AZ37)+IF(AW38=0,-AX37,0))</f>
        <v>64.898881319576986</v>
      </c>
      <c r="BB37" s="1390">
        <f>IF($A37&gt;$C$5," ",VLOOKUP($A37,Plot!$DF$7:$DW$67,Plot!$DW$2,FALSE))</f>
        <v>0</v>
      </c>
      <c r="BC37" s="1390">
        <f>IF($A37&gt;$C$5," ",VLOOKUP($A37,Plot!$DF$7:$DX$67,Plot!$DX$2,FALSE))</f>
        <v>0</v>
      </c>
      <c r="BD37" s="1396">
        <f>IF($A37&gt;$C$5," ",VLOOKUP($A37,Plot!$A$7:$N$67,14,FALSE))</f>
        <v>11.632834596849463</v>
      </c>
      <c r="BE37" s="303">
        <f>IF($A37&gt;$C$5," ",VLOOKUP($A37,Plot!$V$7:$BW$67,Plot!$BW$2,FALSE))</f>
        <v>0</v>
      </c>
      <c r="BF37" s="303">
        <f>IF($A37&gt;$C$5," ",VLOOKUP($A37,Plot!$CK$7:$CX$67,14,FALSE))</f>
        <v>0</v>
      </c>
      <c r="BG37" s="303">
        <f>IF($A37&gt;$C$5," ",VLOOKUP($A37,Plot!$DF$7:$FH$67,Plot!$FH$2,FALSE))</f>
        <v>0</v>
      </c>
      <c r="BH37" s="1397">
        <f t="shared" si="24"/>
        <v>0</v>
      </c>
      <c r="BI37" s="303">
        <f>IF($A37&gt;$C$5," ",VLOOKUP($A37,Plot!$DF$7:$EJ$67,29,FALSE))</f>
        <v>0</v>
      </c>
      <c r="BJ37" s="303">
        <f>IF($A37&gt;$C$5," ",VLOOKUP($A37,Plot!$DF$7:$FT$67,30,FALSE))</f>
        <v>0</v>
      </c>
      <c r="BK37" s="303">
        <f>IF($A37&gt;$C$5," ",VLOOKUP($A37,Plot!$DF$7:$FT$67,Plot!$EL$2,FALSE))</f>
        <v>0</v>
      </c>
      <c r="BL37" s="303">
        <f>IF($A37&gt;$C$5," ",VLOOKUP($A37,Plot!$DF$7:$FT$67,Plot!$EM$2,FALSE))</f>
        <v>0</v>
      </c>
      <c r="BM37" s="303">
        <f>IF($A37&gt;$C$5," ",VLOOKUP($A37,Plot!$DF$7:$FT$67,Plot!$EN$2,FALSE))</f>
        <v>0</v>
      </c>
      <c r="BN37" s="303">
        <f>IF($A37&gt;$C$5," ",VLOOKUP($A37,Plot!$DF$7:$FT$67,Plot!$EO$2,FALSE))</f>
        <v>0</v>
      </c>
      <c r="BO37" s="303">
        <f t="shared" si="19"/>
        <v>0</v>
      </c>
      <c r="BP37" s="303">
        <f>IF($A37&gt;$C$5," ",VLOOKUP($A37,Plot!$DF$7:$FT$67,Plot!$EQ$2,FALSE))</f>
        <v>0</v>
      </c>
      <c r="BQ37" s="303">
        <f>IF($A37&gt;$C$5," ",(VLOOKUP($A37,Plot!$DF$7:$FT$67,Plot!$ES$2,FALSE)+VLOOKUP($A37,Plot!$DF$7:$FT$67,Plot!$ET$2,FALSE)))</f>
        <v>0</v>
      </c>
      <c r="BR37" s="303">
        <f>IF($A37&gt;$C$5," ",(VLOOKUP($A37,Plot!$DF$7:$FT$67,Plot!$EV$2,FALSE)+VLOOKUP($A37,Plot!$DF$7:$FT$67,Plot!$EW$2,FALSE)))</f>
        <v>0</v>
      </c>
      <c r="BS37" s="303">
        <f>IF($A37&gt;$C$5," ",VLOOKUP($A37,Plot!$DF$7:$FT$67,Plot!$EY$2,FALSE))</f>
        <v>0</v>
      </c>
      <c r="BT37" s="303">
        <f>IF($A37&gt;$C$5," ",(VLOOKUP($A37,Plot!$DF$7:$FT$67,Plot!$FB$2,FALSE)+VLOOKUP($A37,Plot!$DF$7:$FT$67,Plot!$FC$2,FALSE)))</f>
        <v>0</v>
      </c>
      <c r="BU37" s="303">
        <f>IF($A37&gt;$C$5," ",(VLOOKUP($A37,Plot!$DF$7:$FT$67,Plot!$FE$2,FALSE)+VLOOKUP($A37,Plot!$DF$7:$FT$67,Plot!$FF$2,FALSE)))</f>
        <v>0</v>
      </c>
      <c r="BV37" s="1026">
        <f>IF($A37&gt;$C$5," ",VLOOKUP($A37,Plot!$FV$7:$GJ$67,2,FALSE))</f>
        <v>675.74033921250498</v>
      </c>
      <c r="BW37" s="1027">
        <f>IF($A37&gt;$C$5," ",VLOOKUP($A37,Plot!$FV$7:$GJ$67,3,FALSE))</f>
        <v>0</v>
      </c>
      <c r="BX37" s="1379">
        <f ca="1">IF($A37&gt;$C$5," ",VLOOKUP($A37,Plot!$FV$7:$GJ$67,6,FALSE))</f>
        <v>0</v>
      </c>
      <c r="BY37" s="1026">
        <f>IF($A37&gt;$C$5," ",VLOOKUP($A37,Plot!$GO$7:$GY$67,2,FALSE))</f>
        <v>120.74538742433636</v>
      </c>
      <c r="BZ37" s="1027">
        <f>IF($A37&gt;$C$5," ",VLOOKUP($A37,Plot!$GO$7:$GY$67,3,FALSE))</f>
        <v>0</v>
      </c>
      <c r="CA37" s="1379">
        <f>IF($A37&gt;$C$5," ",VLOOKUP($A37,Plot!$GO$7:$GY$67,6,FALSE))</f>
        <v>0</v>
      </c>
      <c r="CB37" s="1027">
        <f>IF($A37&gt;$C$5," ",-1*VLOOKUP($A37,Plot!$HA$7:$HK$67,2,FALSE))</f>
        <v>-650.6537846516128</v>
      </c>
      <c r="CC37" s="1027">
        <f>IF($A37&gt;$C$5," ",-1*VLOOKUP($A37,Plot!$HA$7:$HK$67,3,FALSE))</f>
        <v>-1.5401197375553106</v>
      </c>
      <c r="CD37" s="1189">
        <f>IF($A37&gt;$C$5," ",-1*VLOOKUP($A37,Plot!$HA$7:$HK$67,6,FALSE))</f>
        <v>-1.5401197375553106</v>
      </c>
      <c r="CE37" s="10"/>
      <c r="CF37" s="38">
        <v>18</v>
      </c>
      <c r="CG37" s="1381">
        <f>IF($CF37&gt;$C$5," ",VLOOKUP($CF37,Unit!$A$7:$BE$68,22,FALSE))</f>
        <v>33.340000000000003</v>
      </c>
      <c r="CH37" s="1027">
        <f>IF($CF37&gt;$C$5," ",VLOOKUP($CF37,Unit!$A$7:$BE$68,23,FALSE))</f>
        <v>33.33</v>
      </c>
      <c r="CI37" s="1027">
        <f>IF($CF37&gt;$C$5," ",VLOOKUP($CF37,Unit!$A$7:$BE$68,24,FALSE))</f>
        <v>32.996699999999997</v>
      </c>
      <c r="CJ37" s="1189">
        <f>IF($CF37&gt;$C$5," ",VLOOKUP($CF37,Unit!$A$7:$BE$68,25,FALSE))</f>
        <v>0.33330000000000026</v>
      </c>
      <c r="CK37" s="1381">
        <f>IF($CF37&gt;$C$5," ",VLOOKUP($CF37,Unit!$A$7:$BE$68,27,FALSE))</f>
        <v>232.67243533568171</v>
      </c>
      <c r="CL37" s="1027">
        <f>IF($CF37&gt;$C$5," ",VLOOKUP($CF37,Unit!$A$7:$BE$68,28,FALSE))</f>
        <v>2596.1988629058651</v>
      </c>
      <c r="CM37" s="1027">
        <f>IF($CF37&gt;$C$5," ",VLOOKUP($CF37,Unit!$A$7:$BE$68,29,FALSE))</f>
        <v>0</v>
      </c>
      <c r="CN37" s="1027">
        <f ca="1">IF($CF37&gt;$C$5," ",VLOOKUP($CF37,Unit!$A$7:$BE$68,30,FALSE))</f>
        <v>0</v>
      </c>
      <c r="CO37" s="1027">
        <f>IF($CF37&gt;$C$5," ",VLOOKUP($CF37,Unit!$A$7:$BE$68,31,FALSE))</f>
        <v>2163.0797143815007</v>
      </c>
      <c r="CP37" s="1027">
        <f>IF($CF37&gt;$C$5," ",VLOOKUP($CF37,Unit!$A$7:$BE$68,32,FALSE))</f>
        <v>0</v>
      </c>
      <c r="CQ37" s="1381">
        <f>IF($CF37&gt;$C$5," ",VLOOKUP($CF37,Unit!$A$7:$BE$68,33,FALSE))</f>
        <v>387.83870545896116</v>
      </c>
      <c r="CR37" s="1027">
        <f>IF($CF37&gt;$C$5," ",VLOOKUP($CF37,Unit!$A$7:$BE$68,34,FALSE))</f>
        <v>0</v>
      </c>
      <c r="CS37" s="1027">
        <f>IF($CF37&gt;$C$5," ",VLOOKUP($CF37,Unit!$A$7:$BE$68,35,FALSE))</f>
        <v>0</v>
      </c>
      <c r="CT37" s="1027">
        <f>IF($CF37&gt;$C$5," ",VLOOKUP($CF37,Unit!$A$7:$BE$68,36,FALSE))</f>
        <v>0</v>
      </c>
      <c r="CU37" s="1189">
        <f t="shared" si="20"/>
        <v>0</v>
      </c>
      <c r="CV37" s="1027">
        <f>IF($CF37&gt;$C$5," ",VLOOKUP($CF37,Unit!$A$7:$BA$68,43,FALSE))</f>
        <v>347895.87825605221</v>
      </c>
      <c r="CW37" s="1027">
        <f>IF($CF37&gt;$C$5," ",VLOOKUP($CF37,Unit!$A$7:$BB$68,44,FALSE))</f>
        <v>-54086.069824915889</v>
      </c>
      <c r="CX37" s="1189">
        <f ca="1">IF($CF37&gt;$C$5," ",VLOOKUP($CF37,Unit!$A$7:$BE$68,47,FALSE))</f>
        <v>12685.265891754752</v>
      </c>
      <c r="CY37" s="1381">
        <f>IF($CF37&gt;$C$5," ",VLOOKUP($CF37,Unit!$A$7:$BA$68,53,FALSE))</f>
        <v>258059.11064896194</v>
      </c>
      <c r="CZ37" s="1027">
        <f>IF($CF37&gt;$C$5," ",VLOOKUP($CF37,Unit!$A$7:$BB$68,54,FALSE))</f>
        <v>-46352.157040397156</v>
      </c>
      <c r="DA37" s="1189">
        <f ca="1">IF($CF37&gt;$C$5," ",VLOOKUP($CF37,Unit!$A$7:$BE$68,57,FALSE))</f>
        <v>18571.489717698656</v>
      </c>
    </row>
    <row r="38" spans="1:105" x14ac:dyDescent="0.25">
      <c r="A38" s="38">
        <v>19</v>
      </c>
      <c r="B38" s="1381">
        <f>IF($A38&gt;$C$5," ",VLOOKUP($A38,Plot!$A$7:$T$67,Plot!P$2,FALSE))</f>
        <v>816.41700121704719</v>
      </c>
      <c r="C38" s="1027">
        <f>IF($A38&gt;$C$5," ",VLOOKUP($A38,Plot!$V$7:$CI$67,Plot!$CA$2,FALSE))</f>
        <v>-3</v>
      </c>
      <c r="D38" s="1027">
        <f ca="1">IF($A38&gt;$C$5," ",VLOOKUP($A38,Plot!$CK$7:$DD$67,Plot!$CZ$2,FALSE))</f>
        <v>0</v>
      </c>
      <c r="E38" s="1027">
        <f>IF($A38&gt;$C$5," ",VLOOKUP($A38,Plot!$DF$7:$FT$67,Plot!$FL$2,FALSE))</f>
        <v>-3</v>
      </c>
      <c r="F38" s="1379">
        <f t="shared" ca="1" si="21"/>
        <v>-3</v>
      </c>
      <c r="G38" s="1026">
        <f>IF($A38&gt;$C$5," ",VLOOKUP($A38,Plot!$V$7:$CG$67,Plot!$CG$2,FALSE))</f>
        <v>456.22964147884045</v>
      </c>
      <c r="H38" s="1027">
        <f>IF($A38&gt;$C$5," ",VLOOKUP($A38,Plot!$DF$7:$FT$67,Plot!$FR$2,FALSE))</f>
        <v>460.23210086096299</v>
      </c>
      <c r="I38" s="1379">
        <f t="shared" ca="1" si="17"/>
        <v>460.23210086096299</v>
      </c>
      <c r="J38" s="1026">
        <f>IF($A38&gt;$C$5," ",SUM(B$20:$B38))</f>
        <v>11251.206391020651</v>
      </c>
      <c r="K38" s="1027">
        <f>IF($A38&gt;$C$5," ",SUM($C$20:C38))</f>
        <v>-1625.7443691843955</v>
      </c>
      <c r="L38" s="1027">
        <f ca="1">IF($A38&gt;$C$5," ",SUM($D$20:D38))</f>
        <v>1474.6409117075809</v>
      </c>
      <c r="M38" s="1027">
        <f>IF($A38&gt;$C$5," ",SUM($E$20:E38))</f>
        <v>-1097.0448753513026</v>
      </c>
      <c r="N38" s="1379">
        <f ca="1">IF($A38&gt;$C$5," ",SUM($F$20:F38))</f>
        <v>377.59603635627809</v>
      </c>
      <c r="O38" s="1027">
        <f>IF($A38&gt;$C$5," ",SUM($G$20:G38))</f>
        <v>960.20770462365067</v>
      </c>
      <c r="P38" s="1027">
        <f>IF($A38&gt;$C$5," ",SUM($H$20:H38))</f>
        <v>1339.0403419778399</v>
      </c>
      <c r="Q38" s="1027">
        <f ca="1">IF($A38&gt;$C$5," ",SUM($I$20:I38))</f>
        <v>2813.6812536854218</v>
      </c>
      <c r="R38" s="1026">
        <f>IF($A38&gt;$C$5," ",VLOOKUP($A38,Plot!$HM$7:$IA$67,2,FALSE))</f>
        <v>403.00639027246552</v>
      </c>
      <c r="S38" s="1027">
        <f>IF($A38&gt;$C$5," ",VLOOKUP($A38,Plot!$HM$7:$IA$67,3,FALSE))</f>
        <v>-1.4808843630339525</v>
      </c>
      <c r="T38" s="1027">
        <f ca="1">IF($A38&gt;$C$5," ",VLOOKUP($A38,Plot!$HM$7:$IA$67,4,FALSE))</f>
        <v>0</v>
      </c>
      <c r="U38" s="1027">
        <f>IF($A38&gt;$C$5," ",VLOOKUP($A38,Plot!$HM$7:$IA$67,5,FALSE))</f>
        <v>-1.4808843630339525</v>
      </c>
      <c r="V38" s="1379">
        <f t="shared" ca="1" si="16"/>
        <v>-1.4808843630339525</v>
      </c>
      <c r="W38" s="1027">
        <f>IF($A38&gt;$C$5," ",VLOOKUP($A38,Plot!$HM$7:$IA$67,Plot!$HR$2,FALSE))</f>
        <v>183.21538074553541</v>
      </c>
      <c r="X38" s="1027">
        <f>IF($A38&gt;$C$5," ",VLOOKUP($A38,Plot!$HM$7:$IA$67,Plot!$HS$2,FALSE))</f>
        <v>188.22927610054762</v>
      </c>
      <c r="Y38" s="1379">
        <f t="shared" ca="1" si="18"/>
        <v>188.22927610054762</v>
      </c>
      <c r="Z38" s="1026">
        <f>IF($A38&gt;$C$5," ",SUM($R$20:R38))</f>
        <v>8143.2316646864401</v>
      </c>
      <c r="AA38" s="1027">
        <f>IF($A38&gt;$C$5," ",SUM($S$20:S38))</f>
        <v>-1392.1846659531077</v>
      </c>
      <c r="AB38" s="1027">
        <f ca="1">IF($A38&gt;$C$5," ",SUM($T$20:T38))</f>
        <v>1492.284005110379</v>
      </c>
      <c r="AC38" s="1027">
        <f>IF($A38&gt;$C$5," ",SUM($U$20:U38))</f>
        <v>-936.56447790129596</v>
      </c>
      <c r="AD38" s="1379">
        <f t="shared" ca="1" si="22"/>
        <v>555.71952720908303</v>
      </c>
      <c r="AE38" s="1027">
        <f>IF($A38&gt;$C$5," ",SUM($W$20:W38))</f>
        <v>-115.68600273392212</v>
      </c>
      <c r="AF38" s="1027">
        <f>IF($A38&gt;$C$5," ",SUM($X$20:X38))</f>
        <v>265.95569055233602</v>
      </c>
      <c r="AG38" s="1027">
        <f t="shared" ca="1" si="23"/>
        <v>1758.2396956627149</v>
      </c>
      <c r="AH38" s="1394">
        <f>IF($A38&gt;$C$5," ",VLOOKUP($A38,Plot!$A$7:$D$67,4,FALSE))</f>
        <v>1</v>
      </c>
      <c r="AI38" s="1390">
        <f>IF($A38&gt;$C$5," ",VLOOKUP($A38,Plot!$A$7:$E$67,5,FALSE))</f>
        <v>8.9197894611856832</v>
      </c>
      <c r="AJ38" s="1390">
        <f ca="1">IF($A38&gt;$C$5," ",IF(ROW()-ROW($A$18)&gt;='Options and results'!$AR$56,AVERAGE(OFFSET(AI38,0,0,COUNTA($BS:$BS)-'Options and results'!$AR$56,1)),NA()))</f>
        <v>6.3098584756990812</v>
      </c>
      <c r="AK38" s="1395">
        <f>IF($A38&gt;$C$5," ",VLOOKUP($A38,Plot!$A$7:$F$67,6,FALSE))</f>
        <v>5.3518736767114099</v>
      </c>
      <c r="AL38" s="1390">
        <f>IF($A38&gt;$C$5," ",VLOOKUP($A38,Plot!$CK$7:$CN$67,4,FALSE))</f>
        <v>0.99</v>
      </c>
      <c r="AM38" s="1390">
        <f ca="1">IF($A38&gt;$C$5," ",AL38*VLOOKUP($A38,Plot!$CK$7:$CO$67,5,FALSE))</f>
        <v>0</v>
      </c>
      <c r="AN38" s="1390">
        <f ca="1">IF($A38&gt;$C$5," ",IF(ROW()-ROW($A$18)&gt;='Options and results'!$AR$56,AVERAGE(OFFSET(AM38,0,0,COUNTA($BS:$BS)-'Options and results'!$AR$56,1)),NA()))</f>
        <v>0</v>
      </c>
      <c r="AO38" s="1390">
        <f ca="1">IF($A38&gt;$C$5," ",VLOOKUP($A38,Plot!$CK$7:$CP$67,6,FALSE))</f>
        <v>0</v>
      </c>
      <c r="AP38" s="1409">
        <f>IF($A38&gt;$C$5,0,VLOOKUP($A38,Plot!$V$7:$AH$67,7,FALSE))</f>
        <v>156</v>
      </c>
      <c r="AQ38" s="1390">
        <f>IF($A38&gt;$C$5," ",VLOOKUP($A38,Plot!$V$7:$AH$67,13,FALSE))</f>
        <v>89.356029243091129</v>
      </c>
      <c r="AR38" s="1390">
        <f>IF($A38&gt;$C$5," ",VLOOKUP($A38,Plot!$V$7:$AI$67,14,FALSE))</f>
        <v>0.57279505925058416</v>
      </c>
      <c r="AS38" s="1390">
        <f>IF($A38&gt;$C$5," ",VLOOKUP($A38,Plot!$V$7:$AJ$67,15,FALSE))</f>
        <v>0</v>
      </c>
      <c r="AT38" s="1390">
        <f>IF($A38&gt;$C$5," ",AQ38+SUM($AS$20:AS38)+IF(AP39=0,-AQ38,0))</f>
        <v>89.356029243091129</v>
      </c>
      <c r="AU38" s="1390">
        <f>IF($A38&gt;$C$5," ",VLOOKUP($A38,Plot!$V$7:$AL$67,Plot!$AL$2,FALSE))</f>
        <v>0</v>
      </c>
      <c r="AV38" s="1395">
        <f>IF($A38&gt;$C$5," ",VLOOKUP($A38,Plot!$V$7:$AM$67,Plot!$AM$2,FALSE))</f>
        <v>0</v>
      </c>
      <c r="AW38" s="1407">
        <f>IF($A38&gt;$C$5,0,VLOOKUP($A38,Plot!$DF$7:$DS$67,7,FALSE))</f>
        <v>100</v>
      </c>
      <c r="AX38" s="1390">
        <f>IF($A38&gt;$C$5," ",VLOOKUP($A38,Plot!$DF$7:$DS$67,14,FALSE))</f>
        <v>76.788129320326519</v>
      </c>
      <c r="AY38" s="1390">
        <f>IF($A38&gt;$C$5," ",VLOOKUP($A38,Plot!$DF$7:$DT$67,15,FALSE))</f>
        <v>0.76788129320326515</v>
      </c>
      <c r="AZ38" s="1390">
        <f>IF($A38&gt;$C$5," ",VLOOKUP($A38,Plot!$DF$7:$DU$67,16,FALSE))</f>
        <v>0</v>
      </c>
      <c r="BA38" s="1390">
        <f>IF($A38&gt;$C$5," ",AX38+SUM($AZ$20:AZ38)+IF(AW39=0,-AX38,0))</f>
        <v>76.788129320326519</v>
      </c>
      <c r="BB38" s="1390">
        <f>IF($A38&gt;$C$5," ",VLOOKUP($A38,Plot!$DF$7:$DW$67,Plot!$DW$2,FALSE))</f>
        <v>0</v>
      </c>
      <c r="BC38" s="1390">
        <f>IF($A38&gt;$C$5," ",VLOOKUP($A38,Plot!$DF$7:$DX$67,Plot!$DX$2,FALSE))</f>
        <v>0</v>
      </c>
      <c r="BD38" s="1396">
        <f>IF($A38&gt;$C$5," ",VLOOKUP($A38,Plot!$A$7:$N$67,14,FALSE))</f>
        <v>10.833689569810836</v>
      </c>
      <c r="BE38" s="303">
        <f>IF($A38&gt;$C$5," ",VLOOKUP($A38,Plot!$V$7:$BW$67,Plot!$BW$2,FALSE))</f>
        <v>0</v>
      </c>
      <c r="BF38" s="303">
        <f>IF($A38&gt;$C$5," ",VLOOKUP($A38,Plot!$CK$7:$CX$67,14,FALSE))</f>
        <v>0</v>
      </c>
      <c r="BG38" s="303">
        <f>IF($A38&gt;$C$5," ",VLOOKUP($A38,Plot!$DF$7:$FH$67,Plot!$FH$2,FALSE))</f>
        <v>0</v>
      </c>
      <c r="BH38" s="1397">
        <f t="shared" si="24"/>
        <v>0</v>
      </c>
      <c r="BI38" s="303">
        <f>IF($A38&gt;$C$5," ",VLOOKUP($A38,Plot!$DF$7:$EJ$67,29,FALSE))</f>
        <v>0</v>
      </c>
      <c r="BJ38" s="303">
        <f>IF($A38&gt;$C$5," ",VLOOKUP($A38,Plot!$DF$7:$FT$67,30,FALSE))</f>
        <v>0</v>
      </c>
      <c r="BK38" s="303">
        <f>IF($A38&gt;$C$5," ",VLOOKUP($A38,Plot!$DF$7:$FT$67,Plot!$EL$2,FALSE))</f>
        <v>0</v>
      </c>
      <c r="BL38" s="303">
        <f>IF($A38&gt;$C$5," ",VLOOKUP($A38,Plot!$DF$7:$FT$67,Plot!$EM$2,FALSE))</f>
        <v>0</v>
      </c>
      <c r="BM38" s="303">
        <f>IF($A38&gt;$C$5," ",VLOOKUP($A38,Plot!$DF$7:$FT$67,Plot!$EN$2,FALSE))</f>
        <v>0</v>
      </c>
      <c r="BN38" s="303">
        <f>IF($A38&gt;$C$5," ",VLOOKUP($A38,Plot!$DF$7:$FT$67,Plot!$EO$2,FALSE))</f>
        <v>0</v>
      </c>
      <c r="BO38" s="303">
        <f t="shared" si="19"/>
        <v>0</v>
      </c>
      <c r="BP38" s="303">
        <f>IF($A38&gt;$C$5," ",VLOOKUP($A38,Plot!$DF$7:$FT$67,Plot!$EQ$2,FALSE))</f>
        <v>0</v>
      </c>
      <c r="BQ38" s="303">
        <f>IF($A38&gt;$C$5," ",(VLOOKUP($A38,Plot!$DF$7:$FT$67,Plot!$ES$2,FALSE)+VLOOKUP($A38,Plot!$DF$7:$FT$67,Plot!$ET$2,FALSE)))</f>
        <v>0</v>
      </c>
      <c r="BR38" s="303">
        <f>IF($A38&gt;$C$5," ",(VLOOKUP($A38,Plot!$DF$7:$FT$67,Plot!$EV$2,FALSE)+VLOOKUP($A38,Plot!$DF$7:$FT$67,Plot!$EW$2,FALSE)))</f>
        <v>0</v>
      </c>
      <c r="BS38" s="303">
        <f>IF($A38&gt;$C$5," ",VLOOKUP($A38,Plot!$DF$7:$FT$67,Plot!$EY$2,FALSE))</f>
        <v>0</v>
      </c>
      <c r="BT38" s="303">
        <f>IF($A38&gt;$C$5," ",(VLOOKUP($A38,Plot!$DF$7:$FT$67,Plot!$FB$2,FALSE)+VLOOKUP($A38,Plot!$DF$7:$FT$67,Plot!$FC$2,FALSE)))</f>
        <v>0</v>
      </c>
      <c r="BU38" s="303">
        <f>IF($A38&gt;$C$5," ",(VLOOKUP($A38,Plot!$DF$7:$FT$67,Plot!$FE$2,FALSE)+VLOOKUP($A38,Plot!$DF$7:$FT$67,Plot!$FF$2,FALSE)))</f>
        <v>0</v>
      </c>
      <c r="BV38" s="1026">
        <f>IF($A38&gt;$C$5," ",VLOOKUP($A38,Plot!$FV$7:$GJ$67,2,FALSE))</f>
        <v>848.56729800766402</v>
      </c>
      <c r="BW38" s="1027">
        <f>IF($A38&gt;$C$5," ",VLOOKUP($A38,Plot!$FV$7:$GJ$67,3,FALSE))</f>
        <v>0</v>
      </c>
      <c r="BX38" s="1379">
        <f ca="1">IF($A38&gt;$C$5," ",VLOOKUP($A38,Plot!$FV$7:$GJ$67,6,FALSE))</f>
        <v>0</v>
      </c>
      <c r="BY38" s="1026">
        <f>IF($A38&gt;$C$5," ",VLOOKUP($A38,Plot!$GO$7:$GY$67,2,FALSE))</f>
        <v>116.10133406186186</v>
      </c>
      <c r="BZ38" s="1027">
        <f>IF($A38&gt;$C$5," ",VLOOKUP($A38,Plot!$GO$7:$GY$67,3,FALSE))</f>
        <v>0</v>
      </c>
      <c r="CA38" s="1379">
        <f>IF($A38&gt;$C$5," ",VLOOKUP($A38,Plot!$GO$7:$GY$67,6,FALSE))</f>
        <v>0</v>
      </c>
      <c r="CB38" s="1027">
        <f>IF($A38&gt;$C$5," ",-1*VLOOKUP($A38,Plot!$HA$7:$HK$67,2,FALSE))</f>
        <v>-561.66224179706035</v>
      </c>
      <c r="CC38" s="1027">
        <f>IF($A38&gt;$C$5," ",-1*VLOOKUP($A38,Plot!$HA$7:$HK$67,3,FALSE))</f>
        <v>-1.4808843630339525</v>
      </c>
      <c r="CD38" s="1189">
        <f>IF($A38&gt;$C$5," ",-1*VLOOKUP($A38,Plot!$HA$7:$HK$67,6,FALSE))</f>
        <v>-1.4808843630339525</v>
      </c>
      <c r="CE38" s="10"/>
      <c r="CF38" s="38">
        <v>19</v>
      </c>
      <c r="CG38" s="1381">
        <f>IF($CF38&gt;$C$5," ",VLOOKUP($CF38,Unit!$A$7:$BE$68,22,FALSE))</f>
        <v>33.340000000000003</v>
      </c>
      <c r="CH38" s="1027">
        <f>IF($CF38&gt;$C$5," ",VLOOKUP($CF38,Unit!$A$7:$BE$68,23,FALSE))</f>
        <v>33.33</v>
      </c>
      <c r="CI38" s="1027">
        <f>IF($CF38&gt;$C$5," ",VLOOKUP($CF38,Unit!$A$7:$BE$68,24,FALSE))</f>
        <v>32.996699999999997</v>
      </c>
      <c r="CJ38" s="1189">
        <f>IF($CF38&gt;$C$5," ",VLOOKUP($CF38,Unit!$A$7:$BE$68,25,FALSE))</f>
        <v>0.33330000000000026</v>
      </c>
      <c r="CK38" s="1381">
        <f>IF($CF38&gt;$C$5," ",VLOOKUP($CF38,Unit!$A$7:$BE$68,27,FALSE))</f>
        <v>297.3857806359307</v>
      </c>
      <c r="CL38" s="1027">
        <f>IF($CF38&gt;$C$5," ",VLOOKUP($CF38,Unit!$A$7:$BE$68,28,FALSE))</f>
        <v>2978.236454672227</v>
      </c>
      <c r="CM38" s="1027">
        <f>IF($CF38&gt;$C$5," ",VLOOKUP($CF38,Unit!$A$7:$BE$68,29,FALSE))</f>
        <v>0</v>
      </c>
      <c r="CN38" s="1027">
        <f ca="1">IF($CF38&gt;$C$5," ",VLOOKUP($CF38,Unit!$A$7:$BE$68,30,FALSE))</f>
        <v>0</v>
      </c>
      <c r="CO38" s="1027">
        <f>IF($CF38&gt;$C$5," ",VLOOKUP($CF38,Unit!$A$7:$BE$68,31,FALSE))</f>
        <v>2559.3483502464828</v>
      </c>
      <c r="CP38" s="1027">
        <f>IF($CF38&gt;$C$5," ",VLOOKUP($CF38,Unit!$A$7:$BE$68,32,FALSE))</f>
        <v>0</v>
      </c>
      <c r="CQ38" s="1381">
        <f>IF($CF38&gt;$C$5," ",VLOOKUP($CF38,Unit!$A$7:$BE$68,33,FALSE))</f>
        <v>361.19521025749333</v>
      </c>
      <c r="CR38" s="1027">
        <f>IF($CF38&gt;$C$5," ",VLOOKUP($CF38,Unit!$A$7:$BE$68,34,FALSE))</f>
        <v>0</v>
      </c>
      <c r="CS38" s="1027">
        <f>IF($CF38&gt;$C$5," ",VLOOKUP($CF38,Unit!$A$7:$BE$68,35,FALSE))</f>
        <v>0</v>
      </c>
      <c r="CT38" s="1027">
        <f>IF($CF38&gt;$C$5," ",VLOOKUP($CF38,Unit!$A$7:$BE$68,36,FALSE))</f>
        <v>0</v>
      </c>
      <c r="CU38" s="1189">
        <f t="shared" si="20"/>
        <v>0</v>
      </c>
      <c r="CV38" s="1027">
        <f>IF($CF38&gt;$C$5," ",VLOOKUP($CF38,Unit!$A$7:$BA$68,43,FALSE))</f>
        <v>375115.22107662854</v>
      </c>
      <c r="CW38" s="1027">
        <f>IF($CF38&gt;$C$5," ",VLOOKUP($CF38,Unit!$A$7:$BB$68,44,FALSE))</f>
        <v>-54186.059824915887</v>
      </c>
      <c r="CX38" s="1189">
        <f ca="1">IF($CF38&gt;$C$5," ",VLOOKUP($CF38,Unit!$A$7:$BE$68,47,FALSE))</f>
        <v>12585.275891754753</v>
      </c>
      <c r="CY38" s="1381">
        <f>IF($CF38&gt;$C$5," ",VLOOKUP($CF38,Unit!$A$7:$BA$68,53,FALSE))</f>
        <v>271495.34370064596</v>
      </c>
      <c r="CZ38" s="1027">
        <f>IF($CF38&gt;$C$5," ",VLOOKUP($CF38,Unit!$A$7:$BB$68,54,FALSE))</f>
        <v>-46401.514916217078</v>
      </c>
      <c r="DA38" s="1189">
        <f ca="1">IF($CF38&gt;$C$5," ",VLOOKUP($CF38,Unit!$A$7:$BE$68,57,FALSE))</f>
        <v>18522.131841878734</v>
      </c>
    </row>
    <row r="39" spans="1:105" x14ac:dyDescent="0.25">
      <c r="A39" s="38">
        <v>20</v>
      </c>
      <c r="B39" s="1381">
        <f>IF($A39&gt;$C$5," ",VLOOKUP($A39,Plot!$A$7:$T$67,Plot!P$2,FALSE))</f>
        <v>362.54568191884232</v>
      </c>
      <c r="C39" s="1027">
        <f>IF($A39&gt;$C$5," ",VLOOKUP($A39,Plot!$V$7:$CI$67,Plot!$CA$2,FALSE))</f>
        <v>-3</v>
      </c>
      <c r="D39" s="1027">
        <f ca="1">IF($A39&gt;$C$5," ",VLOOKUP($A39,Plot!$CK$7:$DD$67,Plot!$CZ$2,FALSE))</f>
        <v>0</v>
      </c>
      <c r="E39" s="1027">
        <f>IF($A39&gt;$C$5," ",VLOOKUP($A39,Plot!$DF$7:$FT$67,Plot!$FL$2,FALSE))</f>
        <v>-3</v>
      </c>
      <c r="F39" s="1379">
        <f t="shared" ca="1" si="21"/>
        <v>-3</v>
      </c>
      <c r="G39" s="1026">
        <f>IF($A39&gt;$C$5," ",VLOOKUP($A39,Plot!$V$7:$CG$67,Plot!$CG$2,FALSE))</f>
        <v>463.62273433594169</v>
      </c>
      <c r="H39" s="1027">
        <f>IF($A39&gt;$C$5," ",VLOOKUP($A39,Plot!$DF$7:$FT$67,Plot!$FR$2,FALSE))</f>
        <v>523.26771451645004</v>
      </c>
      <c r="I39" s="1379">
        <f t="shared" ca="1" si="17"/>
        <v>523.26771451645004</v>
      </c>
      <c r="J39" s="1026">
        <f>IF($A39&gt;$C$5," ",SUM(B$20:$B39))</f>
        <v>11613.752072939493</v>
      </c>
      <c r="K39" s="1027">
        <f>IF($A39&gt;$C$5," ",SUM($C$20:C39))</f>
        <v>-1628.7443691843955</v>
      </c>
      <c r="L39" s="1027">
        <f ca="1">IF($A39&gt;$C$5," ",SUM($D$20:D39))</f>
        <v>1474.6409117075809</v>
      </c>
      <c r="M39" s="1027">
        <f>IF($A39&gt;$C$5," ",SUM($E$20:E39))</f>
        <v>-1100.0448753513026</v>
      </c>
      <c r="N39" s="1379">
        <f ca="1">IF($A39&gt;$C$5," ",SUM($F$20:F39))</f>
        <v>374.59603635627809</v>
      </c>
      <c r="O39" s="1027">
        <f>IF($A39&gt;$C$5," ",SUM($G$20:G39))</f>
        <v>1423.8304389595924</v>
      </c>
      <c r="P39" s="1027">
        <f>IF($A39&gt;$C$5," ",SUM($H$20:H39))</f>
        <v>1862.30805649429</v>
      </c>
      <c r="Q39" s="1027">
        <f ca="1">IF($A39&gt;$C$5," ",SUM($I$20:I39))</f>
        <v>3336.948968201872</v>
      </c>
      <c r="R39" s="1026">
        <f>IF($A39&gt;$C$5," ",VLOOKUP($A39,Plot!$HM$7:$IA$67,2,FALSE))</f>
        <v>172.07956129458148</v>
      </c>
      <c r="S39" s="1027">
        <f>IF($A39&gt;$C$5," ",VLOOKUP($A39,Plot!$HM$7:$IA$67,3,FALSE))</f>
        <v>-1.4239272721480312</v>
      </c>
      <c r="T39" s="1027">
        <f ca="1">IF($A39&gt;$C$5," ",VLOOKUP($A39,Plot!$HM$7:$IA$67,4,FALSE))</f>
        <v>0</v>
      </c>
      <c r="U39" s="1027">
        <f>IF($A39&gt;$C$5," ",VLOOKUP($A39,Plot!$HM$7:$IA$67,5,FALSE))</f>
        <v>-1.4239272721480312</v>
      </c>
      <c r="V39" s="1379">
        <f t="shared" ca="1" si="16"/>
        <v>-1.4239272721480312</v>
      </c>
      <c r="W39" s="1027">
        <f>IF($A39&gt;$C$5," ",VLOOKUP($A39,Plot!$HM$7:$IA$67,Plot!$HR$2,FALSE))</f>
        <v>170.95891603808911</v>
      </c>
      <c r="X39" s="1027">
        <f>IF($A39&gt;$C$5," ",VLOOKUP($A39,Plot!$HM$7:$IA$67,Plot!$HS$2,FALSE))</f>
        <v>202.11428073509308</v>
      </c>
      <c r="Y39" s="1379">
        <f t="shared" ca="1" si="18"/>
        <v>202.11428073509308</v>
      </c>
      <c r="Z39" s="1026">
        <f>IF($A39&gt;$C$5," ",SUM($R$20:R39))</f>
        <v>8315.3112259810223</v>
      </c>
      <c r="AA39" s="1027">
        <f>IF($A39&gt;$C$5," ",SUM($S$20:S39))</f>
        <v>-1393.6085932252556</v>
      </c>
      <c r="AB39" s="1027">
        <f ca="1">IF($A39&gt;$C$5," ",SUM($T$20:T39))</f>
        <v>1492.284005110379</v>
      </c>
      <c r="AC39" s="1027">
        <f>IF($A39&gt;$C$5," ",SUM($U$20:U39))</f>
        <v>-937.98840517344399</v>
      </c>
      <c r="AD39" s="1379">
        <f t="shared" ca="1" si="22"/>
        <v>554.29559993693499</v>
      </c>
      <c r="AE39" s="1027">
        <f>IF($A39&gt;$C$5," ",SUM($W$20:W39))</f>
        <v>55.272913304166991</v>
      </c>
      <c r="AF39" s="1027">
        <f>IF($A39&gt;$C$5," ",SUM($X$20:X39))</f>
        <v>468.0699712874291</v>
      </c>
      <c r="AG39" s="1027">
        <f t="shared" ca="1" si="23"/>
        <v>1960.3539763978081</v>
      </c>
      <c r="AH39" s="1394">
        <f>IF($A39&gt;$C$5," ",VLOOKUP($A39,Plot!$A$7:$D$67,4,FALSE))</f>
        <v>1</v>
      </c>
      <c r="AI39" s="1390">
        <f>IF($A39&gt;$C$5," ",VLOOKUP($A39,Plot!$A$7:$E$67,5,FALSE))</f>
        <v>3.640381106165357</v>
      </c>
      <c r="AJ39" s="1390">
        <f ca="1">IF($A39&gt;$C$5," ",IF(ROW()-ROW($A$18)&gt;='Options and results'!$AR$56,AVERAGE(OFFSET(AI39,0,0,COUNTA($BS:$BS)-'Options and results'!$AR$56,1)),NA()))</f>
        <v>6.0725920224730281</v>
      </c>
      <c r="AK39" s="1395">
        <f>IF($A39&gt;$C$5," ",VLOOKUP($A39,Plot!$A$7:$F$67,6,FALSE))</f>
        <v>1.8201905530826785</v>
      </c>
      <c r="AL39" s="1390">
        <f>IF($A39&gt;$C$5," ",VLOOKUP($A39,Plot!$CK$7:$CN$67,4,FALSE))</f>
        <v>0.99</v>
      </c>
      <c r="AM39" s="1390">
        <f ca="1">IF($A39&gt;$C$5," ",AL39*VLOOKUP($A39,Plot!$CK$7:$CO$67,5,FALSE))</f>
        <v>0</v>
      </c>
      <c r="AN39" s="1390">
        <f ca="1">IF($A39&gt;$C$5," ",IF(ROW()-ROW($A$18)&gt;='Options and results'!$AR$56,AVERAGE(OFFSET(AM39,0,0,COUNTA($BS:$BS)-'Options and results'!$AR$56,1)),NA()))</f>
        <v>0</v>
      </c>
      <c r="AO39" s="1390">
        <f ca="1">IF($A39&gt;$C$5," ",VLOOKUP($A39,Plot!$CK$7:$CP$67,6,FALSE))</f>
        <v>0</v>
      </c>
      <c r="AP39" s="1409">
        <f>IF($A39&gt;$C$5,0,VLOOKUP($A39,Plot!$V$7:$AH$67,7,FALSE))</f>
        <v>156</v>
      </c>
      <c r="AQ39" s="1390">
        <f>IF($A39&gt;$C$5," ",VLOOKUP($A39,Plot!$V$7:$AH$67,13,FALSE))</f>
        <v>100.41735420603597</v>
      </c>
      <c r="AR39" s="1390">
        <f>IF($A39&gt;$C$5," ",VLOOKUP($A39,Plot!$V$7:$AI$67,14,FALSE))</f>
        <v>0.64370098850023061</v>
      </c>
      <c r="AS39" s="1390">
        <f>IF($A39&gt;$C$5," ",VLOOKUP($A39,Plot!$V$7:$AJ$67,15,FALSE))</f>
        <v>0</v>
      </c>
      <c r="AT39" s="1390">
        <f>IF($A39&gt;$C$5," ",AQ39+SUM($AS$20:AS39)+IF(AP40=0,-AQ39,0))</f>
        <v>100.41735420603597</v>
      </c>
      <c r="AU39" s="1390">
        <f>IF($A39&gt;$C$5," ",VLOOKUP($A39,Plot!$V$7:$AL$67,Plot!$AL$2,FALSE))</f>
        <v>0</v>
      </c>
      <c r="AV39" s="1395">
        <f>IF($A39&gt;$C$5," ",VLOOKUP($A39,Plot!$V$7:$AM$67,Plot!$AM$2,FALSE))</f>
        <v>0</v>
      </c>
      <c r="AW39" s="1407">
        <f>IF($A39&gt;$C$5,0,VLOOKUP($A39,Plot!$DF$7:$DS$67,7,FALSE))</f>
        <v>100</v>
      </c>
      <c r="AX39" s="1390">
        <f>IF($A39&gt;$C$5," ",VLOOKUP($A39,Plot!$DF$7:$DS$67,14,FALSE))</f>
        <v>89.914262732444683</v>
      </c>
      <c r="AY39" s="1390">
        <f>IF($A39&gt;$C$5," ",VLOOKUP($A39,Plot!$DF$7:$DT$67,15,FALSE))</f>
        <v>0.89914262732444683</v>
      </c>
      <c r="AZ39" s="1390">
        <f>IF($A39&gt;$C$5," ",VLOOKUP($A39,Plot!$DF$7:$DU$67,16,FALSE))</f>
        <v>0</v>
      </c>
      <c r="BA39" s="1390">
        <f>IF($A39&gt;$C$5," ",AX39+SUM($AZ$20:AZ39)+IF(AW40=0,-AX39,0))</f>
        <v>89.914262732444683</v>
      </c>
      <c r="BB39" s="1390">
        <f>IF($A39&gt;$C$5," ",VLOOKUP($A39,Plot!$DF$7:$DW$67,Plot!$DW$2,FALSE))</f>
        <v>0</v>
      </c>
      <c r="BC39" s="1390">
        <f>IF($A39&gt;$C$5," ",VLOOKUP($A39,Plot!$DF$7:$DX$67,Plot!$DX$2,FALSE))</f>
        <v>0</v>
      </c>
      <c r="BD39" s="1396">
        <f>IF($A39&gt;$C$5," ",VLOOKUP($A39,Plot!$A$7:$N$67,14,FALSE))</f>
        <v>7.4591130728145263</v>
      </c>
      <c r="BE39" s="303">
        <f>IF($A39&gt;$C$5," ",VLOOKUP($A39,Plot!$V$7:$BW$67,Plot!$BW$2,FALSE))</f>
        <v>0</v>
      </c>
      <c r="BF39" s="303">
        <f>IF($A39&gt;$C$5," ",VLOOKUP($A39,Plot!$CK$7:$CX$67,14,FALSE))</f>
        <v>0</v>
      </c>
      <c r="BG39" s="303">
        <f>IF($A39&gt;$C$5," ",VLOOKUP($A39,Plot!$DF$7:$FH$67,Plot!$FH$2,FALSE))</f>
        <v>0</v>
      </c>
      <c r="BH39" s="1397">
        <f t="shared" si="24"/>
        <v>0</v>
      </c>
      <c r="BI39" s="303">
        <f>IF($A39&gt;$C$5," ",VLOOKUP($A39,Plot!$DF$7:$EJ$67,29,FALSE))</f>
        <v>0</v>
      </c>
      <c r="BJ39" s="303">
        <f>IF($A39&gt;$C$5," ",VLOOKUP($A39,Plot!$DF$7:$FT$67,30,FALSE))</f>
        <v>0</v>
      </c>
      <c r="BK39" s="303">
        <f>IF($A39&gt;$C$5," ",VLOOKUP($A39,Plot!$DF$7:$FT$67,Plot!$EL$2,FALSE))</f>
        <v>0</v>
      </c>
      <c r="BL39" s="303">
        <f>IF($A39&gt;$C$5," ",VLOOKUP($A39,Plot!$DF$7:$FT$67,Plot!$EM$2,FALSE))</f>
        <v>0</v>
      </c>
      <c r="BM39" s="303">
        <f>IF($A39&gt;$C$5," ",VLOOKUP($A39,Plot!$DF$7:$FT$67,Plot!$EN$2,FALSE))</f>
        <v>0</v>
      </c>
      <c r="BN39" s="303">
        <f>IF($A39&gt;$C$5," ",VLOOKUP($A39,Plot!$DF$7:$FT$67,Plot!$EO$2,FALSE))</f>
        <v>0</v>
      </c>
      <c r="BO39" s="303">
        <f t="shared" si="19"/>
        <v>0</v>
      </c>
      <c r="BP39" s="303">
        <f>IF($A39&gt;$C$5," ",VLOOKUP($A39,Plot!$DF$7:$FT$67,Plot!$EQ$2,FALSE))</f>
        <v>0</v>
      </c>
      <c r="BQ39" s="303">
        <f>IF($A39&gt;$C$5," ",(VLOOKUP($A39,Plot!$DF$7:$FT$67,Plot!$ES$2,FALSE)+VLOOKUP($A39,Plot!$DF$7:$FT$67,Plot!$ET$2,FALSE)))</f>
        <v>0</v>
      </c>
      <c r="BR39" s="303">
        <f>IF($A39&gt;$C$5," ",(VLOOKUP($A39,Plot!$DF$7:$FT$67,Plot!$EV$2,FALSE)+VLOOKUP($A39,Plot!$DF$7:$FT$67,Plot!$EW$2,FALSE)))</f>
        <v>0</v>
      </c>
      <c r="BS39" s="303">
        <f>IF($A39&gt;$C$5," ",VLOOKUP($A39,Plot!$DF$7:$FT$67,Plot!$EY$2,FALSE))</f>
        <v>0</v>
      </c>
      <c r="BT39" s="303">
        <f>IF($A39&gt;$C$5," ",(VLOOKUP($A39,Plot!$DF$7:$FT$67,Plot!$FB$2,FALSE)+VLOOKUP($A39,Plot!$DF$7:$FT$67,Plot!$FC$2,FALSE)))</f>
        <v>0</v>
      </c>
      <c r="BU39" s="303">
        <f>IF($A39&gt;$C$5," ",(VLOOKUP($A39,Plot!$DF$7:$FT$67,Plot!$FE$2,FALSE)+VLOOKUP($A39,Plot!$DF$7:$FT$67,Plot!$FF$2,FALSE)))</f>
        <v>0</v>
      </c>
      <c r="BV39" s="1026">
        <f>IF($A39&gt;$C$5," ",VLOOKUP($A39,Plot!$FV$7:$GJ$67,2,FALSE))</f>
        <v>623.95641847274533</v>
      </c>
      <c r="BW39" s="1027">
        <f>IF($A39&gt;$C$5," ",VLOOKUP($A39,Plot!$FV$7:$GJ$67,3,FALSE))</f>
        <v>0</v>
      </c>
      <c r="BX39" s="1379">
        <f ca="1">IF($A39&gt;$C$5," ",VLOOKUP($A39,Plot!$FV$7:$GJ$67,6,FALSE))</f>
        <v>0</v>
      </c>
      <c r="BY39" s="1026">
        <f>IF($A39&gt;$C$5," ",VLOOKUP($A39,Plot!$GO$7:$GY$67,2,FALSE))</f>
        <v>111.63589813640564</v>
      </c>
      <c r="BZ39" s="1027">
        <f>IF($A39&gt;$C$5," ",VLOOKUP($A39,Plot!$GO$7:$GY$67,3,FALSE))</f>
        <v>0</v>
      </c>
      <c r="CA39" s="1379">
        <f>IF($A39&gt;$C$5," ",VLOOKUP($A39,Plot!$GO$7:$GY$67,6,FALSE))</f>
        <v>0</v>
      </c>
      <c r="CB39" s="1027">
        <f>IF($A39&gt;$C$5," ",-1*VLOOKUP($A39,Plot!$HA$7:$HK$67,2,FALSE))</f>
        <v>-563.51275531456952</v>
      </c>
      <c r="CC39" s="1027">
        <f>IF($A39&gt;$C$5," ",-1*VLOOKUP($A39,Plot!$HA$7:$HK$67,3,FALSE))</f>
        <v>-1.4239272721480312</v>
      </c>
      <c r="CD39" s="1189">
        <f>IF($A39&gt;$C$5," ",-1*VLOOKUP($A39,Plot!$HA$7:$HK$67,6,FALSE))</f>
        <v>-1.4239272721480312</v>
      </c>
      <c r="CE39" s="10"/>
      <c r="CF39" s="38">
        <v>20</v>
      </c>
      <c r="CG39" s="1381">
        <f>IF($CF39&gt;$C$5," ",VLOOKUP($CF39,Unit!$A$7:$BE$68,22,FALSE))</f>
        <v>33.340000000000003</v>
      </c>
      <c r="CH39" s="1027">
        <f>IF($CF39&gt;$C$5," ",VLOOKUP($CF39,Unit!$A$7:$BE$68,23,FALSE))</f>
        <v>33.33</v>
      </c>
      <c r="CI39" s="1027">
        <f>IF($CF39&gt;$C$5," ",VLOOKUP($CF39,Unit!$A$7:$BE$68,24,FALSE))</f>
        <v>32.996699999999997</v>
      </c>
      <c r="CJ39" s="1189">
        <f>IF($CF39&gt;$C$5," ",VLOOKUP($CF39,Unit!$A$7:$BE$68,25,FALSE))</f>
        <v>0.33330000000000026</v>
      </c>
      <c r="CK39" s="1381">
        <f>IF($CF39&gt;$C$5," ",VLOOKUP($CF39,Unit!$A$7:$BE$68,27,FALSE))</f>
        <v>121.37030607955302</v>
      </c>
      <c r="CL39" s="1027">
        <f>IF($CF39&gt;$C$5," ",VLOOKUP($CF39,Unit!$A$7:$BE$68,28,FALSE))</f>
        <v>3346.9104156871786</v>
      </c>
      <c r="CM39" s="1027">
        <f>IF($CF39&gt;$C$5," ",VLOOKUP($CF39,Unit!$A$7:$BE$68,29,FALSE))</f>
        <v>0</v>
      </c>
      <c r="CN39" s="1027">
        <f ca="1">IF($CF39&gt;$C$5," ",VLOOKUP($CF39,Unit!$A$7:$BE$68,30,FALSE))</f>
        <v>0</v>
      </c>
      <c r="CO39" s="1027">
        <f>IF($CF39&gt;$C$5," ",VLOOKUP($CF39,Unit!$A$7:$BE$68,31,FALSE))</f>
        <v>2996.842376872381</v>
      </c>
      <c r="CP39" s="1027">
        <f>IF($CF39&gt;$C$5," ",VLOOKUP($CF39,Unit!$A$7:$BE$68,32,FALSE))</f>
        <v>0</v>
      </c>
      <c r="CQ39" s="1381">
        <f>IF($CF39&gt;$C$5," ",VLOOKUP($CF39,Unit!$A$7:$BE$68,33,FALSE))</f>
        <v>248.68682984763632</v>
      </c>
      <c r="CR39" s="1027">
        <f>IF($CF39&gt;$C$5," ",VLOOKUP($CF39,Unit!$A$7:$BE$68,34,FALSE))</f>
        <v>0</v>
      </c>
      <c r="CS39" s="1027">
        <f>IF($CF39&gt;$C$5," ",VLOOKUP($CF39,Unit!$A$7:$BE$68,35,FALSE))</f>
        <v>0</v>
      </c>
      <c r="CT39" s="1027">
        <f>IF($CF39&gt;$C$5," ",VLOOKUP($CF39,Unit!$A$7:$BE$68,36,FALSE))</f>
        <v>0</v>
      </c>
      <c r="CU39" s="1189">
        <f t="shared" si="20"/>
        <v>0</v>
      </c>
      <c r="CV39" s="1027">
        <f>IF($CF39&gt;$C$5," ",VLOOKUP($CF39,Unit!$A$7:$BA$68,43,FALSE))</f>
        <v>387202.49411180272</v>
      </c>
      <c r="CW39" s="1027">
        <f>IF($CF39&gt;$C$5," ",VLOOKUP($CF39,Unit!$A$7:$BB$68,44,FALSE))</f>
        <v>-54286.049824915885</v>
      </c>
      <c r="CX39" s="1189">
        <f ca="1">IF($CF39&gt;$C$5," ",VLOOKUP($CF39,Unit!$A$7:$BE$68,47,FALSE))</f>
        <v>12485.285891754753</v>
      </c>
      <c r="CY39" s="1381">
        <f>IF($CF39&gt;$C$5," ",VLOOKUP($CF39,Unit!$A$7:$BA$68,53,FALSE))</f>
        <v>277232.47627420729</v>
      </c>
      <c r="CZ39" s="1027">
        <f>IF($CF39&gt;$C$5," ",VLOOKUP($CF39,Unit!$A$7:$BB$68,54,FALSE))</f>
        <v>-46448.974412197771</v>
      </c>
      <c r="DA39" s="1189">
        <f ca="1">IF($CF39&gt;$C$5," ",VLOOKUP($CF39,Unit!$A$7:$BE$68,57,FALSE))</f>
        <v>18474.672345898041</v>
      </c>
    </row>
    <row r="40" spans="1:105" x14ac:dyDescent="0.25">
      <c r="A40" s="38">
        <v>21</v>
      </c>
      <c r="B40" s="1381">
        <f>IF($A40&gt;$C$5," ",VLOOKUP($A40,Plot!$A$7:$T$67,Plot!P$2,FALSE))</f>
        <v>447.4182087482717</v>
      </c>
      <c r="C40" s="1027">
        <f>IF($A40&gt;$C$5," ",VLOOKUP($A40,Plot!$V$7:$CI$67,Plot!$CA$2,FALSE))</f>
        <v>-3</v>
      </c>
      <c r="D40" s="1027">
        <f ca="1">IF($A40&gt;$C$5," ",VLOOKUP($A40,Plot!$CK$7:$DD$67,Plot!$CZ$2,FALSE))</f>
        <v>0</v>
      </c>
      <c r="E40" s="1027">
        <f>IF($A40&gt;$C$5," ",VLOOKUP($A40,Plot!$DF$7:$FT$67,Plot!$FL$2,FALSE))</f>
        <v>-3</v>
      </c>
      <c r="F40" s="1379">
        <f t="shared" ca="1" si="21"/>
        <v>-3</v>
      </c>
      <c r="G40" s="1026">
        <f>IF($A40&gt;$C$5," ",VLOOKUP($A40,Plot!$V$7:$CG$67,Plot!$CG$2,FALSE))</f>
        <v>535.17077047133967</v>
      </c>
      <c r="H40" s="1027">
        <f>IF($A40&gt;$C$5," ",VLOOKUP($A40,Plot!$DF$7:$FT$67,Plot!$FR$2,FALSE))</f>
        <v>637.36774961496758</v>
      </c>
      <c r="I40" s="1379">
        <f t="shared" ca="1" si="17"/>
        <v>637.36774961496758</v>
      </c>
      <c r="J40" s="1026">
        <f>IF($A40&gt;$C$5," ",SUM(B$20:$B40))</f>
        <v>12061.170281687764</v>
      </c>
      <c r="K40" s="1027">
        <f>IF($A40&gt;$C$5," ",SUM($C$20:C40))</f>
        <v>-1631.7443691843955</v>
      </c>
      <c r="L40" s="1027">
        <f ca="1">IF($A40&gt;$C$5," ",SUM($D$20:D40))</f>
        <v>1474.6409117075809</v>
      </c>
      <c r="M40" s="1027">
        <f>IF($A40&gt;$C$5," ",SUM($E$20:E40))</f>
        <v>-1103.0448753513026</v>
      </c>
      <c r="N40" s="1379">
        <f ca="1">IF($A40&gt;$C$5," ",SUM($F$20:F40))</f>
        <v>371.59603635627809</v>
      </c>
      <c r="O40" s="1027">
        <f>IF($A40&gt;$C$5," ",SUM($G$20:G40))</f>
        <v>1959.001209430932</v>
      </c>
      <c r="P40" s="1027">
        <f>IF($A40&gt;$C$5," ",SUM($H$20:H40))</f>
        <v>2499.6758061092578</v>
      </c>
      <c r="Q40" s="1027">
        <f ca="1">IF($A40&gt;$C$5," ",SUM($I$20:I40))</f>
        <v>3974.3167178168396</v>
      </c>
      <c r="R40" s="1026">
        <f>IF($A40&gt;$C$5," ",VLOOKUP($A40,Plot!$HM$7:$IA$67,2,FALSE))</f>
        <v>204.19582996547592</v>
      </c>
      <c r="S40" s="1027">
        <f>IF($A40&gt;$C$5," ",VLOOKUP($A40,Plot!$HM$7:$IA$67,3,FALSE))</f>
        <v>-1.3691608386038763</v>
      </c>
      <c r="T40" s="1027">
        <f ca="1">IF($A40&gt;$C$5," ",VLOOKUP($A40,Plot!$HM$7:$IA$67,4,FALSE))</f>
        <v>0</v>
      </c>
      <c r="U40" s="1027">
        <f>IF($A40&gt;$C$5," ",VLOOKUP($A40,Plot!$HM$7:$IA$67,5,FALSE))</f>
        <v>-1.3691608386038763</v>
      </c>
      <c r="V40" s="1379">
        <f t="shared" ca="1" si="16"/>
        <v>-1.3691608386038763</v>
      </c>
      <c r="W40" s="1027">
        <f>IF($A40&gt;$C$5," ",VLOOKUP($A40,Plot!$HM$7:$IA$67,Plot!$HR$2,FALSE))</f>
        <v>188.51874184201415</v>
      </c>
      <c r="X40" s="1027">
        <f>IF($A40&gt;$C$5," ",VLOOKUP($A40,Plot!$HM$7:$IA$67,Plot!$HS$2,FALSE))</f>
        <v>236.80715252854657</v>
      </c>
      <c r="Y40" s="1379">
        <f t="shared" ca="1" si="18"/>
        <v>236.80715252854657</v>
      </c>
      <c r="Z40" s="1026">
        <f>IF($A40&gt;$C$5," ",SUM($R$20:R40))</f>
        <v>8519.5070559464984</v>
      </c>
      <c r="AA40" s="1027">
        <f>IF($A40&gt;$C$5," ",SUM($S$20:S40))</f>
        <v>-1394.9777540638595</v>
      </c>
      <c r="AB40" s="1027">
        <f ca="1">IF($A40&gt;$C$5," ",SUM($T$20:T40))</f>
        <v>1492.284005110379</v>
      </c>
      <c r="AC40" s="1027">
        <f>IF($A40&gt;$C$5," ",SUM($U$20:U40))</f>
        <v>-939.35756601204787</v>
      </c>
      <c r="AD40" s="1379">
        <f t="shared" ca="1" si="22"/>
        <v>552.92643909833112</v>
      </c>
      <c r="AE40" s="1027">
        <f>IF($A40&gt;$C$5," ",SUM($W$20:W40))</f>
        <v>243.79165514618114</v>
      </c>
      <c r="AF40" s="1027">
        <f>IF($A40&gt;$C$5," ",SUM($X$20:X40))</f>
        <v>704.87712381597566</v>
      </c>
      <c r="AG40" s="1027">
        <f t="shared" ca="1" si="23"/>
        <v>2197.1611289263546</v>
      </c>
      <c r="AH40" s="1394">
        <f>IF($A40&gt;$C$5," ",VLOOKUP($A40,Plot!$A$7:$D$67,4,FALSE))</f>
        <v>1</v>
      </c>
      <c r="AI40" s="1390">
        <f>IF($A40&gt;$C$5," ",VLOOKUP($A40,Plot!$A$7:$E$67,5,FALSE))</f>
        <v>7.8448561677528508</v>
      </c>
      <c r="AJ40" s="1390">
        <f ca="1">IF($A40&gt;$C$5," ",IF(ROW()-ROW($A$18)&gt;='Options and results'!$AR$56,AVERAGE(OFFSET(AI40,0,0,COUNTA($BS:$BS)-'Options and results'!$AR$56,1)),NA()))</f>
        <v>6.3158131141037943</v>
      </c>
      <c r="AK40" s="1395">
        <f>IF($A40&gt;$C$5," ",VLOOKUP($A40,Plot!$A$7:$F$67,6,FALSE))</f>
        <v>3.1379424671011407</v>
      </c>
      <c r="AL40" s="1390">
        <f>IF($A40&gt;$C$5," ",VLOOKUP($A40,Plot!$CK$7:$CN$67,4,FALSE))</f>
        <v>0.99</v>
      </c>
      <c r="AM40" s="1390">
        <f ca="1">IF($A40&gt;$C$5," ",AL40*VLOOKUP($A40,Plot!$CK$7:$CO$67,5,FALSE))</f>
        <v>0</v>
      </c>
      <c r="AN40" s="1390">
        <f ca="1">IF($A40&gt;$C$5," ",IF(ROW()-ROW($A$18)&gt;='Options and results'!$AR$56,AVERAGE(OFFSET(AM40,0,0,COUNTA($BS:$BS)-'Options and results'!$AR$56,1)),NA()))</f>
        <v>0</v>
      </c>
      <c r="AO40" s="1390">
        <f ca="1">IF($A40&gt;$C$5," ",VLOOKUP($A40,Plot!$CK$7:$CP$67,6,FALSE))</f>
        <v>0</v>
      </c>
      <c r="AP40" s="1409">
        <f>IF($A40&gt;$C$5,0,VLOOKUP($A40,Plot!$V$7:$AH$67,7,FALSE))</f>
        <v>156</v>
      </c>
      <c r="AQ40" s="1390">
        <f>IF($A40&gt;$C$5," ",VLOOKUP($A40,Plot!$V$7:$AH$67,13,FALSE))</f>
        <v>113.18431468887758</v>
      </c>
      <c r="AR40" s="1390">
        <f>IF($A40&gt;$C$5," ",VLOOKUP($A40,Plot!$V$7:$AI$67,14,FALSE))</f>
        <v>0.72554047877485628</v>
      </c>
      <c r="AS40" s="1390">
        <f>IF($A40&gt;$C$5," ",VLOOKUP($A40,Plot!$V$7:$AJ$67,15,FALSE))</f>
        <v>0</v>
      </c>
      <c r="AT40" s="1390">
        <f>IF($A40&gt;$C$5," ",AQ40+SUM($AS$20:AS40)+IF(AP41=0,-AQ40,0))</f>
        <v>113.18431468887758</v>
      </c>
      <c r="AU40" s="1390">
        <f>IF($A40&gt;$C$5," ",VLOOKUP($A40,Plot!$V$7:$AL$67,Plot!$AL$2,FALSE))</f>
        <v>0</v>
      </c>
      <c r="AV40" s="1395">
        <f>IF($A40&gt;$C$5," ",VLOOKUP($A40,Plot!$V$7:$AM$67,Plot!$AM$2,FALSE))</f>
        <v>0</v>
      </c>
      <c r="AW40" s="1407">
        <f>IF($A40&gt;$C$5,0,VLOOKUP($A40,Plot!$DF$7:$DS$67,7,FALSE))</f>
        <v>100</v>
      </c>
      <c r="AX40" s="1390">
        <f>IF($A40&gt;$C$5," ",VLOOKUP($A40,Plot!$DF$7:$DS$67,14,FALSE))</f>
        <v>102.49287743146732</v>
      </c>
      <c r="AY40" s="1390">
        <f>IF($A40&gt;$C$5," ",VLOOKUP($A40,Plot!$DF$7:$DT$67,15,FALSE))</f>
        <v>1.0249287743146731</v>
      </c>
      <c r="AZ40" s="1390">
        <f>IF($A40&gt;$C$5," ",VLOOKUP($A40,Plot!$DF$7:$DU$67,16,FALSE))</f>
        <v>0</v>
      </c>
      <c r="BA40" s="1390">
        <f>IF($A40&gt;$C$5," ",AX40+SUM($AZ$20:AZ40)+IF(AW41=0,-AX40,0))</f>
        <v>102.49287743146732</v>
      </c>
      <c r="BB40" s="1390">
        <f>IF($A40&gt;$C$5," ",VLOOKUP($A40,Plot!$DF$7:$DW$67,Plot!$DW$2,FALSE))</f>
        <v>0</v>
      </c>
      <c r="BC40" s="1390">
        <f>IF($A40&gt;$C$5," ",VLOOKUP($A40,Plot!$DF$7:$DX$67,Plot!$DX$2,FALSE))</f>
        <v>0</v>
      </c>
      <c r="BD40" s="1396">
        <f>IF($A40&gt;$C$5," ",VLOOKUP($A40,Plot!$A$7:$N$67,14,FALSE))</f>
        <v>11.632834596849463</v>
      </c>
      <c r="BE40" s="303">
        <f>IF($A40&gt;$C$5," ",VLOOKUP($A40,Plot!$V$7:$BW$67,Plot!$BW$2,FALSE))</f>
        <v>0</v>
      </c>
      <c r="BF40" s="303">
        <f>IF($A40&gt;$C$5," ",VLOOKUP($A40,Plot!$CK$7:$CX$67,14,FALSE))</f>
        <v>0</v>
      </c>
      <c r="BG40" s="303">
        <f>IF($A40&gt;$C$5," ",VLOOKUP($A40,Plot!$DF$7:$FH$67,Plot!$FH$2,FALSE))</f>
        <v>0</v>
      </c>
      <c r="BH40" s="1397">
        <f t="shared" si="24"/>
        <v>0</v>
      </c>
      <c r="BI40" s="303">
        <f>IF($A40&gt;$C$5," ",VLOOKUP($A40,Plot!$DF$7:$EJ$67,29,FALSE))</f>
        <v>0</v>
      </c>
      <c r="BJ40" s="303">
        <f>IF($A40&gt;$C$5," ",VLOOKUP($A40,Plot!$DF$7:$FT$67,30,FALSE))</f>
        <v>0</v>
      </c>
      <c r="BK40" s="303">
        <f>IF($A40&gt;$C$5," ",VLOOKUP($A40,Plot!$DF$7:$FT$67,Plot!$EL$2,FALSE))</f>
        <v>0</v>
      </c>
      <c r="BL40" s="303">
        <f>IF($A40&gt;$C$5," ",VLOOKUP($A40,Plot!$DF$7:$FT$67,Plot!$EM$2,FALSE))</f>
        <v>0</v>
      </c>
      <c r="BM40" s="303">
        <f>IF($A40&gt;$C$5," ",VLOOKUP($A40,Plot!$DF$7:$FT$67,Plot!$EN$2,FALSE))</f>
        <v>0</v>
      </c>
      <c r="BN40" s="303">
        <f>IF($A40&gt;$C$5," ",VLOOKUP($A40,Plot!$DF$7:$FT$67,Plot!$EO$2,FALSE))</f>
        <v>0</v>
      </c>
      <c r="BO40" s="303">
        <f t="shared" si="19"/>
        <v>0</v>
      </c>
      <c r="BP40" s="303">
        <f>IF($A40&gt;$C$5," ",VLOOKUP($A40,Plot!$DF$7:$FT$67,Plot!$EQ$2,FALSE))</f>
        <v>0</v>
      </c>
      <c r="BQ40" s="303">
        <f>IF($A40&gt;$C$5," ",(VLOOKUP($A40,Plot!$DF$7:$FT$67,Plot!$ES$2,FALSE)+VLOOKUP($A40,Plot!$DF$7:$FT$67,Plot!$ET$2,FALSE)))</f>
        <v>0</v>
      </c>
      <c r="BR40" s="303">
        <f>IF($A40&gt;$C$5," ",(VLOOKUP($A40,Plot!$DF$7:$FT$67,Plot!$EV$2,FALSE)+VLOOKUP($A40,Plot!$DF$7:$FT$67,Plot!$EW$2,FALSE)))</f>
        <v>0</v>
      </c>
      <c r="BS40" s="303">
        <f>IF($A40&gt;$C$5," ",VLOOKUP($A40,Plot!$DF$7:$FT$67,Plot!$EY$2,FALSE))</f>
        <v>0</v>
      </c>
      <c r="BT40" s="303">
        <f>IF($A40&gt;$C$5," ",(VLOOKUP($A40,Plot!$DF$7:$FT$67,Plot!$FB$2,FALSE)+VLOOKUP($A40,Plot!$DF$7:$FT$67,Plot!$FC$2,FALSE)))</f>
        <v>0</v>
      </c>
      <c r="BU40" s="303">
        <f>IF($A40&gt;$C$5," ",(VLOOKUP($A40,Plot!$DF$7:$FT$67,Plot!$FE$2,FALSE)+VLOOKUP($A40,Plot!$DF$7:$FT$67,Plot!$FF$2,FALSE)))</f>
        <v>0</v>
      </c>
      <c r="BV40" s="1026">
        <f>IF($A40&gt;$C$5," ",VLOOKUP($A40,Plot!$FV$7:$GJ$67,2,FALSE))</f>
        <v>675.28246552966539</v>
      </c>
      <c r="BW40" s="1027">
        <f>IF($A40&gt;$C$5," ",VLOOKUP($A40,Plot!$FV$7:$GJ$67,3,FALSE))</f>
        <v>0</v>
      </c>
      <c r="BX40" s="1379">
        <f ca="1">IF($A40&gt;$C$5," ",VLOOKUP($A40,Plot!$FV$7:$GJ$67,6,FALSE))</f>
        <v>0</v>
      </c>
      <c r="BY40" s="1026">
        <f>IF($A40&gt;$C$5," ",VLOOKUP($A40,Plot!$GO$7:$GY$67,2,FALSE))</f>
        <v>107.34220974654389</v>
      </c>
      <c r="BZ40" s="1027">
        <f>IF($A40&gt;$C$5," ",VLOOKUP($A40,Plot!$GO$7:$GY$67,3,FALSE))</f>
        <v>0</v>
      </c>
      <c r="CA40" s="1379">
        <f>IF($A40&gt;$C$5," ",VLOOKUP($A40,Plot!$GO$7:$GY$67,6,FALSE))</f>
        <v>0</v>
      </c>
      <c r="CB40" s="1027">
        <f>IF($A40&gt;$C$5," ",-1*VLOOKUP($A40,Plot!$HA$7:$HK$67,2,FALSE))</f>
        <v>-578.42884531073332</v>
      </c>
      <c r="CC40" s="1027">
        <f>IF($A40&gt;$C$5," ",-1*VLOOKUP($A40,Plot!$HA$7:$HK$67,3,FALSE))</f>
        <v>-1.3691608386038763</v>
      </c>
      <c r="CD40" s="1189">
        <f>IF($A40&gt;$C$5," ",-1*VLOOKUP($A40,Plot!$HA$7:$HK$67,6,FALSE))</f>
        <v>-1.3691608386038763</v>
      </c>
      <c r="CE40" s="10"/>
      <c r="CF40" s="38">
        <v>21</v>
      </c>
      <c r="CG40" s="1381">
        <f>IF($CF40&gt;$C$5," ",VLOOKUP($CF40,Unit!$A$7:$BE$68,22,FALSE))</f>
        <v>33.340000000000003</v>
      </c>
      <c r="CH40" s="1027">
        <f>IF($CF40&gt;$C$5," ",VLOOKUP($CF40,Unit!$A$7:$BE$68,23,FALSE))</f>
        <v>33.33</v>
      </c>
      <c r="CI40" s="1027">
        <f>IF($CF40&gt;$C$5," ",VLOOKUP($CF40,Unit!$A$7:$BE$68,24,FALSE))</f>
        <v>32.996699999999997</v>
      </c>
      <c r="CJ40" s="1189">
        <f>IF($CF40&gt;$C$5," ",VLOOKUP($CF40,Unit!$A$7:$BE$68,25,FALSE))</f>
        <v>0.33330000000000026</v>
      </c>
      <c r="CK40" s="1381">
        <f>IF($CF40&gt;$C$5," ",VLOOKUP($CF40,Unit!$A$7:$BE$68,27,FALSE))</f>
        <v>261.54750463288008</v>
      </c>
      <c r="CL40" s="1027">
        <f>IF($CF40&gt;$C$5," ",VLOOKUP($CF40,Unit!$A$7:$BE$68,28,FALSE))</f>
        <v>3772.4332085802894</v>
      </c>
      <c r="CM40" s="1027">
        <f>IF($CF40&gt;$C$5," ",VLOOKUP($CF40,Unit!$A$7:$BE$68,29,FALSE))</f>
        <v>0</v>
      </c>
      <c r="CN40" s="1027">
        <f ca="1">IF($CF40&gt;$C$5," ",VLOOKUP($CF40,Unit!$A$7:$BE$68,30,FALSE))</f>
        <v>0</v>
      </c>
      <c r="CO40" s="1027">
        <f>IF($CF40&gt;$C$5," ",VLOOKUP($CF40,Unit!$A$7:$BE$68,31,FALSE))</f>
        <v>3416.0876047908055</v>
      </c>
      <c r="CP40" s="1027">
        <f>IF($CF40&gt;$C$5," ",VLOOKUP($CF40,Unit!$A$7:$BE$68,32,FALSE))</f>
        <v>0</v>
      </c>
      <c r="CQ40" s="1381">
        <f>IF($CF40&gt;$C$5," ",VLOOKUP($CF40,Unit!$A$7:$BE$68,33,FALSE))</f>
        <v>387.83870545896116</v>
      </c>
      <c r="CR40" s="1027">
        <f>IF($CF40&gt;$C$5," ",VLOOKUP($CF40,Unit!$A$7:$BE$68,34,FALSE))</f>
        <v>0</v>
      </c>
      <c r="CS40" s="1027">
        <f>IF($CF40&gt;$C$5," ",VLOOKUP($CF40,Unit!$A$7:$BE$68,35,FALSE))</f>
        <v>0</v>
      </c>
      <c r="CT40" s="1027">
        <f>IF($CF40&gt;$C$5," ",VLOOKUP($CF40,Unit!$A$7:$BE$68,36,FALSE))</f>
        <v>0</v>
      </c>
      <c r="CU40" s="1189">
        <f t="shared" si="20"/>
        <v>0</v>
      </c>
      <c r="CV40" s="1027">
        <f>IF($CF40&gt;$C$5," ",VLOOKUP($CF40,Unit!$A$7:$BA$68,43,FALSE))</f>
        <v>402119.4171914701</v>
      </c>
      <c r="CW40" s="1027">
        <f>IF($CF40&gt;$C$5," ",VLOOKUP($CF40,Unit!$A$7:$BB$68,44,FALSE))</f>
        <v>-54386.039824915882</v>
      </c>
      <c r="CX40" s="1189">
        <f ca="1">IF($CF40&gt;$C$5," ",VLOOKUP($CF40,Unit!$A$7:$BE$68,47,FALSE))</f>
        <v>12385.295891754753</v>
      </c>
      <c r="CY40" s="1381">
        <f>IF($CF40&gt;$C$5," ",VLOOKUP($CF40,Unit!$A$7:$BA$68,53,FALSE))</f>
        <v>284040.36524525628</v>
      </c>
      <c r="CZ40" s="1027">
        <f>IF($CF40&gt;$C$5," ",VLOOKUP($CF40,Unit!$A$7:$BB$68,54,FALSE))</f>
        <v>-46494.608542948437</v>
      </c>
      <c r="DA40" s="1189">
        <f ca="1">IF($CF40&gt;$C$5," ",VLOOKUP($CF40,Unit!$A$7:$BE$68,57,FALSE))</f>
        <v>18429.038215147375</v>
      </c>
    </row>
    <row r="41" spans="1:105" x14ac:dyDescent="0.25">
      <c r="A41" s="38">
        <v>22</v>
      </c>
      <c r="B41" s="1381">
        <f>IF($A41&gt;$C$5," ",VLOOKUP($A41,Plot!$A$7:$T$67,Plot!P$2,FALSE))</f>
        <v>623.98669321384784</v>
      </c>
      <c r="C41" s="1027">
        <f>IF($A41&gt;$C$5," ",VLOOKUP($A41,Plot!$V$7:$CI$67,Plot!$CA$2,FALSE))</f>
        <v>-3</v>
      </c>
      <c r="D41" s="1027">
        <f ca="1">IF($A41&gt;$C$5," ",VLOOKUP($A41,Plot!$CK$7:$DD$67,Plot!$CZ$2,FALSE))</f>
        <v>0</v>
      </c>
      <c r="E41" s="1027">
        <f>IF($A41&gt;$C$5," ",VLOOKUP($A41,Plot!$DF$7:$FT$67,Plot!$FL$2,FALSE))</f>
        <v>-3</v>
      </c>
      <c r="F41" s="1379">
        <f t="shared" ca="1" si="21"/>
        <v>-3</v>
      </c>
      <c r="G41" s="1026">
        <f>IF($A41&gt;$C$5," ",VLOOKUP($A41,Plot!$V$7:$CG$67,Plot!$CG$2,FALSE))</f>
        <v>526.86805881354326</v>
      </c>
      <c r="H41" s="1027">
        <f>IF($A41&gt;$C$5," ",VLOOKUP($A41,Plot!$DF$7:$FT$67,Plot!$FR$2,FALSE))</f>
        <v>549.36379322479183</v>
      </c>
      <c r="I41" s="1379">
        <f t="shared" ca="1" si="17"/>
        <v>549.36379322479183</v>
      </c>
      <c r="J41" s="1026">
        <f>IF($A41&gt;$C$5," ",SUM(B$20:$B41))</f>
        <v>12685.156974901613</v>
      </c>
      <c r="K41" s="1027">
        <f>IF($A41&gt;$C$5," ",SUM($C$20:C41))</f>
        <v>-1634.7443691843955</v>
      </c>
      <c r="L41" s="1027">
        <f ca="1">IF($A41&gt;$C$5," ",SUM($D$20:D41))</f>
        <v>1474.6409117075809</v>
      </c>
      <c r="M41" s="1027">
        <f>IF($A41&gt;$C$5," ",SUM($E$20:E41))</f>
        <v>-1106.0448753513026</v>
      </c>
      <c r="N41" s="1379">
        <f ca="1">IF($A41&gt;$C$5," ",SUM($F$20:F41))</f>
        <v>368.59603635627809</v>
      </c>
      <c r="O41" s="1027">
        <f>IF($A41&gt;$C$5," ",SUM($G$20:G41))</f>
        <v>2485.8692682444753</v>
      </c>
      <c r="P41" s="1027">
        <f>IF($A41&gt;$C$5," ",SUM($H$20:H41))</f>
        <v>3049.0395993340499</v>
      </c>
      <c r="Q41" s="1027">
        <f ca="1">IF($A41&gt;$C$5," ",SUM($I$20:I41))</f>
        <v>4523.6805110416317</v>
      </c>
      <c r="R41" s="1026">
        <f>IF($A41&gt;$C$5," ",VLOOKUP($A41,Plot!$HM$7:$IA$67,2,FALSE))</f>
        <v>273.82632825587541</v>
      </c>
      <c r="S41" s="1027">
        <f>IF($A41&gt;$C$5," ",VLOOKUP($A41,Plot!$HM$7:$IA$67,3,FALSE))</f>
        <v>-1.3165008063498806</v>
      </c>
      <c r="T41" s="1027">
        <f ca="1">IF($A41&gt;$C$5," ",VLOOKUP($A41,Plot!$HM$7:$IA$67,4,FALSE))</f>
        <v>0</v>
      </c>
      <c r="U41" s="1027">
        <f>IF($A41&gt;$C$5," ",VLOOKUP($A41,Plot!$HM$7:$IA$67,5,FALSE))</f>
        <v>-1.3165008063498806</v>
      </c>
      <c r="V41" s="1379">
        <f t="shared" ca="1" si="16"/>
        <v>-1.3165008063498806</v>
      </c>
      <c r="W41" s="1027">
        <f>IF($A41&gt;$C$5," ",VLOOKUP($A41,Plot!$HM$7:$IA$67,Plot!$HR$2,FALSE))</f>
        <v>168.1778154274171</v>
      </c>
      <c r="X41" s="1027">
        <f>IF($A41&gt;$C$5," ",VLOOKUP($A41,Plot!$HM$7:$IA$67,Plot!$HS$2,FALSE))</f>
        <v>177.8394964906725</v>
      </c>
      <c r="Y41" s="1379">
        <f t="shared" ca="1" si="18"/>
        <v>177.8394964906725</v>
      </c>
      <c r="Z41" s="1026">
        <f>IF($A41&gt;$C$5," ",SUM($R$20:R41))</f>
        <v>8793.3333842023731</v>
      </c>
      <c r="AA41" s="1027">
        <f>IF($A41&gt;$C$5," ",SUM($S$20:S41))</f>
        <v>-1396.2942548702094</v>
      </c>
      <c r="AB41" s="1027">
        <f ca="1">IF($A41&gt;$C$5," ",SUM($T$20:T41))</f>
        <v>1492.284005110379</v>
      </c>
      <c r="AC41" s="1027">
        <f>IF($A41&gt;$C$5," ",SUM($U$20:U41))</f>
        <v>-940.6740668183977</v>
      </c>
      <c r="AD41" s="1379">
        <f t="shared" ca="1" si="22"/>
        <v>551.60993829198128</v>
      </c>
      <c r="AE41" s="1027">
        <f>IF($A41&gt;$C$5," ",SUM($W$20:W41))</f>
        <v>411.96947057359824</v>
      </c>
      <c r="AF41" s="1027">
        <f>IF($A41&gt;$C$5," ",SUM($X$20:X41))</f>
        <v>882.71662030664811</v>
      </c>
      <c r="AG41" s="1027">
        <f t="shared" ca="1" si="23"/>
        <v>2375.0006254170271</v>
      </c>
      <c r="AH41" s="1394">
        <f>IF($A41&gt;$C$5," ",VLOOKUP($A41,Plot!$A$7:$D$67,4,FALSE))</f>
        <v>1</v>
      </c>
      <c r="AI41" s="1390">
        <f>IF($A41&gt;$C$5," ",VLOOKUP($A41,Plot!$A$7:$E$67,5,FALSE))</f>
        <v>8.781007189956199</v>
      </c>
      <c r="AJ41" s="1390">
        <f ca="1">IF($A41&gt;$C$5," ",IF(ROW()-ROW($A$18)&gt;='Options and results'!$AR$56,AVERAGE(OFFSET(AI41,0,0,COUNTA($BS:$BS)-'Options and results'!$AR$56,1)),NA()))</f>
        <v>6.1459194414761207</v>
      </c>
      <c r="AK41" s="1395">
        <f>IF($A41&gt;$C$5," ",VLOOKUP($A41,Plot!$A$7:$F$67,6,FALSE))</f>
        <v>3.5124028759824797</v>
      </c>
      <c r="AL41" s="1390">
        <f>IF($A41&gt;$C$5," ",VLOOKUP($A41,Plot!$CK$7:$CN$67,4,FALSE))</f>
        <v>0.99</v>
      </c>
      <c r="AM41" s="1390">
        <f ca="1">IF($A41&gt;$C$5," ",AL41*VLOOKUP($A41,Plot!$CK$7:$CO$67,5,FALSE))</f>
        <v>0</v>
      </c>
      <c r="AN41" s="1390">
        <f ca="1">IF($A41&gt;$C$5," ",IF(ROW()-ROW($A$18)&gt;='Options and results'!$AR$56,AVERAGE(OFFSET(AM41,0,0,COUNTA($BS:$BS)-'Options and results'!$AR$56,1)),NA()))</f>
        <v>0</v>
      </c>
      <c r="AO41" s="1390">
        <f ca="1">IF($A41&gt;$C$5," ",VLOOKUP($A41,Plot!$CK$7:$CP$67,6,FALSE))</f>
        <v>0</v>
      </c>
      <c r="AP41" s="1409">
        <f>IF($A41&gt;$C$5,0,VLOOKUP($A41,Plot!$V$7:$AH$67,7,FALSE))</f>
        <v>156</v>
      </c>
      <c r="AQ41" s="1390">
        <f>IF($A41&gt;$C$5," ",VLOOKUP($A41,Plot!$V$7:$AH$67,13,FALSE))</f>
        <v>125.07015394139599</v>
      </c>
      <c r="AR41" s="1390">
        <f>IF($A41&gt;$C$5," ",VLOOKUP($A41,Plot!$V$7:$AI$67,14,FALSE))</f>
        <v>0.80173175603458968</v>
      </c>
      <c r="AS41" s="1390">
        <f>IF($A41&gt;$C$5," ",VLOOKUP($A41,Plot!$V$7:$AJ$67,15,FALSE))</f>
        <v>0</v>
      </c>
      <c r="AT41" s="1390">
        <f>IF($A41&gt;$C$5," ",AQ41+SUM($AS$20:AS41)+IF(AP42=0,-AQ41,0))</f>
        <v>125.07015394139599</v>
      </c>
      <c r="AU41" s="1390">
        <f>IF($A41&gt;$C$5," ",VLOOKUP($A41,Plot!$V$7:$AL$67,Plot!$AL$2,FALSE))</f>
        <v>0</v>
      </c>
      <c r="AV41" s="1395">
        <f>IF($A41&gt;$C$5," ",VLOOKUP($A41,Plot!$V$7:$AM$67,Plot!$AM$2,FALSE))</f>
        <v>0</v>
      </c>
      <c r="AW41" s="1407">
        <f>IF($A41&gt;$C$5,0,VLOOKUP($A41,Plot!$DF$7:$DS$67,7,FALSE))</f>
        <v>100</v>
      </c>
      <c r="AX41" s="1390">
        <f>IF($A41&gt;$C$5," ",VLOOKUP($A41,Plot!$DF$7:$DS$67,14,FALSE))</f>
        <v>114.91193876244324</v>
      </c>
      <c r="AY41" s="1390">
        <f>IF($A41&gt;$C$5," ",VLOOKUP($A41,Plot!$DF$7:$DT$67,15,FALSE))</f>
        <v>1.1491193876244323</v>
      </c>
      <c r="AZ41" s="1390">
        <f>IF($A41&gt;$C$5," ",VLOOKUP($A41,Plot!$DF$7:$DU$67,16,FALSE))</f>
        <v>0</v>
      </c>
      <c r="BA41" s="1390">
        <f>IF($A41&gt;$C$5," ",AX41+SUM($AZ$20:AZ41)+IF(AW42=0,-AX41,0))</f>
        <v>114.91193876244324</v>
      </c>
      <c r="BB41" s="1390">
        <f>IF($A41&gt;$C$5," ",VLOOKUP($A41,Plot!$DF$7:$DW$67,Plot!$DW$2,FALSE))</f>
        <v>0</v>
      </c>
      <c r="BC41" s="1390">
        <f>IF($A41&gt;$C$5," ",VLOOKUP($A41,Plot!$DF$7:$DX$67,Plot!$DX$2,FALSE))</f>
        <v>0</v>
      </c>
      <c r="BD41" s="1396">
        <f>IF($A41&gt;$C$5," ",VLOOKUP($A41,Plot!$A$7:$N$67,14,FALSE))</f>
        <v>11.632834596849463</v>
      </c>
      <c r="BE41" s="303">
        <f>IF($A41&gt;$C$5," ",VLOOKUP($A41,Plot!$V$7:$BW$67,Plot!$BW$2,FALSE))</f>
        <v>0</v>
      </c>
      <c r="BF41" s="303">
        <f>IF($A41&gt;$C$5," ",VLOOKUP($A41,Plot!$CK$7:$CX$67,14,FALSE))</f>
        <v>0</v>
      </c>
      <c r="BG41" s="303">
        <f>IF($A41&gt;$C$5," ",VLOOKUP($A41,Plot!$DF$7:$FH$67,Plot!$FH$2,FALSE))</f>
        <v>0</v>
      </c>
      <c r="BH41" s="1397">
        <f t="shared" si="24"/>
        <v>0</v>
      </c>
      <c r="BI41" s="303">
        <f>IF($A41&gt;$C$5," ",VLOOKUP($A41,Plot!$DF$7:$EJ$67,29,FALSE))</f>
        <v>0</v>
      </c>
      <c r="BJ41" s="303">
        <f>IF($A41&gt;$C$5," ",VLOOKUP($A41,Plot!$DF$7:$FT$67,30,FALSE))</f>
        <v>0</v>
      </c>
      <c r="BK41" s="303">
        <f>IF($A41&gt;$C$5," ",VLOOKUP($A41,Plot!$DF$7:$FT$67,Plot!$EL$2,FALSE))</f>
        <v>0</v>
      </c>
      <c r="BL41" s="303">
        <f>IF($A41&gt;$C$5," ",VLOOKUP($A41,Plot!$DF$7:$FT$67,Plot!$EM$2,FALSE))</f>
        <v>0</v>
      </c>
      <c r="BM41" s="303">
        <f>IF($A41&gt;$C$5," ",VLOOKUP($A41,Plot!$DF$7:$FT$67,Plot!$EN$2,FALSE))</f>
        <v>0</v>
      </c>
      <c r="BN41" s="303">
        <f>IF($A41&gt;$C$5," ",VLOOKUP($A41,Plot!$DF$7:$FT$67,Plot!$EO$2,FALSE))</f>
        <v>0</v>
      </c>
      <c r="BO41" s="303">
        <f t="shared" si="19"/>
        <v>0</v>
      </c>
      <c r="BP41" s="303">
        <f>IF($A41&gt;$C$5," ",VLOOKUP($A41,Plot!$DF$7:$FT$67,Plot!$EQ$2,FALSE))</f>
        <v>0</v>
      </c>
      <c r="BQ41" s="303">
        <f>IF($A41&gt;$C$5," ",(VLOOKUP($A41,Plot!$DF$7:$FT$67,Plot!$ES$2,FALSE)+VLOOKUP($A41,Plot!$DF$7:$FT$67,Plot!$ET$2,FALSE)))</f>
        <v>0</v>
      </c>
      <c r="BR41" s="303">
        <f>IF($A41&gt;$C$5," ",(VLOOKUP($A41,Plot!$DF$7:$FT$67,Plot!$EV$2,FALSE)+VLOOKUP($A41,Plot!$DF$7:$FT$67,Plot!$EW$2,FALSE)))</f>
        <v>0</v>
      </c>
      <c r="BS41" s="303">
        <f>IF($A41&gt;$C$5," ",VLOOKUP($A41,Plot!$DF$7:$FT$67,Plot!$EY$2,FALSE))</f>
        <v>0</v>
      </c>
      <c r="BT41" s="303">
        <f>IF($A41&gt;$C$5," ",(VLOOKUP($A41,Plot!$DF$7:$FT$67,Plot!$FB$2,FALSE)+VLOOKUP($A41,Plot!$DF$7:$FT$67,Plot!$FC$2,FALSE)))</f>
        <v>0</v>
      </c>
      <c r="BU41" s="303">
        <f>IF($A41&gt;$C$5," ",(VLOOKUP($A41,Plot!$DF$7:$FT$67,Plot!$FE$2,FALSE)+VLOOKUP($A41,Plot!$DF$7:$FT$67,Plot!$FF$2,FALSE)))</f>
        <v>0</v>
      </c>
      <c r="BV41" s="1026">
        <f>IF($A41&gt;$C$5," ",VLOOKUP($A41,Plot!$FV$7:$GJ$67,2,FALSE))</f>
        <v>726.79424706759585</v>
      </c>
      <c r="BW41" s="1027">
        <f>IF($A41&gt;$C$5," ",VLOOKUP($A41,Plot!$FV$7:$GJ$67,3,FALSE))</f>
        <v>0</v>
      </c>
      <c r="BX41" s="1379">
        <f ca="1">IF($A41&gt;$C$5," ",VLOOKUP($A41,Plot!$FV$7:$GJ$67,6,FALSE))</f>
        <v>0</v>
      </c>
      <c r="BY41" s="1026">
        <f>IF($A41&gt;$C$5," ",VLOOKUP($A41,Plot!$GO$7:$GY$67,2,FALSE))</f>
        <v>103.21366321783063</v>
      </c>
      <c r="BZ41" s="1027">
        <f>IF($A41&gt;$C$5," ",VLOOKUP($A41,Plot!$GO$7:$GY$67,3,FALSE))</f>
        <v>0</v>
      </c>
      <c r="CA41" s="1379">
        <f>IF($A41&gt;$C$5," ",VLOOKUP($A41,Plot!$GO$7:$GY$67,6,FALSE))</f>
        <v>0</v>
      </c>
      <c r="CB41" s="1027">
        <f>IF($A41&gt;$C$5," ",-1*VLOOKUP($A41,Plot!$HA$7:$HK$67,2,FALSE))</f>
        <v>-556.18158202955112</v>
      </c>
      <c r="CC41" s="1027">
        <f>IF($A41&gt;$C$5," ",-1*VLOOKUP($A41,Plot!$HA$7:$HK$67,3,FALSE))</f>
        <v>-1.3165008063498806</v>
      </c>
      <c r="CD41" s="1189">
        <f>IF($A41&gt;$C$5," ",-1*VLOOKUP($A41,Plot!$HA$7:$HK$67,6,FALSE))</f>
        <v>-1.3165008063498806</v>
      </c>
      <c r="CE41" s="10"/>
      <c r="CF41" s="38">
        <v>22</v>
      </c>
      <c r="CG41" s="1381">
        <f>IF($CF41&gt;$C$5," ",VLOOKUP($CF41,Unit!$A$7:$BE$68,22,FALSE))</f>
        <v>33.340000000000003</v>
      </c>
      <c r="CH41" s="1027">
        <f>IF($CF41&gt;$C$5," ",VLOOKUP($CF41,Unit!$A$7:$BE$68,23,FALSE))</f>
        <v>33.33</v>
      </c>
      <c r="CI41" s="1027">
        <f>IF($CF41&gt;$C$5," ",VLOOKUP($CF41,Unit!$A$7:$BE$68,24,FALSE))</f>
        <v>32.996699999999997</v>
      </c>
      <c r="CJ41" s="1189">
        <f>IF($CF41&gt;$C$5," ",VLOOKUP($CF41,Unit!$A$7:$BE$68,25,FALSE))</f>
        <v>0.33330000000000026</v>
      </c>
      <c r="CK41" s="1381">
        <f>IF($CF41&gt;$C$5," ",VLOOKUP($CF41,Unit!$A$7:$BE$68,27,FALSE))</f>
        <v>292.75877971313969</v>
      </c>
      <c r="CL41" s="1027">
        <f>IF($CF41&gt;$C$5," ",VLOOKUP($CF41,Unit!$A$7:$BE$68,28,FALSE))</f>
        <v>4168.5882308667278</v>
      </c>
      <c r="CM41" s="1027">
        <f>IF($CF41&gt;$C$5," ",VLOOKUP($CF41,Unit!$A$7:$BE$68,29,FALSE))</f>
        <v>0</v>
      </c>
      <c r="CN41" s="1027">
        <f ca="1">IF($CF41&gt;$C$5," ",VLOOKUP($CF41,Unit!$A$7:$BE$68,30,FALSE))</f>
        <v>0</v>
      </c>
      <c r="CO41" s="1027">
        <f>IF($CF41&gt;$C$5," ",VLOOKUP($CF41,Unit!$A$7:$BE$68,31,FALSE))</f>
        <v>3830.0149189522331</v>
      </c>
      <c r="CP41" s="1027">
        <f>IF($CF41&gt;$C$5," ",VLOOKUP($CF41,Unit!$A$7:$BE$68,32,FALSE))</f>
        <v>0</v>
      </c>
      <c r="CQ41" s="1381">
        <f>IF($CF41&gt;$C$5," ",VLOOKUP($CF41,Unit!$A$7:$BE$68,33,FALSE))</f>
        <v>387.83870545896116</v>
      </c>
      <c r="CR41" s="1027">
        <f>IF($CF41&gt;$C$5," ",VLOOKUP($CF41,Unit!$A$7:$BE$68,34,FALSE))</f>
        <v>0</v>
      </c>
      <c r="CS41" s="1027">
        <f>IF($CF41&gt;$C$5," ",VLOOKUP($CF41,Unit!$A$7:$BE$68,35,FALSE))</f>
        <v>0</v>
      </c>
      <c r="CT41" s="1027">
        <f>IF($CF41&gt;$C$5," ",VLOOKUP($CF41,Unit!$A$7:$BE$68,36,FALSE))</f>
        <v>0</v>
      </c>
      <c r="CU41" s="1189">
        <f t="shared" si="20"/>
        <v>0</v>
      </c>
      <c r="CV41" s="1027">
        <f>IF($CF41&gt;$C$5," ",VLOOKUP($CF41,Unit!$A$7:$BA$68,43,FALSE))</f>
        <v>422923.13354321977</v>
      </c>
      <c r="CW41" s="1027">
        <f>IF($CF41&gt;$C$5," ",VLOOKUP($CF41,Unit!$A$7:$BB$68,44,FALSE))</f>
        <v>-54486.02982491588</v>
      </c>
      <c r="CX41" s="1189">
        <f ca="1">IF($CF41&gt;$C$5," ",VLOOKUP($CF41,Unit!$A$7:$BE$68,47,FALSE))</f>
        <v>12285.305891754753</v>
      </c>
      <c r="CY41" s="1381">
        <f>IF($CF41&gt;$C$5," ",VLOOKUP($CF41,Unit!$A$7:$BA$68,53,FALSE))</f>
        <v>293169.73502930719</v>
      </c>
      <c r="CZ41" s="1027">
        <f>IF($CF41&gt;$C$5," ",VLOOKUP($CF41,Unit!$A$7:$BB$68,54,FALSE))</f>
        <v>-46538.487514824075</v>
      </c>
      <c r="DA41" s="1189">
        <f ca="1">IF($CF41&gt;$C$5," ",VLOOKUP($CF41,Unit!$A$7:$BE$68,57,FALSE))</f>
        <v>18385.159243271733</v>
      </c>
    </row>
    <row r="42" spans="1:105" x14ac:dyDescent="0.25">
      <c r="A42" s="38">
        <v>23</v>
      </c>
      <c r="B42" s="1381">
        <f>IF($A42&gt;$C$5," ",VLOOKUP($A42,Plot!$A$7:$T$67,Plot!P$2,FALSE))</f>
        <v>-326.5632406887986</v>
      </c>
      <c r="C42" s="1027">
        <f>IF($A42&gt;$C$5," ",VLOOKUP($A42,Plot!$V$7:$CI$67,Plot!$CA$2,FALSE))</f>
        <v>-3</v>
      </c>
      <c r="D42" s="1027">
        <f ca="1">IF($A42&gt;$C$5," ",VLOOKUP($A42,Plot!$CK$7:$DD$67,Plot!$CZ$2,FALSE))</f>
        <v>0</v>
      </c>
      <c r="E42" s="1027">
        <f>IF($A42&gt;$C$5," ",VLOOKUP($A42,Plot!$DF$7:$FT$67,Plot!$FL$2,FALSE))</f>
        <v>-3</v>
      </c>
      <c r="F42" s="1379">
        <f t="shared" ca="1" si="21"/>
        <v>-3</v>
      </c>
      <c r="G42" s="1026">
        <f>IF($A42&gt;$C$5," ",VLOOKUP($A42,Plot!$V$7:$CG$67,Plot!$CG$2,FALSE))</f>
        <v>367.21764211990035</v>
      </c>
      <c r="H42" s="1027">
        <f>IF($A42&gt;$C$5," ",VLOOKUP($A42,Plot!$DF$7:$FT$67,Plot!$FR$2,FALSE))</f>
        <v>576.98639952944973</v>
      </c>
      <c r="I42" s="1379">
        <f t="shared" ca="1" si="17"/>
        <v>576.98639952944973</v>
      </c>
      <c r="J42" s="1026">
        <f>IF($A42&gt;$C$5," ",SUM(B$20:$B42))</f>
        <v>12358.593734212815</v>
      </c>
      <c r="K42" s="1027">
        <f>IF($A42&gt;$C$5," ",SUM($C$20:C42))</f>
        <v>-1637.7443691843955</v>
      </c>
      <c r="L42" s="1027">
        <f ca="1">IF($A42&gt;$C$5," ",SUM($D$20:D42))</f>
        <v>1474.6409117075809</v>
      </c>
      <c r="M42" s="1027">
        <f>IF($A42&gt;$C$5," ",SUM($E$20:E42))</f>
        <v>-1109.0448753513026</v>
      </c>
      <c r="N42" s="1379">
        <f ca="1">IF($A42&gt;$C$5," ",SUM($F$20:F42))</f>
        <v>365.59603635627809</v>
      </c>
      <c r="O42" s="1027">
        <f>IF($A42&gt;$C$5," ",SUM($G$20:G42))</f>
        <v>2853.0869103643754</v>
      </c>
      <c r="P42" s="1027">
        <f>IF($A42&gt;$C$5," ",SUM($H$20:H42))</f>
        <v>3626.0259988634998</v>
      </c>
      <c r="Q42" s="1027">
        <f ca="1">IF($A42&gt;$C$5," ",SUM($I$20:I42))</f>
        <v>5100.6669105710816</v>
      </c>
      <c r="R42" s="1026">
        <f>IF($A42&gt;$C$5," ",VLOOKUP($A42,Plot!$HM$7:$IA$67,2,FALSE))</f>
        <v>-137.79511849071582</v>
      </c>
      <c r="S42" s="1027">
        <f>IF($A42&gt;$C$5," ",VLOOKUP($A42,Plot!$HM$7:$IA$67,3,FALSE))</f>
        <v>-1.2658661599518084</v>
      </c>
      <c r="T42" s="1027">
        <f ca="1">IF($A42&gt;$C$5," ",VLOOKUP($A42,Plot!$HM$7:$IA$67,4,FALSE))</f>
        <v>0</v>
      </c>
      <c r="U42" s="1027">
        <f>IF($A42&gt;$C$5," ",VLOOKUP($A42,Plot!$HM$7:$IA$67,5,FALSE))</f>
        <v>-1.2658661599518084</v>
      </c>
      <c r="V42" s="1379">
        <f t="shared" ca="1" si="16"/>
        <v>-1.2658661599518084</v>
      </c>
      <c r="W42" s="1027">
        <f>IF($A42&gt;$C$5," ",VLOOKUP($A42,Plot!$HM$7:$IA$67,Plot!$HR$2,FALSE))</f>
        <v>85.400857340863311</v>
      </c>
      <c r="X42" s="1027">
        <f>IF($A42&gt;$C$5," ",VLOOKUP($A42,Plot!$HM$7:$IA$67,Plot!$HS$2,FALSE))</f>
        <v>173.33210826231706</v>
      </c>
      <c r="Y42" s="1379">
        <f t="shared" ca="1" si="18"/>
        <v>173.33210826231706</v>
      </c>
      <c r="Z42" s="1026">
        <f>IF($A42&gt;$C$5," ",SUM($R$20:R42))</f>
        <v>8655.538265711657</v>
      </c>
      <c r="AA42" s="1027">
        <f>IF($A42&gt;$C$5," ",SUM($S$20:S42))</f>
        <v>-1397.5601210301613</v>
      </c>
      <c r="AB42" s="1027">
        <f ca="1">IF($A42&gt;$C$5," ",SUM($T$20:T42))</f>
        <v>1492.284005110379</v>
      </c>
      <c r="AC42" s="1027">
        <f>IF($A42&gt;$C$5," ",SUM($U$20:U42))</f>
        <v>-941.93993297834947</v>
      </c>
      <c r="AD42" s="1379">
        <f t="shared" ca="1" si="22"/>
        <v>550.34407213202951</v>
      </c>
      <c r="AE42" s="1027">
        <f>IF($A42&gt;$C$5," ",SUM($W$20:W42))</f>
        <v>497.37032791446154</v>
      </c>
      <c r="AF42" s="1027">
        <f>IF($A42&gt;$C$5," ",SUM($X$20:X42))</f>
        <v>1056.0487285689651</v>
      </c>
      <c r="AG42" s="1027">
        <f t="shared" ca="1" si="23"/>
        <v>2548.3327336793441</v>
      </c>
      <c r="AH42" s="1394">
        <f>IF($A42&gt;$C$5," ",VLOOKUP($A42,Plot!$A$7:$D$67,4,FALSE))</f>
        <v>1</v>
      </c>
      <c r="AI42" s="1390">
        <f>IF($A42&gt;$C$5," ",VLOOKUP($A42,Plot!$A$7:$E$67,5,FALSE))</f>
        <v>2.9890761852256884</v>
      </c>
      <c r="AJ42" s="1390">
        <f ca="1">IF($A42&gt;$C$5," ",IF(ROW()-ROW($A$18)&gt;='Options and results'!$AR$56,AVERAGE(OFFSET(AI42,0,0,COUNTA($BS:$BS)-'Options and results'!$AR$56,1)),NA()))</f>
        <v>5.8165334729161113</v>
      </c>
      <c r="AK42" s="1395">
        <f>IF($A42&gt;$C$5," ",VLOOKUP($A42,Plot!$A$7:$F$67,6,FALSE))</f>
        <v>1.793445711135413</v>
      </c>
      <c r="AL42" s="1390">
        <f>IF($A42&gt;$C$5," ",VLOOKUP($A42,Plot!$CK$7:$CN$67,4,FALSE))</f>
        <v>0.99</v>
      </c>
      <c r="AM42" s="1390">
        <f ca="1">IF($A42&gt;$C$5," ",AL42*VLOOKUP($A42,Plot!$CK$7:$CO$67,5,FALSE))</f>
        <v>0</v>
      </c>
      <c r="AN42" s="1390">
        <f ca="1">IF($A42&gt;$C$5," ",IF(ROW()-ROW($A$18)&gt;='Options and results'!$AR$56,AVERAGE(OFFSET(AM42,0,0,COUNTA($BS:$BS)-'Options and results'!$AR$56,1)),NA()))</f>
        <v>0</v>
      </c>
      <c r="AO42" s="1390">
        <f ca="1">IF($A42&gt;$C$5," ",VLOOKUP($A42,Plot!$CK$7:$CP$67,6,FALSE))</f>
        <v>0</v>
      </c>
      <c r="AP42" s="1409">
        <f>IF($A42&gt;$C$5,0,VLOOKUP($A42,Plot!$V$7:$AH$67,7,FALSE))</f>
        <v>156</v>
      </c>
      <c r="AQ42" s="1390">
        <f>IF($A42&gt;$C$5," ",VLOOKUP($A42,Plot!$V$7:$AH$67,13,FALSE))</f>
        <v>136.30711560923348</v>
      </c>
      <c r="AR42" s="1390">
        <f>IF($A42&gt;$C$5," ",VLOOKUP($A42,Plot!$V$7:$AI$67,14,FALSE))</f>
        <v>0.87376356159765045</v>
      </c>
      <c r="AS42" s="1390">
        <f>IF($A42&gt;$C$5," ",VLOOKUP($A42,Plot!$V$7:$AJ$67,15,FALSE))</f>
        <v>0</v>
      </c>
      <c r="AT42" s="1390">
        <f>IF($A42&gt;$C$5," ",AQ42+SUM($AS$20:AS42)+IF(AP43=0,-AQ42,0))</f>
        <v>136.30711560923348</v>
      </c>
      <c r="AU42" s="1390">
        <f>IF($A42&gt;$C$5," ",VLOOKUP($A42,Plot!$V$7:$AL$67,Plot!$AL$2,FALSE))</f>
        <v>0</v>
      </c>
      <c r="AV42" s="1395">
        <f>IF($A42&gt;$C$5," ",VLOOKUP($A42,Plot!$V$7:$AM$67,Plot!$AM$2,FALSE))</f>
        <v>0</v>
      </c>
      <c r="AW42" s="1407">
        <f>IF($A42&gt;$C$5,0,VLOOKUP($A42,Plot!$DF$7:$DS$67,7,FALSE))</f>
        <v>100</v>
      </c>
      <c r="AX42" s="1390">
        <f>IF($A42&gt;$C$5," ",VLOOKUP($A42,Plot!$DF$7:$DS$67,14,FALSE))</f>
        <v>127.57581755454304</v>
      </c>
      <c r="AY42" s="1390">
        <f>IF($A42&gt;$C$5," ",VLOOKUP($A42,Plot!$DF$7:$DT$67,15,FALSE))</f>
        <v>1.2757581755454304</v>
      </c>
      <c r="AZ42" s="1390">
        <f>IF($A42&gt;$C$5," ",VLOOKUP($A42,Plot!$DF$7:$DU$67,16,FALSE))</f>
        <v>0</v>
      </c>
      <c r="BA42" s="1390">
        <f>IF($A42&gt;$C$5," ",AX42+SUM($AZ$20:AZ42)+IF(AW43=0,-AX42,0))</f>
        <v>127.57581755454304</v>
      </c>
      <c r="BB42" s="1390">
        <f>IF($A42&gt;$C$5," ",VLOOKUP($A42,Plot!$DF$7:$DW$67,Plot!$DW$2,FALSE))</f>
        <v>0</v>
      </c>
      <c r="BC42" s="1390">
        <f>IF($A42&gt;$C$5," ",VLOOKUP($A42,Plot!$DF$7:$DX$67,Plot!$DX$2,FALSE))</f>
        <v>0</v>
      </c>
      <c r="BD42" s="1396">
        <f>IF($A42&gt;$C$5," ",VLOOKUP($A42,Plot!$A$7:$N$67,14,FALSE))</f>
        <v>10.833689569810836</v>
      </c>
      <c r="BE42" s="303">
        <f>IF($A42&gt;$C$5," ",VLOOKUP($A42,Plot!$V$7:$BW$67,Plot!$BW$2,FALSE))</f>
        <v>0</v>
      </c>
      <c r="BF42" s="303">
        <f>IF($A42&gt;$C$5," ",VLOOKUP($A42,Plot!$CK$7:$CX$67,14,FALSE))</f>
        <v>0</v>
      </c>
      <c r="BG42" s="303">
        <f>IF($A42&gt;$C$5," ",VLOOKUP($A42,Plot!$DF$7:$FH$67,Plot!$FH$2,FALSE))</f>
        <v>0</v>
      </c>
      <c r="BH42" s="1397">
        <f t="shared" si="24"/>
        <v>0</v>
      </c>
      <c r="BI42" s="303">
        <f>IF($A42&gt;$C$5," ",VLOOKUP($A42,Plot!$DF$7:$EJ$67,29,FALSE))</f>
        <v>0</v>
      </c>
      <c r="BJ42" s="303">
        <f>IF($A42&gt;$C$5," ",VLOOKUP($A42,Plot!$DF$7:$FT$67,30,FALSE))</f>
        <v>0</v>
      </c>
      <c r="BK42" s="303">
        <f>IF($A42&gt;$C$5," ",VLOOKUP($A42,Plot!$DF$7:$FT$67,Plot!$EL$2,FALSE))</f>
        <v>0</v>
      </c>
      <c r="BL42" s="303">
        <f>IF($A42&gt;$C$5," ",VLOOKUP($A42,Plot!$DF$7:$FT$67,Plot!$EM$2,FALSE))</f>
        <v>0</v>
      </c>
      <c r="BM42" s="303">
        <f>IF($A42&gt;$C$5," ",VLOOKUP($A42,Plot!$DF$7:$FT$67,Plot!$EN$2,FALSE))</f>
        <v>0</v>
      </c>
      <c r="BN42" s="303">
        <f>IF($A42&gt;$C$5," ",VLOOKUP($A42,Plot!$DF$7:$FT$67,Plot!$EO$2,FALSE))</f>
        <v>0</v>
      </c>
      <c r="BO42" s="303">
        <f t="shared" si="19"/>
        <v>0</v>
      </c>
      <c r="BP42" s="303">
        <f>IF($A42&gt;$C$5," ",VLOOKUP($A42,Plot!$DF$7:$FT$67,Plot!$EQ$2,FALSE))</f>
        <v>0</v>
      </c>
      <c r="BQ42" s="303">
        <f>IF($A42&gt;$C$5," ",(VLOOKUP($A42,Plot!$DF$7:$FT$67,Plot!$ES$2,FALSE)+VLOOKUP($A42,Plot!$DF$7:$FT$67,Plot!$ET$2,FALSE)))</f>
        <v>0</v>
      </c>
      <c r="BR42" s="303">
        <f>IF($A42&gt;$C$5," ",(VLOOKUP($A42,Plot!$DF$7:$FT$67,Plot!$EV$2,FALSE)+VLOOKUP($A42,Plot!$DF$7:$FT$67,Plot!$EW$2,FALSE)))</f>
        <v>0</v>
      </c>
      <c r="BS42" s="303">
        <f>IF($A42&gt;$C$5," ",VLOOKUP($A42,Plot!$DF$7:$FT$67,Plot!$EY$2,FALSE))</f>
        <v>0</v>
      </c>
      <c r="BT42" s="303">
        <f>IF($A42&gt;$C$5," ",(VLOOKUP($A42,Plot!$DF$7:$FT$67,Plot!$FB$2,FALSE)+VLOOKUP($A42,Plot!$DF$7:$FT$67,Plot!$FC$2,FALSE)))</f>
        <v>0</v>
      </c>
      <c r="BU42" s="303">
        <f>IF($A42&gt;$C$5," ",(VLOOKUP($A42,Plot!$DF$7:$FT$67,Plot!$FE$2,FALSE)+VLOOKUP($A42,Plot!$DF$7:$FT$67,Plot!$FF$2,FALSE)))</f>
        <v>0</v>
      </c>
      <c r="BV42" s="1026">
        <f>IF($A42&gt;$C$5," ",VLOOKUP($A42,Plot!$FV$7:$GJ$67,2,FALSE))</f>
        <v>243.07221280034079</v>
      </c>
      <c r="BW42" s="1027">
        <f>IF($A42&gt;$C$5," ",VLOOKUP($A42,Plot!$FV$7:$GJ$67,3,FALSE))</f>
        <v>0</v>
      </c>
      <c r="BX42" s="1379">
        <f ca="1">IF($A42&gt;$C$5," ",VLOOKUP($A42,Plot!$FV$7:$GJ$67,6,FALSE))</f>
        <v>0</v>
      </c>
      <c r="BY42" s="1026">
        <f>IF($A42&gt;$C$5," ",VLOOKUP($A42,Plot!$GO$7:$GY$67,2,FALSE))</f>
        <v>99.243906940221777</v>
      </c>
      <c r="BZ42" s="1027">
        <f>IF($A42&gt;$C$5," ",VLOOKUP($A42,Plot!$GO$7:$GY$67,3,FALSE))</f>
        <v>0</v>
      </c>
      <c r="CA42" s="1379">
        <f>IF($A42&gt;$C$5," ",VLOOKUP($A42,Plot!$GO$7:$GY$67,6,FALSE))</f>
        <v>0</v>
      </c>
      <c r="CB42" s="1027">
        <f>IF($A42&gt;$C$5," ",-1*VLOOKUP($A42,Plot!$HA$7:$HK$67,2,FALSE))</f>
        <v>-480.11123823127838</v>
      </c>
      <c r="CC42" s="1027">
        <f>IF($A42&gt;$C$5," ",-1*VLOOKUP($A42,Plot!$HA$7:$HK$67,3,FALSE))</f>
        <v>-1.2658661599518084</v>
      </c>
      <c r="CD42" s="1189">
        <f>IF($A42&gt;$C$5," ",-1*VLOOKUP($A42,Plot!$HA$7:$HK$67,6,FALSE))</f>
        <v>-1.2658661599518084</v>
      </c>
      <c r="CE42" s="10"/>
      <c r="CF42" s="38">
        <v>23</v>
      </c>
      <c r="CG42" s="1381">
        <f>IF($CF42&gt;$C$5," ",VLOOKUP($CF42,Unit!$A$7:$BE$68,22,FALSE))</f>
        <v>33.340000000000003</v>
      </c>
      <c r="CH42" s="1027">
        <f>IF($CF42&gt;$C$5," ",VLOOKUP($CF42,Unit!$A$7:$BE$68,23,FALSE))</f>
        <v>33.33</v>
      </c>
      <c r="CI42" s="1027">
        <f>IF($CF42&gt;$C$5," ",VLOOKUP($CF42,Unit!$A$7:$BE$68,24,FALSE))</f>
        <v>32.996699999999997</v>
      </c>
      <c r="CJ42" s="1189">
        <f>IF($CF42&gt;$C$5," ",VLOOKUP($CF42,Unit!$A$7:$BE$68,25,FALSE))</f>
        <v>0.33330000000000026</v>
      </c>
      <c r="CK42" s="1381">
        <f>IF($CF42&gt;$C$5," ",VLOOKUP($CF42,Unit!$A$7:$BE$68,27,FALSE))</f>
        <v>99.655800015424461</v>
      </c>
      <c r="CL42" s="1027">
        <f>IF($CF42&gt;$C$5," ",VLOOKUP($CF42,Unit!$A$7:$BE$68,28,FALSE))</f>
        <v>4543.1161632557514</v>
      </c>
      <c r="CM42" s="1027">
        <f>IF($CF42&gt;$C$5," ",VLOOKUP($CF42,Unit!$A$7:$BE$68,29,FALSE))</f>
        <v>0</v>
      </c>
      <c r="CN42" s="1027">
        <f ca="1">IF($CF42&gt;$C$5," ",VLOOKUP($CF42,Unit!$A$7:$BE$68,30,FALSE))</f>
        <v>0</v>
      </c>
      <c r="CO42" s="1027">
        <f>IF($CF42&gt;$C$5," ",VLOOKUP($CF42,Unit!$A$7:$BE$68,31,FALSE))</f>
        <v>4252.101999092919</v>
      </c>
      <c r="CP42" s="1027">
        <f>IF($CF42&gt;$C$5," ",VLOOKUP($CF42,Unit!$A$7:$BE$68,32,FALSE))</f>
        <v>0</v>
      </c>
      <c r="CQ42" s="1381">
        <f>IF($CF42&gt;$C$5," ",VLOOKUP($CF42,Unit!$A$7:$BE$68,33,FALSE))</f>
        <v>361.19521025749333</v>
      </c>
      <c r="CR42" s="1027">
        <f>IF($CF42&gt;$C$5," ",VLOOKUP($CF42,Unit!$A$7:$BE$68,34,FALSE))</f>
        <v>0</v>
      </c>
      <c r="CS42" s="1027">
        <f>IF($CF42&gt;$C$5," ",VLOOKUP($CF42,Unit!$A$7:$BE$68,35,FALSE))</f>
        <v>0</v>
      </c>
      <c r="CT42" s="1027">
        <f>IF($CF42&gt;$C$5," ",VLOOKUP($CF42,Unit!$A$7:$BE$68,36,FALSE))</f>
        <v>0</v>
      </c>
      <c r="CU42" s="1189">
        <f t="shared" si="20"/>
        <v>0</v>
      </c>
      <c r="CV42" s="1027">
        <f>IF($CF42&gt;$C$5," ",VLOOKUP($CF42,Unit!$A$7:$BA$68,43,FALSE))</f>
        <v>412035.51509865525</v>
      </c>
      <c r="CW42" s="1027">
        <f>IF($CF42&gt;$C$5," ",VLOOKUP($CF42,Unit!$A$7:$BB$68,44,FALSE))</f>
        <v>-54586.019824915878</v>
      </c>
      <c r="CX42" s="1189">
        <f ca="1">IF($CF42&gt;$C$5," ",VLOOKUP($CF42,Unit!$A$7:$BE$68,47,FALSE))</f>
        <v>12185.315891754753</v>
      </c>
      <c r="CY42" s="1381">
        <f>IF($CF42&gt;$C$5," ",VLOOKUP($CF42,Unit!$A$7:$BA$68,53,FALSE))</f>
        <v>288575.64577882673</v>
      </c>
      <c r="CZ42" s="1027">
        <f>IF($CF42&gt;$C$5," ",VLOOKUP($CF42,Unit!$A$7:$BB$68,54,FALSE))</f>
        <v>-46580.678833935272</v>
      </c>
      <c r="DA42" s="1189">
        <f ca="1">IF($CF42&gt;$C$5," ",VLOOKUP($CF42,Unit!$A$7:$BE$68,57,FALSE))</f>
        <v>18342.967924160541</v>
      </c>
    </row>
    <row r="43" spans="1:105" x14ac:dyDescent="0.25">
      <c r="A43" s="38">
        <v>24</v>
      </c>
      <c r="B43" s="1381">
        <f>IF($A43&gt;$C$5," ",VLOOKUP($A43,Plot!$A$7:$T$67,Plot!P$2,FALSE))</f>
        <v>235.30730180676255</v>
      </c>
      <c r="C43" s="1027">
        <f>IF($A43&gt;$C$5," ",VLOOKUP($A43,Plot!$V$7:$CI$67,Plot!$CA$2,FALSE))</f>
        <v>-3</v>
      </c>
      <c r="D43" s="1027">
        <f ca="1">IF($A43&gt;$C$5," ",VLOOKUP($A43,Plot!$CK$7:$DD$67,Plot!$CZ$2,FALSE))</f>
        <v>0</v>
      </c>
      <c r="E43" s="1027">
        <f>IF($A43&gt;$C$5," ",VLOOKUP($A43,Plot!$DF$7:$FT$67,Plot!$FL$2,FALSE))</f>
        <v>-3</v>
      </c>
      <c r="F43" s="1379">
        <f t="shared" ca="1" si="21"/>
        <v>-3</v>
      </c>
      <c r="G43" s="1026">
        <f>IF($A43&gt;$C$5," ",VLOOKUP($A43,Plot!$V$7:$CG$67,Plot!$CG$2,FALSE))</f>
        <v>554.7211845063714</v>
      </c>
      <c r="H43" s="1027">
        <f>IF($A43&gt;$C$5," ",VLOOKUP($A43,Plot!$DF$7:$FT$67,Plot!$FR$2,FALSE))</f>
        <v>776.93905495330887</v>
      </c>
      <c r="I43" s="1379">
        <f t="shared" ca="1" si="17"/>
        <v>776.93905495330887</v>
      </c>
      <c r="J43" s="1026">
        <f>IF($A43&gt;$C$5," ",SUM(B$20:$B43))</f>
        <v>12593.901036019577</v>
      </c>
      <c r="K43" s="1027">
        <f>IF($A43&gt;$C$5," ",SUM($C$20:C43))</f>
        <v>-1640.7443691843955</v>
      </c>
      <c r="L43" s="1027">
        <f ca="1">IF($A43&gt;$C$5," ",SUM($D$20:D43))</f>
        <v>1474.6409117075809</v>
      </c>
      <c r="M43" s="1027">
        <f>IF($A43&gt;$C$5," ",SUM($E$20:E43))</f>
        <v>-1112.0448753513026</v>
      </c>
      <c r="N43" s="1379">
        <f ca="1">IF($A43&gt;$C$5," ",SUM($F$20:F43))</f>
        <v>362.59603635627809</v>
      </c>
      <c r="O43" s="1027">
        <f>IF($A43&gt;$C$5," ",SUM($G$20:G43))</f>
        <v>3407.8080948707466</v>
      </c>
      <c r="P43" s="1027">
        <f>IF($A43&gt;$C$5," ",SUM($H$20:H43))</f>
        <v>4402.9650538168089</v>
      </c>
      <c r="Q43" s="1027">
        <f ca="1">IF($A43&gt;$C$5," ",SUM($I$20:I43))</f>
        <v>5877.6059655243907</v>
      </c>
      <c r="R43" s="1026">
        <f>IF($A43&gt;$C$5," ",VLOOKUP($A43,Plot!$HM$7:$IA$67,2,FALSE))</f>
        <v>95.470368764983107</v>
      </c>
      <c r="S43" s="1027">
        <f>IF($A43&gt;$C$5," ",VLOOKUP($A43,Plot!$HM$7:$IA$67,3,FALSE))</f>
        <v>-1.217178999953662</v>
      </c>
      <c r="T43" s="1027">
        <f ca="1">IF($A43&gt;$C$5," ",VLOOKUP($A43,Plot!$HM$7:$IA$67,4,FALSE))</f>
        <v>0</v>
      </c>
      <c r="U43" s="1027">
        <f>IF($A43&gt;$C$5," ",VLOOKUP($A43,Plot!$HM$7:$IA$67,5,FALSE))</f>
        <v>-1.217178999953662</v>
      </c>
      <c r="V43" s="1379">
        <f t="shared" ca="1" si="16"/>
        <v>-1.217178999953662</v>
      </c>
      <c r="W43" s="1027">
        <f>IF($A43&gt;$C$5," ",VLOOKUP($A43,Plot!$HM$7:$IA$67,Plot!$HR$2,FALSE))</f>
        <v>152.18305185950152</v>
      </c>
      <c r="X43" s="1027">
        <f>IF($A43&gt;$C$5," ",VLOOKUP($A43,Plot!$HM$7:$IA$67,Plot!$HS$2,FALSE))</f>
        <v>238.37891622585124</v>
      </c>
      <c r="Y43" s="1379">
        <f t="shared" ca="1" si="18"/>
        <v>238.37891622585124</v>
      </c>
      <c r="Z43" s="1026">
        <f>IF($A43&gt;$C$5," ",SUM($R$20:R43))</f>
        <v>8751.0086344766405</v>
      </c>
      <c r="AA43" s="1027">
        <f>IF($A43&gt;$C$5," ",SUM($S$20:S43))</f>
        <v>-1398.7773000301149</v>
      </c>
      <c r="AB43" s="1027">
        <f ca="1">IF($A43&gt;$C$5," ",SUM($T$20:T43))</f>
        <v>1492.284005110379</v>
      </c>
      <c r="AC43" s="1027">
        <f>IF($A43&gt;$C$5," ",SUM($U$20:U43))</f>
        <v>-943.15711197830319</v>
      </c>
      <c r="AD43" s="1379">
        <f t="shared" ca="1" si="22"/>
        <v>549.12689313207579</v>
      </c>
      <c r="AE43" s="1027">
        <f>IF($A43&gt;$C$5," ",SUM($W$20:W43))</f>
        <v>649.55337977396312</v>
      </c>
      <c r="AF43" s="1027">
        <f>IF($A43&gt;$C$5," ",SUM($X$20:X43))</f>
        <v>1294.4276447948164</v>
      </c>
      <c r="AG43" s="1027">
        <f t="shared" ca="1" si="23"/>
        <v>2786.7116499051954</v>
      </c>
      <c r="AH43" s="1394">
        <f>IF($A43&gt;$C$5," ",VLOOKUP($A43,Plot!$A$7:$D$67,4,FALSE))</f>
        <v>1</v>
      </c>
      <c r="AI43" s="1390">
        <f>IF($A43&gt;$C$5," ",VLOOKUP($A43,Plot!$A$7:$E$67,5,FALSE))</f>
        <v>3.2880286689319052</v>
      </c>
      <c r="AJ43" s="1390">
        <f ca="1">IF($A43&gt;$C$5," ",IF(ROW()-ROW($A$18)&gt;='Options and results'!$AR$56,AVERAGE(OFFSET(AI43,0,0,COUNTA($BS:$BS)-'Options and results'!$AR$56,1)),NA()))</f>
        <v>6.2204559425861703</v>
      </c>
      <c r="AK43" s="1395">
        <f>IF($A43&gt;$C$5," ",VLOOKUP($A43,Plot!$A$7:$F$67,6,FALSE))</f>
        <v>1.6440143344659526</v>
      </c>
      <c r="AL43" s="1390">
        <f>IF($A43&gt;$C$5," ",VLOOKUP($A43,Plot!$CK$7:$CN$67,4,FALSE))</f>
        <v>0.99</v>
      </c>
      <c r="AM43" s="1390">
        <f ca="1">IF($A43&gt;$C$5," ",AL43*VLOOKUP($A43,Plot!$CK$7:$CO$67,5,FALSE))</f>
        <v>0</v>
      </c>
      <c r="AN43" s="1390">
        <f ca="1">IF($A43&gt;$C$5," ",IF(ROW()-ROW($A$18)&gt;='Options and results'!$AR$56,AVERAGE(OFFSET(AM43,0,0,COUNTA($BS:$BS)-'Options and results'!$AR$56,1)),NA()))</f>
        <v>0</v>
      </c>
      <c r="AO43" s="1390">
        <f ca="1">IF($A43&gt;$C$5," ",VLOOKUP($A43,Plot!$CK$7:$CP$67,6,FALSE))</f>
        <v>0</v>
      </c>
      <c r="AP43" s="1409">
        <f>IF($A43&gt;$C$5,0,VLOOKUP($A43,Plot!$V$7:$AH$67,7,FALSE))</f>
        <v>156</v>
      </c>
      <c r="AQ43" s="1390">
        <f>IF($A43&gt;$C$5," ",VLOOKUP($A43,Plot!$V$7:$AH$67,13,FALSE))</f>
        <v>148.12219270331869</v>
      </c>
      <c r="AR43" s="1390">
        <f>IF($A43&gt;$C$5," ",VLOOKUP($A43,Plot!$V$7:$AI$67,14,FALSE))</f>
        <v>0.94950123527768393</v>
      </c>
      <c r="AS43" s="1390">
        <f>IF($A43&gt;$C$5," ",VLOOKUP($A43,Plot!$V$7:$AJ$67,15,FALSE))</f>
        <v>0</v>
      </c>
      <c r="AT43" s="1390">
        <f>IF($A43&gt;$C$5," ",AQ43+SUM($AS$20:AS43)+IF(AP44=0,-AQ43,0))</f>
        <v>148.12219270331869</v>
      </c>
      <c r="AU43" s="1390">
        <f>IF($A43&gt;$C$5," ",VLOOKUP($A43,Plot!$V$7:$AL$67,Plot!$AL$2,FALSE))</f>
        <v>0</v>
      </c>
      <c r="AV43" s="1395">
        <f>IF($A43&gt;$C$5," ",VLOOKUP($A43,Plot!$V$7:$AM$67,Plot!$AM$2,FALSE))</f>
        <v>0</v>
      </c>
      <c r="AW43" s="1407">
        <f>IF($A43&gt;$C$5,0,VLOOKUP($A43,Plot!$DF$7:$DS$67,7,FALSE))</f>
        <v>100</v>
      </c>
      <c r="AX43" s="1390">
        <f>IF($A43&gt;$C$5," ",VLOOKUP($A43,Plot!$DF$7:$DS$67,14,FALSE))</f>
        <v>141.76938561836587</v>
      </c>
      <c r="AY43" s="1390">
        <f>IF($A43&gt;$C$5," ",VLOOKUP($A43,Plot!$DF$7:$DT$67,15,FALSE))</f>
        <v>1.4176938561836587</v>
      </c>
      <c r="AZ43" s="1390">
        <f>IF($A43&gt;$C$5," ",VLOOKUP($A43,Plot!$DF$7:$DU$67,16,FALSE))</f>
        <v>0</v>
      </c>
      <c r="BA43" s="1390">
        <f>IF($A43&gt;$C$5," ",AX43+SUM($AZ$20:AZ43)+IF(AW44=0,-AX43,0))</f>
        <v>141.76938561836587</v>
      </c>
      <c r="BB43" s="1390">
        <f>IF($A43&gt;$C$5," ",VLOOKUP($A43,Plot!$DF$7:$DW$67,Plot!$DW$2,FALSE))</f>
        <v>0</v>
      </c>
      <c r="BC43" s="1390">
        <f>IF($A43&gt;$C$5," ",VLOOKUP($A43,Plot!$DF$7:$DX$67,Plot!$DX$2,FALSE))</f>
        <v>0</v>
      </c>
      <c r="BD43" s="1396">
        <f>IF($A43&gt;$C$5," ",VLOOKUP($A43,Plot!$A$7:$N$67,14,FALSE))</f>
        <v>7.4591130728145263</v>
      </c>
      <c r="BE43" s="303">
        <f>IF($A43&gt;$C$5," ",VLOOKUP($A43,Plot!$V$7:$BW$67,Plot!$BW$2,FALSE))</f>
        <v>0</v>
      </c>
      <c r="BF43" s="303">
        <f>IF($A43&gt;$C$5," ",VLOOKUP($A43,Plot!$CK$7:$CX$67,14,FALSE))</f>
        <v>0</v>
      </c>
      <c r="BG43" s="303">
        <f>IF($A43&gt;$C$5," ",VLOOKUP($A43,Plot!$DF$7:$FH$67,Plot!$FH$2,FALSE))</f>
        <v>0</v>
      </c>
      <c r="BH43" s="1397">
        <f t="shared" si="24"/>
        <v>0</v>
      </c>
      <c r="BI43" s="303">
        <f>IF($A43&gt;$C$5," ",VLOOKUP($A43,Plot!$DF$7:$EJ$67,29,FALSE))</f>
        <v>0</v>
      </c>
      <c r="BJ43" s="303">
        <f>IF($A43&gt;$C$5," ",VLOOKUP($A43,Plot!$DF$7:$FT$67,30,FALSE))</f>
        <v>0</v>
      </c>
      <c r="BK43" s="303">
        <f>IF($A43&gt;$C$5," ",VLOOKUP($A43,Plot!$DF$7:$FT$67,Plot!$EL$2,FALSE))</f>
        <v>0</v>
      </c>
      <c r="BL43" s="303">
        <f>IF($A43&gt;$C$5," ",VLOOKUP($A43,Plot!$DF$7:$FT$67,Plot!$EM$2,FALSE))</f>
        <v>0</v>
      </c>
      <c r="BM43" s="303">
        <f>IF($A43&gt;$C$5," ",VLOOKUP($A43,Plot!$DF$7:$FT$67,Plot!$EN$2,FALSE))</f>
        <v>0</v>
      </c>
      <c r="BN43" s="303">
        <f>IF($A43&gt;$C$5," ",VLOOKUP($A43,Plot!$DF$7:$FT$67,Plot!$EO$2,FALSE))</f>
        <v>0</v>
      </c>
      <c r="BO43" s="303">
        <f t="shared" si="19"/>
        <v>0</v>
      </c>
      <c r="BP43" s="303">
        <f>IF($A43&gt;$C$5," ",VLOOKUP($A43,Plot!$DF$7:$FT$67,Plot!$EQ$2,FALSE))</f>
        <v>0</v>
      </c>
      <c r="BQ43" s="303">
        <f>IF($A43&gt;$C$5," ",(VLOOKUP($A43,Plot!$DF$7:$FT$67,Plot!$ES$2,FALSE)+VLOOKUP($A43,Plot!$DF$7:$FT$67,Plot!$ET$2,FALSE)))</f>
        <v>0</v>
      </c>
      <c r="BR43" s="303">
        <f>IF($A43&gt;$C$5," ",(VLOOKUP($A43,Plot!$DF$7:$FT$67,Plot!$EV$2,FALSE)+VLOOKUP($A43,Plot!$DF$7:$FT$67,Plot!$EW$2,FALSE)))</f>
        <v>0</v>
      </c>
      <c r="BS43" s="303">
        <f>IF($A43&gt;$C$5," ",VLOOKUP($A43,Plot!$DF$7:$FT$67,Plot!$EY$2,FALSE))</f>
        <v>0</v>
      </c>
      <c r="BT43" s="303">
        <f>IF($A43&gt;$C$5," ",(VLOOKUP($A43,Plot!$DF$7:$FT$67,Plot!$FB$2,FALSE)+VLOOKUP($A43,Plot!$DF$7:$FT$67,Plot!$FC$2,FALSE)))</f>
        <v>0</v>
      </c>
      <c r="BU43" s="303">
        <f>IF($A43&gt;$C$5," ",(VLOOKUP($A43,Plot!$DF$7:$FT$67,Plot!$FE$2,FALSE)+VLOOKUP($A43,Plot!$DF$7:$FT$67,Plot!$FF$2,FALSE)))</f>
        <v>0</v>
      </c>
      <c r="BV43" s="1026">
        <f>IF($A43&gt;$C$5," ",VLOOKUP($A43,Plot!$FV$7:$GJ$67,2,FALSE))</f>
        <v>481.73660011021838</v>
      </c>
      <c r="BW43" s="1027">
        <f>IF($A43&gt;$C$5," ",VLOOKUP($A43,Plot!$FV$7:$GJ$67,3,FALSE))</f>
        <v>0</v>
      </c>
      <c r="BX43" s="1379">
        <f ca="1">IF($A43&gt;$C$5," ",VLOOKUP($A43,Plot!$FV$7:$GJ$67,6,FALSE))</f>
        <v>0</v>
      </c>
      <c r="BY43" s="1026">
        <f>IF($A43&gt;$C$5," ",VLOOKUP($A43,Plot!$GO$7:$GY$67,2,FALSE))</f>
        <v>95.426833596367089</v>
      </c>
      <c r="BZ43" s="1027">
        <f>IF($A43&gt;$C$5," ",VLOOKUP($A43,Plot!$GO$7:$GY$67,3,FALSE))</f>
        <v>0</v>
      </c>
      <c r="CA43" s="1379">
        <f>IF($A43&gt;$C$5," ",VLOOKUP($A43,Plot!$GO$7:$GY$67,6,FALSE))</f>
        <v>0</v>
      </c>
      <c r="CB43" s="1027">
        <f>IF($A43&gt;$C$5," ",-1*VLOOKUP($A43,Plot!$HA$7:$HK$67,2,FALSE))</f>
        <v>-481.69306494160236</v>
      </c>
      <c r="CC43" s="1027">
        <f>IF($A43&gt;$C$5," ",-1*VLOOKUP($A43,Plot!$HA$7:$HK$67,3,FALSE))</f>
        <v>-1.217178999953662</v>
      </c>
      <c r="CD43" s="1189">
        <f>IF($A43&gt;$C$5," ",-1*VLOOKUP($A43,Plot!$HA$7:$HK$67,6,FALSE))</f>
        <v>-1.217178999953662</v>
      </c>
      <c r="CE43" s="10"/>
      <c r="CF43" s="38">
        <v>24</v>
      </c>
      <c r="CG43" s="1381">
        <f>IF($CF43&gt;$C$5," ",VLOOKUP($CF43,Unit!$A$7:$BE$68,22,FALSE))</f>
        <v>33.340000000000003</v>
      </c>
      <c r="CH43" s="1027">
        <f>IF($CF43&gt;$C$5," ",VLOOKUP($CF43,Unit!$A$7:$BE$68,23,FALSE))</f>
        <v>33.33</v>
      </c>
      <c r="CI43" s="1027">
        <f>IF($CF43&gt;$C$5," ",VLOOKUP($CF43,Unit!$A$7:$BE$68,24,FALSE))</f>
        <v>32.996699999999997</v>
      </c>
      <c r="CJ43" s="1189">
        <f>IF($CF43&gt;$C$5," ",VLOOKUP($CF43,Unit!$A$7:$BE$68,25,FALSE))</f>
        <v>0.33330000000000026</v>
      </c>
      <c r="CK43" s="1381">
        <f>IF($CF43&gt;$C$5," ",VLOOKUP($CF43,Unit!$A$7:$BE$68,27,FALSE))</f>
        <v>109.62287582218973</v>
      </c>
      <c r="CL43" s="1027">
        <f>IF($CF43&gt;$C$5," ",VLOOKUP($CF43,Unit!$A$7:$BE$68,28,FALSE))</f>
        <v>4936.9126828016115</v>
      </c>
      <c r="CM43" s="1027">
        <f>IF($CF43&gt;$C$5," ",VLOOKUP($CF43,Unit!$A$7:$BE$68,29,FALSE))</f>
        <v>0</v>
      </c>
      <c r="CN43" s="1027">
        <f ca="1">IF($CF43&gt;$C$5," ",VLOOKUP($CF43,Unit!$A$7:$BE$68,30,FALSE))</f>
        <v>0</v>
      </c>
      <c r="CO43" s="1027">
        <f>IF($CF43&gt;$C$5," ",VLOOKUP($CF43,Unit!$A$7:$BE$68,31,FALSE))</f>
        <v>4725.1736226601342</v>
      </c>
      <c r="CP43" s="1027">
        <f>IF($CF43&gt;$C$5," ",VLOOKUP($CF43,Unit!$A$7:$BE$68,32,FALSE))</f>
        <v>0</v>
      </c>
      <c r="CQ43" s="1381">
        <f>IF($CF43&gt;$C$5," ",VLOOKUP($CF43,Unit!$A$7:$BE$68,33,FALSE))</f>
        <v>248.68682984763632</v>
      </c>
      <c r="CR43" s="1027">
        <f>IF($CF43&gt;$C$5," ",VLOOKUP($CF43,Unit!$A$7:$BE$68,34,FALSE))</f>
        <v>0</v>
      </c>
      <c r="CS43" s="1027">
        <f>IF($CF43&gt;$C$5," ",VLOOKUP($CF43,Unit!$A$7:$BE$68,35,FALSE))</f>
        <v>0</v>
      </c>
      <c r="CT43" s="1027">
        <f>IF($CF43&gt;$C$5," ",VLOOKUP($CF43,Unit!$A$7:$BE$68,36,FALSE))</f>
        <v>0</v>
      </c>
      <c r="CU43" s="1189">
        <f t="shared" si="20"/>
        <v>0</v>
      </c>
      <c r="CV43" s="1027">
        <f>IF($CF43&gt;$C$5," ",VLOOKUP($CF43,Unit!$A$7:$BA$68,43,FALSE))</f>
        <v>419880.66054089268</v>
      </c>
      <c r="CW43" s="1027">
        <f>IF($CF43&gt;$C$5," ",VLOOKUP($CF43,Unit!$A$7:$BB$68,44,FALSE))</f>
        <v>-54686.009824915876</v>
      </c>
      <c r="CX43" s="1189">
        <f ca="1">IF($CF43&gt;$C$5," ",VLOOKUP($CF43,Unit!$A$7:$BE$68,47,FALSE))</f>
        <v>12085.325891754754</v>
      </c>
      <c r="CY43" s="1381">
        <f>IF($CF43&gt;$C$5," ",VLOOKUP($CF43,Unit!$A$7:$BA$68,53,FALSE))</f>
        <v>291758.62787345127</v>
      </c>
      <c r="CZ43" s="1027">
        <f>IF($CF43&gt;$C$5," ",VLOOKUP($CF43,Unit!$A$7:$BB$68,54,FALSE))</f>
        <v>-46621.247410003729</v>
      </c>
      <c r="DA43" s="1189">
        <f ca="1">IF($CF43&gt;$C$5," ",VLOOKUP($CF43,Unit!$A$7:$BE$68,57,FALSE))</f>
        <v>18302.399348092084</v>
      </c>
    </row>
    <row r="44" spans="1:105" x14ac:dyDescent="0.25">
      <c r="A44" s="38">
        <v>25</v>
      </c>
      <c r="B44" s="1381">
        <f>IF($A44&gt;$C$5," ",VLOOKUP($A44,Plot!$A$7:$T$67,Plot!P$2,FALSE))</f>
        <v>797.31186384771934</v>
      </c>
      <c r="C44" s="1027">
        <f>IF($A44&gt;$C$5," ",VLOOKUP($A44,Plot!$V$7:$CI$67,Plot!$CA$2,FALSE))</f>
        <v>-3</v>
      </c>
      <c r="D44" s="1027">
        <f ca="1">IF($A44&gt;$C$5," ",VLOOKUP($A44,Plot!$CK$7:$DD$67,Plot!$CZ$2,FALSE))</f>
        <v>0</v>
      </c>
      <c r="E44" s="1027">
        <f>IF($A44&gt;$C$5," ",VLOOKUP($A44,Plot!$DF$7:$FT$67,Plot!$FL$2,FALSE))</f>
        <v>-3</v>
      </c>
      <c r="F44" s="1379">
        <f t="shared" ca="1" si="21"/>
        <v>-3</v>
      </c>
      <c r="G44" s="1026">
        <f>IF($A44&gt;$C$5," ",VLOOKUP($A44,Plot!$V$7:$CG$67,Plot!$CG$2,FALSE))</f>
        <v>609.4983893386725</v>
      </c>
      <c r="H44" s="1027">
        <f>IF($A44&gt;$C$5," ",VLOOKUP($A44,Plot!$DF$7:$FT$67,Plot!$FR$2,FALSE))</f>
        <v>658.12152789169204</v>
      </c>
      <c r="I44" s="1379">
        <f t="shared" ca="1" si="17"/>
        <v>658.12152789169204</v>
      </c>
      <c r="J44" s="1026">
        <f>IF($A44&gt;$C$5," ",SUM(B$20:$B44))</f>
        <v>13391.212899867296</v>
      </c>
      <c r="K44" s="1027">
        <f>IF($A44&gt;$C$5," ",SUM($C$20:C44))</f>
        <v>-1643.7443691843955</v>
      </c>
      <c r="L44" s="1027">
        <f ca="1">IF($A44&gt;$C$5," ",SUM($D$20:D44))</f>
        <v>1474.6409117075809</v>
      </c>
      <c r="M44" s="1027">
        <f>IF($A44&gt;$C$5," ",SUM($E$20:E44))</f>
        <v>-1115.0448753513026</v>
      </c>
      <c r="N44" s="1379">
        <f ca="1">IF($A44&gt;$C$5," ",SUM($F$20:F44))</f>
        <v>359.59603635627809</v>
      </c>
      <c r="O44" s="1027">
        <f>IF($A44&gt;$C$5," ",SUM($G$20:G44))</f>
        <v>4017.3064842094191</v>
      </c>
      <c r="P44" s="1027">
        <f>IF($A44&gt;$C$5," ",SUM($H$20:H44))</f>
        <v>5061.0865817085014</v>
      </c>
      <c r="Q44" s="1027">
        <f ca="1">IF($A44&gt;$C$5," ",SUM($I$20:I44))</f>
        <v>6535.7274934160832</v>
      </c>
      <c r="R44" s="1026">
        <f>IF($A44&gt;$C$5," ",VLOOKUP($A44,Plot!$HM$7:$IA$67,2,FALSE))</f>
        <v>311.0484798363326</v>
      </c>
      <c r="S44" s="1027">
        <f>IF($A44&gt;$C$5," ",VLOOKUP($A44,Plot!$HM$7:$IA$67,3,FALSE))</f>
        <v>-1.1703644230323671</v>
      </c>
      <c r="T44" s="1027">
        <f ca="1">IF($A44&gt;$C$5," ",VLOOKUP($A44,Plot!$HM$7:$IA$67,4,FALSE))</f>
        <v>0</v>
      </c>
      <c r="U44" s="1027">
        <f>IF($A44&gt;$C$5," ",VLOOKUP($A44,Plot!$HM$7:$IA$67,5,FALSE))</f>
        <v>-1.1703644230323671</v>
      </c>
      <c r="V44" s="1379">
        <f t="shared" ca="1" si="16"/>
        <v>-1.1703644230323671</v>
      </c>
      <c r="W44" s="1027">
        <f>IF($A44&gt;$C$5," ",VLOOKUP($A44,Plot!$HM$7:$IA$67,Plot!$HR$2,FALSE))</f>
        <v>158.99646103593665</v>
      </c>
      <c r="X44" s="1027">
        <f>IF($A44&gt;$C$5," ",VLOOKUP($A44,Plot!$HM$7:$IA$67,Plot!$HS$2,FALSE))</f>
        <v>170.68638857513139</v>
      </c>
      <c r="Y44" s="1379">
        <f t="shared" ca="1" si="18"/>
        <v>170.68638857513139</v>
      </c>
      <c r="Z44" s="1026">
        <f>IF($A44&gt;$C$5," ",SUM($R$20:R44))</f>
        <v>9062.0571143129728</v>
      </c>
      <c r="AA44" s="1027">
        <f>IF($A44&gt;$C$5," ",SUM($S$20:S44))</f>
        <v>-1399.9476644531474</v>
      </c>
      <c r="AB44" s="1027">
        <f ca="1">IF($A44&gt;$C$5," ",SUM($T$20:T44))</f>
        <v>1492.284005110379</v>
      </c>
      <c r="AC44" s="1027">
        <f>IF($A44&gt;$C$5," ",SUM($U$20:U44))</f>
        <v>-944.3274764013355</v>
      </c>
      <c r="AD44" s="1379">
        <f t="shared" ca="1" si="22"/>
        <v>547.95652870904348</v>
      </c>
      <c r="AE44" s="1027">
        <f>IF($A44&gt;$C$5," ",SUM($W$20:W44))</f>
        <v>808.54984080989971</v>
      </c>
      <c r="AF44" s="1027">
        <f>IF($A44&gt;$C$5," ",SUM($X$20:X44))</f>
        <v>1465.1140333699477</v>
      </c>
      <c r="AG44" s="1027">
        <f t="shared" ca="1" si="23"/>
        <v>2957.3980384803267</v>
      </c>
      <c r="AH44" s="1394">
        <f>IF($A44&gt;$C$5," ",VLOOKUP($A44,Plot!$A$7:$D$67,4,FALSE))</f>
        <v>1</v>
      </c>
      <c r="AI44" s="1390">
        <f>IF($A44&gt;$C$5," ",VLOOKUP($A44,Plot!$A$7:$E$67,5,FALSE))</f>
        <v>9.6999624392668604</v>
      </c>
      <c r="AJ44" s="1390">
        <f ca="1">IF($A44&gt;$C$5," ",IF(ROW()-ROW($A$18)&gt;='Options and results'!$AR$56,AVERAGE(OFFSET(AI44,0,0,COUNTA($BS:$BS)-'Options and results'!$AR$56,1)),NA()))</f>
        <v>6.7091938215285483</v>
      </c>
      <c r="AK44" s="1395">
        <f>IF($A44&gt;$C$5," ",VLOOKUP($A44,Plot!$A$7:$F$67,6,FALSE))</f>
        <v>3.8799849757067442</v>
      </c>
      <c r="AL44" s="1390">
        <f>IF($A44&gt;$C$5," ",VLOOKUP($A44,Plot!$CK$7:$CN$67,4,FALSE))</f>
        <v>0.99</v>
      </c>
      <c r="AM44" s="1390">
        <f ca="1">IF($A44&gt;$C$5," ",AL44*VLOOKUP($A44,Plot!$CK$7:$CO$67,5,FALSE))</f>
        <v>0</v>
      </c>
      <c r="AN44" s="1390">
        <f ca="1">IF($A44&gt;$C$5," ",IF(ROW()-ROW($A$18)&gt;='Options and results'!$AR$56,AVERAGE(OFFSET(AM44,0,0,COUNTA($BS:$BS)-'Options and results'!$AR$56,1)),NA()))</f>
        <v>0</v>
      </c>
      <c r="AO44" s="1390">
        <f ca="1">IF($A44&gt;$C$5," ",VLOOKUP($A44,Plot!$CK$7:$CP$67,6,FALSE))</f>
        <v>0</v>
      </c>
      <c r="AP44" s="1409">
        <f>IF($A44&gt;$C$5,0,VLOOKUP($A44,Plot!$V$7:$AH$67,7,FALSE))</f>
        <v>156</v>
      </c>
      <c r="AQ44" s="1390">
        <f>IF($A44&gt;$C$5," ",VLOOKUP($A44,Plot!$V$7:$AH$67,13,FALSE))</f>
        <v>161.04978502384833</v>
      </c>
      <c r="AR44" s="1390">
        <f>IF($A44&gt;$C$5," ",VLOOKUP($A44,Plot!$V$7:$AI$67,14,FALSE))</f>
        <v>1.0323704168195407</v>
      </c>
      <c r="AS44" s="1390">
        <f>IF($A44&gt;$C$5," ",VLOOKUP($A44,Plot!$V$7:$AJ$67,15,FALSE))</f>
        <v>0</v>
      </c>
      <c r="AT44" s="1390">
        <f>IF($A44&gt;$C$5," ",AQ44+SUM($AS$20:AS44)+IF(AP45=0,-AQ44,0))</f>
        <v>161.04978502384833</v>
      </c>
      <c r="AU44" s="1390">
        <f>IF($A44&gt;$C$5," ",VLOOKUP($A44,Plot!$V$7:$AL$67,Plot!$AL$2,FALSE))</f>
        <v>0</v>
      </c>
      <c r="AV44" s="1395">
        <f>IF($A44&gt;$C$5," ",VLOOKUP($A44,Plot!$V$7:$AM$67,Plot!$AM$2,FALSE))</f>
        <v>0</v>
      </c>
      <c r="AW44" s="1407">
        <f>IF($A44&gt;$C$5,0,VLOOKUP($A44,Plot!$DF$7:$DS$67,7,FALSE))</f>
        <v>100</v>
      </c>
      <c r="AX44" s="1390">
        <f>IF($A44&gt;$C$5," ",VLOOKUP($A44,Plot!$DF$7:$DS$67,14,FALSE))</f>
        <v>155.41535313027694</v>
      </c>
      <c r="AY44" s="1390">
        <f>IF($A44&gt;$C$5," ",VLOOKUP($A44,Plot!$DF$7:$DT$67,15,FALSE))</f>
        <v>1.5541535313027695</v>
      </c>
      <c r="AZ44" s="1390">
        <f>IF($A44&gt;$C$5," ",VLOOKUP($A44,Plot!$DF$7:$DU$67,16,FALSE))</f>
        <v>0</v>
      </c>
      <c r="BA44" s="1390">
        <f>IF($A44&gt;$C$5," ",AX44+SUM($AZ$20:AZ44)+IF(AW45=0,-AX44,0))</f>
        <v>155.41535313027694</v>
      </c>
      <c r="BB44" s="1390">
        <f>IF($A44&gt;$C$5," ",VLOOKUP($A44,Plot!$DF$7:$DW$67,Plot!$DW$2,FALSE))</f>
        <v>0</v>
      </c>
      <c r="BC44" s="1390">
        <f>IF($A44&gt;$C$5," ",VLOOKUP($A44,Plot!$DF$7:$DX$67,Plot!$DX$2,FALSE))</f>
        <v>0</v>
      </c>
      <c r="BD44" s="1396">
        <f>IF($A44&gt;$C$5," ",VLOOKUP($A44,Plot!$A$7:$N$67,14,FALSE))</f>
        <v>11.632834596849463</v>
      </c>
      <c r="BE44" s="303">
        <f>IF($A44&gt;$C$5," ",VLOOKUP($A44,Plot!$V$7:$BW$67,Plot!$BW$2,FALSE))</f>
        <v>0</v>
      </c>
      <c r="BF44" s="303">
        <f>IF($A44&gt;$C$5," ",VLOOKUP($A44,Plot!$CK$7:$CX$67,14,FALSE))</f>
        <v>0</v>
      </c>
      <c r="BG44" s="303">
        <f>IF($A44&gt;$C$5," ",VLOOKUP($A44,Plot!$DF$7:$FH$67,Plot!$FH$2,FALSE))</f>
        <v>0</v>
      </c>
      <c r="BH44" s="1397">
        <f t="shared" si="24"/>
        <v>0</v>
      </c>
      <c r="BI44" s="303">
        <f>IF($A44&gt;$C$5," ",VLOOKUP($A44,Plot!$DF$7:$EJ$67,29,FALSE))</f>
        <v>0</v>
      </c>
      <c r="BJ44" s="303">
        <f>IF($A44&gt;$C$5," ",VLOOKUP($A44,Plot!$DF$7:$FT$67,30,FALSE))</f>
        <v>0</v>
      </c>
      <c r="BK44" s="303">
        <f>IF($A44&gt;$C$5," ",VLOOKUP($A44,Plot!$DF$7:$FT$67,Plot!$EL$2,FALSE))</f>
        <v>0</v>
      </c>
      <c r="BL44" s="303">
        <f>IF($A44&gt;$C$5," ",VLOOKUP($A44,Plot!$DF$7:$FT$67,Plot!$EM$2,FALSE))</f>
        <v>0</v>
      </c>
      <c r="BM44" s="303">
        <f>IF($A44&gt;$C$5," ",VLOOKUP($A44,Plot!$DF$7:$FT$67,Plot!$EN$2,FALSE))</f>
        <v>0</v>
      </c>
      <c r="BN44" s="303">
        <f>IF($A44&gt;$C$5," ",VLOOKUP($A44,Plot!$DF$7:$FT$67,Plot!$EO$2,FALSE))</f>
        <v>0</v>
      </c>
      <c r="BO44" s="303">
        <f t="shared" si="19"/>
        <v>0</v>
      </c>
      <c r="BP44" s="303">
        <f>IF($A44&gt;$C$5," ",VLOOKUP($A44,Plot!$DF$7:$FT$67,Plot!$EQ$2,FALSE))</f>
        <v>0</v>
      </c>
      <c r="BQ44" s="303">
        <f>IF($A44&gt;$C$5," ",(VLOOKUP($A44,Plot!$DF$7:$FT$67,Plot!$ES$2,FALSE)+VLOOKUP($A44,Plot!$DF$7:$FT$67,Plot!$ET$2,FALSE)))</f>
        <v>0</v>
      </c>
      <c r="BR44" s="303">
        <f>IF($A44&gt;$C$5," ",(VLOOKUP($A44,Plot!$DF$7:$FT$67,Plot!$EV$2,FALSE)+VLOOKUP($A44,Plot!$DF$7:$FT$67,Plot!$EW$2,FALSE)))</f>
        <v>0</v>
      </c>
      <c r="BS44" s="303">
        <f>IF($A44&gt;$C$5," ",VLOOKUP($A44,Plot!$DF$7:$FT$67,Plot!$EY$2,FALSE))</f>
        <v>0</v>
      </c>
      <c r="BT44" s="303">
        <f>IF($A44&gt;$C$5," ",(VLOOKUP($A44,Plot!$DF$7:$FT$67,Plot!$FB$2,FALSE)+VLOOKUP($A44,Plot!$DF$7:$FT$67,Plot!$FC$2,FALSE)))</f>
        <v>0</v>
      </c>
      <c r="BU44" s="303">
        <f>IF($A44&gt;$C$5," ",(VLOOKUP($A44,Plot!$DF$7:$FT$67,Plot!$FE$2,FALSE)+VLOOKUP($A44,Plot!$DF$7:$FT$67,Plot!$FF$2,FALSE)))</f>
        <v>0</v>
      </c>
      <c r="BV44" s="1026">
        <f>IF($A44&gt;$C$5," ",VLOOKUP($A44,Plot!$FV$7:$GJ$67,2,FALSE))</f>
        <v>713.7353102546947</v>
      </c>
      <c r="BW44" s="1027">
        <f>IF($A44&gt;$C$5," ",VLOOKUP($A44,Plot!$FV$7:$GJ$67,3,FALSE))</f>
        <v>0</v>
      </c>
      <c r="BX44" s="1379">
        <f ca="1">IF($A44&gt;$C$5," ",VLOOKUP($A44,Plot!$FV$7:$GJ$67,6,FALSE))</f>
        <v>0</v>
      </c>
      <c r="BY44" s="1026">
        <f>IF($A44&gt;$C$5," ",VLOOKUP($A44,Plot!$GO$7:$GY$67,2,FALSE))</f>
        <v>91.756570765737578</v>
      </c>
      <c r="BZ44" s="1027">
        <f>IF($A44&gt;$C$5," ",VLOOKUP($A44,Plot!$GO$7:$GY$67,3,FALSE))</f>
        <v>0</v>
      </c>
      <c r="CA44" s="1379">
        <f>IF($A44&gt;$C$5," ",VLOOKUP($A44,Plot!$GO$7:$GY$67,6,FALSE))</f>
        <v>0</v>
      </c>
      <c r="CB44" s="1027">
        <f>IF($A44&gt;$C$5," ",-1*VLOOKUP($A44,Plot!$HA$7:$HK$67,2,FALSE))</f>
        <v>-494.44340118409968</v>
      </c>
      <c r="CC44" s="1027">
        <f>IF($A44&gt;$C$5," ",-1*VLOOKUP($A44,Plot!$HA$7:$HK$67,3,FALSE))</f>
        <v>-1.1703644230323671</v>
      </c>
      <c r="CD44" s="1189">
        <f>IF($A44&gt;$C$5," ",-1*VLOOKUP($A44,Plot!$HA$7:$HK$67,6,FALSE))</f>
        <v>-1.1703644230323671</v>
      </c>
      <c r="CE44" s="10"/>
      <c r="CF44" s="38">
        <v>25</v>
      </c>
      <c r="CG44" s="1381">
        <f>IF($CF44&gt;$C$5," ",VLOOKUP($CF44,Unit!$A$7:$BE$68,22,FALSE))</f>
        <v>33.340000000000003</v>
      </c>
      <c r="CH44" s="1027">
        <f>IF($CF44&gt;$C$5," ",VLOOKUP($CF44,Unit!$A$7:$BE$68,23,FALSE))</f>
        <v>33.33</v>
      </c>
      <c r="CI44" s="1027">
        <f>IF($CF44&gt;$C$5," ",VLOOKUP($CF44,Unit!$A$7:$BE$68,24,FALSE))</f>
        <v>32.996699999999997</v>
      </c>
      <c r="CJ44" s="1189">
        <f>IF($CF44&gt;$C$5," ",VLOOKUP($CF44,Unit!$A$7:$BE$68,25,FALSE))</f>
        <v>0.33330000000000026</v>
      </c>
      <c r="CK44" s="1381">
        <f>IF($CF44&gt;$C$5," ",VLOOKUP($CF44,Unit!$A$7:$BE$68,27,FALSE))</f>
        <v>323.39674772515718</v>
      </c>
      <c r="CL44" s="1027">
        <f>IF($CF44&gt;$C$5," ",VLOOKUP($CF44,Unit!$A$7:$BE$68,28,FALSE))</f>
        <v>5367.7893348448642</v>
      </c>
      <c r="CM44" s="1027">
        <f>IF($CF44&gt;$C$5," ",VLOOKUP($CF44,Unit!$A$7:$BE$68,29,FALSE))</f>
        <v>0</v>
      </c>
      <c r="CN44" s="1027">
        <f ca="1">IF($CF44&gt;$C$5," ",VLOOKUP($CF44,Unit!$A$7:$BE$68,30,FALSE))</f>
        <v>0</v>
      </c>
      <c r="CO44" s="1027">
        <f>IF($CF44&gt;$C$5," ",VLOOKUP($CF44,Unit!$A$7:$BE$68,31,FALSE))</f>
        <v>5179.9937198321304</v>
      </c>
      <c r="CP44" s="1027">
        <f>IF($CF44&gt;$C$5," ",VLOOKUP($CF44,Unit!$A$7:$BE$68,32,FALSE))</f>
        <v>0</v>
      </c>
      <c r="CQ44" s="1381">
        <f>IF($CF44&gt;$C$5," ",VLOOKUP($CF44,Unit!$A$7:$BE$68,33,FALSE))</f>
        <v>387.83870545896116</v>
      </c>
      <c r="CR44" s="1027">
        <f>IF($CF44&gt;$C$5," ",VLOOKUP($CF44,Unit!$A$7:$BE$68,34,FALSE))</f>
        <v>0</v>
      </c>
      <c r="CS44" s="1027">
        <f>IF($CF44&gt;$C$5," ",VLOOKUP($CF44,Unit!$A$7:$BE$68,35,FALSE))</f>
        <v>0</v>
      </c>
      <c r="CT44" s="1027">
        <f>IF($CF44&gt;$C$5," ",VLOOKUP($CF44,Unit!$A$7:$BE$68,36,FALSE))</f>
        <v>0</v>
      </c>
      <c r="CU44" s="1189">
        <f t="shared" si="20"/>
        <v>0</v>
      </c>
      <c r="CV44" s="1027">
        <f>IF($CF44&gt;$C$5," ",VLOOKUP($CF44,Unit!$A$7:$BA$68,43,FALSE))</f>
        <v>446463.03808157565</v>
      </c>
      <c r="CW44" s="1027">
        <f>IF($CF44&gt;$C$5," ",VLOOKUP($CF44,Unit!$A$7:$BB$68,44,FALSE))</f>
        <v>-54785.999824915874</v>
      </c>
      <c r="CX44" s="1189">
        <f ca="1">IF($CF44&gt;$C$5," ",VLOOKUP($CF44,Unit!$A$7:$BE$68,47,FALSE))</f>
        <v>11985.335891754754</v>
      </c>
      <c r="CY44" s="1381">
        <f>IF($CF44&gt;$C$5," ",VLOOKUP($CF44,Unit!$A$7:$BA$68,53,FALSE))</f>
        <v>302128.98419119458</v>
      </c>
      <c r="CZ44" s="1027">
        <f>IF($CF44&gt;$C$5," ",VLOOKUP($CF44,Unit!$A$7:$BB$68,54,FALSE))</f>
        <v>-46660.255656223395</v>
      </c>
      <c r="DA44" s="1189">
        <f ca="1">IF($CF44&gt;$C$5," ",VLOOKUP($CF44,Unit!$A$7:$BE$68,57,FALSE))</f>
        <v>18263.391101872414</v>
      </c>
    </row>
    <row r="45" spans="1:105" x14ac:dyDescent="0.25">
      <c r="A45" s="38">
        <v>26</v>
      </c>
      <c r="B45" s="1381">
        <f>IF($A45&gt;$C$5," ",VLOOKUP($A45,Plot!$A$7:$T$67,Plot!P$2,FALSE))</f>
        <v>325.49764014639072</v>
      </c>
      <c r="C45" s="1027">
        <f>IF($A45&gt;$C$5," ",VLOOKUP($A45,Plot!$V$7:$CI$67,Plot!$CA$2,FALSE))</f>
        <v>-3</v>
      </c>
      <c r="D45" s="1027">
        <f ca="1">IF($A45&gt;$C$5," ",VLOOKUP($A45,Plot!$CK$7:$DD$67,Plot!$CZ$2,FALSE))</f>
        <v>0</v>
      </c>
      <c r="E45" s="1027">
        <f>IF($A45&gt;$C$5," ",VLOOKUP($A45,Plot!$DF$7:$FT$67,Plot!$FL$2,FALSE))</f>
        <v>-3</v>
      </c>
      <c r="F45" s="1379">
        <f t="shared" ca="1" si="21"/>
        <v>-3</v>
      </c>
      <c r="G45" s="1026">
        <f>IF($A45&gt;$C$5," ",VLOOKUP($A45,Plot!$V$7:$CG$67,Plot!$CG$2,FALSE))</f>
        <v>626.91129705236403</v>
      </c>
      <c r="H45" s="1027">
        <f>IF($A45&gt;$C$5," ",VLOOKUP($A45,Plot!$DF$7:$FT$67,Plot!$FR$2,FALSE))</f>
        <v>663.82160874945635</v>
      </c>
      <c r="I45" s="1379">
        <f t="shared" ca="1" si="17"/>
        <v>663.82160874945635</v>
      </c>
      <c r="J45" s="1026">
        <f>IF($A45&gt;$C$5," ",SUM(B$20:$B45))</f>
        <v>13716.710540013686</v>
      </c>
      <c r="K45" s="1027">
        <f>IF($A45&gt;$C$5," ",SUM($C$20:C45))</f>
        <v>-1646.7443691843955</v>
      </c>
      <c r="L45" s="1027">
        <f ca="1">IF($A45&gt;$C$5," ",SUM($D$20:D45))</f>
        <v>1474.6409117075809</v>
      </c>
      <c r="M45" s="1027">
        <f>IF($A45&gt;$C$5," ",SUM($E$20:E45))</f>
        <v>-1118.0448753513026</v>
      </c>
      <c r="N45" s="1379">
        <f ca="1">IF($A45&gt;$C$5," ",SUM($F$20:F45))</f>
        <v>356.59603635627809</v>
      </c>
      <c r="O45" s="1027">
        <f>IF($A45&gt;$C$5," ",SUM($G$20:G45))</f>
        <v>4644.2177812617829</v>
      </c>
      <c r="P45" s="1027">
        <f>IF($A45&gt;$C$5," ",SUM($H$20:H45))</f>
        <v>5724.908190457958</v>
      </c>
      <c r="Q45" s="1027">
        <f ca="1">IF($A45&gt;$C$5," ",SUM($I$20:I45))</f>
        <v>7199.5491021655398</v>
      </c>
      <c r="R45" s="1026">
        <f>IF($A45&gt;$C$5," ",VLOOKUP($A45,Plot!$HM$7:$IA$67,2,FALSE))</f>
        <v>122.09963391292541</v>
      </c>
      <c r="S45" s="1027">
        <f>IF($A45&gt;$C$5," ",VLOOKUP($A45,Plot!$HM$7:$IA$67,3,FALSE))</f>
        <v>-1.1253504067618914</v>
      </c>
      <c r="T45" s="1027">
        <f ca="1">IF($A45&gt;$C$5," ",VLOOKUP($A45,Plot!$HM$7:$IA$67,4,FALSE))</f>
        <v>0</v>
      </c>
      <c r="U45" s="1027">
        <f>IF($A45&gt;$C$5," ",VLOOKUP($A45,Plot!$HM$7:$IA$67,5,FALSE))</f>
        <v>-1.1253504067618914</v>
      </c>
      <c r="V45" s="1379">
        <f t="shared" ca="1" si="16"/>
        <v>-1.1253504067618914</v>
      </c>
      <c r="W45" s="1027">
        <f>IF($A45&gt;$C$5," ",VLOOKUP($A45,Plot!$HM$7:$IA$67,Plot!$HR$2,FALSE))</f>
        <v>150.22274930628132</v>
      </c>
      <c r="X45" s="1027">
        <f>IF($A45&gt;$C$5," ",VLOOKUP($A45,Plot!$HM$7:$IA$67,Plot!$HS$2,FALSE))</f>
        <v>156.33981184228182</v>
      </c>
      <c r="Y45" s="1379">
        <f t="shared" ca="1" si="18"/>
        <v>156.33981184228182</v>
      </c>
      <c r="Z45" s="1026">
        <f>IF($A45&gt;$C$5," ",SUM($R$20:R45))</f>
        <v>9184.1567482258979</v>
      </c>
      <c r="AA45" s="1027">
        <f>IF($A45&gt;$C$5," ",SUM($S$20:S45))</f>
        <v>-1401.0730148599093</v>
      </c>
      <c r="AB45" s="1027">
        <f ca="1">IF($A45&gt;$C$5," ",SUM($T$20:T45))</f>
        <v>1492.284005110379</v>
      </c>
      <c r="AC45" s="1027">
        <f>IF($A45&gt;$C$5," ",SUM($U$20:U45))</f>
        <v>-945.45282680809737</v>
      </c>
      <c r="AD45" s="1379">
        <f t="shared" ca="1" si="22"/>
        <v>546.83117830228161</v>
      </c>
      <c r="AE45" s="1027">
        <f>IF($A45&gt;$C$5," ",SUM($W$20:W45))</f>
        <v>958.77259011618105</v>
      </c>
      <c r="AF45" s="1027">
        <f>IF($A45&gt;$C$5," ",SUM($X$20:X45))</f>
        <v>1621.4538452122295</v>
      </c>
      <c r="AG45" s="1027">
        <f t="shared" ca="1" si="23"/>
        <v>3113.7378503226082</v>
      </c>
      <c r="AH45" s="1394">
        <f>IF($A45&gt;$C$5," ",VLOOKUP($A45,Plot!$A$7:$D$67,4,FALSE))</f>
        <v>1</v>
      </c>
      <c r="AI45" s="1390">
        <f>IF($A45&gt;$C$5," ",VLOOKUP($A45,Plot!$A$7:$E$67,5,FALSE))</f>
        <v>7.1984437274483266</v>
      </c>
      <c r="AJ45" s="1390">
        <f ca="1">IF($A45&gt;$C$5," ",IF(ROW()-ROW($A$18)&gt;='Options and results'!$AR$56,AVERAGE(OFFSET(AI45,0,0,COUNTA($BS:$BS)-'Options and results'!$AR$56,1)),NA()))</f>
        <v>6.1110400979808865</v>
      </c>
      <c r="AK45" s="1395">
        <f>IF($A45&gt;$C$5," ",VLOOKUP($A45,Plot!$A$7:$F$67,6,FALSE))</f>
        <v>2.8793774909793308</v>
      </c>
      <c r="AL45" s="1390">
        <f>IF($A45&gt;$C$5," ",VLOOKUP($A45,Plot!$CK$7:$CN$67,4,FALSE))</f>
        <v>0.99</v>
      </c>
      <c r="AM45" s="1390">
        <f ca="1">IF($A45&gt;$C$5," ",AL45*VLOOKUP($A45,Plot!$CK$7:$CO$67,5,FALSE))</f>
        <v>0</v>
      </c>
      <c r="AN45" s="1390">
        <f ca="1">IF($A45&gt;$C$5," ",IF(ROW()-ROW($A$18)&gt;='Options and results'!$AR$56,AVERAGE(OFFSET(AM45,0,0,COUNTA($BS:$BS)-'Options and results'!$AR$56,1)),NA()))</f>
        <v>0</v>
      </c>
      <c r="AO45" s="1390">
        <f ca="1">IF($A45&gt;$C$5," ",VLOOKUP($A45,Plot!$CK$7:$CP$67,6,FALSE))</f>
        <v>0</v>
      </c>
      <c r="AP45" s="1409">
        <f>IF($A45&gt;$C$5,0,VLOOKUP($A45,Plot!$V$7:$AH$67,7,FALSE))</f>
        <v>156</v>
      </c>
      <c r="AQ45" s="1390">
        <f>IF($A45&gt;$C$5," ",VLOOKUP($A45,Plot!$V$7:$AH$67,13,FALSE))</f>
        <v>173.98121790139112</v>
      </c>
      <c r="AR45" s="1390">
        <f>IF($A45&gt;$C$5," ",VLOOKUP($A45,Plot!$V$7:$AI$67,14,FALSE))</f>
        <v>1.1152642173166096</v>
      </c>
      <c r="AS45" s="1390">
        <f>IF($A45&gt;$C$5," ",VLOOKUP($A45,Plot!$V$7:$AJ$67,15,FALSE))</f>
        <v>0</v>
      </c>
      <c r="AT45" s="1390">
        <f>IF($A45&gt;$C$5," ",AQ45+SUM($AS$20:AS45)+IF(AP46=0,-AQ45,0))</f>
        <v>173.98121790139112</v>
      </c>
      <c r="AU45" s="1390">
        <f>IF($A45&gt;$C$5," ",VLOOKUP($A45,Plot!$V$7:$AL$67,Plot!$AL$2,FALSE))</f>
        <v>0</v>
      </c>
      <c r="AV45" s="1395">
        <f>IF($A45&gt;$C$5," ",VLOOKUP($A45,Plot!$V$7:$AM$67,Plot!$AM$2,FALSE))</f>
        <v>0</v>
      </c>
      <c r="AW45" s="1407">
        <f>IF($A45&gt;$C$5,0,VLOOKUP($A45,Plot!$DF$7:$DS$67,7,FALSE))</f>
        <v>100</v>
      </c>
      <c r="AX45" s="1390">
        <f>IF($A45&gt;$C$5," ",VLOOKUP($A45,Plot!$DF$7:$DS$67,14,FALSE))</f>
        <v>168.76825700103655</v>
      </c>
      <c r="AY45" s="1390">
        <f>IF($A45&gt;$C$5," ",VLOOKUP($A45,Plot!$DF$7:$DT$67,15,FALSE))</f>
        <v>1.6876825700103655</v>
      </c>
      <c r="AZ45" s="1390">
        <f>IF($A45&gt;$C$5," ",VLOOKUP($A45,Plot!$DF$7:$DU$67,16,FALSE))</f>
        <v>0</v>
      </c>
      <c r="BA45" s="1390">
        <f>IF($A45&gt;$C$5," ",AX45+SUM($AZ$20:AZ45)+IF(AW46=0,-AX45,0))</f>
        <v>168.76825700103655</v>
      </c>
      <c r="BB45" s="1390">
        <f>IF($A45&gt;$C$5," ",VLOOKUP($A45,Plot!$DF$7:$DW$67,Plot!$DW$2,FALSE))</f>
        <v>0</v>
      </c>
      <c r="BC45" s="1390">
        <f>IF($A45&gt;$C$5," ",VLOOKUP($A45,Plot!$DF$7:$DX$67,Plot!$DX$2,FALSE))</f>
        <v>0</v>
      </c>
      <c r="BD45" s="1396">
        <f>IF($A45&gt;$C$5," ",VLOOKUP($A45,Plot!$A$7:$N$67,14,FALSE))</f>
        <v>11.632834596849463</v>
      </c>
      <c r="BE45" s="303">
        <f>IF($A45&gt;$C$5," ",VLOOKUP($A45,Plot!$V$7:$BW$67,Plot!$BW$2,FALSE))</f>
        <v>0</v>
      </c>
      <c r="BF45" s="303">
        <f>IF($A45&gt;$C$5," ",VLOOKUP($A45,Plot!$CK$7:$CX$67,14,FALSE))</f>
        <v>0</v>
      </c>
      <c r="BG45" s="303">
        <f>IF($A45&gt;$C$5," ",VLOOKUP($A45,Plot!$DF$7:$FH$67,Plot!$FH$2,FALSE))</f>
        <v>0</v>
      </c>
      <c r="BH45" s="1397">
        <f t="shared" si="24"/>
        <v>0</v>
      </c>
      <c r="BI45" s="303">
        <f>IF($A45&gt;$C$5," ",VLOOKUP($A45,Plot!$DF$7:$EJ$67,29,FALSE))</f>
        <v>0</v>
      </c>
      <c r="BJ45" s="303">
        <f>IF($A45&gt;$C$5," ",VLOOKUP($A45,Plot!$DF$7:$FT$67,30,FALSE))</f>
        <v>0</v>
      </c>
      <c r="BK45" s="303">
        <f>IF($A45&gt;$C$5," ",VLOOKUP($A45,Plot!$DF$7:$FT$67,Plot!$EL$2,FALSE))</f>
        <v>0</v>
      </c>
      <c r="BL45" s="303">
        <f>IF($A45&gt;$C$5," ",VLOOKUP($A45,Plot!$DF$7:$FT$67,Plot!$EM$2,FALSE))</f>
        <v>0</v>
      </c>
      <c r="BM45" s="303">
        <f>IF($A45&gt;$C$5," ",VLOOKUP($A45,Plot!$DF$7:$FT$67,Plot!$EN$2,FALSE))</f>
        <v>0</v>
      </c>
      <c r="BN45" s="303">
        <f>IF($A45&gt;$C$5," ",VLOOKUP($A45,Plot!$DF$7:$FT$67,Plot!$EO$2,FALSE))</f>
        <v>0</v>
      </c>
      <c r="BO45" s="303">
        <f t="shared" si="19"/>
        <v>0</v>
      </c>
      <c r="BP45" s="303">
        <f>IF($A45&gt;$C$5," ",VLOOKUP($A45,Plot!$DF$7:$FT$67,Plot!$EQ$2,FALSE))</f>
        <v>0</v>
      </c>
      <c r="BQ45" s="303">
        <f>IF($A45&gt;$C$5," ",(VLOOKUP($A45,Plot!$DF$7:$FT$67,Plot!$ES$2,FALSE)+VLOOKUP($A45,Plot!$DF$7:$FT$67,Plot!$ET$2,FALSE)))</f>
        <v>0</v>
      </c>
      <c r="BR45" s="303">
        <f>IF($A45&gt;$C$5," ",(VLOOKUP($A45,Plot!$DF$7:$FT$67,Plot!$EV$2,FALSE)+VLOOKUP($A45,Plot!$DF$7:$FT$67,Plot!$EW$2,FALSE)))</f>
        <v>0</v>
      </c>
      <c r="BS45" s="303">
        <f>IF($A45&gt;$C$5," ",VLOOKUP($A45,Plot!$DF$7:$FT$67,Plot!$EY$2,FALSE))</f>
        <v>0</v>
      </c>
      <c r="BT45" s="303">
        <f>IF($A45&gt;$C$5," ",(VLOOKUP($A45,Plot!$DF$7:$FT$67,Plot!$FB$2,FALSE)+VLOOKUP($A45,Plot!$DF$7:$FT$67,Plot!$FC$2,FALSE)))</f>
        <v>0</v>
      </c>
      <c r="BU45" s="303">
        <f>IF($A45&gt;$C$5," ",(VLOOKUP($A45,Plot!$DF$7:$FT$67,Plot!$FE$2,FALSE)+VLOOKUP($A45,Plot!$DF$7:$FT$67,Plot!$FF$2,FALSE)))</f>
        <v>0</v>
      </c>
      <c r="BV45" s="1026">
        <f>IF($A45&gt;$C$5," ",VLOOKUP($A45,Plot!$FV$7:$GJ$67,2,FALSE))</f>
        <v>509.29850931519667</v>
      </c>
      <c r="BW45" s="1027">
        <f>IF($A45&gt;$C$5," ",VLOOKUP($A45,Plot!$FV$7:$GJ$67,3,FALSE))</f>
        <v>0</v>
      </c>
      <c r="BX45" s="1379">
        <f ca="1">IF($A45&gt;$C$5," ",VLOOKUP($A45,Plot!$FV$7:$GJ$67,6,FALSE))</f>
        <v>0</v>
      </c>
      <c r="BY45" s="1026">
        <f>IF($A45&gt;$C$5," ",VLOOKUP($A45,Plot!$GO$7:$GY$67,2,FALSE))</f>
        <v>88.227471890132279</v>
      </c>
      <c r="BZ45" s="1027">
        <f>IF($A45&gt;$C$5," ",VLOOKUP($A45,Plot!$GO$7:$GY$67,3,FALSE))</f>
        <v>0</v>
      </c>
      <c r="CA45" s="1379">
        <f>IF($A45&gt;$C$5," ",VLOOKUP($A45,Plot!$GO$7:$GY$67,6,FALSE))</f>
        <v>0</v>
      </c>
      <c r="CB45" s="1027">
        <f>IF($A45&gt;$C$5," ",-1*VLOOKUP($A45,Plot!$HA$7:$HK$67,2,FALSE))</f>
        <v>-475.42634729240348</v>
      </c>
      <c r="CC45" s="1027">
        <f>IF($A45&gt;$C$5," ",-1*VLOOKUP($A45,Plot!$HA$7:$HK$67,3,FALSE))</f>
        <v>-1.1253504067618914</v>
      </c>
      <c r="CD45" s="1189">
        <f>IF($A45&gt;$C$5," ",-1*VLOOKUP($A45,Plot!$HA$7:$HK$67,6,FALSE))</f>
        <v>-1.1253504067618914</v>
      </c>
      <c r="CE45" s="10"/>
      <c r="CF45" s="38">
        <v>26</v>
      </c>
      <c r="CG45" s="1381">
        <f>IF($CF45&gt;$C$5," ",VLOOKUP($CF45,Unit!$A$7:$BE$68,22,FALSE))</f>
        <v>33.340000000000003</v>
      </c>
      <c r="CH45" s="1027">
        <f>IF($CF45&gt;$C$5," ",VLOOKUP($CF45,Unit!$A$7:$BE$68,23,FALSE))</f>
        <v>33.33</v>
      </c>
      <c r="CI45" s="1027">
        <f>IF($CF45&gt;$C$5," ",VLOOKUP($CF45,Unit!$A$7:$BE$68,24,FALSE))</f>
        <v>32.996699999999997</v>
      </c>
      <c r="CJ45" s="1189">
        <f>IF($CF45&gt;$C$5," ",VLOOKUP($CF45,Unit!$A$7:$BE$68,25,FALSE))</f>
        <v>0.33330000000000026</v>
      </c>
      <c r="CK45" s="1381">
        <f>IF($CF45&gt;$C$5," ",VLOOKUP($CF45,Unit!$A$7:$BE$68,27,FALSE))</f>
        <v>239.99611387312723</v>
      </c>
      <c r="CL45" s="1027">
        <f>IF($CF45&gt;$C$5," ",VLOOKUP($CF45,Unit!$A$7:$BE$68,28,FALSE))</f>
        <v>5798.7939926533654</v>
      </c>
      <c r="CM45" s="1027">
        <f>IF($CF45&gt;$C$5," ",VLOOKUP($CF45,Unit!$A$7:$BE$68,29,FALSE))</f>
        <v>0</v>
      </c>
      <c r="CN45" s="1027">
        <f ca="1">IF($CF45&gt;$C$5," ",VLOOKUP($CF45,Unit!$A$7:$BE$68,30,FALSE))</f>
        <v>0</v>
      </c>
      <c r="CO45" s="1027">
        <f>IF($CF45&gt;$C$5," ",VLOOKUP($CF45,Unit!$A$7:$BE$68,31,FALSE))</f>
        <v>5625.0460058445478</v>
      </c>
      <c r="CP45" s="1027">
        <f>IF($CF45&gt;$C$5," ",VLOOKUP($CF45,Unit!$A$7:$BE$68,32,FALSE))</f>
        <v>0</v>
      </c>
      <c r="CQ45" s="1381">
        <f>IF($CF45&gt;$C$5," ",VLOOKUP($CF45,Unit!$A$7:$BE$68,33,FALSE))</f>
        <v>387.83870545896116</v>
      </c>
      <c r="CR45" s="1027">
        <f>IF($CF45&gt;$C$5," ",VLOOKUP($CF45,Unit!$A$7:$BE$68,34,FALSE))</f>
        <v>0</v>
      </c>
      <c r="CS45" s="1027">
        <f>IF($CF45&gt;$C$5," ",VLOOKUP($CF45,Unit!$A$7:$BE$68,35,FALSE))</f>
        <v>0</v>
      </c>
      <c r="CT45" s="1027">
        <f>IF($CF45&gt;$C$5," ",VLOOKUP($CF45,Unit!$A$7:$BE$68,36,FALSE))</f>
        <v>0</v>
      </c>
      <c r="CU45" s="1189">
        <f t="shared" si="20"/>
        <v>0</v>
      </c>
      <c r="CV45" s="1027">
        <f>IF($CF45&gt;$C$5," ",VLOOKUP($CF45,Unit!$A$7:$BA$68,43,FALSE))</f>
        <v>457315.12940405629</v>
      </c>
      <c r="CW45" s="1027">
        <f>IF($CF45&gt;$C$5," ",VLOOKUP($CF45,Unit!$A$7:$BB$68,44,FALSE))</f>
        <v>-54885.989824915872</v>
      </c>
      <c r="CX45" s="1189">
        <f ca="1">IF($CF45&gt;$C$5," ",VLOOKUP($CF45,Unit!$A$7:$BE$68,47,FALSE))</f>
        <v>11885.345891754754</v>
      </c>
      <c r="CY45" s="1381">
        <f>IF($CF45&gt;$C$5," ",VLOOKUP($CF45,Unit!$A$7:$BA$68,53,FALSE))</f>
        <v>306199.78598585154</v>
      </c>
      <c r="CZ45" s="1027">
        <f>IF($CF45&gt;$C$5," ",VLOOKUP($CF45,Unit!$A$7:$BB$68,54,FALSE))</f>
        <v>-46697.763585280765</v>
      </c>
      <c r="DA45" s="1189">
        <f ca="1">IF($CF45&gt;$C$5," ",VLOOKUP($CF45,Unit!$A$7:$BE$68,57,FALSE))</f>
        <v>18225.88317281504</v>
      </c>
    </row>
    <row r="46" spans="1:105" x14ac:dyDescent="0.25">
      <c r="A46" s="38">
        <v>27</v>
      </c>
      <c r="B46" s="1381">
        <f>IF($A46&gt;$C$5," ",VLOOKUP($A46,Plot!$A$7:$T$67,Plot!P$2,FALSE))</f>
        <v>-548.04192289249738</v>
      </c>
      <c r="C46" s="1027">
        <f>IF($A46&gt;$C$5," ",VLOOKUP($A46,Plot!$V$7:$CI$67,Plot!$CA$2,FALSE))</f>
        <v>-3</v>
      </c>
      <c r="D46" s="1027">
        <f ca="1">IF($A46&gt;$C$5," ",VLOOKUP($A46,Plot!$CK$7:$DD$67,Plot!$CZ$2,FALSE))</f>
        <v>0</v>
      </c>
      <c r="E46" s="1027">
        <f>IF($A46&gt;$C$5," ",VLOOKUP($A46,Plot!$DF$7:$FT$67,Plot!$FL$2,FALSE))</f>
        <v>-3</v>
      </c>
      <c r="F46" s="1379">
        <f t="shared" ca="1" si="21"/>
        <v>-3</v>
      </c>
      <c r="G46" s="1026">
        <f>IF($A46&gt;$C$5," ",VLOOKUP($A46,Plot!$V$7:$CG$67,Plot!$CG$2,FALSE))</f>
        <v>473.35601753695619</v>
      </c>
      <c r="H46" s="1027">
        <f>IF($A46&gt;$C$5," ",VLOOKUP($A46,Plot!$DF$7:$FT$67,Plot!$FR$2,FALSE))</f>
        <v>862.27790616105017</v>
      </c>
      <c r="I46" s="1379">
        <f t="shared" ca="1" si="17"/>
        <v>862.27790616105017</v>
      </c>
      <c r="J46" s="1026">
        <f>IF($A46&gt;$C$5," ",SUM(B$20:$B46))</f>
        <v>13168.66861712119</v>
      </c>
      <c r="K46" s="1027">
        <f>IF($A46&gt;$C$5," ",SUM($C$20:C46))</f>
        <v>-1649.7443691843955</v>
      </c>
      <c r="L46" s="1027">
        <f ca="1">IF($A46&gt;$C$5," ",SUM($D$20:D46))</f>
        <v>1474.6409117075809</v>
      </c>
      <c r="M46" s="1027">
        <f>IF($A46&gt;$C$5," ",SUM($E$20:E46))</f>
        <v>-1121.0448753513026</v>
      </c>
      <c r="N46" s="1379">
        <f ca="1">IF($A46&gt;$C$5," ",SUM($F$20:F46))</f>
        <v>353.59603635627809</v>
      </c>
      <c r="O46" s="1027">
        <f>IF($A46&gt;$C$5," ",SUM($G$20:G46))</f>
        <v>5117.5737987987395</v>
      </c>
      <c r="P46" s="1027">
        <f>IF($A46&gt;$C$5," ",SUM($H$20:H46))</f>
        <v>6587.1860966190079</v>
      </c>
      <c r="Q46" s="1027">
        <f ca="1">IF($A46&gt;$C$5," ",SUM($I$20:I46))</f>
        <v>8061.8270083265897</v>
      </c>
      <c r="R46" s="1026">
        <f>IF($A46&gt;$C$5," ",VLOOKUP($A46,Plot!$HM$7:$IA$67,2,FALSE))</f>
        <v>-197.67282078514131</v>
      </c>
      <c r="S46" s="1027">
        <f>IF($A46&gt;$C$5," ",VLOOKUP($A46,Plot!$HM$7:$IA$67,3,FALSE))</f>
        <v>-1.082067698809511</v>
      </c>
      <c r="T46" s="1027">
        <f ca="1">IF($A46&gt;$C$5," ",VLOOKUP($A46,Plot!$HM$7:$IA$67,4,FALSE))</f>
        <v>0</v>
      </c>
      <c r="U46" s="1027">
        <f>IF($A46&gt;$C$5," ",VLOOKUP($A46,Plot!$HM$7:$IA$67,5,FALSE))</f>
        <v>-1.082067698809511</v>
      </c>
      <c r="V46" s="1379">
        <f t="shared" ca="1" si="16"/>
        <v>-1.082067698809511</v>
      </c>
      <c r="W46" s="1027">
        <f>IF($A46&gt;$C$5," ",VLOOKUP($A46,Plot!$HM$7:$IA$67,Plot!$HR$2,FALSE))</f>
        <v>79.971126372202548</v>
      </c>
      <c r="X46" s="1027">
        <f>IF($A46&gt;$C$5," ",VLOOKUP($A46,Plot!$HM$7:$IA$67,Plot!$HS$2,FALSE))</f>
        <v>212.28717685823506</v>
      </c>
      <c r="Y46" s="1379">
        <f t="shared" ca="1" si="18"/>
        <v>212.28717685823506</v>
      </c>
      <c r="Z46" s="1026">
        <f>IF($A46&gt;$C$5," ",SUM($R$20:R46))</f>
        <v>8986.4839274407568</v>
      </c>
      <c r="AA46" s="1027">
        <f>IF($A46&gt;$C$5," ",SUM($S$20:S46))</f>
        <v>-1402.155082558719</v>
      </c>
      <c r="AB46" s="1027">
        <f ca="1">IF($A46&gt;$C$5," ",SUM($T$20:T46))</f>
        <v>1492.284005110379</v>
      </c>
      <c r="AC46" s="1027">
        <f>IF($A46&gt;$C$5," ",SUM($U$20:U46))</f>
        <v>-946.53489450690688</v>
      </c>
      <c r="AD46" s="1379">
        <f t="shared" ca="1" si="22"/>
        <v>545.7491106034721</v>
      </c>
      <c r="AE46" s="1027">
        <f>IF($A46&gt;$C$5," ",SUM($W$20:W46))</f>
        <v>1038.7437164883836</v>
      </c>
      <c r="AF46" s="1027">
        <f>IF($A46&gt;$C$5," ",SUM($X$20:X46))</f>
        <v>1833.7410220704646</v>
      </c>
      <c r="AG46" s="1027">
        <f t="shared" ca="1" si="23"/>
        <v>3326.0250271808436</v>
      </c>
      <c r="AH46" s="1394">
        <f>IF($A46&gt;$C$5," ",VLOOKUP($A46,Plot!$A$7:$D$67,4,FALSE))</f>
        <v>1</v>
      </c>
      <c r="AI46" s="1390">
        <f>IF($A46&gt;$C$5," ",VLOOKUP($A46,Plot!$A$7:$E$67,5,FALSE))</f>
        <v>1.8398642279853941</v>
      </c>
      <c r="AJ46" s="1390">
        <f ca="1">IF($A46&gt;$C$5," ",IF(ROW()-ROW($A$18)&gt;='Options and results'!$AR$56,AVERAGE(OFFSET(AI46,0,0,COUNTA($BS:$BS)-'Options and results'!$AR$56,1)),NA()))</f>
        <v>5.839189190614027</v>
      </c>
      <c r="AK46" s="1395">
        <f>IF($A46&gt;$C$5," ",VLOOKUP($A46,Plot!$A$7:$F$67,6,FALSE))</f>
        <v>1.1039185367912363</v>
      </c>
      <c r="AL46" s="1390">
        <f>IF($A46&gt;$C$5," ",VLOOKUP($A46,Plot!$CK$7:$CN$67,4,FALSE))</f>
        <v>0.99</v>
      </c>
      <c r="AM46" s="1390">
        <f ca="1">IF($A46&gt;$C$5," ",AL46*VLOOKUP($A46,Plot!$CK$7:$CO$67,5,FALSE))</f>
        <v>0</v>
      </c>
      <c r="AN46" s="1390">
        <f ca="1">IF($A46&gt;$C$5," ",IF(ROW()-ROW($A$18)&gt;='Options and results'!$AR$56,AVERAGE(OFFSET(AM46,0,0,COUNTA($BS:$BS)-'Options and results'!$AR$56,1)),NA()))</f>
        <v>0</v>
      </c>
      <c r="AO46" s="1390">
        <f ca="1">IF($A46&gt;$C$5," ",VLOOKUP($A46,Plot!$CK$7:$CP$67,6,FALSE))</f>
        <v>0</v>
      </c>
      <c r="AP46" s="1409">
        <f>IF($A46&gt;$C$5,0,VLOOKUP($A46,Plot!$V$7:$AH$67,7,FALSE))</f>
        <v>156</v>
      </c>
      <c r="AQ46" s="1390">
        <f>IF($A46&gt;$C$5," ",VLOOKUP($A46,Plot!$V$7:$AH$67,13,FALSE))</f>
        <v>187.15519639685195</v>
      </c>
      <c r="AR46" s="1390">
        <f>IF($A46&gt;$C$5," ",VLOOKUP($A46,Plot!$V$7:$AI$67,14,FALSE))</f>
        <v>1.1997127974157176</v>
      </c>
      <c r="AS46" s="1390">
        <f>IF($A46&gt;$C$5," ",VLOOKUP($A46,Plot!$V$7:$AJ$67,15,FALSE))</f>
        <v>0</v>
      </c>
      <c r="AT46" s="1390">
        <f>IF($A46&gt;$C$5," ",AQ46+SUM($AS$20:AS46)+IF(AP47=0,-AQ46,0))</f>
        <v>187.15519639685195</v>
      </c>
      <c r="AU46" s="1390">
        <f>IF($A46&gt;$C$5," ",VLOOKUP($A46,Plot!$V$7:$AL$67,Plot!$AL$2,FALSE))</f>
        <v>0</v>
      </c>
      <c r="AV46" s="1395">
        <f>IF($A46&gt;$C$5," ",VLOOKUP($A46,Plot!$V$7:$AM$67,Plot!$AM$2,FALSE))</f>
        <v>0</v>
      </c>
      <c r="AW46" s="1407">
        <f>IF($A46&gt;$C$5,0,VLOOKUP($A46,Plot!$DF$7:$DS$67,7,FALSE))</f>
        <v>100</v>
      </c>
      <c r="AX46" s="1390">
        <f>IF($A46&gt;$C$5," ",VLOOKUP($A46,Plot!$DF$7:$DS$67,14,FALSE))</f>
        <v>183.18912776364732</v>
      </c>
      <c r="AY46" s="1390">
        <f>IF($A46&gt;$C$5," ",VLOOKUP($A46,Plot!$DF$7:$DT$67,15,FALSE))</f>
        <v>1.8318912776364733</v>
      </c>
      <c r="AZ46" s="1390">
        <f>IF($A46&gt;$C$5," ",VLOOKUP($A46,Plot!$DF$7:$DU$67,16,FALSE))</f>
        <v>0</v>
      </c>
      <c r="BA46" s="1390">
        <f>IF($A46&gt;$C$5," ",AX46+SUM($AZ$20:AZ46)+IF(AW47=0,-AX46,0))</f>
        <v>183.18912776364732</v>
      </c>
      <c r="BB46" s="1390">
        <f>IF($A46&gt;$C$5," ",VLOOKUP($A46,Plot!$DF$7:$DW$67,Plot!$DW$2,FALSE))</f>
        <v>0</v>
      </c>
      <c r="BC46" s="1390">
        <f>IF($A46&gt;$C$5," ",VLOOKUP($A46,Plot!$DF$7:$DX$67,Plot!$DX$2,FALSE))</f>
        <v>0</v>
      </c>
      <c r="BD46" s="1396">
        <f>IF($A46&gt;$C$5," ",VLOOKUP($A46,Plot!$A$7:$N$67,14,FALSE))</f>
        <v>10.833689569810836</v>
      </c>
      <c r="BE46" s="303">
        <f>IF($A46&gt;$C$5," ",VLOOKUP($A46,Plot!$V$7:$BW$67,Plot!$BW$2,FALSE))</f>
        <v>0</v>
      </c>
      <c r="BF46" s="303">
        <f>IF($A46&gt;$C$5," ",VLOOKUP($A46,Plot!$CK$7:$CX$67,14,FALSE))</f>
        <v>0</v>
      </c>
      <c r="BG46" s="303">
        <f>IF($A46&gt;$C$5," ",VLOOKUP($A46,Plot!$DF$7:$FH$67,Plot!$FH$2,FALSE))</f>
        <v>0</v>
      </c>
      <c r="BH46" s="1397">
        <f t="shared" si="24"/>
        <v>0</v>
      </c>
      <c r="BI46" s="303">
        <f>IF($A46&gt;$C$5," ",VLOOKUP($A46,Plot!$DF$7:$EJ$67,29,FALSE))</f>
        <v>0</v>
      </c>
      <c r="BJ46" s="303">
        <f>IF($A46&gt;$C$5," ",VLOOKUP($A46,Plot!$DF$7:$FT$67,30,FALSE))</f>
        <v>0</v>
      </c>
      <c r="BK46" s="303">
        <f>IF($A46&gt;$C$5," ",VLOOKUP($A46,Plot!$DF$7:$FT$67,Plot!$EL$2,FALSE))</f>
        <v>0</v>
      </c>
      <c r="BL46" s="303">
        <f>IF($A46&gt;$C$5," ",VLOOKUP($A46,Plot!$DF$7:$FT$67,Plot!$EM$2,FALSE))</f>
        <v>0</v>
      </c>
      <c r="BM46" s="303">
        <f>IF($A46&gt;$C$5," ",VLOOKUP($A46,Plot!$DF$7:$FT$67,Plot!$EN$2,FALSE))</f>
        <v>0</v>
      </c>
      <c r="BN46" s="303">
        <f>IF($A46&gt;$C$5," ",VLOOKUP($A46,Plot!$DF$7:$FT$67,Plot!$EO$2,FALSE))</f>
        <v>0</v>
      </c>
      <c r="BO46" s="303">
        <f t="shared" si="19"/>
        <v>0</v>
      </c>
      <c r="BP46" s="303">
        <f>IF($A46&gt;$C$5," ",VLOOKUP($A46,Plot!$DF$7:$FT$67,Plot!$EQ$2,FALSE))</f>
        <v>0</v>
      </c>
      <c r="BQ46" s="303">
        <f>IF($A46&gt;$C$5," ",(VLOOKUP($A46,Plot!$DF$7:$FT$67,Plot!$ES$2,FALSE)+VLOOKUP($A46,Plot!$DF$7:$FT$67,Plot!$ET$2,FALSE)))</f>
        <v>0</v>
      </c>
      <c r="BR46" s="303">
        <f>IF($A46&gt;$C$5," ",(VLOOKUP($A46,Plot!$DF$7:$FT$67,Plot!$EV$2,FALSE)+VLOOKUP($A46,Plot!$DF$7:$FT$67,Plot!$EW$2,FALSE)))</f>
        <v>0</v>
      </c>
      <c r="BS46" s="303">
        <f>IF($A46&gt;$C$5," ",VLOOKUP($A46,Plot!$DF$7:$FT$67,Plot!$EY$2,FALSE))</f>
        <v>0</v>
      </c>
      <c r="BT46" s="303">
        <f>IF($A46&gt;$C$5," ",(VLOOKUP($A46,Plot!$DF$7:$FT$67,Plot!$FB$2,FALSE)+VLOOKUP($A46,Plot!$DF$7:$FT$67,Plot!$FC$2,FALSE)))</f>
        <v>0</v>
      </c>
      <c r="BU46" s="303">
        <f>IF($A46&gt;$C$5," ",(VLOOKUP($A46,Plot!$DF$7:$FT$67,Plot!$FE$2,FALSE)+VLOOKUP($A46,Plot!$DF$7:$FT$67,Plot!$FF$2,FALSE)))</f>
        <v>0</v>
      </c>
      <c r="BV46" s="1026">
        <f>IF($A46&gt;$C$5," ",VLOOKUP($A46,Plot!$FV$7:$GJ$67,2,FALSE))</f>
        <v>127.89417022876084</v>
      </c>
      <c r="BW46" s="1027">
        <f>IF($A46&gt;$C$5," ",VLOOKUP($A46,Plot!$FV$7:$GJ$67,3,FALSE))</f>
        <v>0</v>
      </c>
      <c r="BX46" s="1379">
        <f ca="1">IF($A46&gt;$C$5," ",VLOOKUP($A46,Plot!$FV$7:$GJ$67,6,FALSE))</f>
        <v>0</v>
      </c>
      <c r="BY46" s="1026">
        <f>IF($A46&gt;$C$5," ",VLOOKUP($A46,Plot!$GO$7:$GY$67,2,FALSE))</f>
        <v>84.834107586665652</v>
      </c>
      <c r="BZ46" s="1027">
        <f>IF($A46&gt;$C$5," ",VLOOKUP($A46,Plot!$GO$7:$GY$67,3,FALSE))</f>
        <v>0</v>
      </c>
      <c r="CA46" s="1379">
        <f>IF($A46&gt;$C$5," ",VLOOKUP($A46,Plot!$GO$7:$GY$67,6,FALSE))</f>
        <v>0</v>
      </c>
      <c r="CB46" s="1027">
        <f>IF($A46&gt;$C$5," ",-1*VLOOKUP($A46,Plot!$HA$7:$HK$67,2,FALSE))</f>
        <v>-410.40109860056782</v>
      </c>
      <c r="CC46" s="1027">
        <f>IF($A46&gt;$C$5," ",-1*VLOOKUP($A46,Plot!$HA$7:$HK$67,3,FALSE))</f>
        <v>-1.082067698809511</v>
      </c>
      <c r="CD46" s="1189">
        <f>IF($A46&gt;$C$5," ",-1*VLOOKUP($A46,Plot!$HA$7:$HK$67,6,FALSE))</f>
        <v>-1.082067698809511</v>
      </c>
      <c r="CE46" s="10"/>
      <c r="CF46" s="38">
        <v>27</v>
      </c>
      <c r="CG46" s="1381">
        <f>IF($CF46&gt;$C$5," ",VLOOKUP($CF46,Unit!$A$7:$BE$68,22,FALSE))</f>
        <v>33.340000000000003</v>
      </c>
      <c r="CH46" s="1027">
        <f>IF($CF46&gt;$C$5," ",VLOOKUP($CF46,Unit!$A$7:$BE$68,23,FALSE))</f>
        <v>33.33</v>
      </c>
      <c r="CI46" s="1027">
        <f>IF($CF46&gt;$C$5," ",VLOOKUP($CF46,Unit!$A$7:$BE$68,24,FALSE))</f>
        <v>32.996699999999997</v>
      </c>
      <c r="CJ46" s="1189">
        <f>IF($CF46&gt;$C$5," ",VLOOKUP($CF46,Unit!$A$7:$BE$68,25,FALSE))</f>
        <v>0.33330000000000026</v>
      </c>
      <c r="CK46" s="1381">
        <f>IF($CF46&gt;$C$5," ",VLOOKUP($CF46,Unit!$A$7:$BE$68,27,FALSE))</f>
        <v>61.341073361033047</v>
      </c>
      <c r="CL46" s="1027">
        <f>IF($CF46&gt;$C$5," ",VLOOKUP($CF46,Unit!$A$7:$BE$68,28,FALSE))</f>
        <v>6237.8826959070748</v>
      </c>
      <c r="CM46" s="1027">
        <f>IF($CF46&gt;$C$5," ",VLOOKUP($CF46,Unit!$A$7:$BE$68,29,FALSE))</f>
        <v>0</v>
      </c>
      <c r="CN46" s="1027">
        <f ca="1">IF($CF46&gt;$C$5," ",VLOOKUP($CF46,Unit!$A$7:$BE$68,30,FALSE))</f>
        <v>0</v>
      </c>
      <c r="CO46" s="1027">
        <f>IF($CF46&gt;$C$5," ",VLOOKUP($CF46,Unit!$A$7:$BE$68,31,FALSE))</f>
        <v>6105.6936283623645</v>
      </c>
      <c r="CP46" s="1027">
        <f>IF($CF46&gt;$C$5," ",VLOOKUP($CF46,Unit!$A$7:$BE$68,32,FALSE))</f>
        <v>0</v>
      </c>
      <c r="CQ46" s="1381">
        <f>IF($CF46&gt;$C$5," ",VLOOKUP($CF46,Unit!$A$7:$BE$68,33,FALSE))</f>
        <v>361.19521025749333</v>
      </c>
      <c r="CR46" s="1027">
        <f>IF($CF46&gt;$C$5," ",VLOOKUP($CF46,Unit!$A$7:$BE$68,34,FALSE))</f>
        <v>0</v>
      </c>
      <c r="CS46" s="1027">
        <f>IF($CF46&gt;$C$5," ",VLOOKUP($CF46,Unit!$A$7:$BE$68,35,FALSE))</f>
        <v>0</v>
      </c>
      <c r="CT46" s="1027">
        <f>IF($CF46&gt;$C$5," ",VLOOKUP($CF46,Unit!$A$7:$BE$68,36,FALSE))</f>
        <v>0</v>
      </c>
      <c r="CU46" s="1189">
        <f t="shared" si="20"/>
        <v>0</v>
      </c>
      <c r="CV46" s="1027">
        <f>IF($CF46&gt;$C$5," ",VLOOKUP($CF46,Unit!$A$7:$BA$68,43,FALSE))</f>
        <v>439043.41169482045</v>
      </c>
      <c r="CW46" s="1027">
        <f>IF($CF46&gt;$C$5," ",VLOOKUP($CF46,Unit!$A$7:$BB$68,44,FALSE))</f>
        <v>-54985.97982491587</v>
      </c>
      <c r="CX46" s="1189">
        <f ca="1">IF($CF46&gt;$C$5," ",VLOOKUP($CF46,Unit!$A$7:$BE$68,47,FALSE))</f>
        <v>11785.355891754754</v>
      </c>
      <c r="CY46" s="1381">
        <f>IF($CF46&gt;$C$5," ",VLOOKUP($CF46,Unit!$A$7:$BA$68,53,FALSE))</f>
        <v>299609.37414087495</v>
      </c>
      <c r="CZ46" s="1027">
        <f>IF($CF46&gt;$C$5," ",VLOOKUP($CF46,Unit!$A$7:$BB$68,54,FALSE))</f>
        <v>-46733.828901682085</v>
      </c>
      <c r="DA46" s="1189">
        <f ca="1">IF($CF46&gt;$C$5," ",VLOOKUP($CF46,Unit!$A$7:$BE$68,57,FALSE))</f>
        <v>18189.81785641372</v>
      </c>
    </row>
    <row r="47" spans="1:105" x14ac:dyDescent="0.25">
      <c r="A47" s="38">
        <v>28</v>
      </c>
      <c r="B47" s="1381">
        <f>IF($A47&gt;$C$5," ",VLOOKUP($A47,Plot!$A$7:$T$67,Plot!P$2,FALSE))</f>
        <v>398.72750413414383</v>
      </c>
      <c r="C47" s="1027">
        <f>IF($A47&gt;$C$5," ",VLOOKUP($A47,Plot!$V$7:$CI$67,Plot!$CA$2,FALSE))</f>
        <v>-3</v>
      </c>
      <c r="D47" s="1027">
        <f ca="1">IF($A47&gt;$C$5," ",VLOOKUP($A47,Plot!$CK$7:$DD$67,Plot!$CZ$2,FALSE))</f>
        <v>0</v>
      </c>
      <c r="E47" s="1027">
        <f>IF($A47&gt;$C$5," ",VLOOKUP($A47,Plot!$DF$7:$FT$67,Plot!$FL$2,FALSE))</f>
        <v>-3</v>
      </c>
      <c r="F47" s="1379">
        <f t="shared" ca="1" si="21"/>
        <v>-3</v>
      </c>
      <c r="G47" s="1026">
        <f>IF($A47&gt;$C$5," ",VLOOKUP($A47,Plot!$V$7:$CG$67,Plot!$CG$2,FALSE))</f>
        <v>558.01141223883087</v>
      </c>
      <c r="H47" s="1027">
        <f>IF($A47&gt;$C$5," ",VLOOKUP($A47,Plot!$DF$7:$FT$67,Plot!$FR$2,FALSE))</f>
        <v>621.14903683032799</v>
      </c>
      <c r="I47" s="1379">
        <f t="shared" ca="1" si="17"/>
        <v>621.14903683032799</v>
      </c>
      <c r="J47" s="1026">
        <f>IF($A47&gt;$C$5," ",SUM(B$20:$B47))</f>
        <v>13567.396121255333</v>
      </c>
      <c r="K47" s="1027">
        <f>IF($A47&gt;$C$5," ",SUM($C$20:C47))</f>
        <v>-1652.7443691843955</v>
      </c>
      <c r="L47" s="1027">
        <f ca="1">IF($A47&gt;$C$5," ",SUM($D$20:D47))</f>
        <v>1474.6409117075809</v>
      </c>
      <c r="M47" s="1027">
        <f>IF($A47&gt;$C$5," ",SUM($E$20:E47))</f>
        <v>-1124.0448753513026</v>
      </c>
      <c r="N47" s="1379">
        <f ca="1">IF($A47&gt;$C$5," ",SUM($F$20:F47))</f>
        <v>350.59603635627809</v>
      </c>
      <c r="O47" s="1027">
        <f>IF($A47&gt;$C$5," ",SUM($G$20:G47))</f>
        <v>5675.5852110375708</v>
      </c>
      <c r="P47" s="1027">
        <f>IF($A47&gt;$C$5," ",SUM($H$20:H47))</f>
        <v>7208.3351334493364</v>
      </c>
      <c r="Q47" s="1027">
        <f ca="1">IF($A47&gt;$C$5," ",SUM($I$20:I47))</f>
        <v>8682.9760451569182</v>
      </c>
      <c r="R47" s="1026">
        <f>IF($A47&gt;$C$5," ",VLOOKUP($A47,Plot!$HM$7:$IA$67,2,FALSE))</f>
        <v>138.28530540079885</v>
      </c>
      <c r="S47" s="1027">
        <f>IF($A47&gt;$C$5," ",VLOOKUP($A47,Plot!$HM$7:$IA$67,3,FALSE))</f>
        <v>-1.0404497103937604</v>
      </c>
      <c r="T47" s="1027">
        <f ca="1">IF($A47&gt;$C$5," ",VLOOKUP($A47,Plot!$HM$7:$IA$67,4,FALSE))</f>
        <v>0</v>
      </c>
      <c r="U47" s="1027">
        <f>IF($A47&gt;$C$5," ",VLOOKUP($A47,Plot!$HM$7:$IA$67,5,FALSE))</f>
        <v>-1.0404497103937604</v>
      </c>
      <c r="V47" s="1379">
        <f t="shared" ca="1" si="16"/>
        <v>-1.0404497103937604</v>
      </c>
      <c r="W47" s="1027">
        <f>IF($A47&gt;$C$5," ",VLOOKUP($A47,Plot!$HM$7:$IA$67,Plot!$HR$2,FALSE))</f>
        <v>99.646881046494755</v>
      </c>
      <c r="X47" s="1027">
        <f>IF($A47&gt;$C$5," ",VLOOKUP($A47,Plot!$HM$7:$IA$67,Plot!$HS$2,FALSE))</f>
        <v>108.49108939469569</v>
      </c>
      <c r="Y47" s="1379">
        <f t="shared" ca="1" si="18"/>
        <v>108.49108939469569</v>
      </c>
      <c r="Z47" s="1026">
        <f>IF($A47&gt;$C$5," ",SUM($R$20:R47))</f>
        <v>9124.769232841556</v>
      </c>
      <c r="AA47" s="1027">
        <f>IF($A47&gt;$C$5," ",SUM($S$20:S47))</f>
        <v>-1403.1955322691126</v>
      </c>
      <c r="AB47" s="1027">
        <f ca="1">IF($A47&gt;$C$5," ",SUM($T$20:T47))</f>
        <v>1492.284005110379</v>
      </c>
      <c r="AC47" s="1027">
        <f>IF($A47&gt;$C$5," ",SUM($U$20:U47))</f>
        <v>-947.57534421730065</v>
      </c>
      <c r="AD47" s="1379">
        <f t="shared" ca="1" si="22"/>
        <v>544.70866089307833</v>
      </c>
      <c r="AE47" s="1027">
        <f>IF($A47&gt;$C$5," ",SUM($W$20:W47))</f>
        <v>1138.3905975348785</v>
      </c>
      <c r="AF47" s="1027">
        <f>IF($A47&gt;$C$5," ",SUM($X$20:X47))</f>
        <v>1942.2321114651604</v>
      </c>
      <c r="AG47" s="1027">
        <f t="shared" ca="1" si="23"/>
        <v>3434.5161165755394</v>
      </c>
      <c r="AH47" s="1394">
        <f>IF($A47&gt;$C$5," ",VLOOKUP($A47,Plot!$A$7:$D$67,4,FALSE))</f>
        <v>1</v>
      </c>
      <c r="AI47" s="1390">
        <f>IF($A47&gt;$C$5," ",VLOOKUP($A47,Plot!$A$7:$E$67,5,FALSE))</f>
        <v>3.7405769215308071</v>
      </c>
      <c r="AJ47" s="1390">
        <f ca="1">IF($A47&gt;$C$5," ",IF(ROW()-ROW($A$18)&gt;='Options and results'!$AR$56,AVERAGE(OFFSET(AI47,0,0,COUNTA($BS:$BS)-'Options and results'!$AR$56,1)),NA()))</f>
        <v>7.1722975114902381</v>
      </c>
      <c r="AK47" s="1395">
        <f>IF($A47&gt;$C$5," ",VLOOKUP($A47,Plot!$A$7:$F$67,6,FALSE))</f>
        <v>1.8702884607654036</v>
      </c>
      <c r="AL47" s="1390">
        <f>IF($A47&gt;$C$5," ",VLOOKUP($A47,Plot!$CK$7:$CN$67,4,FALSE))</f>
        <v>0.99</v>
      </c>
      <c r="AM47" s="1390">
        <f ca="1">IF($A47&gt;$C$5," ",AL47*VLOOKUP($A47,Plot!$CK$7:$CO$67,5,FALSE))</f>
        <v>0</v>
      </c>
      <c r="AN47" s="1390">
        <f ca="1">IF($A47&gt;$C$5," ",IF(ROW()-ROW($A$18)&gt;='Options and results'!$AR$56,AVERAGE(OFFSET(AM47,0,0,COUNTA($BS:$BS)-'Options and results'!$AR$56,1)),NA()))</f>
        <v>0</v>
      </c>
      <c r="AO47" s="1390">
        <f ca="1">IF($A47&gt;$C$5," ",VLOOKUP($A47,Plot!$CK$7:$CP$67,6,FALSE))</f>
        <v>0</v>
      </c>
      <c r="AP47" s="1409">
        <f>IF($A47&gt;$C$5,0,VLOOKUP($A47,Plot!$V$7:$AH$67,7,FALSE))</f>
        <v>156</v>
      </c>
      <c r="AQ47" s="1390">
        <f>IF($A47&gt;$C$5," ",VLOOKUP($A47,Plot!$V$7:$AH$67,13,FALSE))</f>
        <v>197.4453313037246</v>
      </c>
      <c r="AR47" s="1390">
        <f>IF($A47&gt;$C$5," ",VLOOKUP($A47,Plot!$V$7:$AI$67,14,FALSE))</f>
        <v>1.2656752006649012</v>
      </c>
      <c r="AS47" s="1390">
        <f>IF($A47&gt;$C$5," ",VLOOKUP($A47,Plot!$V$7:$AJ$67,15,FALSE))</f>
        <v>0</v>
      </c>
      <c r="AT47" s="1390">
        <f>IF($A47&gt;$C$5," ",AQ47+SUM($AS$20:AS47)+IF(AP48=0,-AQ47,0))</f>
        <v>197.4453313037246</v>
      </c>
      <c r="AU47" s="1390">
        <f>IF($A47&gt;$C$5," ",VLOOKUP($A47,Plot!$V$7:$AL$67,Plot!$AL$2,FALSE))</f>
        <v>0</v>
      </c>
      <c r="AV47" s="1395">
        <f>IF($A47&gt;$C$5," ",VLOOKUP($A47,Plot!$V$7:$AM$67,Plot!$AM$2,FALSE))</f>
        <v>0</v>
      </c>
      <c r="AW47" s="1407">
        <f>IF($A47&gt;$C$5,0,VLOOKUP($A47,Plot!$DF$7:$DS$67,7,FALSE))</f>
        <v>100</v>
      </c>
      <c r="AX47" s="1390">
        <f>IF($A47&gt;$C$5," ",VLOOKUP($A47,Plot!$DF$7:$DS$67,14,FALSE))</f>
        <v>194.64812493120189</v>
      </c>
      <c r="AY47" s="1390">
        <f>IF($A47&gt;$C$5," ",VLOOKUP($A47,Plot!$DF$7:$DT$67,15,FALSE))</f>
        <v>1.9464812493120189</v>
      </c>
      <c r="AZ47" s="1390">
        <f>IF($A47&gt;$C$5," ",VLOOKUP($A47,Plot!$DF$7:$DU$67,16,FALSE))</f>
        <v>0</v>
      </c>
      <c r="BA47" s="1390">
        <f>IF($A47&gt;$C$5," ",AX47+SUM($AZ$20:AZ47)+IF(AW48=0,-AX47,0))</f>
        <v>194.64812493120189</v>
      </c>
      <c r="BB47" s="1390">
        <f>IF($A47&gt;$C$5," ",VLOOKUP($A47,Plot!$DF$7:$DW$67,Plot!$DW$2,FALSE))</f>
        <v>0</v>
      </c>
      <c r="BC47" s="1390">
        <f>IF($A47&gt;$C$5," ",VLOOKUP($A47,Plot!$DF$7:$DX$67,Plot!$DX$2,FALSE))</f>
        <v>0</v>
      </c>
      <c r="BD47" s="1396">
        <f>IF($A47&gt;$C$5," ",VLOOKUP($A47,Plot!$A$7:$N$67,14,FALSE))</f>
        <v>7.4591130728145263</v>
      </c>
      <c r="BE47" s="303">
        <f>IF($A47&gt;$C$5," ",VLOOKUP($A47,Plot!$V$7:$BW$67,Plot!$BW$2,FALSE))</f>
        <v>0</v>
      </c>
      <c r="BF47" s="303">
        <f>IF($A47&gt;$C$5," ",VLOOKUP($A47,Plot!$CK$7:$CX$67,14,FALSE))</f>
        <v>0</v>
      </c>
      <c r="BG47" s="303">
        <f>IF($A47&gt;$C$5," ",VLOOKUP($A47,Plot!$DF$7:$FH$67,Plot!$FH$2,FALSE))</f>
        <v>0</v>
      </c>
      <c r="BH47" s="1397">
        <f t="shared" si="24"/>
        <v>0</v>
      </c>
      <c r="BI47" s="303">
        <f>IF($A47&gt;$C$5," ",VLOOKUP($A47,Plot!$DF$7:$EJ$67,29,FALSE))</f>
        <v>0</v>
      </c>
      <c r="BJ47" s="303">
        <f>IF($A47&gt;$C$5," ",VLOOKUP($A47,Plot!$DF$7:$FT$67,30,FALSE))</f>
        <v>0</v>
      </c>
      <c r="BK47" s="303">
        <f>IF($A47&gt;$C$5," ",VLOOKUP($A47,Plot!$DF$7:$FT$67,Plot!$EL$2,FALSE))</f>
        <v>0</v>
      </c>
      <c r="BL47" s="303">
        <f>IF($A47&gt;$C$5," ",VLOOKUP($A47,Plot!$DF$7:$FT$67,Plot!$EM$2,FALSE))</f>
        <v>0</v>
      </c>
      <c r="BM47" s="303">
        <f>IF($A47&gt;$C$5," ",VLOOKUP($A47,Plot!$DF$7:$FT$67,Plot!$EN$2,FALSE))</f>
        <v>0</v>
      </c>
      <c r="BN47" s="303">
        <f>IF($A47&gt;$C$5," ",VLOOKUP($A47,Plot!$DF$7:$FT$67,Plot!$EO$2,FALSE))</f>
        <v>0</v>
      </c>
      <c r="BO47" s="303">
        <f t="shared" si="19"/>
        <v>0</v>
      </c>
      <c r="BP47" s="303">
        <f>IF($A47&gt;$C$5," ",VLOOKUP($A47,Plot!$DF$7:$FT$67,Plot!$EQ$2,FALSE))</f>
        <v>0</v>
      </c>
      <c r="BQ47" s="303">
        <f>IF($A47&gt;$C$5," ",(VLOOKUP($A47,Plot!$DF$7:$FT$67,Plot!$ES$2,FALSE)+VLOOKUP($A47,Plot!$DF$7:$FT$67,Plot!$ET$2,FALSE)))</f>
        <v>0</v>
      </c>
      <c r="BR47" s="303">
        <f>IF($A47&gt;$C$5," ",(VLOOKUP($A47,Plot!$DF$7:$FT$67,Plot!$EV$2,FALSE)+VLOOKUP($A47,Plot!$DF$7:$FT$67,Plot!$EW$2,FALSE)))</f>
        <v>0</v>
      </c>
      <c r="BS47" s="303">
        <f>IF($A47&gt;$C$5," ",VLOOKUP($A47,Plot!$DF$7:$FT$67,Plot!$EY$2,FALSE))</f>
        <v>0</v>
      </c>
      <c r="BT47" s="303">
        <f>IF($A47&gt;$C$5," ",(VLOOKUP($A47,Plot!$DF$7:$FT$67,Plot!$FB$2,FALSE)+VLOOKUP($A47,Plot!$DF$7:$FT$67,Plot!$FC$2,FALSE)))</f>
        <v>0</v>
      </c>
      <c r="BU47" s="303">
        <f>IF($A47&gt;$C$5," ",(VLOOKUP($A47,Plot!$DF$7:$FT$67,Plot!$FE$2,FALSE)+VLOOKUP($A47,Plot!$DF$7:$FT$67,Plot!$FF$2,FALSE)))</f>
        <v>0</v>
      </c>
      <c r="BV47" s="1026">
        <f>IF($A47&gt;$C$5," ",VLOOKUP($A47,Plot!$FV$7:$GJ$67,2,FALSE))</f>
        <v>468.46729880796357</v>
      </c>
      <c r="BW47" s="1027">
        <f>IF($A47&gt;$C$5," ",VLOOKUP($A47,Plot!$FV$7:$GJ$67,3,FALSE))</f>
        <v>0</v>
      </c>
      <c r="BX47" s="1379">
        <f ca="1">IF($A47&gt;$C$5," ",VLOOKUP($A47,Plot!$FV$7:$GJ$67,6,FALSE))</f>
        <v>0</v>
      </c>
      <c r="BY47" s="1026">
        <f>IF($A47&gt;$C$5," ",VLOOKUP($A47,Plot!$GO$7:$GY$67,2,FALSE))</f>
        <v>81.571257294870819</v>
      </c>
      <c r="BZ47" s="1027">
        <f>IF($A47&gt;$C$5," ",VLOOKUP($A47,Plot!$GO$7:$GY$67,3,FALSE))</f>
        <v>0</v>
      </c>
      <c r="CA47" s="1379">
        <f>IF($A47&gt;$C$5," ",VLOOKUP($A47,Plot!$GO$7:$GY$67,6,FALSE))</f>
        <v>0</v>
      </c>
      <c r="CB47" s="1027">
        <f>IF($A47&gt;$C$5," ",-1*VLOOKUP($A47,Plot!$HA$7:$HK$67,2,FALSE))</f>
        <v>-411.75325070203553</v>
      </c>
      <c r="CC47" s="1027">
        <f>IF($A47&gt;$C$5," ",-1*VLOOKUP($A47,Plot!$HA$7:$HK$67,3,FALSE))</f>
        <v>-1.0404497103937604</v>
      </c>
      <c r="CD47" s="1189">
        <f>IF($A47&gt;$C$5," ",-1*VLOOKUP($A47,Plot!$HA$7:$HK$67,6,FALSE))</f>
        <v>-1.0404497103937604</v>
      </c>
      <c r="CE47" s="10"/>
      <c r="CF47" s="38">
        <v>28</v>
      </c>
      <c r="CG47" s="1381">
        <f>IF($CF47&gt;$C$5," ",VLOOKUP($CF47,Unit!$A$7:$BE$68,22,FALSE))</f>
        <v>33.340000000000003</v>
      </c>
      <c r="CH47" s="1027">
        <f>IF($CF47&gt;$C$5," ",VLOOKUP($CF47,Unit!$A$7:$BE$68,23,FALSE))</f>
        <v>33.33</v>
      </c>
      <c r="CI47" s="1027">
        <f>IF($CF47&gt;$C$5," ",VLOOKUP($CF47,Unit!$A$7:$BE$68,24,FALSE))</f>
        <v>32.996699999999997</v>
      </c>
      <c r="CJ47" s="1189">
        <f>IF($CF47&gt;$C$5," ",VLOOKUP($CF47,Unit!$A$7:$BE$68,25,FALSE))</f>
        <v>0.33330000000000026</v>
      </c>
      <c r="CK47" s="1381">
        <f>IF($CF47&gt;$C$5," ",VLOOKUP($CF47,Unit!$A$7:$BE$68,27,FALSE))</f>
        <v>124.71083456383712</v>
      </c>
      <c r="CL47" s="1027">
        <f>IF($CF47&gt;$C$5," ",VLOOKUP($CF47,Unit!$A$7:$BE$68,28,FALSE))</f>
        <v>6580.8528923531403</v>
      </c>
      <c r="CM47" s="1027">
        <f>IF($CF47&gt;$C$5," ",VLOOKUP($CF47,Unit!$A$7:$BE$68,29,FALSE))</f>
        <v>0</v>
      </c>
      <c r="CN47" s="1027">
        <f ca="1">IF($CF47&gt;$C$5," ",VLOOKUP($CF47,Unit!$A$7:$BE$68,30,FALSE))</f>
        <v>0</v>
      </c>
      <c r="CO47" s="1027">
        <f>IF($CF47&gt;$C$5," ",VLOOKUP($CF47,Unit!$A$7:$BE$68,31,FALSE))</f>
        <v>6487.6220039569589</v>
      </c>
      <c r="CP47" s="1027">
        <f>IF($CF47&gt;$C$5," ",VLOOKUP($CF47,Unit!$A$7:$BE$68,32,FALSE))</f>
        <v>0</v>
      </c>
      <c r="CQ47" s="1381">
        <f>IF($CF47&gt;$C$5," ",VLOOKUP($CF47,Unit!$A$7:$BE$68,33,FALSE))</f>
        <v>248.68682984763632</v>
      </c>
      <c r="CR47" s="1027">
        <f>IF($CF47&gt;$C$5," ",VLOOKUP($CF47,Unit!$A$7:$BE$68,34,FALSE))</f>
        <v>0</v>
      </c>
      <c r="CS47" s="1027">
        <f>IF($CF47&gt;$C$5," ",VLOOKUP($CF47,Unit!$A$7:$BE$68,35,FALSE))</f>
        <v>0</v>
      </c>
      <c r="CT47" s="1027">
        <f>IF($CF47&gt;$C$5," ",VLOOKUP($CF47,Unit!$A$7:$BE$68,36,FALSE))</f>
        <v>0</v>
      </c>
      <c r="CU47" s="1189">
        <f t="shared" si="20"/>
        <v>0</v>
      </c>
      <c r="CV47" s="1027">
        <f>IF($CF47&gt;$C$5," ",VLOOKUP($CF47,Unit!$A$7:$BA$68,43,FALSE))</f>
        <v>452336.98668265279</v>
      </c>
      <c r="CW47" s="1027">
        <f>IF($CF47&gt;$C$5," ",VLOOKUP($CF47,Unit!$A$7:$BB$68,44,FALSE))</f>
        <v>-55085.969824915868</v>
      </c>
      <c r="CX47" s="1189">
        <f ca="1">IF($CF47&gt;$C$5," ",VLOOKUP($CF47,Unit!$A$7:$BE$68,47,FALSE))</f>
        <v>11685.365891754755</v>
      </c>
      <c r="CY47" s="1381">
        <f>IF($CF47&gt;$C$5," ",VLOOKUP($CF47,Unit!$A$7:$BA$68,53,FALSE))</f>
        <v>304219.80622293759</v>
      </c>
      <c r="CZ47" s="1027">
        <f>IF($CF47&gt;$C$5," ",VLOOKUP($CF47,Unit!$A$7:$BB$68,54,FALSE))</f>
        <v>-46768.507090529507</v>
      </c>
      <c r="DA47" s="1189">
        <f ca="1">IF($CF47&gt;$C$5," ",VLOOKUP($CF47,Unit!$A$7:$BE$68,57,FALSE))</f>
        <v>18155.139667566295</v>
      </c>
    </row>
    <row r="48" spans="1:105" x14ac:dyDescent="0.25">
      <c r="A48" s="38">
        <v>29</v>
      </c>
      <c r="B48" s="1381">
        <f>IF($A48&gt;$C$5," ",VLOOKUP($A48,Plot!$A$7:$T$67,Plot!P$2,FALSE))</f>
        <v>473.13173391613179</v>
      </c>
      <c r="C48" s="1027">
        <f>IF($A48&gt;$C$5," ",VLOOKUP($A48,Plot!$V$7:$CI$67,Plot!$CA$2,FALSE))</f>
        <v>-3</v>
      </c>
      <c r="D48" s="1027">
        <f ca="1">IF($A48&gt;$C$5," ",VLOOKUP($A48,Plot!$CK$7:$DD$67,Plot!$CZ$2,FALSE))</f>
        <v>0</v>
      </c>
      <c r="E48" s="1027">
        <f>IF($A48&gt;$C$5," ",VLOOKUP($A48,Plot!$DF$7:$FT$67,Plot!$FL$2,FALSE))</f>
        <v>-3</v>
      </c>
      <c r="F48" s="1379">
        <f t="shared" ca="1" si="21"/>
        <v>-3</v>
      </c>
      <c r="G48" s="1026">
        <f>IF($A48&gt;$C$5," ",VLOOKUP($A48,Plot!$V$7:$CG$67,Plot!$CG$2,FALSE))</f>
        <v>566.4299107216757</v>
      </c>
      <c r="H48" s="1027">
        <f>IF($A48&gt;$C$5," ",VLOOKUP($A48,Plot!$DF$7:$FT$67,Plot!$FR$2,FALSE))</f>
        <v>587.31216821937414</v>
      </c>
      <c r="I48" s="1379">
        <f t="shared" ca="1" si="17"/>
        <v>587.31216821937414</v>
      </c>
      <c r="J48" s="1026">
        <f>IF($A48&gt;$C$5," ",SUM(B$20:$B48))</f>
        <v>14040.527855171465</v>
      </c>
      <c r="K48" s="1027">
        <f>IF($A48&gt;$C$5," ",SUM($C$20:C48))</f>
        <v>-1655.7443691843955</v>
      </c>
      <c r="L48" s="1027">
        <f ca="1">IF($A48&gt;$C$5," ",SUM($D$20:D48))</f>
        <v>1474.6409117075809</v>
      </c>
      <c r="M48" s="1027">
        <f>IF($A48&gt;$C$5," ",SUM($E$20:E48))</f>
        <v>-1127.0448753513026</v>
      </c>
      <c r="N48" s="1379">
        <f ca="1">IF($A48&gt;$C$5," ",SUM($F$20:F48))</f>
        <v>347.59603635627809</v>
      </c>
      <c r="O48" s="1027">
        <f>IF($A48&gt;$C$5," ",SUM($G$20:G48))</f>
        <v>6242.0151217592465</v>
      </c>
      <c r="P48" s="1027">
        <f>IF($A48&gt;$C$5," ",SUM($H$20:H48))</f>
        <v>7795.6473016687105</v>
      </c>
      <c r="Q48" s="1027">
        <f ca="1">IF($A48&gt;$C$5," ",SUM($I$20:I48))</f>
        <v>9270.2882133762923</v>
      </c>
      <c r="R48" s="1026">
        <f>IF($A48&gt;$C$5," ",VLOOKUP($A48,Plot!$HM$7:$IA$67,2,FALSE))</f>
        <v>157.77877420869766</v>
      </c>
      <c r="S48" s="1027">
        <f>IF($A48&gt;$C$5," ",VLOOKUP($A48,Plot!$HM$7:$IA$67,3,FALSE))</f>
        <v>-1.0004324138401541</v>
      </c>
      <c r="T48" s="1027">
        <f ca="1">IF($A48&gt;$C$5," ",VLOOKUP($A48,Plot!$HM$7:$IA$67,4,FALSE))</f>
        <v>0</v>
      </c>
      <c r="U48" s="1027">
        <f>IF($A48&gt;$C$5," ",VLOOKUP($A48,Plot!$HM$7:$IA$67,5,FALSE))</f>
        <v>-1.0004324138401541</v>
      </c>
      <c r="V48" s="1379">
        <f t="shared" ca="1" si="16"/>
        <v>-1.0004324138401541</v>
      </c>
      <c r="W48" s="1027">
        <f>IF($A48&gt;$C$5," ",VLOOKUP($A48,Plot!$HM$7:$IA$67,Plot!$HR$2,FALSE))</f>
        <v>91.138301600080226</v>
      </c>
      <c r="X48" s="1027">
        <f>IF($A48&gt;$C$5," ",VLOOKUP($A48,Plot!$HM$7:$IA$67,Plot!$HS$2,FALSE))</f>
        <v>84.708936106628911</v>
      </c>
      <c r="Y48" s="1379">
        <f t="shared" ca="1" si="18"/>
        <v>84.708936106628911</v>
      </c>
      <c r="Z48" s="1026">
        <f>IF($A48&gt;$C$5," ",SUM($R$20:R48))</f>
        <v>9282.5480070502545</v>
      </c>
      <c r="AA48" s="1027">
        <f>IF($A48&gt;$C$5," ",SUM($S$20:S48))</f>
        <v>-1404.1959646829528</v>
      </c>
      <c r="AB48" s="1027">
        <f ca="1">IF($A48&gt;$C$5," ",SUM($T$20:T48))</f>
        <v>1492.284005110379</v>
      </c>
      <c r="AC48" s="1027">
        <f>IF($A48&gt;$C$5," ",SUM($U$20:U48))</f>
        <v>-948.5757766311408</v>
      </c>
      <c r="AD48" s="1379">
        <f t="shared" ca="1" si="22"/>
        <v>543.70822847923819</v>
      </c>
      <c r="AE48" s="1027">
        <f>IF($A48&gt;$C$5," ",SUM($W$20:W48))</f>
        <v>1229.5288991349587</v>
      </c>
      <c r="AF48" s="1027">
        <f>IF($A48&gt;$C$5," ",SUM($X$20:X48))</f>
        <v>2026.9410475717893</v>
      </c>
      <c r="AG48" s="1027">
        <f t="shared" ca="1" si="23"/>
        <v>3519.2250526821681</v>
      </c>
      <c r="AH48" s="1394">
        <f>IF($A48&gt;$C$5," ",VLOOKUP($A48,Plot!$A$7:$D$67,4,FALSE))</f>
        <v>1</v>
      </c>
      <c r="AI48" s="1390">
        <f>IF($A48&gt;$C$5," ",VLOOKUP($A48,Plot!$A$7:$E$67,5,FALSE))</f>
        <v>7.9811870817503401</v>
      </c>
      <c r="AJ48" s="1390">
        <f ca="1">IF($A48&gt;$C$5," ",IF(ROW()-ROW($A$18)&gt;='Options and results'!$AR$56,AVERAGE(OFFSET(AI48,0,0,COUNTA($BS:$BS)-'Options and results'!$AR$56,1)),NA()))</f>
        <v>8.8881578064699518</v>
      </c>
      <c r="AK48" s="1395">
        <f>IF($A48&gt;$C$5," ",VLOOKUP($A48,Plot!$A$7:$F$67,6,FALSE))</f>
        <v>3.1924748327001362</v>
      </c>
      <c r="AL48" s="1390">
        <f>IF($A48&gt;$C$5," ",VLOOKUP($A48,Plot!$CK$7:$CN$67,4,FALSE))</f>
        <v>0.99</v>
      </c>
      <c r="AM48" s="1390">
        <f ca="1">IF($A48&gt;$C$5," ",AL48*VLOOKUP($A48,Plot!$CK$7:$CO$67,5,FALSE))</f>
        <v>0</v>
      </c>
      <c r="AN48" s="1390">
        <f ca="1">IF($A48&gt;$C$5," ",IF(ROW()-ROW($A$18)&gt;='Options and results'!$AR$56,AVERAGE(OFFSET(AM48,0,0,COUNTA($BS:$BS)-'Options and results'!$AR$56,1)),NA()))</f>
        <v>0</v>
      </c>
      <c r="AO48" s="1390">
        <f ca="1">IF($A48&gt;$C$5," ",VLOOKUP($A48,Plot!$CK$7:$CP$67,6,FALSE))</f>
        <v>0</v>
      </c>
      <c r="AP48" s="1409">
        <f>IF($A48&gt;$C$5,0,VLOOKUP($A48,Plot!$V$7:$AH$67,7,FALSE))</f>
        <v>156</v>
      </c>
      <c r="AQ48" s="1390">
        <f>IF($A48&gt;$C$5," ",VLOOKUP($A48,Plot!$V$7:$AH$67,13,FALSE))</f>
        <v>207.68207864813559</v>
      </c>
      <c r="AR48" s="1390">
        <f>IF($A48&gt;$C$5," ",VLOOKUP($A48,Plot!$V$7:$AI$67,14,FALSE))</f>
        <v>1.3312953759495871</v>
      </c>
      <c r="AS48" s="1390">
        <f>IF($A48&gt;$C$5," ",VLOOKUP($A48,Plot!$V$7:$AJ$67,15,FALSE))</f>
        <v>0</v>
      </c>
      <c r="AT48" s="1390">
        <f>IF($A48&gt;$C$5," ",AQ48+SUM($AS$20:AS48)+IF(AP49=0,-AQ48,0))</f>
        <v>207.68207864813559</v>
      </c>
      <c r="AU48" s="1390">
        <f>IF($A48&gt;$C$5," ",VLOOKUP($A48,Plot!$V$7:$AL$67,Plot!$AL$2,FALSE))</f>
        <v>0</v>
      </c>
      <c r="AV48" s="1395">
        <f>IF($A48&gt;$C$5," ",VLOOKUP($A48,Plot!$V$7:$AM$67,Plot!$AM$2,FALSE))</f>
        <v>0</v>
      </c>
      <c r="AW48" s="1407">
        <f>IF($A48&gt;$C$5,0,VLOOKUP($A48,Plot!$DF$7:$DS$67,7,FALSE))</f>
        <v>100</v>
      </c>
      <c r="AX48" s="1390">
        <f>IF($A48&gt;$C$5," ",VLOOKUP($A48,Plot!$DF$7:$DS$67,14,FALSE))</f>
        <v>205.04765169351325</v>
      </c>
      <c r="AY48" s="1390">
        <f>IF($A48&gt;$C$5," ",VLOOKUP($A48,Plot!$DF$7:$DT$67,15,FALSE))</f>
        <v>2.0504765169351327</v>
      </c>
      <c r="AZ48" s="1390">
        <f>IF($A48&gt;$C$5," ",VLOOKUP($A48,Plot!$DF$7:$DU$67,16,FALSE))</f>
        <v>0</v>
      </c>
      <c r="BA48" s="1390">
        <f>IF($A48&gt;$C$5," ",AX48+SUM($AZ$20:AZ48)+IF(AW49=0,-AX48,0))</f>
        <v>205.04765169351325</v>
      </c>
      <c r="BB48" s="1390">
        <f>IF($A48&gt;$C$5," ",VLOOKUP($A48,Plot!$DF$7:$DW$67,Plot!$DW$2,FALSE))</f>
        <v>0</v>
      </c>
      <c r="BC48" s="1390">
        <f>IF($A48&gt;$C$5," ",VLOOKUP($A48,Plot!$DF$7:$DX$67,Plot!$DX$2,FALSE))</f>
        <v>0</v>
      </c>
      <c r="BD48" s="1396">
        <f>IF($A48&gt;$C$5," ",VLOOKUP($A48,Plot!$A$7:$N$67,14,FALSE))</f>
        <v>11.632834596849463</v>
      </c>
      <c r="BE48" s="303">
        <f>IF($A48&gt;$C$5," ",VLOOKUP($A48,Plot!$V$7:$BW$67,Plot!$BW$2,FALSE))</f>
        <v>0</v>
      </c>
      <c r="BF48" s="303">
        <f>IF($A48&gt;$C$5," ",VLOOKUP($A48,Plot!$CK$7:$CX$67,14,FALSE))</f>
        <v>0</v>
      </c>
      <c r="BG48" s="303">
        <f>IF($A48&gt;$C$5," ",VLOOKUP($A48,Plot!$DF$7:$FH$67,Plot!$FH$2,FALSE))</f>
        <v>0</v>
      </c>
      <c r="BH48" s="1397">
        <f t="shared" si="24"/>
        <v>0</v>
      </c>
      <c r="BI48" s="303">
        <f>IF($A48&gt;$C$5," ",VLOOKUP($A48,Plot!$DF$7:$EJ$67,29,FALSE))</f>
        <v>0</v>
      </c>
      <c r="BJ48" s="303">
        <f>IF($A48&gt;$C$5," ",VLOOKUP($A48,Plot!$DF$7:$FT$67,30,FALSE))</f>
        <v>0</v>
      </c>
      <c r="BK48" s="303">
        <f>IF($A48&gt;$C$5," ",VLOOKUP($A48,Plot!$DF$7:$FT$67,Plot!$EL$2,FALSE))</f>
        <v>0</v>
      </c>
      <c r="BL48" s="303">
        <f>IF($A48&gt;$C$5," ",VLOOKUP($A48,Plot!$DF$7:$FT$67,Plot!$EM$2,FALSE))</f>
        <v>0</v>
      </c>
      <c r="BM48" s="303">
        <f>IF($A48&gt;$C$5," ",VLOOKUP($A48,Plot!$DF$7:$FT$67,Plot!$EN$2,FALSE))</f>
        <v>0</v>
      </c>
      <c r="BN48" s="303">
        <f>IF($A48&gt;$C$5," ",VLOOKUP($A48,Plot!$DF$7:$FT$67,Plot!$EO$2,FALSE))</f>
        <v>0</v>
      </c>
      <c r="BO48" s="303">
        <f t="shared" si="19"/>
        <v>0</v>
      </c>
      <c r="BP48" s="303">
        <f>IF($A48&gt;$C$5," ",VLOOKUP($A48,Plot!$DF$7:$FT$67,Plot!$EQ$2,FALSE))</f>
        <v>0</v>
      </c>
      <c r="BQ48" s="303">
        <f>IF($A48&gt;$C$5," ",(VLOOKUP($A48,Plot!$DF$7:$FT$67,Plot!$ES$2,FALSE)+VLOOKUP($A48,Plot!$DF$7:$FT$67,Plot!$ET$2,FALSE)))</f>
        <v>0</v>
      </c>
      <c r="BR48" s="303">
        <f>IF($A48&gt;$C$5," ",(VLOOKUP($A48,Plot!$DF$7:$FT$67,Plot!$EV$2,FALSE)+VLOOKUP($A48,Plot!$DF$7:$FT$67,Plot!$EW$2,FALSE)))</f>
        <v>0</v>
      </c>
      <c r="BS48" s="303">
        <f>IF($A48&gt;$C$5," ",VLOOKUP($A48,Plot!$DF$7:$FT$67,Plot!$EY$2,FALSE))</f>
        <v>0</v>
      </c>
      <c r="BT48" s="303">
        <f>IF($A48&gt;$C$5," ",(VLOOKUP($A48,Plot!$DF$7:$FT$67,Plot!$FB$2,FALSE)+VLOOKUP($A48,Plot!$DF$7:$FT$67,Plot!$FC$2,FALSE)))</f>
        <v>0</v>
      </c>
      <c r="BU48" s="303">
        <f>IF($A48&gt;$C$5," ",(VLOOKUP($A48,Plot!$DF$7:$FT$67,Plot!$FE$2,FALSE)+VLOOKUP($A48,Plot!$DF$7:$FT$67,Plot!$FF$2,FALSE)))</f>
        <v>0</v>
      </c>
      <c r="BV48" s="1026">
        <f>IF($A48&gt;$C$5," ",VLOOKUP($A48,Plot!$FV$7:$GJ$67,2,FALSE))</f>
        <v>501.99716452279</v>
      </c>
      <c r="BW48" s="1027">
        <f>IF($A48&gt;$C$5," ",VLOOKUP($A48,Plot!$FV$7:$GJ$67,3,FALSE))</f>
        <v>0</v>
      </c>
      <c r="BX48" s="1379">
        <f ca="1">IF($A48&gt;$C$5," ",VLOOKUP($A48,Plot!$FV$7:$GJ$67,6,FALSE))</f>
        <v>0</v>
      </c>
      <c r="BY48" s="1026">
        <f>IF($A48&gt;$C$5," ",VLOOKUP($A48,Plot!$GO$7:$GY$67,2,FALSE))</f>
        <v>78.433901245068085</v>
      </c>
      <c r="BZ48" s="1027">
        <f>IF($A48&gt;$C$5," ",VLOOKUP($A48,Plot!$GO$7:$GY$67,3,FALSE))</f>
        <v>0</v>
      </c>
      <c r="CA48" s="1379">
        <f>IF($A48&gt;$C$5," ",VLOOKUP($A48,Plot!$GO$7:$GY$67,6,FALSE))</f>
        <v>0</v>
      </c>
      <c r="CB48" s="1027">
        <f>IF($A48&gt;$C$5," ",-1*VLOOKUP($A48,Plot!$HA$7:$HK$67,2,FALSE))</f>
        <v>-422.6522915591604</v>
      </c>
      <c r="CC48" s="1027">
        <f>IF($A48&gt;$C$5," ",-1*VLOOKUP($A48,Plot!$HA$7:$HK$67,3,FALSE))</f>
        <v>-1.0004324138401541</v>
      </c>
      <c r="CD48" s="1189">
        <f>IF($A48&gt;$C$5," ",-1*VLOOKUP($A48,Plot!$HA$7:$HK$67,6,FALSE))</f>
        <v>-1.0004324138401541</v>
      </c>
      <c r="CE48" s="10"/>
      <c r="CF48" s="38">
        <v>29</v>
      </c>
      <c r="CG48" s="1381">
        <f>IF($CF48&gt;$C$5," ",VLOOKUP($CF48,Unit!$A$7:$BE$68,22,FALSE))</f>
        <v>33.340000000000003</v>
      </c>
      <c r="CH48" s="1027">
        <f>IF($CF48&gt;$C$5," ",VLOOKUP($CF48,Unit!$A$7:$BE$68,23,FALSE))</f>
        <v>33.33</v>
      </c>
      <c r="CI48" s="1027">
        <f>IF($CF48&gt;$C$5," ",VLOOKUP($CF48,Unit!$A$7:$BE$68,24,FALSE))</f>
        <v>32.996699999999997</v>
      </c>
      <c r="CJ48" s="1189">
        <f>IF($CF48&gt;$C$5," ",VLOOKUP($CF48,Unit!$A$7:$BE$68,25,FALSE))</f>
        <v>0.33330000000000026</v>
      </c>
      <c r="CK48" s="1381">
        <f>IF($CF48&gt;$C$5," ",VLOOKUP($CF48,Unit!$A$7:$BE$68,27,FALSE))</f>
        <v>266.09277730555635</v>
      </c>
      <c r="CL48" s="1027">
        <f>IF($CF48&gt;$C$5," ",VLOOKUP($CF48,Unit!$A$7:$BE$68,28,FALSE))</f>
        <v>6922.0436813423585</v>
      </c>
      <c r="CM48" s="1027">
        <f>IF($CF48&gt;$C$5," ",VLOOKUP($CF48,Unit!$A$7:$BE$68,29,FALSE))</f>
        <v>0</v>
      </c>
      <c r="CN48" s="1027">
        <f ca="1">IF($CF48&gt;$C$5," ",VLOOKUP($CF48,Unit!$A$7:$BE$68,30,FALSE))</f>
        <v>0</v>
      </c>
      <c r="CO48" s="1027">
        <f>IF($CF48&gt;$C$5," ",VLOOKUP($CF48,Unit!$A$7:$BE$68,31,FALSE))</f>
        <v>6834.2382309447958</v>
      </c>
      <c r="CP48" s="1027">
        <f>IF($CF48&gt;$C$5," ",VLOOKUP($CF48,Unit!$A$7:$BE$68,32,FALSE))</f>
        <v>0</v>
      </c>
      <c r="CQ48" s="1381">
        <f>IF($CF48&gt;$C$5," ",VLOOKUP($CF48,Unit!$A$7:$BE$68,33,FALSE))</f>
        <v>387.83870545896116</v>
      </c>
      <c r="CR48" s="1027">
        <f>IF($CF48&gt;$C$5," ",VLOOKUP($CF48,Unit!$A$7:$BE$68,34,FALSE))</f>
        <v>0</v>
      </c>
      <c r="CS48" s="1027">
        <f>IF($CF48&gt;$C$5," ",VLOOKUP($CF48,Unit!$A$7:$BE$68,35,FALSE))</f>
        <v>0</v>
      </c>
      <c r="CT48" s="1027">
        <f>IF($CF48&gt;$C$5," ",VLOOKUP($CF48,Unit!$A$7:$BE$68,36,FALSE))</f>
        <v>0</v>
      </c>
      <c r="CU48" s="1189">
        <f t="shared" si="20"/>
        <v>0</v>
      </c>
      <c r="CV48" s="1027">
        <f>IF($CF48&gt;$C$5," ",VLOOKUP($CF48,Unit!$A$7:$BA$68,43,FALSE))</f>
        <v>468111.19869141665</v>
      </c>
      <c r="CW48" s="1027">
        <f>IF($CF48&gt;$C$5," ",VLOOKUP($CF48,Unit!$A$7:$BB$68,44,FALSE))</f>
        <v>-55185.959824915866</v>
      </c>
      <c r="CX48" s="1189">
        <f ca="1">IF($CF48&gt;$C$5," ",VLOOKUP($CF48,Unit!$A$7:$BE$68,47,FALSE))</f>
        <v>11585.375891754755</v>
      </c>
      <c r="CY48" s="1381">
        <f>IF($CF48&gt;$C$5," ",VLOOKUP($CF48,Unit!$A$7:$BA$68,53,FALSE))</f>
        <v>309480.15055505559</v>
      </c>
      <c r="CZ48" s="1027">
        <f>IF($CF48&gt;$C$5," ",VLOOKUP($CF48,Unit!$A$7:$BB$68,54,FALSE))</f>
        <v>-46801.851502882797</v>
      </c>
      <c r="DA48" s="1189">
        <f ca="1">IF($CF48&gt;$C$5," ",VLOOKUP($CF48,Unit!$A$7:$BE$68,57,FALSE))</f>
        <v>18121.795255213001</v>
      </c>
    </row>
    <row r="49" spans="1:105" x14ac:dyDescent="0.25">
      <c r="A49" s="38">
        <v>30</v>
      </c>
      <c r="B49" s="1381">
        <f>IF($A49&gt;$C$5," ",VLOOKUP($A49,Plot!$A$7:$T$67,Plot!P$2,FALSE))</f>
        <v>815.26124618536312</v>
      </c>
      <c r="C49" s="1027">
        <f>IF($A49&gt;$C$5," ",VLOOKUP($A49,Plot!$V$7:$CI$67,Plot!$CA$2,FALSE))</f>
        <v>8110.9320624005331</v>
      </c>
      <c r="D49" s="1027">
        <f ca="1">IF($A49&gt;$C$5," ",VLOOKUP($A49,Plot!$CK$7:$DD$67,Plot!$CZ$2,FALSE))</f>
        <v>0</v>
      </c>
      <c r="E49" s="1027">
        <f>IF($A49&gt;$C$5," ",VLOOKUP($A49,Plot!$DF$7:$FT$67,Plot!$FL$2,FALSE))</f>
        <v>9226.5680299656342</v>
      </c>
      <c r="F49" s="1379">
        <f t="shared" ca="1" si="21"/>
        <v>9226.5680299656342</v>
      </c>
      <c r="G49" s="1026">
        <f>IF($A49&gt;$C$5," ",VLOOKUP($A49,Plot!$V$7:$CG$67,Plot!$CG$2,FALSE))</f>
        <v>213.17257145689155</v>
      </c>
      <c r="H49" s="1027">
        <f>IF($A49&gt;$C$5," ",VLOOKUP($A49,Plot!$DF$7:$FT$67,Plot!$FR$2,FALSE))</f>
        <v>303.87585294562331</v>
      </c>
      <c r="I49" s="1379">
        <f t="shared" ca="1" si="17"/>
        <v>303.87585294562331</v>
      </c>
      <c r="J49" s="1026">
        <f>IF($A49&gt;$C$5," ",SUM(B$20:$B49))</f>
        <v>14855.789101356828</v>
      </c>
      <c r="K49" s="1027">
        <f>IF($A49&gt;$C$5," ",SUM($C$20:C49))</f>
        <v>6455.1876932161376</v>
      </c>
      <c r="L49" s="1027">
        <f ca="1">IF($A49&gt;$C$5," ",SUM($D$20:D49))</f>
        <v>1474.6409117075809</v>
      </c>
      <c r="M49" s="1027">
        <f>IF($A49&gt;$C$5," ",SUM($E$20:E49))</f>
        <v>8099.5231546143314</v>
      </c>
      <c r="N49" s="1379">
        <f ca="1">IF($A49&gt;$C$5," ",SUM($F$20:F49))</f>
        <v>9574.1640663219114</v>
      </c>
      <c r="O49" s="1027">
        <f>IF($A49&gt;$C$5," ",SUM($G$20:G49))</f>
        <v>6455.1876932161376</v>
      </c>
      <c r="P49" s="1027">
        <f>IF($A49&gt;$C$5," ",SUM($H$20:H49))</f>
        <v>8099.5231546143341</v>
      </c>
      <c r="Q49" s="1027">
        <f ca="1">IF($A49&gt;$C$5," ",SUM($I$20:I49))</f>
        <v>9574.164066321915</v>
      </c>
      <c r="R49" s="1026">
        <f>IF($A49&gt;$C$5," ",VLOOKUP($A49,Plot!$HM$7:$IA$67,2,FALSE))</f>
        <v>261.41467193319068</v>
      </c>
      <c r="S49" s="1027">
        <f>IF($A49&gt;$C$5," ",VLOOKUP($A49,Plot!$HM$7:$IA$67,3,FALSE))</f>
        <v>2600.7818402823282</v>
      </c>
      <c r="T49" s="1027">
        <f ca="1">IF($A49&gt;$C$5," ",VLOOKUP($A49,Plot!$HM$7:$IA$67,4,FALSE))</f>
        <v>0</v>
      </c>
      <c r="U49" s="1027">
        <f>IF($A49&gt;$C$5," ",VLOOKUP($A49,Plot!$HM$7:$IA$67,5,FALSE))</f>
        <v>2958.5120915637549</v>
      </c>
      <c r="V49" s="1379">
        <f t="shared" ca="1" si="16"/>
        <v>2958.5120915637549</v>
      </c>
      <c r="W49" s="1027">
        <f>IF($A49&gt;$C$5," ",VLOOKUP($A49,Plot!$HM$7:$IA$67,Plot!$HR$2,FALSE))</f>
        <v>-32.94302353558291</v>
      </c>
      <c r="X49" s="1027">
        <f>IF($A49&gt;$C$5," ",VLOOKUP($A49,Plot!$HM$7:$IA$67,Plot!$HS$2,FALSE))</f>
        <v>-17.00473263917489</v>
      </c>
      <c r="Y49" s="1379">
        <f t="shared" ca="1" si="18"/>
        <v>-17.00473263917489</v>
      </c>
      <c r="Z49" s="1026">
        <f>IF($A49&gt;$C$5," ",SUM($R$20:R49))</f>
        <v>9543.9626789834456</v>
      </c>
      <c r="AA49" s="1027">
        <f>IF($A49&gt;$C$5," ",SUM($S$20:S49))</f>
        <v>1196.5858755993754</v>
      </c>
      <c r="AB49" s="1027">
        <f ca="1">IF($A49&gt;$C$5," ",SUM($T$20:T49))</f>
        <v>1492.284005110379</v>
      </c>
      <c r="AC49" s="1027">
        <f>IF($A49&gt;$C$5," ",SUM($U$20:U49))</f>
        <v>2009.9363149326141</v>
      </c>
      <c r="AD49" s="1379">
        <f t="shared" ca="1" si="22"/>
        <v>3502.2203200429931</v>
      </c>
      <c r="AE49" s="1027">
        <f>IF($A49&gt;$C$5," ",SUM($W$20:W49))</f>
        <v>1196.5858755993759</v>
      </c>
      <c r="AF49" s="1027">
        <f>IF($A49&gt;$C$5," ",SUM($X$20:X49))</f>
        <v>2009.9363149326146</v>
      </c>
      <c r="AG49" s="1027">
        <f t="shared" ca="1" si="23"/>
        <v>3502.2203200429935</v>
      </c>
      <c r="AH49" s="1394">
        <f>IF($A49&gt;$C$5," ",VLOOKUP($A49,Plot!$A$7:$D$67,4,FALSE))</f>
        <v>1</v>
      </c>
      <c r="AI49" s="1390">
        <f>IF($A49&gt;$C$5," ",VLOOKUP($A49,Plot!$A$7:$E$67,5,FALSE))</f>
        <v>9.7951285311895653</v>
      </c>
      <c r="AJ49" s="1390">
        <f ca="1">IF($A49&gt;$C$5," ",IF(ROW()-ROW($A$18)&gt;='Options and results'!$AR$56,AVERAGE(OFFSET(AI49,0,0,COUNTA($BS:$BS)-'Options and results'!$AR$56,1)),NA()))</f>
        <v>9.7951285311895653</v>
      </c>
      <c r="AK49" s="1395">
        <f>IF($A49&gt;$C$5," ",VLOOKUP($A49,Plot!$A$7:$F$67,6,FALSE))</f>
        <v>3.9180514124758261</v>
      </c>
      <c r="AL49" s="1390">
        <f>IF($A49&gt;$C$5," ",VLOOKUP($A49,Plot!$CK$7:$CN$67,4,FALSE))</f>
        <v>0.99</v>
      </c>
      <c r="AM49" s="1390">
        <f ca="1">IF($A49&gt;$C$5," ",AL49*VLOOKUP($A49,Plot!$CK$7:$CO$67,5,FALSE))</f>
        <v>0</v>
      </c>
      <c r="AN49" s="1390">
        <f ca="1">IF($A49&gt;$C$5," ",IF(ROW()-ROW($A$18)&gt;='Options and results'!$AR$56,AVERAGE(OFFSET(AM49,0,0,COUNTA($BS:$BS)-'Options and results'!$AR$56,1)),NA()))</f>
        <v>0</v>
      </c>
      <c r="AO49" s="1390">
        <f ca="1">IF($A49&gt;$C$5," ",VLOOKUP($A49,Plot!$CK$7:$CP$67,6,FALSE))</f>
        <v>0</v>
      </c>
      <c r="AP49" s="1409">
        <f>IF($A49&gt;$C$5,0,VLOOKUP($A49,Plot!$V$7:$AH$67,7,FALSE))</f>
        <v>156</v>
      </c>
      <c r="AQ49" s="1390">
        <f>IF($A49&gt;$C$5," ",VLOOKUP($A49,Plot!$V$7:$AH$67,13,FALSE))</f>
        <v>219.0520197990561</v>
      </c>
      <c r="AR49" s="1390">
        <f>IF($A49&gt;$C$5," ",VLOOKUP($A49,Plot!$V$7:$AI$67,14,FALSE))</f>
        <v>1.4041796140965135</v>
      </c>
      <c r="AS49" s="1390">
        <f>IF($A49&gt;$C$5," ",VLOOKUP($A49,Plot!$V$7:$AJ$67,15,FALSE))</f>
        <v>219.0520197990561</v>
      </c>
      <c r="AT49" s="1390">
        <f>IF($A49&gt;$C$5," ",AQ49+SUM($AS$20:AS49)+IF(AP50=0,-AQ49,0))</f>
        <v>219.0520197990561</v>
      </c>
      <c r="AU49" s="1390">
        <f>IF($A49&gt;$C$5," ",VLOOKUP($A49,Plot!$V$7:$AL$67,Plot!$AL$2,FALSE))</f>
        <v>103.65</v>
      </c>
      <c r="AV49" s="1395">
        <f>IF($A49&gt;$C$5," ",VLOOKUP($A49,Plot!$V$7:$AM$67,Plot!$AM$2,FALSE))</f>
        <v>0</v>
      </c>
      <c r="AW49" s="1407">
        <f>IF($A49&gt;$C$5,0,VLOOKUP($A49,Plot!$DF$7:$DS$67,7,FALSE))</f>
        <v>100</v>
      </c>
      <c r="AX49" s="1390">
        <f>IF($A49&gt;$C$5," ",VLOOKUP($A49,Plot!$DF$7:$DS$67,14,FALSE))</f>
        <v>216.57651403057335</v>
      </c>
      <c r="AY49" s="1390">
        <f>IF($A49&gt;$C$5," ",VLOOKUP($A49,Plot!$DF$7:$DT$67,15,FALSE))</f>
        <v>2.1657651403057336</v>
      </c>
      <c r="AZ49" s="1390">
        <f>IF($A49&gt;$C$5," ",VLOOKUP($A49,Plot!$DF$7:$DU$67,16,FALSE))</f>
        <v>216.57651403057338</v>
      </c>
      <c r="BA49" s="1390">
        <f>IF($A49&gt;$C$5," ",AX49+SUM($AZ$20:AZ49)+IF(AW50=0,-AX49,0))</f>
        <v>216.57651403057341</v>
      </c>
      <c r="BB49" s="1390">
        <f>IF($A49&gt;$C$5," ",VLOOKUP($A49,Plot!$DF$7:$DW$67,Plot!$DW$2,FALSE))</f>
        <v>102.68</v>
      </c>
      <c r="BC49" s="1390">
        <f>IF($A49&gt;$C$5," ",VLOOKUP($A49,Plot!$DF$7:$DX$67,Plot!$DX$2,FALSE))</f>
        <v>0</v>
      </c>
      <c r="BD49" s="1396">
        <f>IF($A49&gt;$C$5," ",VLOOKUP($A49,Plot!$A$7:$N$67,14,FALSE))</f>
        <v>11.632834596849463</v>
      </c>
      <c r="BE49" s="303">
        <f>IF($A49&gt;$C$5," ",VLOOKUP($A49,Plot!$V$7:$BW$67,Plot!$BW$2,FALSE))</f>
        <v>20.8</v>
      </c>
      <c r="BF49" s="303">
        <f>IF($A49&gt;$C$5," ",VLOOKUP($A49,Plot!$CK$7:$CX$67,14,FALSE))</f>
        <v>0</v>
      </c>
      <c r="BG49" s="303">
        <f>IF($A49&gt;$C$5," ",VLOOKUP($A49,Plot!$DF$7:$FH$67,Plot!$FH$2,FALSE))</f>
        <v>13.333333333333332</v>
      </c>
      <c r="BH49" s="1397">
        <f t="shared" si="24"/>
        <v>13.333333333333332</v>
      </c>
      <c r="BI49" s="303">
        <f>IF($A49&gt;$C$5," ",VLOOKUP($A49,Plot!$DF$7:$EJ$67,29,FALSE))</f>
        <v>0</v>
      </c>
      <c r="BJ49" s="303">
        <f>IF($A49&gt;$C$5," ",VLOOKUP($A49,Plot!$DF$7:$FT$67,30,FALSE))</f>
        <v>0</v>
      </c>
      <c r="BK49" s="303">
        <f>IF($A49&gt;$C$5," ",VLOOKUP($A49,Plot!$DF$7:$FT$67,Plot!$EL$2,FALSE))</f>
        <v>0</v>
      </c>
      <c r="BL49" s="303">
        <f>IF($A49&gt;$C$5," ",VLOOKUP($A49,Plot!$DF$7:$FT$67,Plot!$EM$2,FALSE))</f>
        <v>0</v>
      </c>
      <c r="BM49" s="303">
        <f>IF($A49&gt;$C$5," ",VLOOKUP($A49,Plot!$DF$7:$FT$67,Plot!$EN$2,FALSE))</f>
        <v>0</v>
      </c>
      <c r="BN49" s="303">
        <f>IF($A49&gt;$C$5," ",VLOOKUP($A49,Plot!$DF$7:$FT$67,Plot!$EO$2,FALSE))</f>
        <v>0</v>
      </c>
      <c r="BO49" s="303">
        <f t="shared" si="19"/>
        <v>0</v>
      </c>
      <c r="BP49" s="303">
        <f>IF($A49&gt;$C$5," ",VLOOKUP($A49,Plot!$DF$7:$FT$67,Plot!$EQ$2,FALSE))</f>
        <v>0</v>
      </c>
      <c r="BQ49" s="303">
        <f>IF($A49&gt;$C$5," ",(VLOOKUP($A49,Plot!$DF$7:$FT$67,Plot!$ES$2,FALSE)+VLOOKUP($A49,Plot!$DF$7:$FT$67,Plot!$ET$2,FALSE)))</f>
        <v>0</v>
      </c>
      <c r="BR49" s="303">
        <f>IF($A49&gt;$C$5," ",(VLOOKUP($A49,Plot!$DF$7:$FT$67,Plot!$EV$2,FALSE)+VLOOKUP($A49,Plot!$DF$7:$FT$67,Plot!$EW$2,FALSE)))</f>
        <v>0</v>
      </c>
      <c r="BS49" s="303">
        <f>IF($A49&gt;$C$5," ",VLOOKUP($A49,Plot!$DF$7:$FT$67,Plot!$EY$2,FALSE))</f>
        <v>0</v>
      </c>
      <c r="BT49" s="303">
        <f>IF($A49&gt;$C$5," ",(VLOOKUP($A49,Plot!$DF$7:$FT$67,Plot!$FB$2,FALSE)+VLOOKUP($A49,Plot!$DF$7:$FT$67,Plot!$FC$2,FALSE)))</f>
        <v>0</v>
      </c>
      <c r="BU49" s="303">
        <f>IF($A49&gt;$C$5," ",(VLOOKUP($A49,Plot!$DF$7:$FT$67,Plot!$FE$2,FALSE)+VLOOKUP($A49,Plot!$DF$7:$FT$67,Plot!$FF$2,FALSE)))</f>
        <v>13.333333333333332</v>
      </c>
      <c r="BV49" s="1026">
        <f>IF($A49&gt;$C$5," ",VLOOKUP($A49,Plot!$FV$7:$GJ$67,2,FALSE))</f>
        <v>592.39389338904869</v>
      </c>
      <c r="BW49" s="1027">
        <f>IF($A49&gt;$C$5," ",VLOOKUP($A49,Plot!$FV$7:$GJ$67,3,FALSE))</f>
        <v>2788.9913946501542</v>
      </c>
      <c r="BX49" s="1379">
        <f ca="1">IF($A49&gt;$C$5," ",VLOOKUP($A49,Plot!$FV$7:$GJ$67,6,FALSE))</f>
        <v>3079.5045587076711</v>
      </c>
      <c r="BY49" s="1026">
        <f>IF($A49&gt;$C$5," ",VLOOKUP($A49,Plot!$GO$7:$GY$67,2,FALSE))</f>
        <v>75.41721273564238</v>
      </c>
      <c r="BZ49" s="1027">
        <f>IF($A49&gt;$C$5," ",VLOOKUP($A49,Plot!$GO$7:$GY$67,3,FALSE))</f>
        <v>0</v>
      </c>
      <c r="CA49" s="1379">
        <f>IF($A49&gt;$C$5," ",VLOOKUP($A49,Plot!$GO$7:$GY$67,6,FALSE))</f>
        <v>0</v>
      </c>
      <c r="CB49" s="1027">
        <f>IF($A49&gt;$C$5," ",-1*VLOOKUP($A49,Plot!$HA$7:$HK$67,2,FALSE))</f>
        <v>-406.39643419150036</v>
      </c>
      <c r="CC49" s="1027">
        <f>IF($A49&gt;$C$5," ",-1*VLOOKUP($A49,Plot!$HA$7:$HK$67,3,FALSE))</f>
        <v>-188.20955436782592</v>
      </c>
      <c r="CD49" s="1189">
        <f>IF($A49&gt;$C$5," ",-1*VLOOKUP($A49,Plot!$HA$7:$HK$67,6,FALSE))</f>
        <v>-120.99246714391607</v>
      </c>
      <c r="CE49" s="10"/>
      <c r="CF49" s="38">
        <v>30</v>
      </c>
      <c r="CG49" s="1381">
        <f>IF($CF49&gt;$C$5," ",VLOOKUP($CF49,Unit!$A$7:$BE$68,22,FALSE))</f>
        <v>33.340000000000003</v>
      </c>
      <c r="CH49" s="1027">
        <f>IF($CF49&gt;$C$5," ",VLOOKUP($CF49,Unit!$A$7:$BE$68,23,FALSE))</f>
        <v>33.33</v>
      </c>
      <c r="CI49" s="1027">
        <f>IF($CF49&gt;$C$5," ",VLOOKUP($CF49,Unit!$A$7:$BE$68,24,FALSE))</f>
        <v>32.996699999999997</v>
      </c>
      <c r="CJ49" s="1189">
        <f>IF($CF49&gt;$C$5," ",VLOOKUP($CF49,Unit!$A$7:$BE$68,25,FALSE))</f>
        <v>0.33330000000000026</v>
      </c>
      <c r="CK49" s="1381">
        <f>IF($CF49&gt;$C$5," ",VLOOKUP($CF49,Unit!$A$7:$BE$68,27,FALSE))</f>
        <v>326.56958522986014</v>
      </c>
      <c r="CL49" s="1027">
        <f>IF($CF49&gt;$C$5," ",VLOOKUP($CF49,Unit!$A$7:$BE$68,28,FALSE))</f>
        <v>7301.0038199025394</v>
      </c>
      <c r="CM49" s="1027">
        <f>IF($CF49&gt;$C$5," ",VLOOKUP($CF49,Unit!$A$7:$BE$68,29,FALSE))</f>
        <v>7301.0038199025394</v>
      </c>
      <c r="CN49" s="1027">
        <f ca="1">IF($CF49&gt;$C$5," ",VLOOKUP($CF49,Unit!$A$7:$BE$68,30,FALSE))</f>
        <v>0</v>
      </c>
      <c r="CO49" s="1027">
        <f>IF($CF49&gt;$C$5," ",VLOOKUP($CF49,Unit!$A$7:$BE$68,31,FALSE))</f>
        <v>7218.495212639009</v>
      </c>
      <c r="CP49" s="1027">
        <f>IF($CF49&gt;$C$5," ",VLOOKUP($CF49,Unit!$A$7:$BE$68,32,FALSE))</f>
        <v>7218.4952126390099</v>
      </c>
      <c r="CQ49" s="1381">
        <f>IF($CF49&gt;$C$5," ",VLOOKUP($CF49,Unit!$A$7:$BE$68,33,FALSE))</f>
        <v>387.83870545896116</v>
      </c>
      <c r="CR49" s="1027">
        <f>IF($CF49&gt;$C$5," ",VLOOKUP($CF49,Unit!$A$7:$BE$68,34,FALSE))</f>
        <v>693.26400000000001</v>
      </c>
      <c r="CS49" s="1027">
        <f>IF($CF49&gt;$C$5," ",VLOOKUP($CF49,Unit!$A$7:$BE$68,35,FALSE))</f>
        <v>0</v>
      </c>
      <c r="CT49" s="1027">
        <f>IF($CF49&gt;$C$5," ",VLOOKUP($CF49,Unit!$A$7:$BE$68,36,FALSE))</f>
        <v>444.39999999999992</v>
      </c>
      <c r="CU49" s="1189">
        <f t="shared" si="20"/>
        <v>444.39999999999992</v>
      </c>
      <c r="CV49" s="1027">
        <f>IF($CF49&gt;$C$5," ",VLOOKUP($CF49,Unit!$A$7:$BA$68,43,FALSE))</f>
        <v>495292.00863923668</v>
      </c>
      <c r="CW49" s="1027">
        <f>IF($CF49&gt;$C$5," ",VLOOKUP($CF49,Unit!$A$7:$BB$68,44,FALSE))</f>
        <v>215151.40581489389</v>
      </c>
      <c r="CX49" s="1189">
        <f ca="1">IF($CF49&gt;$C$5," ",VLOOKUP($CF49,Unit!$A$7:$BE$68,47,FALSE))</f>
        <v>319106.8883305093</v>
      </c>
      <c r="CY49" s="1381">
        <f>IF($CF49&gt;$C$5," ",VLOOKUP($CF49,Unit!$A$7:$BA$68,53,FALSE))</f>
        <v>318195.71571730817</v>
      </c>
      <c r="CZ49" s="1027">
        <f>IF($CF49&gt;$C$5," ",VLOOKUP($CF49,Unit!$A$7:$BB$68,54,FALSE))</f>
        <v>39882.207233727211</v>
      </c>
      <c r="DA49" s="1189">
        <f ca="1">IF($CF49&gt;$C$5," ",VLOOKUP($CF49,Unit!$A$7:$BE$68,57,FALSE))</f>
        <v>116729.00326703294</v>
      </c>
    </row>
    <row r="50" spans="1:105" x14ac:dyDescent="0.25">
      <c r="A50" s="38">
        <v>31</v>
      </c>
      <c r="B50" s="1381" t="str">
        <f>IF($A50&gt;$C$5," ",VLOOKUP($A50,Plot!$A$7:$T$67,Plot!P$2,FALSE))</f>
        <v xml:space="preserve"> </v>
      </c>
      <c r="C50" s="1027" t="str">
        <f>IF($A50&gt;$C$5," ",VLOOKUP($A50,Plot!$V$7:$CI$67,Plot!$CA$2,FALSE))</f>
        <v xml:space="preserve"> </v>
      </c>
      <c r="D50" s="1027" t="str">
        <f>IF($A50&gt;$C$5," ",VLOOKUP($A50,Plot!$CK$7:$DD$67,Plot!$CZ$2,FALSE))</f>
        <v xml:space="preserve"> </v>
      </c>
      <c r="E50" s="1027" t="str">
        <f>IF($A50&gt;$C$5," ",VLOOKUP($A50,Plot!$DF$7:$FT$67,Plot!$FL$2,FALSE))</f>
        <v xml:space="preserve"> </v>
      </c>
      <c r="F50" s="1379" t="str">
        <f t="shared" ref="F50:F79" si="25">IF($A50&gt;$C$5," ",D50+E50)</f>
        <v xml:space="preserve"> </v>
      </c>
      <c r="G50" s="1026" t="str">
        <f>IF($A50&gt;$C$5," ",VLOOKUP($A50,Plot!$V$7:$CG$67,Plot!$CG$2,FALSE))</f>
        <v xml:space="preserve"> </v>
      </c>
      <c r="H50" s="1027" t="str">
        <f>IF($A50&gt;$C$5," ",VLOOKUP($A50,Plot!$DF$7:$FT$67,Plot!$FR$2,FALSE))</f>
        <v xml:space="preserve"> </v>
      </c>
      <c r="I50" s="1379" t="str">
        <f t="shared" si="17"/>
        <v xml:space="preserve"> </v>
      </c>
      <c r="J50" s="1026" t="str">
        <f>IF($A50&gt;$C$5," ",SUM(B$20:$B50))</f>
        <v xml:space="preserve"> </v>
      </c>
      <c r="K50" s="1027" t="str">
        <f>IF($A50&gt;$C$5," ",SUM($C$20:C50))</f>
        <v xml:space="preserve"> </v>
      </c>
      <c r="L50" s="1027" t="str">
        <f>IF($A50&gt;$C$5," ",SUM($D$20:D50))</f>
        <v xml:space="preserve"> </v>
      </c>
      <c r="M50" s="1027" t="str">
        <f>IF($A50&gt;$C$5," ",SUM($E$20:E50))</f>
        <v xml:space="preserve"> </v>
      </c>
      <c r="N50" s="1379" t="str">
        <f>IF($A50&gt;$C$5," ",SUM($F$20:F50))</f>
        <v xml:space="preserve"> </v>
      </c>
      <c r="O50" s="1027" t="str">
        <f>IF($A50&gt;$C$5," ",SUM($G$20:G50))</f>
        <v xml:space="preserve"> </v>
      </c>
      <c r="P50" s="1027" t="str">
        <f>IF($A50&gt;$C$5," ",SUM($H$20:H50))</f>
        <v xml:space="preserve"> </v>
      </c>
      <c r="Q50" s="1027" t="str">
        <f>IF($A50&gt;$C$5," ",SUM($I$20:I50))</f>
        <v xml:space="preserve"> </v>
      </c>
      <c r="R50" s="1026"/>
      <c r="S50" s="1027"/>
      <c r="T50" s="1027"/>
      <c r="U50" s="1027"/>
      <c r="V50" s="1379"/>
      <c r="W50" s="1027" t="str">
        <f>IF($A50&gt;$C$5," ",VLOOKUP($A50,Plot!$HM$7:$IA$67,Plot!$HR$2,FALSE))</f>
        <v xml:space="preserve"> </v>
      </c>
      <c r="X50" s="1027" t="str">
        <f>IF($A50&gt;$C$5," ",VLOOKUP($A50,Plot!$HM$7:$IA$67,Plot!$HS$2,FALSE))</f>
        <v xml:space="preserve"> </v>
      </c>
      <c r="Y50" s="1379" t="str">
        <f t="shared" si="18"/>
        <v xml:space="preserve"> </v>
      </c>
      <c r="Z50" s="1026" t="str">
        <f>IF($A50&gt;$C$5," ",SUM($B$20:B50))</f>
        <v xml:space="preserve"> </v>
      </c>
      <c r="AA50" s="1027" t="str">
        <f>IF($A50&gt;$C$5," ",SUM($C$20:C50))</f>
        <v xml:space="preserve"> </v>
      </c>
      <c r="AB50" s="1027" t="str">
        <f>IF($A50&gt;$C$5," ",SUM($D$20:D50))</f>
        <v xml:space="preserve"> </v>
      </c>
      <c r="AC50" s="1027" t="str">
        <f>IF($A50&gt;$C$5," ",SUM($E$20:E50))</f>
        <v xml:space="preserve"> </v>
      </c>
      <c r="AD50" s="1379" t="str">
        <f t="shared" si="22"/>
        <v xml:space="preserve"> </v>
      </c>
      <c r="AE50" s="1027" t="str">
        <f>IF($A50&gt;$C$5," ",SUM($W$20:W50))</f>
        <v xml:space="preserve"> </v>
      </c>
      <c r="AF50" s="1027" t="str">
        <f>IF($A50&gt;$C$5," ",SUM($X$20:X50))</f>
        <v xml:space="preserve"> </v>
      </c>
      <c r="AG50" s="1027" t="str">
        <f t="shared" si="23"/>
        <v xml:space="preserve"> </v>
      </c>
      <c r="AH50" s="1394" t="str">
        <f>IF($A50&gt;$C$5," ",VLOOKUP($A50,Plot!$A$7:$D$67,4,FALSE))</f>
        <v xml:space="preserve"> </v>
      </c>
      <c r="AI50" s="1390" t="str">
        <f>IF($A50&gt;$C$5," ",VLOOKUP($A50,Plot!$A$7:$E$67,5,FALSE))</f>
        <v xml:space="preserve"> </v>
      </c>
      <c r="AJ50" s="1390" t="str">
        <f ca="1">IF($A50&gt;$C$5," ",IF(ROW()-ROW($A$18)&gt;='Options and results'!$AR$56,AVERAGE(OFFSET(AI50,0,0,COUNTA($BS:$BS)-'Options and results'!$AR$56,1)),NA()))</f>
        <v xml:space="preserve"> </v>
      </c>
      <c r="AK50" s="1395" t="str">
        <f>IF($A50&gt;$C$5," ",VLOOKUP($A50,Plot!$A$7:$F$67,6,FALSE))</f>
        <v xml:space="preserve"> </v>
      </c>
      <c r="AL50" s="1390" t="str">
        <f>IF($A50&gt;$C$5," ",VLOOKUP($A50,Plot!$CK$7:$CN$67,4,FALSE))</f>
        <v xml:space="preserve"> </v>
      </c>
      <c r="AM50" s="1390" t="str">
        <f>IF($A50&gt;$C$5," ",AL50*VLOOKUP($A50,Plot!$CK$7:$CO$67,5,FALSE))</f>
        <v xml:space="preserve"> </v>
      </c>
      <c r="AN50" s="1390" t="str">
        <f ca="1">IF($A50&gt;$C$5," ",IF(ROW()-ROW($A$18)&gt;='Options and results'!$AR$56,AVERAGE(OFFSET(AM50,0,0,COUNTA($BS:$BS)-'Options and results'!$AR$56,1)),NA()))</f>
        <v xml:space="preserve"> </v>
      </c>
      <c r="AO50" s="1390" t="str">
        <f>IF($A50&gt;$C$5," ",VLOOKUP($A50,Plot!$CK$7:$CP$67,6,FALSE))</f>
        <v xml:space="preserve"> </v>
      </c>
      <c r="AP50" s="1409">
        <f>IF($A50&gt;$C$5,0,VLOOKUP($A50,Plot!$V$7:$AH$67,7,FALSE))</f>
        <v>0</v>
      </c>
      <c r="AQ50" s="1390" t="str">
        <f>IF($A50&gt;$C$5," ",VLOOKUP($A50,Plot!$V$7:$AH$67,13,FALSE))</f>
        <v xml:space="preserve"> </v>
      </c>
      <c r="AR50" s="1390" t="str">
        <f>IF($A50&gt;$C$5," ",VLOOKUP($A50,Plot!$V$7:$AI$67,14,FALSE))</f>
        <v xml:space="preserve"> </v>
      </c>
      <c r="AS50" s="1390" t="str">
        <f>IF($A50&gt;$C$5," ",VLOOKUP($A50,Plot!$V$7:$AJ$67,15,FALSE))</f>
        <v xml:space="preserve"> </v>
      </c>
      <c r="AT50" s="1390" t="str">
        <f>IF($A50&gt;$C$5," ",AQ50+SUM($AS$20:AS50)+IF(AP51=0,-AQ50,0))</f>
        <v xml:space="preserve"> </v>
      </c>
      <c r="AU50" s="1390" t="str">
        <f>IF($A50&gt;$C$5," ",VLOOKUP($A50,Plot!$V$7:$AL$67,Plot!$AL$2,FALSE))</f>
        <v xml:space="preserve"> </v>
      </c>
      <c r="AV50" s="1395" t="str">
        <f>IF($A50&gt;$C$5," ",VLOOKUP($A50,Plot!$V$7:$AM$67,Plot!$AM$2,FALSE))</f>
        <v xml:space="preserve"> </v>
      </c>
      <c r="AW50" s="1407">
        <f>IF($A50&gt;$C$5,0,VLOOKUP($A50,Plot!$DF$7:$DS$67,7,FALSE))</f>
        <v>0</v>
      </c>
      <c r="AX50" s="1390" t="str">
        <f>IF($A50&gt;$C$5," ",VLOOKUP($A50,Plot!$DF$7:$DS$67,14,FALSE))</f>
        <v xml:space="preserve"> </v>
      </c>
      <c r="AY50" s="1390" t="str">
        <f>IF($A50&gt;$C$5," ",VLOOKUP($A50,Plot!$DF$7:$DT$67,15,FALSE))</f>
        <v xml:space="preserve"> </v>
      </c>
      <c r="AZ50" s="1390" t="str">
        <f>IF($A50&gt;$C$5," ",VLOOKUP($A50,Plot!$DF$7:$DU$67,16,FALSE))</f>
        <v xml:space="preserve"> </v>
      </c>
      <c r="BA50" s="1390" t="str">
        <f>IF($A50&gt;$C$5," ",AX50+SUM($AZ$20:AZ50)+IF(AW51=0,-AX50,0))</f>
        <v xml:space="preserve"> </v>
      </c>
      <c r="BB50" s="1390" t="str">
        <f>IF($A50&gt;$C$5," ",VLOOKUP($A50,Plot!$DF$7:$DW$67,Plot!$DW$2,FALSE))</f>
        <v xml:space="preserve"> </v>
      </c>
      <c r="BC50" s="1390" t="str">
        <f>IF($A50&gt;$C$5," ",VLOOKUP($A50,Plot!$DF$7:$DX$67,Plot!$DX$2,FALSE))</f>
        <v xml:space="preserve"> </v>
      </c>
      <c r="BD50" s="1396" t="str">
        <f>IF($A50&gt;$C$5," ",VLOOKUP($A50,Plot!$A$7:$N$67,14,FALSE))</f>
        <v xml:space="preserve"> </v>
      </c>
      <c r="BE50" s="303" t="str">
        <f>IF($A50&gt;$C$5," ",VLOOKUP($A50,Plot!$V$7:$BW$67,Plot!$BW$2,FALSE))</f>
        <v xml:space="preserve"> </v>
      </c>
      <c r="BF50" s="303" t="str">
        <f>IF($A50&gt;$C$5," ",VLOOKUP($A50,Plot!$CK$7:$CX$67,14,FALSE))</f>
        <v xml:space="preserve"> </v>
      </c>
      <c r="BG50" s="303" t="str">
        <f>IF($A50&gt;$C$5," ",VLOOKUP($A50,Plot!$DF$7:$FH$67,Plot!$FH$2,FALSE))</f>
        <v xml:space="preserve"> </v>
      </c>
      <c r="BH50" s="1397" t="str">
        <f t="shared" si="24"/>
        <v xml:space="preserve"> </v>
      </c>
      <c r="BI50" s="303" t="str">
        <f>IF($A50&gt;$C$5," ",VLOOKUP($A50,Plot!$DF$7:$EJ$67,29,FALSE))</f>
        <v xml:space="preserve"> </v>
      </c>
      <c r="BJ50" s="303" t="str">
        <f>IF($A50&gt;$C$5," ",VLOOKUP($A50,Plot!$DF$7:$FT$67,30,FALSE))</f>
        <v xml:space="preserve"> </v>
      </c>
      <c r="BK50" s="303" t="str">
        <f>IF($A50&gt;$C$5," ",VLOOKUP($A50,Plot!$DF$7:$FT$67,Plot!$EL$2,FALSE))</f>
        <v xml:space="preserve"> </v>
      </c>
      <c r="BL50" s="303" t="str">
        <f>IF($A50&gt;$C$5," ",VLOOKUP($A50,Plot!$DF$7:$FT$67,Plot!$EM$2,FALSE))</f>
        <v xml:space="preserve"> </v>
      </c>
      <c r="BM50" s="303" t="str">
        <f>IF($A50&gt;$C$5," ",VLOOKUP($A50,Plot!$DF$7:$FT$67,Plot!$EN$2,FALSE))</f>
        <v xml:space="preserve"> </v>
      </c>
      <c r="BN50" s="303" t="str">
        <f>IF($A50&gt;$C$5," ",VLOOKUP($A50,Plot!$DF$7:$FT$67,Plot!$EO$2,FALSE))</f>
        <v xml:space="preserve"> </v>
      </c>
      <c r="BO50" s="303" t="str">
        <f t="shared" si="19"/>
        <v xml:space="preserve"> </v>
      </c>
      <c r="BP50" s="303" t="str">
        <f>IF($A50&gt;$C$5," ",VLOOKUP($A50,Plot!$DF$7:$FT$67,Plot!$EQ$2,FALSE))</f>
        <v xml:space="preserve"> </v>
      </c>
      <c r="BQ50" s="303" t="str">
        <f>IF($A50&gt;$C$5," ",(VLOOKUP($A50,Plot!$DF$7:$FT$67,Plot!$ES$2,FALSE)+VLOOKUP($A50,Plot!$DF$7:$FT$67,Plot!$ET$2,FALSE)))</f>
        <v xml:space="preserve"> </v>
      </c>
      <c r="BR50" s="303" t="str">
        <f>IF($A50&gt;$C$5," ",(VLOOKUP($A50,Plot!$DF$7:$FT$67,Plot!$EV$2,FALSE)+VLOOKUP($A50,Plot!$DF$7:$FT$67,Plot!$EW$2,FALSE)))</f>
        <v xml:space="preserve"> </v>
      </c>
      <c r="BS50" s="303" t="str">
        <f>IF($A50&gt;$C$5," ",VLOOKUP($A50,Plot!$DF$7:$FT$67,Plot!$EY$2,FALSE))</f>
        <v xml:space="preserve"> </v>
      </c>
      <c r="BT50" s="303" t="str">
        <f>IF($A50&gt;$C$5," ",(VLOOKUP($A50,Plot!$DF$7:$FT$67,Plot!$FB$2,FALSE)+VLOOKUP($A50,Plot!$DF$7:$FT$67,Plot!$FC$2,FALSE)))</f>
        <v xml:space="preserve"> </v>
      </c>
      <c r="BU50" s="303" t="str">
        <f>IF($A50&gt;$C$5," ",(VLOOKUP($A50,Plot!$DF$7:$FT$67,Plot!$FE$2,FALSE)+VLOOKUP($A50,Plot!$DF$7:$FT$67,Plot!$FF$2,FALSE)))</f>
        <v xml:space="preserve"> </v>
      </c>
      <c r="BV50" s="1026" t="str">
        <f>IF($A50&gt;$C$5," ",VLOOKUP($A50,Plot!$FV$7:$GJ$67,2,FALSE))</f>
        <v xml:space="preserve"> </v>
      </c>
      <c r="BW50" s="1027" t="str">
        <f>IF($A50&gt;$C$5," ",VLOOKUP($A50,Plot!$FV$7:$GJ$67,3,FALSE))</f>
        <v xml:space="preserve"> </v>
      </c>
      <c r="BX50" s="1379" t="str">
        <f>IF($A50&gt;$C$5," ",VLOOKUP($A50,Plot!$FV$7:$GJ$67,6,FALSE))</f>
        <v xml:space="preserve"> </v>
      </c>
      <c r="BY50" s="1026" t="str">
        <f>IF($A50&gt;$C$5," ",VLOOKUP($A50,Plot!$GO$7:$GY$67,2,FALSE))</f>
        <v xml:space="preserve"> </v>
      </c>
      <c r="BZ50" s="1027" t="str">
        <f>IF($A50&gt;$C$5," ",VLOOKUP($A50,Plot!$GO$7:$GY$67,3,FALSE))</f>
        <v xml:space="preserve"> </v>
      </c>
      <c r="CA50" s="1379" t="str">
        <f>IF($A50&gt;$C$5," ",VLOOKUP($A50,Plot!$GO$7:$GY$67,6,FALSE))</f>
        <v xml:space="preserve"> </v>
      </c>
      <c r="CB50" s="1027" t="str">
        <f>IF($A50&gt;$C$5," ",-1*VLOOKUP($A50,Plot!$HA$7:$HK$67,2,FALSE))</f>
        <v xml:space="preserve"> </v>
      </c>
      <c r="CC50" s="1027" t="str">
        <f>IF($A50&gt;$C$5," ",-1*VLOOKUP($A50,Plot!$HA$7:$HK$67,3,FALSE))</f>
        <v xml:space="preserve"> </v>
      </c>
      <c r="CD50" s="1189" t="str">
        <f>IF($A50&gt;$C$5," ",-1*VLOOKUP($A50,Plot!$HA$7:$HK$67,6,FALSE))</f>
        <v xml:space="preserve"> </v>
      </c>
      <c r="CE50" s="10"/>
      <c r="CF50" s="38">
        <v>31</v>
      </c>
      <c r="CG50" s="1381" t="str">
        <f>IF($CF50&gt;$C$5," ",VLOOKUP($CF50,Unit!$A$7:$BE$68,22,FALSE))</f>
        <v xml:space="preserve"> </v>
      </c>
      <c r="CH50" s="1027" t="str">
        <f>IF($CF50&gt;$C$5," ",VLOOKUP($CF50,Unit!$A$7:$BE$68,23,FALSE))</f>
        <v xml:space="preserve"> </v>
      </c>
      <c r="CI50" s="1027" t="str">
        <f>IF($CF50&gt;$C$5," ",VLOOKUP($CF50,Unit!$A$7:$BE$68,24,FALSE))</f>
        <v xml:space="preserve"> </v>
      </c>
      <c r="CJ50" s="1189" t="str">
        <f>IF($CF50&gt;$C$5," ",VLOOKUP($CF50,Unit!$A$7:$BE$68,25,FALSE))</f>
        <v xml:space="preserve"> </v>
      </c>
      <c r="CK50" s="1381" t="str">
        <f>IF($CF50&gt;$C$5," ",VLOOKUP($CF50,Unit!$A$7:$BE$68,27,FALSE))</f>
        <v xml:space="preserve"> </v>
      </c>
      <c r="CL50" s="1027" t="str">
        <f>IF($CF50&gt;$C$5," ",VLOOKUP($CF50,Unit!$A$7:$BE$68,28,FALSE))</f>
        <v xml:space="preserve"> </v>
      </c>
      <c r="CM50" s="1027" t="str">
        <f>IF($CF50&gt;$C$5," ",VLOOKUP($CF50,Unit!$A$7:$BE$68,29,FALSE))</f>
        <v xml:space="preserve"> </v>
      </c>
      <c r="CN50" s="1027" t="str">
        <f>IF($CF50&gt;$C$5," ",VLOOKUP($CF50,Unit!$A$7:$BE$68,30,FALSE))</f>
        <v xml:space="preserve"> </v>
      </c>
      <c r="CO50" s="1027" t="str">
        <f>IF($CF50&gt;$C$5," ",VLOOKUP($CF50,Unit!$A$7:$BE$68,31,FALSE))</f>
        <v xml:space="preserve"> </v>
      </c>
      <c r="CP50" s="1027" t="str">
        <f>IF($CF50&gt;$C$5," ",VLOOKUP($CF50,Unit!$A$7:$BE$68,32,FALSE))</f>
        <v xml:space="preserve"> </v>
      </c>
      <c r="CQ50" s="1381" t="str">
        <f>IF($CF50&gt;$C$5," ",VLOOKUP($CF50,Unit!$A$7:$BE$68,33,FALSE))</f>
        <v xml:space="preserve"> </v>
      </c>
      <c r="CR50" s="1027" t="str">
        <f>IF($CF50&gt;$C$5," ",VLOOKUP($CF50,Unit!$A$7:$BE$68,34,FALSE))</f>
        <v xml:space="preserve"> </v>
      </c>
      <c r="CS50" s="1027" t="str">
        <f>IF($CF50&gt;$C$5," ",VLOOKUP($CF50,Unit!$A$7:$BE$68,35,FALSE))</f>
        <v xml:space="preserve"> </v>
      </c>
      <c r="CT50" s="1027" t="str">
        <f>IF($CF50&gt;$C$5," ",VLOOKUP($CF50,Unit!$A$7:$BE$68,36,FALSE))</f>
        <v xml:space="preserve"> </v>
      </c>
      <c r="CU50" s="1189" t="str">
        <f t="shared" si="20"/>
        <v xml:space="preserve"> </v>
      </c>
      <c r="CV50" s="1027" t="str">
        <f>IF($CF50&gt;$C$5," ",VLOOKUP($CF50,Unit!$A$7:$BA$68,43,FALSE))</f>
        <v xml:space="preserve"> </v>
      </c>
      <c r="CW50" s="1027" t="str">
        <f>IF($CF50&gt;$C$5," ",VLOOKUP($CF50,Unit!$A$7:$BB$68,44,FALSE))</f>
        <v xml:space="preserve"> </v>
      </c>
      <c r="CX50" s="1189" t="str">
        <f>IF($CF50&gt;$C$5," ",VLOOKUP($CF50,Unit!$A$7:$BE$68,47,FALSE))</f>
        <v xml:space="preserve"> </v>
      </c>
      <c r="CY50" s="1381" t="str">
        <f>IF($CF50&gt;$C$5," ",VLOOKUP($CF50,Unit!$A$7:$BA$68,53,FALSE))</f>
        <v xml:space="preserve"> </v>
      </c>
      <c r="CZ50" s="1027" t="str">
        <f>IF($CF50&gt;$C$5," ",VLOOKUP($CF50,Unit!$A$7:$BB$68,54,FALSE))</f>
        <v xml:space="preserve"> </v>
      </c>
      <c r="DA50" s="1189" t="str">
        <f>IF($CF50&gt;$C$5," ",VLOOKUP($CF50,Unit!$A$7:$BE$68,57,FALSE))</f>
        <v xml:space="preserve"> </v>
      </c>
    </row>
    <row r="51" spans="1:105" x14ac:dyDescent="0.25">
      <c r="A51" s="38">
        <v>32</v>
      </c>
      <c r="B51" s="1381" t="str">
        <f>IF($A51&gt;$C$5," ",VLOOKUP($A51,Plot!$A$7:$T$67,Plot!P$2,FALSE))</f>
        <v xml:space="preserve"> </v>
      </c>
      <c r="C51" s="1027" t="str">
        <f>IF($A51&gt;$C$5," ",VLOOKUP($A51,Plot!$V$7:$CI$67,Plot!$CA$2,FALSE))</f>
        <v xml:space="preserve"> </v>
      </c>
      <c r="D51" s="1027" t="str">
        <f>IF($A51&gt;$C$5," ",VLOOKUP($A51,Plot!$CK$7:$DD$67,Plot!$CZ$2,FALSE))</f>
        <v xml:space="preserve"> </v>
      </c>
      <c r="E51" s="1027" t="str">
        <f>IF($A51&gt;$C$5," ",VLOOKUP($A51,Plot!$DF$7:$FT$67,Plot!$FL$2,FALSE))</f>
        <v xml:space="preserve"> </v>
      </c>
      <c r="F51" s="1379" t="str">
        <f t="shared" si="25"/>
        <v xml:space="preserve"> </v>
      </c>
      <c r="G51" s="1026" t="str">
        <f>IF($A51&gt;$C$5," ",VLOOKUP($A51,Plot!$V$7:$CG$67,Plot!$CG$2,FALSE))</f>
        <v xml:space="preserve"> </v>
      </c>
      <c r="H51" s="1027" t="str">
        <f>IF($A51&gt;$C$5," ",VLOOKUP($A51,Plot!$DF$7:$FT$67,Plot!$FR$2,FALSE))</f>
        <v xml:space="preserve"> </v>
      </c>
      <c r="I51" s="1379" t="str">
        <f t="shared" si="17"/>
        <v xml:space="preserve"> </v>
      </c>
      <c r="J51" s="1026" t="str">
        <f>IF($A51&gt;$C$5," ",SUM(B$20:$B51))</f>
        <v xml:space="preserve"> </v>
      </c>
      <c r="K51" s="1027" t="str">
        <f>IF($A51&gt;$C$5," ",SUM($C$20:C51))</f>
        <v xml:space="preserve"> </v>
      </c>
      <c r="L51" s="1027" t="str">
        <f>IF($A51&gt;$C$5," ",SUM($D$20:D51))</f>
        <v xml:space="preserve"> </v>
      </c>
      <c r="M51" s="1027" t="str">
        <f>IF($A51&gt;$C$5," ",SUM($E$20:E51))</f>
        <v xml:space="preserve"> </v>
      </c>
      <c r="N51" s="1379" t="str">
        <f>IF($A51&gt;$C$5," ",SUM($F$20:F51))</f>
        <v xml:space="preserve"> </v>
      </c>
      <c r="O51" s="1027" t="str">
        <f>IF($A51&gt;$C$5," ",SUM($G$20:G51))</f>
        <v xml:space="preserve"> </v>
      </c>
      <c r="P51" s="1027" t="str">
        <f>IF($A51&gt;$C$5," ",SUM($H$20:H51))</f>
        <v xml:space="preserve"> </v>
      </c>
      <c r="Q51" s="1027" t="str">
        <f>IF($A51&gt;$C$5," ",SUM($I$20:I51))</f>
        <v xml:space="preserve"> </v>
      </c>
      <c r="R51" s="1026"/>
      <c r="S51" s="1027"/>
      <c r="T51" s="1027"/>
      <c r="U51" s="1027"/>
      <c r="V51" s="1379"/>
      <c r="W51" s="1027" t="str">
        <f>IF($A51&gt;$C$5," ",VLOOKUP($A51,Plot!$HM$7:$IA$67,Plot!$HR$2,FALSE))</f>
        <v xml:space="preserve"> </v>
      </c>
      <c r="X51" s="1027" t="str">
        <f>IF($A51&gt;$C$5," ",VLOOKUP($A51,Plot!$HM$7:$IA$67,Plot!$HS$2,FALSE))</f>
        <v xml:space="preserve"> </v>
      </c>
      <c r="Y51" s="1379" t="str">
        <f t="shared" si="18"/>
        <v xml:space="preserve"> </v>
      </c>
      <c r="Z51" s="1026" t="str">
        <f>IF($A51&gt;$C$5," ",SUM($B$20:B51))</f>
        <v xml:space="preserve"> </v>
      </c>
      <c r="AA51" s="1027" t="str">
        <f>IF($A51&gt;$C$5," ",SUM($C$20:C51))</f>
        <v xml:space="preserve"> </v>
      </c>
      <c r="AB51" s="1027" t="str">
        <f>IF($A51&gt;$C$5," ",SUM($D$20:D51))</f>
        <v xml:space="preserve"> </v>
      </c>
      <c r="AC51" s="1027" t="str">
        <f>IF($A51&gt;$C$5," ",SUM($E$20:E51))</f>
        <v xml:space="preserve"> </v>
      </c>
      <c r="AD51" s="1379" t="str">
        <f t="shared" si="22"/>
        <v xml:space="preserve"> </v>
      </c>
      <c r="AE51" s="1027" t="str">
        <f>IF($A51&gt;$C$5," ",SUM($W$20:W51))</f>
        <v xml:space="preserve"> </v>
      </c>
      <c r="AF51" s="1027" t="str">
        <f>IF($A51&gt;$C$5," ",SUM($X$20:X51))</f>
        <v xml:space="preserve"> </v>
      </c>
      <c r="AG51" s="1027" t="str">
        <f t="shared" si="23"/>
        <v xml:space="preserve"> </v>
      </c>
      <c r="AH51" s="1394" t="str">
        <f>IF($A51&gt;$C$5," ",VLOOKUP($A51,Plot!$A$7:$D$67,4,FALSE))</f>
        <v xml:space="preserve"> </v>
      </c>
      <c r="AI51" s="1390" t="str">
        <f>IF($A51&gt;$C$5," ",VLOOKUP($A51,Plot!$A$7:$E$67,5,FALSE))</f>
        <v xml:space="preserve"> </v>
      </c>
      <c r="AJ51" s="1390" t="str">
        <f ca="1">IF($A51&gt;$C$5," ",IF(ROW()-ROW($A$18)&gt;='Options and results'!$AR$56,AVERAGE(OFFSET(AI51,0,0,COUNTA($BS:$BS)-'Options and results'!$AR$56,1)),NA()))</f>
        <v xml:space="preserve"> </v>
      </c>
      <c r="AK51" s="1395" t="str">
        <f>IF($A51&gt;$C$5," ",VLOOKUP($A51,Plot!$A$7:$F$67,6,FALSE))</f>
        <v xml:space="preserve"> </v>
      </c>
      <c r="AL51" s="1390" t="str">
        <f>IF($A51&gt;$C$5," ",VLOOKUP($A51,Plot!$CK$7:$CN$67,4,FALSE))</f>
        <v xml:space="preserve"> </v>
      </c>
      <c r="AM51" s="1390" t="str">
        <f>IF($A51&gt;$C$5," ",AL51*VLOOKUP($A51,Plot!$CK$7:$CO$67,5,FALSE))</f>
        <v xml:space="preserve"> </v>
      </c>
      <c r="AN51" s="1390" t="str">
        <f ca="1">IF($A51&gt;$C$5," ",IF(ROW()-ROW($A$18)&gt;='Options and results'!$AR$56,AVERAGE(OFFSET(AM51,0,0,COUNTA($BS:$BS)-'Options and results'!$AR$56,1)),NA()))</f>
        <v xml:space="preserve"> </v>
      </c>
      <c r="AO51" s="1390" t="str">
        <f>IF($A51&gt;$C$5," ",VLOOKUP($A51,Plot!$CK$7:$CP$67,6,FALSE))</f>
        <v xml:space="preserve"> </v>
      </c>
      <c r="AP51" s="1409">
        <f>IF($A51&gt;$C$5,0,VLOOKUP($A51,Plot!$V$7:$AH$67,7,FALSE))</f>
        <v>0</v>
      </c>
      <c r="AQ51" s="1390" t="str">
        <f>IF($A51&gt;$C$5," ",VLOOKUP($A51,Plot!$V$7:$AH$67,13,FALSE))</f>
        <v xml:space="preserve"> </v>
      </c>
      <c r="AR51" s="1390" t="str">
        <f>IF($A51&gt;$C$5," ",VLOOKUP($A51,Plot!$V$7:$AI$67,14,FALSE))</f>
        <v xml:space="preserve"> </v>
      </c>
      <c r="AS51" s="1390" t="str">
        <f>IF($A51&gt;$C$5," ",VLOOKUP($A51,Plot!$V$7:$AJ$67,15,FALSE))</f>
        <v xml:space="preserve"> </v>
      </c>
      <c r="AT51" s="1390" t="str">
        <f>IF($A51&gt;$C$5," ",AQ51+SUM($AS$20:AS51)+IF(AP52=0,-AQ51,0))</f>
        <v xml:space="preserve"> </v>
      </c>
      <c r="AU51" s="1390" t="str">
        <f>IF($A51&gt;$C$5," ",VLOOKUP($A51,Plot!$V$7:$AL$67,Plot!$AL$2,FALSE))</f>
        <v xml:space="preserve"> </v>
      </c>
      <c r="AV51" s="1395" t="str">
        <f>IF($A51&gt;$C$5," ",VLOOKUP($A51,Plot!$V$7:$AM$67,Plot!$AM$2,FALSE))</f>
        <v xml:space="preserve"> </v>
      </c>
      <c r="AW51" s="1407">
        <f>IF($A51&gt;$C$5,0,VLOOKUP($A51,Plot!$DF$7:$DS$67,7,FALSE))</f>
        <v>0</v>
      </c>
      <c r="AX51" s="1390" t="str">
        <f>IF($A51&gt;$C$5," ",VLOOKUP($A51,Plot!$DF$7:$DS$67,14,FALSE))</f>
        <v xml:space="preserve"> </v>
      </c>
      <c r="AY51" s="1390" t="str">
        <f>IF($A51&gt;$C$5," ",VLOOKUP($A51,Plot!$DF$7:$DT$67,15,FALSE))</f>
        <v xml:space="preserve"> </v>
      </c>
      <c r="AZ51" s="1390" t="str">
        <f>IF($A51&gt;$C$5," ",VLOOKUP($A51,Plot!$DF$7:$DU$67,16,FALSE))</f>
        <v xml:space="preserve"> </v>
      </c>
      <c r="BA51" s="1390" t="str">
        <f>IF($A51&gt;$C$5," ",AX51+SUM($AZ$20:AZ51)+IF(AW52=0,-AX51,0))</f>
        <v xml:space="preserve"> </v>
      </c>
      <c r="BB51" s="1390" t="str">
        <f>IF($A51&gt;$C$5," ",VLOOKUP($A51,Plot!$DF$7:$DW$67,Plot!$DW$2,FALSE))</f>
        <v xml:space="preserve"> </v>
      </c>
      <c r="BC51" s="1390" t="str">
        <f>IF($A51&gt;$C$5," ",VLOOKUP($A51,Plot!$DF$7:$DX$67,Plot!$DX$2,FALSE))</f>
        <v xml:space="preserve"> </v>
      </c>
      <c r="BD51" s="1396" t="str">
        <f>IF($A51&gt;$C$5," ",VLOOKUP($A51,Plot!$A$7:$N$67,14,FALSE))</f>
        <v xml:space="preserve"> </v>
      </c>
      <c r="BE51" s="303" t="str">
        <f>IF($A51&gt;$C$5," ",VLOOKUP($A51,Plot!$V$7:$BW$67,Plot!$BW$2,FALSE))</f>
        <v xml:space="preserve"> </v>
      </c>
      <c r="BF51" s="303" t="str">
        <f>IF($A51&gt;$C$5," ",VLOOKUP($A51,Plot!$CK$7:$CX$67,14,FALSE))</f>
        <v xml:space="preserve"> </v>
      </c>
      <c r="BG51" s="303" t="str">
        <f>IF($A51&gt;$C$5," ",VLOOKUP($A51,Plot!$DF$7:$FH$67,Plot!$FH$2,FALSE))</f>
        <v xml:space="preserve"> </v>
      </c>
      <c r="BH51" s="1397" t="str">
        <f t="shared" si="24"/>
        <v xml:space="preserve"> </v>
      </c>
      <c r="BI51" s="303" t="str">
        <f>IF($A51&gt;$C$5," ",VLOOKUP($A51,Plot!$DF$7:$EJ$67,29,FALSE))</f>
        <v xml:space="preserve"> </v>
      </c>
      <c r="BJ51" s="303" t="str">
        <f>IF($A51&gt;$C$5," ",VLOOKUP($A51,Plot!$DF$7:$FT$67,30,FALSE))</f>
        <v xml:space="preserve"> </v>
      </c>
      <c r="BK51" s="303" t="str">
        <f>IF($A51&gt;$C$5," ",VLOOKUP($A51,Plot!$DF$7:$FT$67,Plot!$EL$2,FALSE))</f>
        <v xml:space="preserve"> </v>
      </c>
      <c r="BL51" s="303" t="str">
        <f>IF($A51&gt;$C$5," ",VLOOKUP($A51,Plot!$DF$7:$FT$67,Plot!$EM$2,FALSE))</f>
        <v xml:space="preserve"> </v>
      </c>
      <c r="BM51" s="303" t="str">
        <f>IF($A51&gt;$C$5," ",VLOOKUP($A51,Plot!$DF$7:$FT$67,Plot!$EN$2,FALSE))</f>
        <v xml:space="preserve"> </v>
      </c>
      <c r="BN51" s="303" t="str">
        <f>IF($A51&gt;$C$5," ",VLOOKUP($A51,Plot!$DF$7:$FT$67,Plot!$EO$2,FALSE))</f>
        <v xml:space="preserve"> </v>
      </c>
      <c r="BO51" s="303" t="str">
        <f t="shared" si="19"/>
        <v xml:space="preserve"> </v>
      </c>
      <c r="BP51" s="303" t="str">
        <f>IF($A51&gt;$C$5," ",VLOOKUP($A51,Plot!$DF$7:$FT$67,Plot!$EQ$2,FALSE))</f>
        <v xml:space="preserve"> </v>
      </c>
      <c r="BQ51" s="303" t="str">
        <f>IF($A51&gt;$C$5," ",(VLOOKUP($A51,Plot!$DF$7:$FT$67,Plot!$ES$2,FALSE)+VLOOKUP($A51,Plot!$DF$7:$FT$67,Plot!$ET$2,FALSE)))</f>
        <v xml:space="preserve"> </v>
      </c>
      <c r="BR51" s="303" t="str">
        <f>IF($A51&gt;$C$5," ",(VLOOKUP($A51,Plot!$DF$7:$FT$67,Plot!$EV$2,FALSE)+VLOOKUP($A51,Plot!$DF$7:$FT$67,Plot!$EW$2,FALSE)))</f>
        <v xml:space="preserve"> </v>
      </c>
      <c r="BS51" s="303" t="str">
        <f>IF($A51&gt;$C$5," ",VLOOKUP($A51,Plot!$DF$7:$FT$67,Plot!$EY$2,FALSE))</f>
        <v xml:space="preserve"> </v>
      </c>
      <c r="BT51" s="303" t="str">
        <f>IF($A51&gt;$C$5," ",(VLOOKUP($A51,Plot!$DF$7:$FT$67,Plot!$FB$2,FALSE)+VLOOKUP($A51,Plot!$DF$7:$FT$67,Plot!$FC$2,FALSE)))</f>
        <v xml:space="preserve"> </v>
      </c>
      <c r="BU51" s="303" t="str">
        <f>IF($A51&gt;$C$5," ",(VLOOKUP($A51,Plot!$DF$7:$FT$67,Plot!$FE$2,FALSE)+VLOOKUP($A51,Plot!$DF$7:$FT$67,Plot!$FF$2,FALSE)))</f>
        <v xml:space="preserve"> </v>
      </c>
      <c r="BV51" s="1026" t="str">
        <f>IF($A51&gt;$C$5," ",VLOOKUP($A51,Plot!$FV$7:$GJ$67,2,FALSE))</f>
        <v xml:space="preserve"> </v>
      </c>
      <c r="BW51" s="1027" t="str">
        <f>IF($A51&gt;$C$5," ",VLOOKUP($A51,Plot!$FV$7:$GJ$67,3,FALSE))</f>
        <v xml:space="preserve"> </v>
      </c>
      <c r="BX51" s="1379" t="str">
        <f>IF($A51&gt;$C$5," ",VLOOKUP($A51,Plot!$FV$7:$GJ$67,6,FALSE))</f>
        <v xml:space="preserve"> </v>
      </c>
      <c r="BY51" s="1026" t="str">
        <f>IF($A51&gt;$C$5," ",VLOOKUP($A51,Plot!$GO$7:$GY$67,2,FALSE))</f>
        <v xml:space="preserve"> </v>
      </c>
      <c r="BZ51" s="1027" t="str">
        <f>IF($A51&gt;$C$5," ",VLOOKUP($A51,Plot!$GO$7:$GY$67,3,FALSE))</f>
        <v xml:space="preserve"> </v>
      </c>
      <c r="CA51" s="1379" t="str">
        <f>IF($A51&gt;$C$5," ",VLOOKUP($A51,Plot!$GO$7:$GY$67,6,FALSE))</f>
        <v xml:space="preserve"> </v>
      </c>
      <c r="CB51" s="1027" t="str">
        <f>IF($A51&gt;$C$5," ",-1*VLOOKUP($A51,Plot!$HA$7:$HK$67,2,FALSE))</f>
        <v xml:space="preserve"> </v>
      </c>
      <c r="CC51" s="1027" t="str">
        <f>IF($A51&gt;$C$5," ",-1*VLOOKUP($A51,Plot!$HA$7:$HK$67,3,FALSE))</f>
        <v xml:space="preserve"> </v>
      </c>
      <c r="CD51" s="1189" t="str">
        <f>IF($A51&gt;$C$5," ",-1*VLOOKUP($A51,Plot!$HA$7:$HK$67,6,FALSE))</f>
        <v xml:space="preserve"> </v>
      </c>
      <c r="CE51" s="10"/>
      <c r="CF51" s="38">
        <v>32</v>
      </c>
      <c r="CG51" s="1381" t="str">
        <f>IF($CF51&gt;$C$5," ",VLOOKUP($CF51,Unit!$A$7:$BE$68,22,FALSE))</f>
        <v xml:space="preserve"> </v>
      </c>
      <c r="CH51" s="1027" t="str">
        <f>IF($CF51&gt;$C$5," ",VLOOKUP($CF51,Unit!$A$7:$BE$68,23,FALSE))</f>
        <v xml:space="preserve"> </v>
      </c>
      <c r="CI51" s="1027" t="str">
        <f>IF($CF51&gt;$C$5," ",VLOOKUP($CF51,Unit!$A$7:$BE$68,24,FALSE))</f>
        <v xml:space="preserve"> </v>
      </c>
      <c r="CJ51" s="1189" t="str">
        <f>IF($CF51&gt;$C$5," ",VLOOKUP($CF51,Unit!$A$7:$BE$68,25,FALSE))</f>
        <v xml:space="preserve"> </v>
      </c>
      <c r="CK51" s="1381" t="str">
        <f>IF($CF51&gt;$C$5," ",VLOOKUP($CF51,Unit!$A$7:$BE$68,27,FALSE))</f>
        <v xml:space="preserve"> </v>
      </c>
      <c r="CL51" s="1027" t="str">
        <f>IF($CF51&gt;$C$5," ",VLOOKUP($CF51,Unit!$A$7:$BE$68,28,FALSE))</f>
        <v xml:space="preserve"> </v>
      </c>
      <c r="CM51" s="1027" t="str">
        <f>IF($CF51&gt;$C$5," ",VLOOKUP($CF51,Unit!$A$7:$BE$68,29,FALSE))</f>
        <v xml:space="preserve"> </v>
      </c>
      <c r="CN51" s="1027" t="str">
        <f>IF($CF51&gt;$C$5," ",VLOOKUP($CF51,Unit!$A$7:$BE$68,30,FALSE))</f>
        <v xml:space="preserve"> </v>
      </c>
      <c r="CO51" s="1027" t="str">
        <f>IF($CF51&gt;$C$5," ",VLOOKUP($CF51,Unit!$A$7:$BE$68,31,FALSE))</f>
        <v xml:space="preserve"> </v>
      </c>
      <c r="CP51" s="1027" t="str">
        <f>IF($CF51&gt;$C$5," ",VLOOKUP($CF51,Unit!$A$7:$BE$68,32,FALSE))</f>
        <v xml:space="preserve"> </v>
      </c>
      <c r="CQ51" s="1381" t="str">
        <f>IF($CF51&gt;$C$5," ",VLOOKUP($CF51,Unit!$A$7:$BE$68,33,FALSE))</f>
        <v xml:space="preserve"> </v>
      </c>
      <c r="CR51" s="1027" t="str">
        <f>IF($CF51&gt;$C$5," ",VLOOKUP($CF51,Unit!$A$7:$BE$68,34,FALSE))</f>
        <v xml:space="preserve"> </v>
      </c>
      <c r="CS51" s="1027" t="str">
        <f>IF($CF51&gt;$C$5," ",VLOOKUP($CF51,Unit!$A$7:$BE$68,35,FALSE))</f>
        <v xml:space="preserve"> </v>
      </c>
      <c r="CT51" s="1027" t="str">
        <f>IF($CF51&gt;$C$5," ",VLOOKUP($CF51,Unit!$A$7:$BE$68,36,FALSE))</f>
        <v xml:space="preserve"> </v>
      </c>
      <c r="CU51" s="1189" t="str">
        <f t="shared" si="20"/>
        <v xml:space="preserve"> </v>
      </c>
      <c r="CV51" s="1027" t="str">
        <f>IF($CF51&gt;$C$5," ",VLOOKUP($CF51,Unit!$A$7:$BA$68,43,FALSE))</f>
        <v xml:space="preserve"> </v>
      </c>
      <c r="CW51" s="1027" t="str">
        <f>IF($CF51&gt;$C$5," ",VLOOKUP($CF51,Unit!$A$7:$BB$68,44,FALSE))</f>
        <v xml:space="preserve"> </v>
      </c>
      <c r="CX51" s="1189" t="str">
        <f>IF($CF51&gt;$C$5," ",VLOOKUP($CF51,Unit!$A$7:$BE$68,47,FALSE))</f>
        <v xml:space="preserve"> </v>
      </c>
      <c r="CY51" s="1381" t="str">
        <f>IF($CF51&gt;$C$5," ",VLOOKUP($CF51,Unit!$A$7:$BA$68,53,FALSE))</f>
        <v xml:space="preserve"> </v>
      </c>
      <c r="CZ51" s="1027" t="str">
        <f>IF($CF51&gt;$C$5," ",VLOOKUP($CF51,Unit!$A$7:$BB$68,54,FALSE))</f>
        <v xml:space="preserve"> </v>
      </c>
      <c r="DA51" s="1189" t="str">
        <f>IF($CF51&gt;$C$5," ",VLOOKUP($CF51,Unit!$A$7:$BE$68,57,FALSE))</f>
        <v xml:space="preserve"> </v>
      </c>
    </row>
    <row r="52" spans="1:105" x14ac:dyDescent="0.25">
      <c r="A52" s="38">
        <v>33</v>
      </c>
      <c r="B52" s="1381" t="str">
        <f>IF($A52&gt;$C$5," ",VLOOKUP($A52,Plot!$A$7:$T$67,Plot!P$2,FALSE))</f>
        <v xml:space="preserve"> </v>
      </c>
      <c r="C52" s="1027" t="str">
        <f>IF($A52&gt;$C$5," ",VLOOKUP($A52,Plot!$V$7:$CI$67,Plot!$CA$2,FALSE))</f>
        <v xml:space="preserve"> </v>
      </c>
      <c r="D52" s="1027" t="str">
        <f>IF($A52&gt;$C$5," ",VLOOKUP($A52,Plot!$CK$7:$DD$67,Plot!$CZ$2,FALSE))</f>
        <v xml:space="preserve"> </v>
      </c>
      <c r="E52" s="1027" t="str">
        <f>IF($A52&gt;$C$5," ",VLOOKUP($A52,Plot!$DF$7:$FT$67,Plot!$FL$2,FALSE))</f>
        <v xml:space="preserve"> </v>
      </c>
      <c r="F52" s="1379" t="str">
        <f t="shared" si="25"/>
        <v xml:space="preserve"> </v>
      </c>
      <c r="G52" s="1026" t="str">
        <f>IF($A52&gt;$C$5," ",VLOOKUP($A52,Plot!$V$7:$CG$67,Plot!$CG$2,FALSE))</f>
        <v xml:space="preserve"> </v>
      </c>
      <c r="H52" s="1027" t="str">
        <f>IF($A52&gt;$C$5," ",VLOOKUP($A52,Plot!$DF$7:$FT$67,Plot!$FR$2,FALSE))</f>
        <v xml:space="preserve"> </v>
      </c>
      <c r="I52" s="1379" t="str">
        <f t="shared" si="17"/>
        <v xml:space="preserve"> </v>
      </c>
      <c r="J52" s="1026" t="str">
        <f>IF($A52&gt;$C$5," ",SUM(B$20:$B52))</f>
        <v xml:space="preserve"> </v>
      </c>
      <c r="K52" s="1027" t="str">
        <f>IF($A52&gt;$C$5," ",SUM($C$20:C52))</f>
        <v xml:space="preserve"> </v>
      </c>
      <c r="L52" s="1027" t="str">
        <f>IF($A52&gt;$C$5," ",SUM($D$20:D52))</f>
        <v xml:space="preserve"> </v>
      </c>
      <c r="M52" s="1027" t="str">
        <f>IF($A52&gt;$C$5," ",SUM($E$20:E52))</f>
        <v xml:space="preserve"> </v>
      </c>
      <c r="N52" s="1379" t="str">
        <f>IF($A52&gt;$C$5," ",SUM($F$20:F52))</f>
        <v xml:space="preserve"> </v>
      </c>
      <c r="O52" s="1027" t="str">
        <f>IF($A52&gt;$C$5," ",SUM($G$20:G52))</f>
        <v xml:space="preserve"> </v>
      </c>
      <c r="P52" s="1027" t="str">
        <f>IF($A52&gt;$C$5," ",SUM($H$20:H52))</f>
        <v xml:space="preserve"> </v>
      </c>
      <c r="Q52" s="1027" t="str">
        <f>IF($A52&gt;$C$5," ",SUM($I$20:I52))</f>
        <v xml:space="preserve"> </v>
      </c>
      <c r="R52" s="1026"/>
      <c r="S52" s="1027"/>
      <c r="T52" s="1027"/>
      <c r="U52" s="1027"/>
      <c r="V52" s="1379"/>
      <c r="W52" s="1027" t="str">
        <f>IF($A52&gt;$C$5," ",VLOOKUP($A52,Plot!$HM$7:$IA$67,Plot!$HR$2,FALSE))</f>
        <v xml:space="preserve"> </v>
      </c>
      <c r="X52" s="1027" t="str">
        <f>IF($A52&gt;$C$5," ",VLOOKUP($A52,Plot!$HM$7:$IA$67,Plot!$HS$2,FALSE))</f>
        <v xml:space="preserve"> </v>
      </c>
      <c r="Y52" s="1379" t="str">
        <f t="shared" si="18"/>
        <v xml:space="preserve"> </v>
      </c>
      <c r="Z52" s="1026" t="str">
        <f>IF($A52&gt;$C$5," ",SUM($B$20:B52))</f>
        <v xml:space="preserve"> </v>
      </c>
      <c r="AA52" s="1027" t="str">
        <f>IF($A52&gt;$C$5," ",SUM($C$20:C52))</f>
        <v xml:space="preserve"> </v>
      </c>
      <c r="AB52" s="1027" t="str">
        <f>IF($A52&gt;$C$5," ",SUM($D$20:D52))</f>
        <v xml:space="preserve"> </v>
      </c>
      <c r="AC52" s="1027" t="str">
        <f>IF($A52&gt;$C$5," ",SUM($E$20:E52))</f>
        <v xml:space="preserve"> </v>
      </c>
      <c r="AD52" s="1379" t="str">
        <f t="shared" si="22"/>
        <v xml:space="preserve"> </v>
      </c>
      <c r="AE52" s="1027" t="str">
        <f>IF($A52&gt;$C$5," ",SUM($W$20:W52))</f>
        <v xml:space="preserve"> </v>
      </c>
      <c r="AF52" s="1027" t="str">
        <f>IF($A52&gt;$C$5," ",SUM($X$20:X52))</f>
        <v xml:space="preserve"> </v>
      </c>
      <c r="AG52" s="1027" t="str">
        <f t="shared" si="23"/>
        <v xml:space="preserve"> </v>
      </c>
      <c r="AH52" s="1394" t="str">
        <f>IF($A52&gt;$C$5," ",VLOOKUP($A52,Plot!$A$7:$D$67,4,FALSE))</f>
        <v xml:space="preserve"> </v>
      </c>
      <c r="AI52" s="1390" t="str">
        <f>IF($A52&gt;$C$5," ",VLOOKUP($A52,Plot!$A$7:$E$67,5,FALSE))</f>
        <v xml:space="preserve"> </v>
      </c>
      <c r="AJ52" s="1390" t="str">
        <f ca="1">IF($A52&gt;$C$5," ",IF(ROW()-ROW($A$18)&gt;='Options and results'!$AR$56,AVERAGE(OFFSET(AI52,0,0,COUNTA($BS:$BS)-'Options and results'!$AR$56,1)),NA()))</f>
        <v xml:space="preserve"> </v>
      </c>
      <c r="AK52" s="1395" t="str">
        <f>IF($A52&gt;$C$5," ",VLOOKUP($A52,Plot!$A$7:$F$67,6,FALSE))</f>
        <v xml:space="preserve"> </v>
      </c>
      <c r="AL52" s="1390" t="str">
        <f>IF($A52&gt;$C$5," ",VLOOKUP($A52,Plot!$CK$7:$CN$67,4,FALSE))</f>
        <v xml:space="preserve"> </v>
      </c>
      <c r="AM52" s="1390" t="str">
        <f>IF($A52&gt;$C$5," ",AL52*VLOOKUP($A52,Plot!$CK$7:$CO$67,5,FALSE))</f>
        <v xml:space="preserve"> </v>
      </c>
      <c r="AN52" s="1390" t="str">
        <f ca="1">IF($A52&gt;$C$5," ",IF(ROW()-ROW($A$18)&gt;='Options and results'!$AR$56,AVERAGE(OFFSET(AM52,0,0,COUNTA($BS:$BS)-'Options and results'!$AR$56,1)),NA()))</f>
        <v xml:space="preserve"> </v>
      </c>
      <c r="AO52" s="1390" t="str">
        <f>IF($A52&gt;$C$5," ",VLOOKUP($A52,Plot!$CK$7:$CP$67,6,FALSE))</f>
        <v xml:space="preserve"> </v>
      </c>
      <c r="AP52" s="1409">
        <f>IF($A52&gt;$C$5,0,VLOOKUP($A52,Plot!$V$7:$AH$67,7,FALSE))</f>
        <v>0</v>
      </c>
      <c r="AQ52" s="1390" t="str">
        <f>IF($A52&gt;$C$5," ",VLOOKUP($A52,Plot!$V$7:$AH$67,13,FALSE))</f>
        <v xml:space="preserve"> </v>
      </c>
      <c r="AR52" s="1390" t="str">
        <f>IF($A52&gt;$C$5," ",VLOOKUP($A52,Plot!$V$7:$AI$67,14,FALSE))</f>
        <v xml:space="preserve"> </v>
      </c>
      <c r="AS52" s="1390" t="str">
        <f>IF($A52&gt;$C$5," ",VLOOKUP($A52,Plot!$V$7:$AJ$67,15,FALSE))</f>
        <v xml:space="preserve"> </v>
      </c>
      <c r="AT52" s="1390" t="str">
        <f>IF($A52&gt;$C$5," ",AQ52+SUM($AS$20:AS52)+IF(AP53=0,-AQ52,0))</f>
        <v xml:space="preserve"> </v>
      </c>
      <c r="AU52" s="1390" t="str">
        <f>IF($A52&gt;$C$5," ",VLOOKUP($A52,Plot!$V$7:$AL$67,Plot!$AL$2,FALSE))</f>
        <v xml:space="preserve"> </v>
      </c>
      <c r="AV52" s="1395" t="str">
        <f>IF($A52&gt;$C$5," ",VLOOKUP($A52,Plot!$V$7:$AM$67,Plot!$AM$2,FALSE))</f>
        <v xml:space="preserve"> </v>
      </c>
      <c r="AW52" s="1407">
        <f>IF($A52&gt;$C$5,0,VLOOKUP($A52,Plot!$DF$7:$DS$67,7,FALSE))</f>
        <v>0</v>
      </c>
      <c r="AX52" s="1390" t="str">
        <f>IF($A52&gt;$C$5," ",VLOOKUP($A52,Plot!$DF$7:$DS$67,14,FALSE))</f>
        <v xml:space="preserve"> </v>
      </c>
      <c r="AY52" s="1390" t="str">
        <f>IF($A52&gt;$C$5," ",VLOOKUP($A52,Plot!$DF$7:$DT$67,15,FALSE))</f>
        <v xml:space="preserve"> </v>
      </c>
      <c r="AZ52" s="1390" t="str">
        <f>IF($A52&gt;$C$5," ",VLOOKUP($A52,Plot!$DF$7:$DU$67,16,FALSE))</f>
        <v xml:space="preserve"> </v>
      </c>
      <c r="BA52" s="1390" t="str">
        <f>IF($A52&gt;$C$5," ",AX52+SUM($AZ$20:AZ52)+IF(AW53=0,-AX52,0))</f>
        <v xml:space="preserve"> </v>
      </c>
      <c r="BB52" s="1390" t="str">
        <f>IF($A52&gt;$C$5," ",VLOOKUP($A52,Plot!$DF$7:$DW$67,Plot!$DW$2,FALSE))</f>
        <v xml:space="preserve"> </v>
      </c>
      <c r="BC52" s="1390" t="str">
        <f>IF($A52&gt;$C$5," ",VLOOKUP($A52,Plot!$DF$7:$DX$67,Plot!$DX$2,FALSE))</f>
        <v xml:space="preserve"> </v>
      </c>
      <c r="BD52" s="1396" t="str">
        <f>IF($A52&gt;$C$5," ",VLOOKUP($A52,Plot!$A$7:$N$67,14,FALSE))</f>
        <v xml:space="preserve"> </v>
      </c>
      <c r="BE52" s="303" t="str">
        <f>IF($A52&gt;$C$5," ",VLOOKUP($A52,Plot!$V$7:$BW$67,Plot!$BW$2,FALSE))</f>
        <v xml:space="preserve"> </v>
      </c>
      <c r="BF52" s="303" t="str">
        <f>IF($A52&gt;$C$5," ",VLOOKUP($A52,Plot!$CK$7:$CX$67,14,FALSE))</f>
        <v xml:space="preserve"> </v>
      </c>
      <c r="BG52" s="303" t="str">
        <f>IF($A52&gt;$C$5," ",VLOOKUP($A52,Plot!$DF$7:$FH$67,Plot!$FH$2,FALSE))</f>
        <v xml:space="preserve"> </v>
      </c>
      <c r="BH52" s="1397" t="str">
        <f t="shared" si="24"/>
        <v xml:space="preserve"> </v>
      </c>
      <c r="BI52" s="303" t="str">
        <f>IF($A52&gt;$C$5," ",VLOOKUP($A52,Plot!$DF$7:$EJ$67,29,FALSE))</f>
        <v xml:space="preserve"> </v>
      </c>
      <c r="BJ52" s="303" t="str">
        <f>IF($A52&gt;$C$5," ",VLOOKUP($A52,Plot!$DF$7:$FT$67,30,FALSE))</f>
        <v xml:space="preserve"> </v>
      </c>
      <c r="BK52" s="303" t="str">
        <f>IF($A52&gt;$C$5," ",VLOOKUP($A52,Plot!$DF$7:$FT$67,Plot!$EL$2,FALSE))</f>
        <v xml:space="preserve"> </v>
      </c>
      <c r="BL52" s="303" t="str">
        <f>IF($A52&gt;$C$5," ",VLOOKUP($A52,Plot!$DF$7:$FT$67,Plot!$EM$2,FALSE))</f>
        <v xml:space="preserve"> </v>
      </c>
      <c r="BM52" s="303" t="str">
        <f>IF($A52&gt;$C$5," ",VLOOKUP($A52,Plot!$DF$7:$FT$67,Plot!$EN$2,FALSE))</f>
        <v xml:space="preserve"> </v>
      </c>
      <c r="BN52" s="303" t="str">
        <f>IF($A52&gt;$C$5," ",VLOOKUP($A52,Plot!$DF$7:$FT$67,Plot!$EO$2,FALSE))</f>
        <v xml:space="preserve"> </v>
      </c>
      <c r="BO52" s="303" t="str">
        <f t="shared" si="19"/>
        <v xml:space="preserve"> </v>
      </c>
      <c r="BP52" s="303" t="str">
        <f>IF($A52&gt;$C$5," ",VLOOKUP($A52,Plot!$DF$7:$FT$67,Plot!$EQ$2,FALSE))</f>
        <v xml:space="preserve"> </v>
      </c>
      <c r="BQ52" s="303" t="str">
        <f>IF($A52&gt;$C$5," ",(VLOOKUP($A52,Plot!$DF$7:$FT$67,Plot!$ES$2,FALSE)+VLOOKUP($A52,Plot!$DF$7:$FT$67,Plot!$ET$2,FALSE)))</f>
        <v xml:space="preserve"> </v>
      </c>
      <c r="BR52" s="303" t="str">
        <f>IF($A52&gt;$C$5," ",(VLOOKUP($A52,Plot!$DF$7:$FT$67,Plot!$EV$2,FALSE)+VLOOKUP($A52,Plot!$DF$7:$FT$67,Plot!$EW$2,FALSE)))</f>
        <v xml:space="preserve"> </v>
      </c>
      <c r="BS52" s="303" t="str">
        <f>IF($A52&gt;$C$5," ",VLOOKUP($A52,Plot!$DF$7:$FT$67,Plot!$EY$2,FALSE))</f>
        <v xml:space="preserve"> </v>
      </c>
      <c r="BT52" s="303" t="str">
        <f>IF($A52&gt;$C$5," ",(VLOOKUP($A52,Plot!$DF$7:$FT$67,Plot!$FB$2,FALSE)+VLOOKUP($A52,Plot!$DF$7:$FT$67,Plot!$FC$2,FALSE)))</f>
        <v xml:space="preserve"> </v>
      </c>
      <c r="BU52" s="303" t="str">
        <f>IF($A52&gt;$C$5," ",(VLOOKUP($A52,Plot!$DF$7:$FT$67,Plot!$FE$2,FALSE)+VLOOKUP($A52,Plot!$DF$7:$FT$67,Plot!$FF$2,FALSE)))</f>
        <v xml:space="preserve"> </v>
      </c>
      <c r="BV52" s="1026" t="str">
        <f>IF($A52&gt;$C$5," ",VLOOKUP($A52,Plot!$FV$7:$GJ$67,2,FALSE))</f>
        <v xml:space="preserve"> </v>
      </c>
      <c r="BW52" s="1027" t="str">
        <f>IF($A52&gt;$C$5," ",VLOOKUP($A52,Plot!$FV$7:$GJ$67,3,FALSE))</f>
        <v xml:space="preserve"> </v>
      </c>
      <c r="BX52" s="1379" t="str">
        <f>IF($A52&gt;$C$5," ",VLOOKUP($A52,Plot!$FV$7:$GJ$67,6,FALSE))</f>
        <v xml:space="preserve"> </v>
      </c>
      <c r="BY52" s="1026" t="str">
        <f>IF($A52&gt;$C$5," ",VLOOKUP($A52,Plot!$GO$7:$GY$67,2,FALSE))</f>
        <v xml:space="preserve"> </v>
      </c>
      <c r="BZ52" s="1027" t="str">
        <f>IF($A52&gt;$C$5," ",VLOOKUP($A52,Plot!$GO$7:$GY$67,3,FALSE))</f>
        <v xml:space="preserve"> </v>
      </c>
      <c r="CA52" s="1379" t="str">
        <f>IF($A52&gt;$C$5," ",VLOOKUP($A52,Plot!$GO$7:$GY$67,6,FALSE))</f>
        <v xml:space="preserve"> </v>
      </c>
      <c r="CB52" s="1027" t="str">
        <f>IF($A52&gt;$C$5," ",-1*VLOOKUP($A52,Plot!$HA$7:$HK$67,2,FALSE))</f>
        <v xml:space="preserve"> </v>
      </c>
      <c r="CC52" s="1027" t="str">
        <f>IF($A52&gt;$C$5," ",-1*VLOOKUP($A52,Plot!$HA$7:$HK$67,3,FALSE))</f>
        <v xml:space="preserve"> </v>
      </c>
      <c r="CD52" s="1189" t="str">
        <f>IF($A52&gt;$C$5," ",-1*VLOOKUP($A52,Plot!$HA$7:$HK$67,6,FALSE))</f>
        <v xml:space="preserve"> </v>
      </c>
      <c r="CE52" s="10"/>
      <c r="CF52" s="38">
        <v>33</v>
      </c>
      <c r="CG52" s="1381" t="str">
        <f>IF($CF52&gt;$C$5," ",VLOOKUP($CF52,Unit!$A$7:$BE$68,22,FALSE))</f>
        <v xml:space="preserve"> </v>
      </c>
      <c r="CH52" s="1027" t="str">
        <f>IF($CF52&gt;$C$5," ",VLOOKUP($CF52,Unit!$A$7:$BE$68,23,FALSE))</f>
        <v xml:space="preserve"> </v>
      </c>
      <c r="CI52" s="1027" t="str">
        <f>IF($CF52&gt;$C$5," ",VLOOKUP($CF52,Unit!$A$7:$BE$68,24,FALSE))</f>
        <v xml:space="preserve"> </v>
      </c>
      <c r="CJ52" s="1189" t="str">
        <f>IF($CF52&gt;$C$5," ",VLOOKUP($CF52,Unit!$A$7:$BE$68,25,FALSE))</f>
        <v xml:space="preserve"> </v>
      </c>
      <c r="CK52" s="1381" t="str">
        <f>IF($CF52&gt;$C$5," ",VLOOKUP($CF52,Unit!$A$7:$BE$68,27,FALSE))</f>
        <v xml:space="preserve"> </v>
      </c>
      <c r="CL52" s="1027" t="str">
        <f>IF($CF52&gt;$C$5," ",VLOOKUP($CF52,Unit!$A$7:$BE$68,28,FALSE))</f>
        <v xml:space="preserve"> </v>
      </c>
      <c r="CM52" s="1027" t="str">
        <f>IF($CF52&gt;$C$5," ",VLOOKUP($CF52,Unit!$A$7:$BE$68,29,FALSE))</f>
        <v xml:space="preserve"> </v>
      </c>
      <c r="CN52" s="1027" t="str">
        <f>IF($CF52&gt;$C$5," ",VLOOKUP($CF52,Unit!$A$7:$BE$68,30,FALSE))</f>
        <v xml:space="preserve"> </v>
      </c>
      <c r="CO52" s="1027" t="str">
        <f>IF($CF52&gt;$C$5," ",VLOOKUP($CF52,Unit!$A$7:$BE$68,31,FALSE))</f>
        <v xml:space="preserve"> </v>
      </c>
      <c r="CP52" s="1027" t="str">
        <f>IF($CF52&gt;$C$5," ",VLOOKUP($CF52,Unit!$A$7:$BE$68,32,FALSE))</f>
        <v xml:space="preserve"> </v>
      </c>
      <c r="CQ52" s="1381" t="str">
        <f>IF($CF52&gt;$C$5," ",VLOOKUP($CF52,Unit!$A$7:$BE$68,33,FALSE))</f>
        <v xml:space="preserve"> </v>
      </c>
      <c r="CR52" s="1027" t="str">
        <f>IF($CF52&gt;$C$5," ",VLOOKUP($CF52,Unit!$A$7:$BE$68,34,FALSE))</f>
        <v xml:space="preserve"> </v>
      </c>
      <c r="CS52" s="1027" t="str">
        <f>IF($CF52&gt;$C$5," ",VLOOKUP($CF52,Unit!$A$7:$BE$68,35,FALSE))</f>
        <v xml:space="preserve"> </v>
      </c>
      <c r="CT52" s="1027" t="str">
        <f>IF($CF52&gt;$C$5," ",VLOOKUP($CF52,Unit!$A$7:$BE$68,36,FALSE))</f>
        <v xml:space="preserve"> </v>
      </c>
      <c r="CU52" s="1189" t="str">
        <f t="shared" si="20"/>
        <v xml:space="preserve"> </v>
      </c>
      <c r="CV52" s="1027" t="str">
        <f>IF($CF52&gt;$C$5," ",VLOOKUP($CF52,Unit!$A$7:$BA$68,43,FALSE))</f>
        <v xml:space="preserve"> </v>
      </c>
      <c r="CW52" s="1027" t="str">
        <f>IF($CF52&gt;$C$5," ",VLOOKUP($CF52,Unit!$A$7:$BB$68,44,FALSE))</f>
        <v xml:space="preserve"> </v>
      </c>
      <c r="CX52" s="1189" t="str">
        <f>IF($CF52&gt;$C$5," ",VLOOKUP($CF52,Unit!$A$7:$BE$68,47,FALSE))</f>
        <v xml:space="preserve"> </v>
      </c>
      <c r="CY52" s="1381" t="str">
        <f>IF($CF52&gt;$C$5," ",VLOOKUP($CF52,Unit!$A$7:$BA$68,53,FALSE))</f>
        <v xml:space="preserve"> </v>
      </c>
      <c r="CZ52" s="1027" t="str">
        <f>IF($CF52&gt;$C$5," ",VLOOKUP($CF52,Unit!$A$7:$BB$68,54,FALSE))</f>
        <v xml:space="preserve"> </v>
      </c>
      <c r="DA52" s="1189" t="str">
        <f>IF($CF52&gt;$C$5," ",VLOOKUP($CF52,Unit!$A$7:$BE$68,57,FALSE))</f>
        <v xml:space="preserve"> </v>
      </c>
    </row>
    <row r="53" spans="1:105" x14ac:dyDescent="0.25">
      <c r="A53" s="38">
        <v>34</v>
      </c>
      <c r="B53" s="1381" t="str">
        <f>IF($A53&gt;$C$5," ",VLOOKUP($A53,Plot!$A$7:$T$67,Plot!P$2,FALSE))</f>
        <v xml:space="preserve"> </v>
      </c>
      <c r="C53" s="1027" t="str">
        <f>IF($A53&gt;$C$5," ",VLOOKUP($A53,Plot!$V$7:$CI$67,Plot!$CA$2,FALSE))</f>
        <v xml:space="preserve"> </v>
      </c>
      <c r="D53" s="1027" t="str">
        <f>IF($A53&gt;$C$5," ",VLOOKUP($A53,Plot!$CK$7:$DD$67,Plot!$CZ$2,FALSE))</f>
        <v xml:space="preserve"> </v>
      </c>
      <c r="E53" s="1027" t="str">
        <f>IF($A53&gt;$C$5," ",VLOOKUP($A53,Plot!$DF$7:$FT$67,Plot!$FL$2,FALSE))</f>
        <v xml:space="preserve"> </v>
      </c>
      <c r="F53" s="1379" t="str">
        <f t="shared" si="25"/>
        <v xml:space="preserve"> </v>
      </c>
      <c r="G53" s="1026" t="str">
        <f>IF($A53&gt;$C$5," ",VLOOKUP($A53,Plot!$V$7:$CG$67,Plot!$CG$2,FALSE))</f>
        <v xml:space="preserve"> </v>
      </c>
      <c r="H53" s="1027" t="str">
        <f>IF($A53&gt;$C$5," ",VLOOKUP($A53,Plot!$DF$7:$FT$67,Plot!$FR$2,FALSE))</f>
        <v xml:space="preserve"> </v>
      </c>
      <c r="I53" s="1379" t="str">
        <f t="shared" si="17"/>
        <v xml:space="preserve"> </v>
      </c>
      <c r="J53" s="1026" t="str">
        <f>IF($A53&gt;$C$5," ",SUM(B$20:$B53))</f>
        <v xml:space="preserve"> </v>
      </c>
      <c r="K53" s="1027" t="str">
        <f>IF($A53&gt;$C$5," ",SUM($C$20:C53))</f>
        <v xml:space="preserve"> </v>
      </c>
      <c r="L53" s="1027" t="str">
        <f>IF($A53&gt;$C$5," ",SUM($D$20:D53))</f>
        <v xml:space="preserve"> </v>
      </c>
      <c r="M53" s="1027" t="str">
        <f>IF($A53&gt;$C$5," ",SUM($E$20:E53))</f>
        <v xml:space="preserve"> </v>
      </c>
      <c r="N53" s="1379" t="str">
        <f>IF($A53&gt;$C$5," ",SUM($F$20:F53))</f>
        <v xml:space="preserve"> </v>
      </c>
      <c r="O53" s="1027" t="str">
        <f>IF($A53&gt;$C$5," ",SUM($G$20:G53))</f>
        <v xml:space="preserve"> </v>
      </c>
      <c r="P53" s="1027" t="str">
        <f>IF($A53&gt;$C$5," ",SUM($H$20:H53))</f>
        <v xml:space="preserve"> </v>
      </c>
      <c r="Q53" s="1027" t="str">
        <f>IF($A53&gt;$C$5," ",SUM($I$20:I53))</f>
        <v xml:space="preserve"> </v>
      </c>
      <c r="R53" s="1026"/>
      <c r="S53" s="1027"/>
      <c r="T53" s="1027"/>
      <c r="U53" s="1027"/>
      <c r="V53" s="1379"/>
      <c r="W53" s="1027" t="str">
        <f>IF($A53&gt;$C$5," ",VLOOKUP($A53,Plot!$HM$7:$IA$67,Plot!$HR$2,FALSE))</f>
        <v xml:space="preserve"> </v>
      </c>
      <c r="X53" s="1027" t="str">
        <f>IF($A53&gt;$C$5," ",VLOOKUP($A53,Plot!$HM$7:$IA$67,Plot!$HS$2,FALSE))</f>
        <v xml:space="preserve"> </v>
      </c>
      <c r="Y53" s="1379" t="str">
        <f t="shared" si="18"/>
        <v xml:space="preserve"> </v>
      </c>
      <c r="Z53" s="1026" t="str">
        <f>IF($A53&gt;$C$5," ",SUM($B$20:B53))</f>
        <v xml:space="preserve"> </v>
      </c>
      <c r="AA53" s="1027" t="str">
        <f>IF($A53&gt;$C$5," ",SUM($C$20:C53))</f>
        <v xml:space="preserve"> </v>
      </c>
      <c r="AB53" s="1027" t="str">
        <f>IF($A53&gt;$C$5," ",SUM($D$20:D53))</f>
        <v xml:space="preserve"> </v>
      </c>
      <c r="AC53" s="1027" t="str">
        <f>IF($A53&gt;$C$5," ",SUM($E$20:E53))</f>
        <v xml:space="preserve"> </v>
      </c>
      <c r="AD53" s="1379" t="str">
        <f t="shared" si="22"/>
        <v xml:space="preserve"> </v>
      </c>
      <c r="AE53" s="1027" t="str">
        <f>IF($A53&gt;$C$5," ",SUM($W$20:W53))</f>
        <v xml:space="preserve"> </v>
      </c>
      <c r="AF53" s="1027" t="str">
        <f>IF($A53&gt;$C$5," ",SUM($X$20:X53))</f>
        <v xml:space="preserve"> </v>
      </c>
      <c r="AG53" s="1027" t="str">
        <f t="shared" si="23"/>
        <v xml:space="preserve"> </v>
      </c>
      <c r="AH53" s="1394" t="str">
        <f>IF($A53&gt;$C$5," ",VLOOKUP($A53,Plot!$A$7:$D$67,4,FALSE))</f>
        <v xml:space="preserve"> </v>
      </c>
      <c r="AI53" s="1390" t="str">
        <f>IF($A53&gt;$C$5," ",VLOOKUP($A53,Plot!$A$7:$E$67,5,FALSE))</f>
        <v xml:space="preserve"> </v>
      </c>
      <c r="AJ53" s="1390" t="str">
        <f ca="1">IF($A53&gt;$C$5," ",IF(ROW()-ROW($A$18)&gt;='Options and results'!$AR$56,AVERAGE(OFFSET(AI53,0,0,COUNTA($BS:$BS)-'Options and results'!$AR$56,1)),NA()))</f>
        <v xml:space="preserve"> </v>
      </c>
      <c r="AK53" s="1395" t="str">
        <f>IF($A53&gt;$C$5," ",VLOOKUP($A53,Plot!$A$7:$F$67,6,FALSE))</f>
        <v xml:space="preserve"> </v>
      </c>
      <c r="AL53" s="1390" t="str">
        <f>IF($A53&gt;$C$5," ",VLOOKUP($A53,Plot!$CK$7:$CN$67,4,FALSE))</f>
        <v xml:space="preserve"> </v>
      </c>
      <c r="AM53" s="1390" t="str">
        <f>IF($A53&gt;$C$5," ",AL53*VLOOKUP($A53,Plot!$CK$7:$CO$67,5,FALSE))</f>
        <v xml:space="preserve"> </v>
      </c>
      <c r="AN53" s="1390" t="str">
        <f ca="1">IF($A53&gt;$C$5," ",IF(ROW()-ROW($A$18)&gt;='Options and results'!$AR$56,AVERAGE(OFFSET(AM53,0,0,COUNTA($BS:$BS)-'Options and results'!$AR$56,1)),NA()))</f>
        <v xml:space="preserve"> </v>
      </c>
      <c r="AO53" s="1390" t="str">
        <f>IF($A53&gt;$C$5," ",VLOOKUP($A53,Plot!$CK$7:$CP$67,6,FALSE))</f>
        <v xml:space="preserve"> </v>
      </c>
      <c r="AP53" s="1409">
        <f>IF($A53&gt;$C$5,0,VLOOKUP($A53,Plot!$V$7:$AH$67,7,FALSE))</f>
        <v>0</v>
      </c>
      <c r="AQ53" s="1390" t="str">
        <f>IF($A53&gt;$C$5," ",VLOOKUP($A53,Plot!$V$7:$AH$67,13,FALSE))</f>
        <v xml:space="preserve"> </v>
      </c>
      <c r="AR53" s="1390" t="str">
        <f>IF($A53&gt;$C$5," ",VLOOKUP($A53,Plot!$V$7:$AI$67,14,FALSE))</f>
        <v xml:space="preserve"> </v>
      </c>
      <c r="AS53" s="1390" t="str">
        <f>IF($A53&gt;$C$5," ",VLOOKUP($A53,Plot!$V$7:$AJ$67,15,FALSE))</f>
        <v xml:space="preserve"> </v>
      </c>
      <c r="AT53" s="1390" t="str">
        <f>IF($A53&gt;$C$5," ",AQ53+SUM($AS$20:AS53)+IF(AP54=0,-AQ53,0))</f>
        <v xml:space="preserve"> </v>
      </c>
      <c r="AU53" s="1390" t="str">
        <f>IF($A53&gt;$C$5," ",VLOOKUP($A53,Plot!$V$7:$AL$67,Plot!$AL$2,FALSE))</f>
        <v xml:space="preserve"> </v>
      </c>
      <c r="AV53" s="1395" t="str">
        <f>IF($A53&gt;$C$5," ",VLOOKUP($A53,Plot!$V$7:$AM$67,Plot!$AM$2,FALSE))</f>
        <v xml:space="preserve"> </v>
      </c>
      <c r="AW53" s="1407">
        <f>IF($A53&gt;$C$5,0,VLOOKUP($A53,Plot!$DF$7:$DS$67,7,FALSE))</f>
        <v>0</v>
      </c>
      <c r="AX53" s="1390" t="str">
        <f>IF($A53&gt;$C$5," ",VLOOKUP($A53,Plot!$DF$7:$DS$67,14,FALSE))</f>
        <v xml:space="preserve"> </v>
      </c>
      <c r="AY53" s="1390" t="str">
        <f>IF($A53&gt;$C$5," ",VLOOKUP($A53,Plot!$DF$7:$DT$67,15,FALSE))</f>
        <v xml:space="preserve"> </v>
      </c>
      <c r="AZ53" s="1390" t="str">
        <f>IF($A53&gt;$C$5," ",VLOOKUP($A53,Plot!$DF$7:$DU$67,16,FALSE))</f>
        <v xml:space="preserve"> </v>
      </c>
      <c r="BA53" s="1390" t="str">
        <f>IF($A53&gt;$C$5," ",AX53+SUM($AZ$20:AZ53)+IF(AW54=0,-AX53,0))</f>
        <v xml:space="preserve"> </v>
      </c>
      <c r="BB53" s="1390" t="str">
        <f>IF($A53&gt;$C$5," ",VLOOKUP($A53,Plot!$DF$7:$DW$67,Plot!$DW$2,FALSE))</f>
        <v xml:space="preserve"> </v>
      </c>
      <c r="BC53" s="1390" t="str">
        <f>IF($A53&gt;$C$5," ",VLOOKUP($A53,Plot!$DF$7:$DX$67,Plot!$DX$2,FALSE))</f>
        <v xml:space="preserve"> </v>
      </c>
      <c r="BD53" s="1396" t="str">
        <f>IF($A53&gt;$C$5," ",VLOOKUP($A53,Plot!$A$7:$N$67,14,FALSE))</f>
        <v xml:space="preserve"> </v>
      </c>
      <c r="BE53" s="303" t="str">
        <f>IF($A53&gt;$C$5," ",VLOOKUP($A53,Plot!$V$7:$BW$67,Plot!$BW$2,FALSE))</f>
        <v xml:space="preserve"> </v>
      </c>
      <c r="BF53" s="303" t="str">
        <f>IF($A53&gt;$C$5," ",VLOOKUP($A53,Plot!$CK$7:$CX$67,14,FALSE))</f>
        <v xml:space="preserve"> </v>
      </c>
      <c r="BG53" s="303" t="str">
        <f>IF($A53&gt;$C$5," ",VLOOKUP($A53,Plot!$DF$7:$FH$67,Plot!$FH$2,FALSE))</f>
        <v xml:space="preserve"> </v>
      </c>
      <c r="BH53" s="1397" t="str">
        <f t="shared" si="24"/>
        <v xml:space="preserve"> </v>
      </c>
      <c r="BI53" s="303" t="str">
        <f>IF($A53&gt;$C$5," ",VLOOKUP($A53,Plot!$DF$7:$EJ$67,29,FALSE))</f>
        <v xml:space="preserve"> </v>
      </c>
      <c r="BJ53" s="303" t="str">
        <f>IF($A53&gt;$C$5," ",VLOOKUP($A53,Plot!$DF$7:$FT$67,30,FALSE))</f>
        <v xml:space="preserve"> </v>
      </c>
      <c r="BK53" s="303" t="str">
        <f>IF($A53&gt;$C$5," ",VLOOKUP($A53,Plot!$DF$7:$FT$67,Plot!$EL$2,FALSE))</f>
        <v xml:space="preserve"> </v>
      </c>
      <c r="BL53" s="303" t="str">
        <f>IF($A53&gt;$C$5," ",VLOOKUP($A53,Plot!$DF$7:$FT$67,Plot!$EM$2,FALSE))</f>
        <v xml:space="preserve"> </v>
      </c>
      <c r="BM53" s="303" t="str">
        <f>IF($A53&gt;$C$5," ",VLOOKUP($A53,Plot!$DF$7:$FT$67,Plot!$EN$2,FALSE))</f>
        <v xml:space="preserve"> </v>
      </c>
      <c r="BN53" s="303" t="str">
        <f>IF($A53&gt;$C$5," ",VLOOKUP($A53,Plot!$DF$7:$FT$67,Plot!$EO$2,FALSE))</f>
        <v xml:space="preserve"> </v>
      </c>
      <c r="BO53" s="303" t="str">
        <f t="shared" si="19"/>
        <v xml:space="preserve"> </v>
      </c>
      <c r="BP53" s="303" t="str">
        <f>IF($A53&gt;$C$5," ",VLOOKUP($A53,Plot!$DF$7:$FT$67,Plot!$EQ$2,FALSE))</f>
        <v xml:space="preserve"> </v>
      </c>
      <c r="BQ53" s="303" t="str">
        <f>IF($A53&gt;$C$5," ",(VLOOKUP($A53,Plot!$DF$7:$FT$67,Plot!$ES$2,FALSE)+VLOOKUP($A53,Plot!$DF$7:$FT$67,Plot!$ET$2,FALSE)))</f>
        <v xml:space="preserve"> </v>
      </c>
      <c r="BR53" s="303" t="str">
        <f>IF($A53&gt;$C$5," ",(VLOOKUP($A53,Plot!$DF$7:$FT$67,Plot!$EV$2,FALSE)+VLOOKUP($A53,Plot!$DF$7:$FT$67,Plot!$EW$2,FALSE)))</f>
        <v xml:space="preserve"> </v>
      </c>
      <c r="BS53" s="303" t="str">
        <f>IF($A53&gt;$C$5," ",VLOOKUP($A53,Plot!$DF$7:$FT$67,Plot!$EY$2,FALSE))</f>
        <v xml:space="preserve"> </v>
      </c>
      <c r="BT53" s="303" t="str">
        <f>IF($A53&gt;$C$5," ",(VLOOKUP($A53,Plot!$DF$7:$FT$67,Plot!$FB$2,FALSE)+VLOOKUP($A53,Plot!$DF$7:$FT$67,Plot!$FC$2,FALSE)))</f>
        <v xml:space="preserve"> </v>
      </c>
      <c r="BU53" s="303" t="str">
        <f>IF($A53&gt;$C$5," ",(VLOOKUP($A53,Plot!$DF$7:$FT$67,Plot!$FE$2,FALSE)+VLOOKUP($A53,Plot!$DF$7:$FT$67,Plot!$FF$2,FALSE)))</f>
        <v xml:space="preserve"> </v>
      </c>
      <c r="BV53" s="1026" t="str">
        <f>IF($A53&gt;$C$5," ",VLOOKUP($A53,Plot!$FV$7:$GJ$67,2,FALSE))</f>
        <v xml:space="preserve"> </v>
      </c>
      <c r="BW53" s="1027" t="str">
        <f>IF($A53&gt;$C$5," ",VLOOKUP($A53,Plot!$FV$7:$GJ$67,3,FALSE))</f>
        <v xml:space="preserve"> </v>
      </c>
      <c r="BX53" s="1379" t="str">
        <f>IF($A53&gt;$C$5," ",VLOOKUP($A53,Plot!$FV$7:$GJ$67,6,FALSE))</f>
        <v xml:space="preserve"> </v>
      </c>
      <c r="BY53" s="1026" t="str">
        <f>IF($A53&gt;$C$5," ",VLOOKUP($A53,Plot!$GO$7:$GY$67,2,FALSE))</f>
        <v xml:space="preserve"> </v>
      </c>
      <c r="BZ53" s="1027" t="str">
        <f>IF($A53&gt;$C$5," ",VLOOKUP($A53,Plot!$GO$7:$GY$67,3,FALSE))</f>
        <v xml:space="preserve"> </v>
      </c>
      <c r="CA53" s="1379" t="str">
        <f>IF($A53&gt;$C$5," ",VLOOKUP($A53,Plot!$GO$7:$GY$67,6,FALSE))</f>
        <v xml:space="preserve"> </v>
      </c>
      <c r="CB53" s="1027" t="str">
        <f>IF($A53&gt;$C$5," ",-1*VLOOKUP($A53,Plot!$HA$7:$HK$67,2,FALSE))</f>
        <v xml:space="preserve"> </v>
      </c>
      <c r="CC53" s="1027" t="str">
        <f>IF($A53&gt;$C$5," ",-1*VLOOKUP($A53,Plot!$HA$7:$HK$67,3,FALSE))</f>
        <v xml:space="preserve"> </v>
      </c>
      <c r="CD53" s="1189" t="str">
        <f>IF($A53&gt;$C$5," ",-1*VLOOKUP($A53,Plot!$HA$7:$HK$67,6,FALSE))</f>
        <v xml:space="preserve"> </v>
      </c>
      <c r="CE53" s="10"/>
      <c r="CF53" s="38">
        <v>34</v>
      </c>
      <c r="CG53" s="1381" t="str">
        <f>IF($CF53&gt;$C$5," ",VLOOKUP($CF53,Unit!$A$7:$BE$68,22,FALSE))</f>
        <v xml:space="preserve"> </v>
      </c>
      <c r="CH53" s="1027" t="str">
        <f>IF($CF53&gt;$C$5," ",VLOOKUP($CF53,Unit!$A$7:$BE$68,23,FALSE))</f>
        <v xml:space="preserve"> </v>
      </c>
      <c r="CI53" s="1027" t="str">
        <f>IF($CF53&gt;$C$5," ",VLOOKUP($CF53,Unit!$A$7:$BE$68,24,FALSE))</f>
        <v xml:space="preserve"> </v>
      </c>
      <c r="CJ53" s="1189" t="str">
        <f>IF($CF53&gt;$C$5," ",VLOOKUP($CF53,Unit!$A$7:$BE$68,25,FALSE))</f>
        <v xml:space="preserve"> </v>
      </c>
      <c r="CK53" s="1381" t="str">
        <f>IF($CF53&gt;$C$5," ",VLOOKUP($CF53,Unit!$A$7:$BE$68,27,FALSE))</f>
        <v xml:space="preserve"> </v>
      </c>
      <c r="CL53" s="1027" t="str">
        <f>IF($CF53&gt;$C$5," ",VLOOKUP($CF53,Unit!$A$7:$BE$68,28,FALSE))</f>
        <v xml:space="preserve"> </v>
      </c>
      <c r="CM53" s="1027" t="str">
        <f>IF($CF53&gt;$C$5," ",VLOOKUP($CF53,Unit!$A$7:$BE$68,29,FALSE))</f>
        <v xml:space="preserve"> </v>
      </c>
      <c r="CN53" s="1027" t="str">
        <f>IF($CF53&gt;$C$5," ",VLOOKUP($CF53,Unit!$A$7:$BE$68,30,FALSE))</f>
        <v xml:space="preserve"> </v>
      </c>
      <c r="CO53" s="1027" t="str">
        <f>IF($CF53&gt;$C$5," ",VLOOKUP($CF53,Unit!$A$7:$BE$68,31,FALSE))</f>
        <v xml:space="preserve"> </v>
      </c>
      <c r="CP53" s="1027" t="str">
        <f>IF($CF53&gt;$C$5," ",VLOOKUP($CF53,Unit!$A$7:$BE$68,32,FALSE))</f>
        <v xml:space="preserve"> </v>
      </c>
      <c r="CQ53" s="1381" t="str">
        <f>IF($CF53&gt;$C$5," ",VLOOKUP($CF53,Unit!$A$7:$BE$68,33,FALSE))</f>
        <v xml:space="preserve"> </v>
      </c>
      <c r="CR53" s="1027" t="str">
        <f>IF($CF53&gt;$C$5," ",VLOOKUP($CF53,Unit!$A$7:$BE$68,34,FALSE))</f>
        <v xml:space="preserve"> </v>
      </c>
      <c r="CS53" s="1027" t="str">
        <f>IF($CF53&gt;$C$5," ",VLOOKUP($CF53,Unit!$A$7:$BE$68,35,FALSE))</f>
        <v xml:space="preserve"> </v>
      </c>
      <c r="CT53" s="1027" t="str">
        <f>IF($CF53&gt;$C$5," ",VLOOKUP($CF53,Unit!$A$7:$BE$68,36,FALSE))</f>
        <v xml:space="preserve"> </v>
      </c>
      <c r="CU53" s="1189" t="str">
        <f t="shared" si="20"/>
        <v xml:space="preserve"> </v>
      </c>
      <c r="CV53" s="1027" t="str">
        <f>IF($CF53&gt;$C$5," ",VLOOKUP($CF53,Unit!$A$7:$BA$68,43,FALSE))</f>
        <v xml:space="preserve"> </v>
      </c>
      <c r="CW53" s="1027" t="str">
        <f>IF($CF53&gt;$C$5," ",VLOOKUP($CF53,Unit!$A$7:$BB$68,44,FALSE))</f>
        <v xml:space="preserve"> </v>
      </c>
      <c r="CX53" s="1189" t="str">
        <f>IF($CF53&gt;$C$5," ",VLOOKUP($CF53,Unit!$A$7:$BE$68,47,FALSE))</f>
        <v xml:space="preserve"> </v>
      </c>
      <c r="CY53" s="1381" t="str">
        <f>IF($CF53&gt;$C$5," ",VLOOKUP($CF53,Unit!$A$7:$BA$68,53,FALSE))</f>
        <v xml:space="preserve"> </v>
      </c>
      <c r="CZ53" s="1027" t="str">
        <f>IF($CF53&gt;$C$5," ",VLOOKUP($CF53,Unit!$A$7:$BB$68,54,FALSE))</f>
        <v xml:space="preserve"> </v>
      </c>
      <c r="DA53" s="1189" t="str">
        <f>IF($CF53&gt;$C$5," ",VLOOKUP($CF53,Unit!$A$7:$BE$68,57,FALSE))</f>
        <v xml:space="preserve"> </v>
      </c>
    </row>
    <row r="54" spans="1:105" x14ac:dyDescent="0.25">
      <c r="A54" s="38">
        <v>35</v>
      </c>
      <c r="B54" s="1381" t="str">
        <f>IF($A54&gt;$C$5," ",VLOOKUP($A54,Plot!$A$7:$T$67,Plot!P$2,FALSE))</f>
        <v xml:space="preserve"> </v>
      </c>
      <c r="C54" s="1027" t="str">
        <f>IF($A54&gt;$C$5," ",VLOOKUP($A54,Plot!$V$7:$CI$67,Plot!$CA$2,FALSE))</f>
        <v xml:space="preserve"> </v>
      </c>
      <c r="D54" s="1027" t="str">
        <f>IF($A54&gt;$C$5," ",VLOOKUP($A54,Plot!$CK$7:$DD$67,Plot!$CZ$2,FALSE))</f>
        <v xml:space="preserve"> </v>
      </c>
      <c r="E54" s="1027" t="str">
        <f>IF($A54&gt;$C$5," ",VLOOKUP($A54,Plot!$DF$7:$FT$67,Plot!$FL$2,FALSE))</f>
        <v xml:space="preserve"> </v>
      </c>
      <c r="F54" s="1379" t="str">
        <f t="shared" si="25"/>
        <v xml:space="preserve"> </v>
      </c>
      <c r="G54" s="1026" t="str">
        <f>IF($A54&gt;$C$5," ",VLOOKUP($A54,Plot!$V$7:$CG$67,Plot!$CG$2,FALSE))</f>
        <v xml:space="preserve"> </v>
      </c>
      <c r="H54" s="1027" t="str">
        <f>IF($A54&gt;$C$5," ",VLOOKUP($A54,Plot!$DF$7:$FT$67,Plot!$FR$2,FALSE))</f>
        <v xml:space="preserve"> </v>
      </c>
      <c r="I54" s="1379" t="str">
        <f t="shared" si="17"/>
        <v xml:space="preserve"> </v>
      </c>
      <c r="J54" s="1026" t="str">
        <f>IF($A54&gt;$C$5," ",SUM(B$20:$B54))</f>
        <v xml:space="preserve"> </v>
      </c>
      <c r="K54" s="1027" t="str">
        <f>IF($A54&gt;$C$5," ",SUM($C$20:C54))</f>
        <v xml:space="preserve"> </v>
      </c>
      <c r="L54" s="1027" t="str">
        <f>IF($A54&gt;$C$5," ",SUM($D$20:D54))</f>
        <v xml:space="preserve"> </v>
      </c>
      <c r="M54" s="1027" t="str">
        <f>IF($A54&gt;$C$5," ",SUM($E$20:E54))</f>
        <v xml:space="preserve"> </v>
      </c>
      <c r="N54" s="1379" t="str">
        <f>IF($A54&gt;$C$5," ",SUM($F$20:F54))</f>
        <v xml:space="preserve"> </v>
      </c>
      <c r="O54" s="1027" t="str">
        <f>IF($A54&gt;$C$5," ",SUM($G$20:G54))</f>
        <v xml:space="preserve"> </v>
      </c>
      <c r="P54" s="1027" t="str">
        <f>IF($A54&gt;$C$5," ",SUM($H$20:H54))</f>
        <v xml:space="preserve"> </v>
      </c>
      <c r="Q54" s="1027" t="str">
        <f>IF($A54&gt;$C$5," ",SUM($I$20:I54))</f>
        <v xml:space="preserve"> </v>
      </c>
      <c r="R54" s="1026"/>
      <c r="S54" s="1027"/>
      <c r="T54" s="1027"/>
      <c r="U54" s="1027"/>
      <c r="V54" s="1379"/>
      <c r="W54" s="1027" t="str">
        <f>IF($A54&gt;$C$5," ",VLOOKUP($A54,Plot!$HM$7:$IA$67,Plot!$HR$2,FALSE))</f>
        <v xml:space="preserve"> </v>
      </c>
      <c r="X54" s="1027" t="str">
        <f>IF($A54&gt;$C$5," ",VLOOKUP($A54,Plot!$HM$7:$IA$67,Plot!$HS$2,FALSE))</f>
        <v xml:space="preserve"> </v>
      </c>
      <c r="Y54" s="1379" t="str">
        <f t="shared" si="18"/>
        <v xml:space="preserve"> </v>
      </c>
      <c r="Z54" s="1026" t="str">
        <f>IF($A54&gt;$C$5," ",SUM($B$20:B54))</f>
        <v xml:space="preserve"> </v>
      </c>
      <c r="AA54" s="1027" t="str">
        <f>IF($A54&gt;$C$5," ",SUM($C$20:C54))</f>
        <v xml:space="preserve"> </v>
      </c>
      <c r="AB54" s="1027" t="str">
        <f>IF($A54&gt;$C$5," ",SUM($D$20:D54))</f>
        <v xml:space="preserve"> </v>
      </c>
      <c r="AC54" s="1027" t="str">
        <f>IF($A54&gt;$C$5," ",SUM($E$20:E54))</f>
        <v xml:space="preserve"> </v>
      </c>
      <c r="AD54" s="1379" t="str">
        <f t="shared" si="22"/>
        <v xml:space="preserve"> </v>
      </c>
      <c r="AE54" s="1027" t="str">
        <f>IF($A54&gt;$C$5," ",SUM($W$20:W54))</f>
        <v xml:space="preserve"> </v>
      </c>
      <c r="AF54" s="1027" t="str">
        <f>IF($A54&gt;$C$5," ",SUM($X$20:X54))</f>
        <v xml:space="preserve"> </v>
      </c>
      <c r="AG54" s="1027" t="str">
        <f t="shared" si="23"/>
        <v xml:space="preserve"> </v>
      </c>
      <c r="AH54" s="1394" t="str">
        <f>IF($A54&gt;$C$5," ",VLOOKUP($A54,Plot!$A$7:$D$67,4,FALSE))</f>
        <v xml:space="preserve"> </v>
      </c>
      <c r="AI54" s="1390" t="str">
        <f>IF($A54&gt;$C$5," ",VLOOKUP($A54,Plot!$A$7:$E$67,5,FALSE))</f>
        <v xml:space="preserve"> </v>
      </c>
      <c r="AJ54" s="1390" t="str">
        <f ca="1">IF($A54&gt;$C$5," ",IF(ROW()-ROW($A$18)&gt;='Options and results'!$AR$56,AVERAGE(OFFSET(AI54,0,0,COUNTA($BS:$BS)-'Options and results'!$AR$56,1)),NA()))</f>
        <v xml:space="preserve"> </v>
      </c>
      <c r="AK54" s="1395" t="str">
        <f>IF($A54&gt;$C$5," ",VLOOKUP($A54,Plot!$A$7:$F$67,6,FALSE))</f>
        <v xml:space="preserve"> </v>
      </c>
      <c r="AL54" s="1390" t="str">
        <f>IF($A54&gt;$C$5," ",VLOOKUP($A54,Plot!$CK$7:$CN$67,4,FALSE))</f>
        <v xml:space="preserve"> </v>
      </c>
      <c r="AM54" s="1390" t="str">
        <f>IF($A54&gt;$C$5," ",AL54*VLOOKUP($A54,Plot!$CK$7:$CO$67,5,FALSE))</f>
        <v xml:space="preserve"> </v>
      </c>
      <c r="AN54" s="1390" t="str">
        <f ca="1">IF($A54&gt;$C$5," ",IF(ROW()-ROW($A$18)&gt;='Options and results'!$AR$56,AVERAGE(OFFSET(AM54,0,0,COUNTA($BS:$BS)-'Options and results'!$AR$56,1)),NA()))</f>
        <v xml:space="preserve"> </v>
      </c>
      <c r="AO54" s="1390" t="str">
        <f>IF($A54&gt;$C$5," ",VLOOKUP($A54,Plot!$CK$7:$CP$67,6,FALSE))</f>
        <v xml:space="preserve"> </v>
      </c>
      <c r="AP54" s="1409">
        <f>IF($A54&gt;$C$5,0,VLOOKUP($A54,Plot!$V$7:$AH$67,7,FALSE))</f>
        <v>0</v>
      </c>
      <c r="AQ54" s="1390" t="str">
        <f>IF($A54&gt;$C$5," ",VLOOKUP($A54,Plot!$V$7:$AH$67,13,FALSE))</f>
        <v xml:space="preserve"> </v>
      </c>
      <c r="AR54" s="1390" t="str">
        <f>IF($A54&gt;$C$5," ",VLOOKUP($A54,Plot!$V$7:$AI$67,14,FALSE))</f>
        <v xml:space="preserve"> </v>
      </c>
      <c r="AS54" s="1390" t="str">
        <f>IF($A54&gt;$C$5," ",VLOOKUP($A54,Plot!$V$7:$AJ$67,15,FALSE))</f>
        <v xml:space="preserve"> </v>
      </c>
      <c r="AT54" s="1390" t="str">
        <f>IF($A54&gt;$C$5," ",AQ54+SUM($AS$20:AS54)+IF(AP55=0,-AQ54,0))</f>
        <v xml:space="preserve"> </v>
      </c>
      <c r="AU54" s="1390" t="str">
        <f>IF($A54&gt;$C$5," ",VLOOKUP($A54,Plot!$V$7:$AL$67,Plot!$AL$2,FALSE))</f>
        <v xml:space="preserve"> </v>
      </c>
      <c r="AV54" s="1395" t="str">
        <f>IF($A54&gt;$C$5," ",VLOOKUP($A54,Plot!$V$7:$AM$67,Plot!$AM$2,FALSE))</f>
        <v xml:space="preserve"> </v>
      </c>
      <c r="AW54" s="1407">
        <f>IF($A54&gt;$C$5,0,VLOOKUP($A54,Plot!$DF$7:$DS$67,7,FALSE))</f>
        <v>0</v>
      </c>
      <c r="AX54" s="1390" t="str">
        <f>IF($A54&gt;$C$5," ",VLOOKUP($A54,Plot!$DF$7:$DS$67,14,FALSE))</f>
        <v xml:space="preserve"> </v>
      </c>
      <c r="AY54" s="1390" t="str">
        <f>IF($A54&gt;$C$5," ",VLOOKUP($A54,Plot!$DF$7:$DT$67,15,FALSE))</f>
        <v xml:space="preserve"> </v>
      </c>
      <c r="AZ54" s="1390" t="str">
        <f>IF($A54&gt;$C$5," ",VLOOKUP($A54,Plot!$DF$7:$DU$67,16,FALSE))</f>
        <v xml:space="preserve"> </v>
      </c>
      <c r="BA54" s="1390" t="str">
        <f>IF($A54&gt;$C$5," ",AX54+SUM($AZ$20:AZ54)+IF(AW55=0,-AX54,0))</f>
        <v xml:space="preserve"> </v>
      </c>
      <c r="BB54" s="1390" t="str">
        <f>IF($A54&gt;$C$5," ",VLOOKUP($A54,Plot!$DF$7:$DW$67,Plot!$DW$2,FALSE))</f>
        <v xml:space="preserve"> </v>
      </c>
      <c r="BC54" s="1390" t="str">
        <f>IF($A54&gt;$C$5," ",VLOOKUP($A54,Plot!$DF$7:$DX$67,Plot!$DX$2,FALSE))</f>
        <v xml:space="preserve"> </v>
      </c>
      <c r="BD54" s="1396" t="str">
        <f>IF($A54&gt;$C$5," ",VLOOKUP($A54,Plot!$A$7:$N$67,14,FALSE))</f>
        <v xml:space="preserve"> </v>
      </c>
      <c r="BE54" s="303" t="str">
        <f>IF($A54&gt;$C$5," ",VLOOKUP($A54,Plot!$V$7:$BW$67,Plot!$BW$2,FALSE))</f>
        <v xml:space="preserve"> </v>
      </c>
      <c r="BF54" s="303" t="str">
        <f>IF($A54&gt;$C$5," ",VLOOKUP($A54,Plot!$CK$7:$CX$67,14,FALSE))</f>
        <v xml:space="preserve"> </v>
      </c>
      <c r="BG54" s="303" t="str">
        <f>IF($A54&gt;$C$5," ",VLOOKUP($A54,Plot!$DF$7:$FH$67,Plot!$FH$2,FALSE))</f>
        <v xml:space="preserve"> </v>
      </c>
      <c r="BH54" s="1397" t="str">
        <f t="shared" si="24"/>
        <v xml:space="preserve"> </v>
      </c>
      <c r="BI54" s="303" t="str">
        <f>IF($A54&gt;$C$5," ",VLOOKUP($A54,Plot!$DF$7:$EJ$67,29,FALSE))</f>
        <v xml:space="preserve"> </v>
      </c>
      <c r="BJ54" s="303" t="str">
        <f>IF($A54&gt;$C$5," ",VLOOKUP($A54,Plot!$DF$7:$FT$67,30,FALSE))</f>
        <v xml:space="preserve"> </v>
      </c>
      <c r="BK54" s="303" t="str">
        <f>IF($A54&gt;$C$5," ",VLOOKUP($A54,Plot!$DF$7:$FT$67,Plot!$EL$2,FALSE))</f>
        <v xml:space="preserve"> </v>
      </c>
      <c r="BL54" s="303" t="str">
        <f>IF($A54&gt;$C$5," ",VLOOKUP($A54,Plot!$DF$7:$FT$67,Plot!$EM$2,FALSE))</f>
        <v xml:space="preserve"> </v>
      </c>
      <c r="BM54" s="303" t="str">
        <f>IF($A54&gt;$C$5," ",VLOOKUP($A54,Plot!$DF$7:$FT$67,Plot!$EN$2,FALSE))</f>
        <v xml:space="preserve"> </v>
      </c>
      <c r="BN54" s="303" t="str">
        <f>IF($A54&gt;$C$5," ",VLOOKUP($A54,Plot!$DF$7:$FT$67,Plot!$EO$2,FALSE))</f>
        <v xml:space="preserve"> </v>
      </c>
      <c r="BO54" s="303" t="str">
        <f t="shared" si="19"/>
        <v xml:space="preserve"> </v>
      </c>
      <c r="BP54" s="303" t="str">
        <f>IF($A54&gt;$C$5," ",VLOOKUP($A54,Plot!$DF$7:$FT$67,Plot!$EQ$2,FALSE))</f>
        <v xml:space="preserve"> </v>
      </c>
      <c r="BQ54" s="303" t="str">
        <f>IF($A54&gt;$C$5," ",(VLOOKUP($A54,Plot!$DF$7:$FT$67,Plot!$ES$2,FALSE)+VLOOKUP($A54,Plot!$DF$7:$FT$67,Plot!$ET$2,FALSE)))</f>
        <v xml:space="preserve"> </v>
      </c>
      <c r="BR54" s="303" t="str">
        <f>IF($A54&gt;$C$5," ",(VLOOKUP($A54,Plot!$DF$7:$FT$67,Plot!$EV$2,FALSE)+VLOOKUP($A54,Plot!$DF$7:$FT$67,Plot!$EW$2,FALSE)))</f>
        <v xml:space="preserve"> </v>
      </c>
      <c r="BS54" s="303" t="str">
        <f>IF($A54&gt;$C$5," ",VLOOKUP($A54,Plot!$DF$7:$FT$67,Plot!$EY$2,FALSE))</f>
        <v xml:space="preserve"> </v>
      </c>
      <c r="BT54" s="303" t="str">
        <f>IF($A54&gt;$C$5," ",(VLOOKUP($A54,Plot!$DF$7:$FT$67,Plot!$FB$2,FALSE)+VLOOKUP($A54,Plot!$DF$7:$FT$67,Plot!$FC$2,FALSE)))</f>
        <v xml:space="preserve"> </v>
      </c>
      <c r="BU54" s="303" t="str">
        <f>IF($A54&gt;$C$5," ",(VLOOKUP($A54,Plot!$DF$7:$FT$67,Plot!$FE$2,FALSE)+VLOOKUP($A54,Plot!$DF$7:$FT$67,Plot!$FF$2,FALSE)))</f>
        <v xml:space="preserve"> </v>
      </c>
      <c r="BV54" s="1026" t="str">
        <f>IF($A54&gt;$C$5," ",VLOOKUP($A54,Plot!$FV$7:$GJ$67,2,FALSE))</f>
        <v xml:space="preserve"> </v>
      </c>
      <c r="BW54" s="1027" t="str">
        <f>IF($A54&gt;$C$5," ",VLOOKUP($A54,Plot!$FV$7:$GJ$67,3,FALSE))</f>
        <v xml:space="preserve"> </v>
      </c>
      <c r="BX54" s="1379" t="str">
        <f>IF($A54&gt;$C$5," ",VLOOKUP($A54,Plot!$FV$7:$GJ$67,6,FALSE))</f>
        <v xml:space="preserve"> </v>
      </c>
      <c r="BY54" s="1026" t="str">
        <f>IF($A54&gt;$C$5," ",VLOOKUP($A54,Plot!$GO$7:$GY$67,2,FALSE))</f>
        <v xml:space="preserve"> </v>
      </c>
      <c r="BZ54" s="1027" t="str">
        <f>IF($A54&gt;$C$5," ",VLOOKUP($A54,Plot!$GO$7:$GY$67,3,FALSE))</f>
        <v xml:space="preserve"> </v>
      </c>
      <c r="CA54" s="1379" t="str">
        <f>IF($A54&gt;$C$5," ",VLOOKUP($A54,Plot!$GO$7:$GY$67,6,FALSE))</f>
        <v xml:space="preserve"> </v>
      </c>
      <c r="CB54" s="1027" t="str">
        <f>IF($A54&gt;$C$5," ",-1*VLOOKUP($A54,Plot!$HA$7:$HK$67,2,FALSE))</f>
        <v xml:space="preserve"> </v>
      </c>
      <c r="CC54" s="1027" t="str">
        <f>IF($A54&gt;$C$5," ",-1*VLOOKUP($A54,Plot!$HA$7:$HK$67,3,FALSE))</f>
        <v xml:space="preserve"> </v>
      </c>
      <c r="CD54" s="1189" t="str">
        <f>IF($A54&gt;$C$5," ",-1*VLOOKUP($A54,Plot!$HA$7:$HK$67,6,FALSE))</f>
        <v xml:space="preserve"> </v>
      </c>
      <c r="CE54" s="10"/>
      <c r="CF54" s="38">
        <v>35</v>
      </c>
      <c r="CG54" s="1381" t="str">
        <f>IF($CF54&gt;$C$5," ",VLOOKUP($CF54,Unit!$A$7:$BE$68,22,FALSE))</f>
        <v xml:space="preserve"> </v>
      </c>
      <c r="CH54" s="1027" t="str">
        <f>IF($CF54&gt;$C$5," ",VLOOKUP($CF54,Unit!$A$7:$BE$68,23,FALSE))</f>
        <v xml:space="preserve"> </v>
      </c>
      <c r="CI54" s="1027" t="str">
        <f>IF($CF54&gt;$C$5," ",VLOOKUP($CF54,Unit!$A$7:$BE$68,24,FALSE))</f>
        <v xml:space="preserve"> </v>
      </c>
      <c r="CJ54" s="1189" t="str">
        <f>IF($CF54&gt;$C$5," ",VLOOKUP($CF54,Unit!$A$7:$BE$68,25,FALSE))</f>
        <v xml:space="preserve"> </v>
      </c>
      <c r="CK54" s="1381" t="str">
        <f>IF($CF54&gt;$C$5," ",VLOOKUP($CF54,Unit!$A$7:$BE$68,27,FALSE))</f>
        <v xml:space="preserve"> </v>
      </c>
      <c r="CL54" s="1027" t="str">
        <f>IF($CF54&gt;$C$5," ",VLOOKUP($CF54,Unit!$A$7:$BE$68,28,FALSE))</f>
        <v xml:space="preserve"> </v>
      </c>
      <c r="CM54" s="1027" t="str">
        <f>IF($CF54&gt;$C$5," ",VLOOKUP($CF54,Unit!$A$7:$BE$68,29,FALSE))</f>
        <v xml:space="preserve"> </v>
      </c>
      <c r="CN54" s="1027" t="str">
        <f>IF($CF54&gt;$C$5," ",VLOOKUP($CF54,Unit!$A$7:$BE$68,30,FALSE))</f>
        <v xml:space="preserve"> </v>
      </c>
      <c r="CO54" s="1027" t="str">
        <f>IF($CF54&gt;$C$5," ",VLOOKUP($CF54,Unit!$A$7:$BE$68,31,FALSE))</f>
        <v xml:space="preserve"> </v>
      </c>
      <c r="CP54" s="1027" t="str">
        <f>IF($CF54&gt;$C$5," ",VLOOKUP($CF54,Unit!$A$7:$BE$68,32,FALSE))</f>
        <v xml:space="preserve"> </v>
      </c>
      <c r="CQ54" s="1381" t="str">
        <f>IF($CF54&gt;$C$5," ",VLOOKUP($CF54,Unit!$A$7:$BE$68,33,FALSE))</f>
        <v xml:space="preserve"> </v>
      </c>
      <c r="CR54" s="1027" t="str">
        <f>IF($CF54&gt;$C$5," ",VLOOKUP($CF54,Unit!$A$7:$BE$68,34,FALSE))</f>
        <v xml:space="preserve"> </v>
      </c>
      <c r="CS54" s="1027" t="str">
        <f>IF($CF54&gt;$C$5," ",VLOOKUP($CF54,Unit!$A$7:$BE$68,35,FALSE))</f>
        <v xml:space="preserve"> </v>
      </c>
      <c r="CT54" s="1027" t="str">
        <f>IF($CF54&gt;$C$5," ",VLOOKUP($CF54,Unit!$A$7:$BE$68,36,FALSE))</f>
        <v xml:space="preserve"> </v>
      </c>
      <c r="CU54" s="1189" t="str">
        <f t="shared" si="20"/>
        <v xml:space="preserve"> </v>
      </c>
      <c r="CV54" s="1027" t="str">
        <f>IF($CF54&gt;$C$5," ",VLOOKUP($CF54,Unit!$A$7:$BA$68,43,FALSE))</f>
        <v xml:space="preserve"> </v>
      </c>
      <c r="CW54" s="1027" t="str">
        <f>IF($CF54&gt;$C$5," ",VLOOKUP($CF54,Unit!$A$7:$BB$68,44,FALSE))</f>
        <v xml:space="preserve"> </v>
      </c>
      <c r="CX54" s="1189" t="str">
        <f>IF($CF54&gt;$C$5," ",VLOOKUP($CF54,Unit!$A$7:$BE$68,47,FALSE))</f>
        <v xml:space="preserve"> </v>
      </c>
      <c r="CY54" s="1381" t="str">
        <f>IF($CF54&gt;$C$5," ",VLOOKUP($CF54,Unit!$A$7:$BA$68,53,FALSE))</f>
        <v xml:space="preserve"> </v>
      </c>
      <c r="CZ54" s="1027" t="str">
        <f>IF($CF54&gt;$C$5," ",VLOOKUP($CF54,Unit!$A$7:$BB$68,54,FALSE))</f>
        <v xml:space="preserve"> </v>
      </c>
      <c r="DA54" s="1189" t="str">
        <f>IF($CF54&gt;$C$5," ",VLOOKUP($CF54,Unit!$A$7:$BE$68,57,FALSE))</f>
        <v xml:space="preserve"> </v>
      </c>
    </row>
    <row r="55" spans="1:105" x14ac:dyDescent="0.25">
      <c r="A55" s="38">
        <v>36</v>
      </c>
      <c r="B55" s="1381" t="str">
        <f>IF($A55&gt;$C$5," ",VLOOKUP($A55,Plot!$A$7:$T$67,Plot!P$2,FALSE))</f>
        <v xml:space="preserve"> </v>
      </c>
      <c r="C55" s="1027" t="str">
        <f>IF($A55&gt;$C$5," ",VLOOKUP($A55,Plot!$V$7:$CI$67,Plot!$CA$2,FALSE))</f>
        <v xml:space="preserve"> </v>
      </c>
      <c r="D55" s="1027" t="str">
        <f>IF($A55&gt;$C$5," ",VLOOKUP($A55,Plot!$CK$7:$DD$67,Plot!$CZ$2,FALSE))</f>
        <v xml:space="preserve"> </v>
      </c>
      <c r="E55" s="1027" t="str">
        <f>IF($A55&gt;$C$5," ",VLOOKUP($A55,Plot!$DF$7:$FT$67,Plot!$FL$2,FALSE))</f>
        <v xml:space="preserve"> </v>
      </c>
      <c r="F55" s="1379" t="str">
        <f t="shared" si="25"/>
        <v xml:space="preserve"> </v>
      </c>
      <c r="G55" s="1026" t="str">
        <f>IF($A55&gt;$C$5," ",VLOOKUP($A55,Plot!$V$7:$CG$67,Plot!$CG$2,FALSE))</f>
        <v xml:space="preserve"> </v>
      </c>
      <c r="H55" s="1027" t="str">
        <f>IF($A55&gt;$C$5," ",VLOOKUP($A55,Plot!$DF$7:$FT$67,Plot!$FR$2,FALSE))</f>
        <v xml:space="preserve"> </v>
      </c>
      <c r="I55" s="1379" t="str">
        <f t="shared" si="17"/>
        <v xml:space="preserve"> </v>
      </c>
      <c r="J55" s="1026" t="str">
        <f>IF($A55&gt;$C$5," ",SUM(B$20:$B55))</f>
        <v xml:space="preserve"> </v>
      </c>
      <c r="K55" s="1027" t="str">
        <f>IF($A55&gt;$C$5," ",SUM($C$20:C55))</f>
        <v xml:space="preserve"> </v>
      </c>
      <c r="L55" s="1027" t="str">
        <f>IF($A55&gt;$C$5," ",SUM($D$20:D55))</f>
        <v xml:space="preserve"> </v>
      </c>
      <c r="M55" s="1027" t="str">
        <f>IF($A55&gt;$C$5," ",SUM($E$20:E55))</f>
        <v xml:space="preserve"> </v>
      </c>
      <c r="N55" s="1379" t="str">
        <f>IF($A55&gt;$C$5," ",SUM($F$20:F55))</f>
        <v xml:space="preserve"> </v>
      </c>
      <c r="O55" s="1027" t="str">
        <f>IF($A55&gt;$C$5," ",SUM($G$20:G55))</f>
        <v xml:space="preserve"> </v>
      </c>
      <c r="P55" s="1027" t="str">
        <f>IF($A55&gt;$C$5," ",SUM($H$20:H55))</f>
        <v xml:space="preserve"> </v>
      </c>
      <c r="Q55" s="1027" t="str">
        <f>IF($A55&gt;$C$5," ",SUM($I$20:I55))</f>
        <v xml:space="preserve"> </v>
      </c>
      <c r="R55" s="1026"/>
      <c r="S55" s="1027"/>
      <c r="T55" s="1027"/>
      <c r="U55" s="1027"/>
      <c r="V55" s="1379"/>
      <c r="W55" s="1027" t="str">
        <f>IF($A55&gt;$C$5," ",VLOOKUP($A55,Plot!$HM$7:$IA$67,Plot!$HR$2,FALSE))</f>
        <v xml:space="preserve"> </v>
      </c>
      <c r="X55" s="1027" t="str">
        <f>IF($A55&gt;$C$5," ",VLOOKUP($A55,Plot!$HM$7:$IA$67,Plot!$HS$2,FALSE))</f>
        <v xml:space="preserve"> </v>
      </c>
      <c r="Y55" s="1379" t="str">
        <f t="shared" si="18"/>
        <v xml:space="preserve"> </v>
      </c>
      <c r="Z55" s="1026" t="str">
        <f>IF($A55&gt;$C$5," ",SUM($B$20:B55))</f>
        <v xml:space="preserve"> </v>
      </c>
      <c r="AA55" s="1027" t="str">
        <f>IF($A55&gt;$C$5," ",SUM($C$20:C55))</f>
        <v xml:space="preserve"> </v>
      </c>
      <c r="AB55" s="1027" t="str">
        <f>IF($A55&gt;$C$5," ",SUM($D$20:D55))</f>
        <v xml:space="preserve"> </v>
      </c>
      <c r="AC55" s="1027" t="str">
        <f>IF($A55&gt;$C$5," ",SUM($E$20:E55))</f>
        <v xml:space="preserve"> </v>
      </c>
      <c r="AD55" s="1379" t="str">
        <f t="shared" si="22"/>
        <v xml:space="preserve"> </v>
      </c>
      <c r="AE55" s="1027" t="str">
        <f>IF($A55&gt;$C$5," ",SUM($W$20:W55))</f>
        <v xml:space="preserve"> </v>
      </c>
      <c r="AF55" s="1027" t="str">
        <f>IF($A55&gt;$C$5," ",SUM($X$20:X55))</f>
        <v xml:space="preserve"> </v>
      </c>
      <c r="AG55" s="1027" t="str">
        <f t="shared" si="23"/>
        <v xml:space="preserve"> </v>
      </c>
      <c r="AH55" s="1394" t="str">
        <f>IF($A55&gt;$C$5," ",VLOOKUP($A55,Plot!$A$7:$D$67,4,FALSE))</f>
        <v xml:space="preserve"> </v>
      </c>
      <c r="AI55" s="1390" t="str">
        <f>IF($A55&gt;$C$5," ",VLOOKUP($A55,Plot!$A$7:$E$67,5,FALSE))</f>
        <v xml:space="preserve"> </v>
      </c>
      <c r="AJ55" s="1390" t="str">
        <f ca="1">IF($A55&gt;$C$5," ",IF(ROW()-ROW($A$18)&gt;='Options and results'!$AR$56,AVERAGE(OFFSET(AI55,0,0,COUNTA($BS:$BS)-'Options and results'!$AR$56,1)),NA()))</f>
        <v xml:space="preserve"> </v>
      </c>
      <c r="AK55" s="1395" t="str">
        <f>IF($A55&gt;$C$5," ",VLOOKUP($A55,Plot!$A$7:$F$67,6,FALSE))</f>
        <v xml:space="preserve"> </v>
      </c>
      <c r="AL55" s="1390" t="str">
        <f>IF($A55&gt;$C$5," ",VLOOKUP($A55,Plot!$CK$7:$CN$67,4,FALSE))</f>
        <v xml:space="preserve"> </v>
      </c>
      <c r="AM55" s="1390" t="str">
        <f>IF($A55&gt;$C$5," ",AL55*VLOOKUP($A55,Plot!$CK$7:$CO$67,5,FALSE))</f>
        <v xml:space="preserve"> </v>
      </c>
      <c r="AN55" s="1390" t="str">
        <f ca="1">IF($A55&gt;$C$5," ",IF(ROW()-ROW($A$18)&gt;='Options and results'!$AR$56,AVERAGE(OFFSET(AM55,0,0,COUNTA($BS:$BS)-'Options and results'!$AR$56,1)),NA()))</f>
        <v xml:space="preserve"> </v>
      </c>
      <c r="AO55" s="1390" t="str">
        <f>IF($A55&gt;$C$5," ",VLOOKUP($A55,Plot!$CK$7:$CP$67,6,FALSE))</f>
        <v xml:space="preserve"> </v>
      </c>
      <c r="AP55" s="1409">
        <f>IF($A55&gt;$C$5,0,VLOOKUP($A55,Plot!$V$7:$AH$67,7,FALSE))</f>
        <v>0</v>
      </c>
      <c r="AQ55" s="1390" t="str">
        <f>IF($A55&gt;$C$5," ",VLOOKUP($A55,Plot!$V$7:$AH$67,13,FALSE))</f>
        <v xml:space="preserve"> </v>
      </c>
      <c r="AR55" s="1390" t="str">
        <f>IF($A55&gt;$C$5," ",VLOOKUP($A55,Plot!$V$7:$AI$67,14,FALSE))</f>
        <v xml:space="preserve"> </v>
      </c>
      <c r="AS55" s="1390" t="str">
        <f>IF($A55&gt;$C$5," ",VLOOKUP($A55,Plot!$V$7:$AJ$67,15,FALSE))</f>
        <v xml:space="preserve"> </v>
      </c>
      <c r="AT55" s="1390" t="str">
        <f>IF($A55&gt;$C$5," ",AQ55+SUM($AS$20:AS55)+IF(AP56=0,-AQ55,0))</f>
        <v xml:space="preserve"> </v>
      </c>
      <c r="AU55" s="1390" t="str">
        <f>IF($A55&gt;$C$5," ",VLOOKUP($A55,Plot!$V$7:$AL$67,Plot!$AL$2,FALSE))</f>
        <v xml:space="preserve"> </v>
      </c>
      <c r="AV55" s="1395" t="str">
        <f>IF($A55&gt;$C$5," ",VLOOKUP($A55,Plot!$V$7:$AM$67,Plot!$AM$2,FALSE))</f>
        <v xml:space="preserve"> </v>
      </c>
      <c r="AW55" s="1407">
        <f>IF($A55&gt;$C$5,0,VLOOKUP($A55,Plot!$DF$7:$DS$67,7,FALSE))</f>
        <v>0</v>
      </c>
      <c r="AX55" s="1390" t="str">
        <f>IF($A55&gt;$C$5," ",VLOOKUP($A55,Plot!$DF$7:$DS$67,14,FALSE))</f>
        <v xml:space="preserve"> </v>
      </c>
      <c r="AY55" s="1390" t="str">
        <f>IF($A55&gt;$C$5," ",VLOOKUP($A55,Plot!$DF$7:$DT$67,15,FALSE))</f>
        <v xml:space="preserve"> </v>
      </c>
      <c r="AZ55" s="1390" t="str">
        <f>IF($A55&gt;$C$5," ",VLOOKUP($A55,Plot!$DF$7:$DU$67,16,FALSE))</f>
        <v xml:space="preserve"> </v>
      </c>
      <c r="BA55" s="1390" t="str">
        <f>IF($A55&gt;$C$5," ",AX55+SUM($AZ$20:AZ55)+IF(AW56=0,-AX55,0))</f>
        <v xml:space="preserve"> </v>
      </c>
      <c r="BB55" s="1390" t="str">
        <f>IF($A55&gt;$C$5," ",VLOOKUP($A55,Plot!$DF$7:$DW$67,Plot!$DW$2,FALSE))</f>
        <v xml:space="preserve"> </v>
      </c>
      <c r="BC55" s="1390" t="str">
        <f>IF($A55&gt;$C$5," ",VLOOKUP($A55,Plot!$DF$7:$DX$67,Plot!$DX$2,FALSE))</f>
        <v xml:space="preserve"> </v>
      </c>
      <c r="BD55" s="1396" t="str">
        <f>IF($A55&gt;$C$5," ",VLOOKUP($A55,Plot!$A$7:$N$67,14,FALSE))</f>
        <v xml:space="preserve"> </v>
      </c>
      <c r="BE55" s="303" t="str">
        <f>IF($A55&gt;$C$5," ",VLOOKUP($A55,Plot!$V$7:$BW$67,Plot!$BW$2,FALSE))</f>
        <v xml:space="preserve"> </v>
      </c>
      <c r="BF55" s="303" t="str">
        <f>IF($A55&gt;$C$5," ",VLOOKUP($A55,Plot!$CK$7:$CX$67,14,FALSE))</f>
        <v xml:space="preserve"> </v>
      </c>
      <c r="BG55" s="303" t="str">
        <f>IF($A55&gt;$C$5," ",VLOOKUP($A55,Plot!$DF$7:$FH$67,Plot!$FH$2,FALSE))</f>
        <v xml:space="preserve"> </v>
      </c>
      <c r="BH55" s="1397" t="str">
        <f t="shared" si="24"/>
        <v xml:space="preserve"> </v>
      </c>
      <c r="BI55" s="303" t="str">
        <f>IF($A55&gt;$C$5," ",VLOOKUP($A55,Plot!$DF$7:$EJ$67,29,FALSE))</f>
        <v xml:space="preserve"> </v>
      </c>
      <c r="BJ55" s="303" t="str">
        <f>IF($A55&gt;$C$5," ",VLOOKUP($A55,Plot!$DF$7:$FT$67,30,FALSE))</f>
        <v xml:space="preserve"> </v>
      </c>
      <c r="BK55" s="303" t="str">
        <f>IF($A55&gt;$C$5," ",VLOOKUP($A55,Plot!$DF$7:$FT$67,Plot!$EL$2,FALSE))</f>
        <v xml:space="preserve"> </v>
      </c>
      <c r="BL55" s="303" t="str">
        <f>IF($A55&gt;$C$5," ",VLOOKUP($A55,Plot!$DF$7:$FT$67,Plot!$EM$2,FALSE))</f>
        <v xml:space="preserve"> </v>
      </c>
      <c r="BM55" s="303" t="str">
        <f>IF($A55&gt;$C$5," ",VLOOKUP($A55,Plot!$DF$7:$FT$67,Plot!$EN$2,FALSE))</f>
        <v xml:space="preserve"> </v>
      </c>
      <c r="BN55" s="303" t="str">
        <f>IF($A55&gt;$C$5," ",VLOOKUP($A55,Plot!$DF$7:$FT$67,Plot!$EO$2,FALSE))</f>
        <v xml:space="preserve"> </v>
      </c>
      <c r="BO55" s="303" t="str">
        <f t="shared" si="19"/>
        <v xml:space="preserve"> </v>
      </c>
      <c r="BP55" s="303" t="str">
        <f>IF($A55&gt;$C$5," ",VLOOKUP($A55,Plot!$DF$7:$FT$67,Plot!$EQ$2,FALSE))</f>
        <v xml:space="preserve"> </v>
      </c>
      <c r="BQ55" s="303" t="str">
        <f>IF($A55&gt;$C$5," ",(VLOOKUP($A55,Plot!$DF$7:$FT$67,Plot!$ES$2,FALSE)+VLOOKUP($A55,Plot!$DF$7:$FT$67,Plot!$ET$2,FALSE)))</f>
        <v xml:space="preserve"> </v>
      </c>
      <c r="BR55" s="303" t="str">
        <f>IF($A55&gt;$C$5," ",(VLOOKUP($A55,Plot!$DF$7:$FT$67,Plot!$EV$2,FALSE)+VLOOKUP($A55,Plot!$DF$7:$FT$67,Plot!$EW$2,FALSE)))</f>
        <v xml:space="preserve"> </v>
      </c>
      <c r="BS55" s="303" t="str">
        <f>IF($A55&gt;$C$5," ",VLOOKUP($A55,Plot!$DF$7:$FT$67,Plot!$EY$2,FALSE))</f>
        <v xml:space="preserve"> </v>
      </c>
      <c r="BT55" s="303" t="str">
        <f>IF($A55&gt;$C$5," ",(VLOOKUP($A55,Plot!$DF$7:$FT$67,Plot!$FB$2,FALSE)+VLOOKUP($A55,Plot!$DF$7:$FT$67,Plot!$FC$2,FALSE)))</f>
        <v xml:space="preserve"> </v>
      </c>
      <c r="BU55" s="303" t="str">
        <f>IF($A55&gt;$C$5," ",(VLOOKUP($A55,Plot!$DF$7:$FT$67,Plot!$FE$2,FALSE)+VLOOKUP($A55,Plot!$DF$7:$FT$67,Plot!$FF$2,FALSE)))</f>
        <v xml:space="preserve"> </v>
      </c>
      <c r="BV55" s="1026" t="str">
        <f>IF($A55&gt;$C$5," ",VLOOKUP($A55,Plot!$FV$7:$GJ$67,2,FALSE))</f>
        <v xml:space="preserve"> </v>
      </c>
      <c r="BW55" s="1027" t="str">
        <f>IF($A55&gt;$C$5," ",VLOOKUP($A55,Plot!$FV$7:$GJ$67,3,FALSE))</f>
        <v xml:space="preserve"> </v>
      </c>
      <c r="BX55" s="1379" t="str">
        <f>IF($A55&gt;$C$5," ",VLOOKUP($A55,Plot!$FV$7:$GJ$67,6,FALSE))</f>
        <v xml:space="preserve"> </v>
      </c>
      <c r="BY55" s="1026" t="str">
        <f>IF($A55&gt;$C$5," ",VLOOKUP($A55,Plot!$GO$7:$GY$67,2,FALSE))</f>
        <v xml:space="preserve"> </v>
      </c>
      <c r="BZ55" s="1027" t="str">
        <f>IF($A55&gt;$C$5," ",VLOOKUP($A55,Plot!$GO$7:$GY$67,3,FALSE))</f>
        <v xml:space="preserve"> </v>
      </c>
      <c r="CA55" s="1379" t="str">
        <f>IF($A55&gt;$C$5," ",VLOOKUP($A55,Plot!$GO$7:$GY$67,6,FALSE))</f>
        <v xml:space="preserve"> </v>
      </c>
      <c r="CB55" s="1027" t="str">
        <f>IF($A55&gt;$C$5," ",-1*VLOOKUP($A55,Plot!$HA$7:$HK$67,2,FALSE))</f>
        <v xml:space="preserve"> </v>
      </c>
      <c r="CC55" s="1027" t="str">
        <f>IF($A55&gt;$C$5," ",-1*VLOOKUP($A55,Plot!$HA$7:$HK$67,3,FALSE))</f>
        <v xml:space="preserve"> </v>
      </c>
      <c r="CD55" s="1189" t="str">
        <f>IF($A55&gt;$C$5," ",-1*VLOOKUP($A55,Plot!$HA$7:$HK$67,6,FALSE))</f>
        <v xml:space="preserve"> </v>
      </c>
      <c r="CE55" s="10"/>
      <c r="CF55" s="38">
        <v>36</v>
      </c>
      <c r="CG55" s="1381" t="str">
        <f>IF($CF55&gt;$C$5," ",VLOOKUP($CF55,Unit!$A$7:$BE$68,22,FALSE))</f>
        <v xml:space="preserve"> </v>
      </c>
      <c r="CH55" s="1027" t="str">
        <f>IF($CF55&gt;$C$5," ",VLOOKUP($CF55,Unit!$A$7:$BE$68,23,FALSE))</f>
        <v xml:space="preserve"> </v>
      </c>
      <c r="CI55" s="1027" t="str">
        <f>IF($CF55&gt;$C$5," ",VLOOKUP($CF55,Unit!$A$7:$BE$68,24,FALSE))</f>
        <v xml:space="preserve"> </v>
      </c>
      <c r="CJ55" s="1189" t="str">
        <f>IF($CF55&gt;$C$5," ",VLOOKUP($CF55,Unit!$A$7:$BE$68,25,FALSE))</f>
        <v xml:space="preserve"> </v>
      </c>
      <c r="CK55" s="1381" t="str">
        <f>IF($CF55&gt;$C$5," ",VLOOKUP($CF55,Unit!$A$7:$BE$68,27,FALSE))</f>
        <v xml:space="preserve"> </v>
      </c>
      <c r="CL55" s="1027" t="str">
        <f>IF($CF55&gt;$C$5," ",VLOOKUP($CF55,Unit!$A$7:$BE$68,28,FALSE))</f>
        <v xml:space="preserve"> </v>
      </c>
      <c r="CM55" s="1027" t="str">
        <f>IF($CF55&gt;$C$5," ",VLOOKUP($CF55,Unit!$A$7:$BE$68,29,FALSE))</f>
        <v xml:space="preserve"> </v>
      </c>
      <c r="CN55" s="1027" t="str">
        <f>IF($CF55&gt;$C$5," ",VLOOKUP($CF55,Unit!$A$7:$BE$68,30,FALSE))</f>
        <v xml:space="preserve"> </v>
      </c>
      <c r="CO55" s="1027" t="str">
        <f>IF($CF55&gt;$C$5," ",VLOOKUP($CF55,Unit!$A$7:$BE$68,31,FALSE))</f>
        <v xml:space="preserve"> </v>
      </c>
      <c r="CP55" s="1027" t="str">
        <f>IF($CF55&gt;$C$5," ",VLOOKUP($CF55,Unit!$A$7:$BE$68,32,FALSE))</f>
        <v xml:space="preserve"> </v>
      </c>
      <c r="CQ55" s="1381" t="str">
        <f>IF($CF55&gt;$C$5," ",VLOOKUP($CF55,Unit!$A$7:$BE$68,33,FALSE))</f>
        <v xml:space="preserve"> </v>
      </c>
      <c r="CR55" s="1027" t="str">
        <f>IF($CF55&gt;$C$5," ",VLOOKUP($CF55,Unit!$A$7:$BE$68,34,FALSE))</f>
        <v xml:space="preserve"> </v>
      </c>
      <c r="CS55" s="1027" t="str">
        <f>IF($CF55&gt;$C$5," ",VLOOKUP($CF55,Unit!$A$7:$BE$68,35,FALSE))</f>
        <v xml:space="preserve"> </v>
      </c>
      <c r="CT55" s="1027" t="str">
        <f>IF($CF55&gt;$C$5," ",VLOOKUP($CF55,Unit!$A$7:$BE$68,36,FALSE))</f>
        <v xml:space="preserve"> </v>
      </c>
      <c r="CU55" s="1189" t="str">
        <f t="shared" si="20"/>
        <v xml:space="preserve"> </v>
      </c>
      <c r="CV55" s="1027" t="str">
        <f>IF($CF55&gt;$C$5," ",VLOOKUP($CF55,Unit!$A$7:$BA$68,43,FALSE))</f>
        <v xml:space="preserve"> </v>
      </c>
      <c r="CW55" s="1027" t="str">
        <f>IF($CF55&gt;$C$5," ",VLOOKUP($CF55,Unit!$A$7:$BB$68,44,FALSE))</f>
        <v xml:space="preserve"> </v>
      </c>
      <c r="CX55" s="1189" t="str">
        <f>IF($CF55&gt;$C$5," ",VLOOKUP($CF55,Unit!$A$7:$BE$68,47,FALSE))</f>
        <v xml:space="preserve"> </v>
      </c>
      <c r="CY55" s="1381" t="str">
        <f>IF($CF55&gt;$C$5," ",VLOOKUP($CF55,Unit!$A$7:$BA$68,53,FALSE))</f>
        <v xml:space="preserve"> </v>
      </c>
      <c r="CZ55" s="1027" t="str">
        <f>IF($CF55&gt;$C$5," ",VLOOKUP($CF55,Unit!$A$7:$BB$68,54,FALSE))</f>
        <v xml:space="preserve"> </v>
      </c>
      <c r="DA55" s="1189" t="str">
        <f>IF($CF55&gt;$C$5," ",VLOOKUP($CF55,Unit!$A$7:$BE$68,57,FALSE))</f>
        <v xml:space="preserve"> </v>
      </c>
    </row>
    <row r="56" spans="1:105" x14ac:dyDescent="0.25">
      <c r="A56" s="38">
        <v>37</v>
      </c>
      <c r="B56" s="1381" t="str">
        <f>IF($A56&gt;$C$5," ",VLOOKUP($A56,Plot!$A$7:$T$67,Plot!P$2,FALSE))</f>
        <v xml:space="preserve"> </v>
      </c>
      <c r="C56" s="1027" t="str">
        <f>IF($A56&gt;$C$5," ",VLOOKUP($A56,Plot!$V$7:$CI$67,Plot!$CA$2,FALSE))</f>
        <v xml:space="preserve"> </v>
      </c>
      <c r="D56" s="1027" t="str">
        <f>IF($A56&gt;$C$5," ",VLOOKUP($A56,Plot!$CK$7:$DD$67,Plot!$CZ$2,FALSE))</f>
        <v xml:space="preserve"> </v>
      </c>
      <c r="E56" s="1027" t="str">
        <f>IF($A56&gt;$C$5," ",VLOOKUP($A56,Plot!$DF$7:$FT$67,Plot!$FL$2,FALSE))</f>
        <v xml:space="preserve"> </v>
      </c>
      <c r="F56" s="1379" t="str">
        <f t="shared" si="25"/>
        <v xml:space="preserve"> </v>
      </c>
      <c r="G56" s="1026" t="str">
        <f>IF($A56&gt;$C$5," ",VLOOKUP($A56,Plot!$V$7:$CG$67,Plot!$CG$2,FALSE))</f>
        <v xml:space="preserve"> </v>
      </c>
      <c r="H56" s="1027" t="str">
        <f>IF($A56&gt;$C$5," ",VLOOKUP($A56,Plot!$DF$7:$FT$67,Plot!$FR$2,FALSE))</f>
        <v xml:space="preserve"> </v>
      </c>
      <c r="I56" s="1379" t="str">
        <f t="shared" si="17"/>
        <v xml:space="preserve"> </v>
      </c>
      <c r="J56" s="1026" t="str">
        <f>IF($A56&gt;$C$5," ",SUM(B$20:$B56))</f>
        <v xml:space="preserve"> </v>
      </c>
      <c r="K56" s="1027" t="str">
        <f>IF($A56&gt;$C$5," ",SUM($C$20:C56))</f>
        <v xml:space="preserve"> </v>
      </c>
      <c r="L56" s="1027" t="str">
        <f>IF($A56&gt;$C$5," ",SUM($D$20:D56))</f>
        <v xml:space="preserve"> </v>
      </c>
      <c r="M56" s="1027" t="str">
        <f>IF($A56&gt;$C$5," ",SUM($E$20:E56))</f>
        <v xml:space="preserve"> </v>
      </c>
      <c r="N56" s="1379" t="str">
        <f>IF($A56&gt;$C$5," ",SUM($F$20:F56))</f>
        <v xml:space="preserve"> </v>
      </c>
      <c r="O56" s="1027" t="str">
        <f>IF($A56&gt;$C$5," ",SUM($G$20:G56))</f>
        <v xml:space="preserve"> </v>
      </c>
      <c r="P56" s="1027" t="str">
        <f>IF($A56&gt;$C$5," ",SUM($H$20:H56))</f>
        <v xml:space="preserve"> </v>
      </c>
      <c r="Q56" s="1027" t="str">
        <f>IF($A56&gt;$C$5," ",SUM($I$20:I56))</f>
        <v xml:space="preserve"> </v>
      </c>
      <c r="R56" s="1026"/>
      <c r="S56" s="1027"/>
      <c r="T56" s="1027"/>
      <c r="U56" s="1027"/>
      <c r="V56" s="1379"/>
      <c r="W56" s="1027" t="str">
        <f>IF($A56&gt;$C$5," ",VLOOKUP($A56,Plot!$HM$7:$IA$67,Plot!$HR$2,FALSE))</f>
        <v xml:space="preserve"> </v>
      </c>
      <c r="X56" s="1027" t="str">
        <f>IF($A56&gt;$C$5," ",VLOOKUP($A56,Plot!$HM$7:$IA$67,Plot!$HS$2,FALSE))</f>
        <v xml:space="preserve"> </v>
      </c>
      <c r="Y56" s="1379" t="str">
        <f t="shared" si="18"/>
        <v xml:space="preserve"> </v>
      </c>
      <c r="Z56" s="1026" t="str">
        <f>IF($A56&gt;$C$5," ",SUM($B$20:B56))</f>
        <v xml:space="preserve"> </v>
      </c>
      <c r="AA56" s="1027" t="str">
        <f>IF($A56&gt;$C$5," ",SUM($C$20:C56))</f>
        <v xml:space="preserve"> </v>
      </c>
      <c r="AB56" s="1027" t="str">
        <f>IF($A56&gt;$C$5," ",SUM($D$20:D56))</f>
        <v xml:space="preserve"> </v>
      </c>
      <c r="AC56" s="1027" t="str">
        <f>IF($A56&gt;$C$5," ",SUM($E$20:E56))</f>
        <v xml:space="preserve"> </v>
      </c>
      <c r="AD56" s="1379" t="str">
        <f t="shared" si="22"/>
        <v xml:space="preserve"> </v>
      </c>
      <c r="AE56" s="1027" t="str">
        <f>IF($A56&gt;$C$5," ",SUM($W$20:W56))</f>
        <v xml:space="preserve"> </v>
      </c>
      <c r="AF56" s="1027" t="str">
        <f>IF($A56&gt;$C$5," ",SUM($X$20:X56))</f>
        <v xml:space="preserve"> </v>
      </c>
      <c r="AG56" s="1027" t="str">
        <f t="shared" si="23"/>
        <v xml:space="preserve"> </v>
      </c>
      <c r="AH56" s="1394" t="str">
        <f>IF($A56&gt;$C$5," ",VLOOKUP($A56,Plot!$A$7:$D$67,4,FALSE))</f>
        <v xml:space="preserve"> </v>
      </c>
      <c r="AI56" s="1390" t="str">
        <f>IF($A56&gt;$C$5," ",VLOOKUP($A56,Plot!$A$7:$E$67,5,FALSE))</f>
        <v xml:space="preserve"> </v>
      </c>
      <c r="AJ56" s="1390" t="str">
        <f ca="1">IF($A56&gt;$C$5," ",IF(ROW()-ROW($A$18)&gt;='Options and results'!$AR$56,AVERAGE(OFFSET(AI56,0,0,COUNTA($BS:$BS)-'Options and results'!$AR$56,1)),NA()))</f>
        <v xml:space="preserve"> </v>
      </c>
      <c r="AK56" s="1395" t="str">
        <f>IF($A56&gt;$C$5," ",VLOOKUP($A56,Plot!$A$7:$F$67,6,FALSE))</f>
        <v xml:space="preserve"> </v>
      </c>
      <c r="AL56" s="1390" t="str">
        <f>IF($A56&gt;$C$5," ",VLOOKUP($A56,Plot!$CK$7:$CN$67,4,FALSE))</f>
        <v xml:space="preserve"> </v>
      </c>
      <c r="AM56" s="1390" t="str">
        <f>IF($A56&gt;$C$5," ",AL56*VLOOKUP($A56,Plot!$CK$7:$CO$67,5,FALSE))</f>
        <v xml:space="preserve"> </v>
      </c>
      <c r="AN56" s="1390" t="str">
        <f ca="1">IF($A56&gt;$C$5," ",IF(ROW()-ROW($A$18)&gt;='Options and results'!$AR$56,AVERAGE(OFFSET(AM56,0,0,COUNTA($BS:$BS)-'Options and results'!$AR$56,1)),NA()))</f>
        <v xml:space="preserve"> </v>
      </c>
      <c r="AO56" s="1390" t="str">
        <f>IF($A56&gt;$C$5," ",VLOOKUP($A56,Plot!$CK$7:$CP$67,6,FALSE))</f>
        <v xml:space="preserve"> </v>
      </c>
      <c r="AP56" s="1409">
        <f>IF($A56&gt;$C$5,0,VLOOKUP($A56,Plot!$V$7:$AH$67,7,FALSE))</f>
        <v>0</v>
      </c>
      <c r="AQ56" s="1390" t="str">
        <f>IF($A56&gt;$C$5," ",VLOOKUP($A56,Plot!$V$7:$AH$67,13,FALSE))</f>
        <v xml:space="preserve"> </v>
      </c>
      <c r="AR56" s="1390" t="str">
        <f>IF($A56&gt;$C$5," ",VLOOKUP($A56,Plot!$V$7:$AI$67,14,FALSE))</f>
        <v xml:space="preserve"> </v>
      </c>
      <c r="AS56" s="1390" t="str">
        <f>IF($A56&gt;$C$5," ",VLOOKUP($A56,Plot!$V$7:$AJ$67,15,FALSE))</f>
        <v xml:space="preserve"> </v>
      </c>
      <c r="AT56" s="1390" t="str">
        <f>IF($A56&gt;$C$5," ",AQ56+SUM($AS$20:AS56)+IF(AP57=0,-AQ56,0))</f>
        <v xml:space="preserve"> </v>
      </c>
      <c r="AU56" s="1390" t="str">
        <f>IF($A56&gt;$C$5," ",VLOOKUP($A56,Plot!$V$7:$AL$67,Plot!$AL$2,FALSE))</f>
        <v xml:space="preserve"> </v>
      </c>
      <c r="AV56" s="1395" t="str">
        <f>IF($A56&gt;$C$5," ",VLOOKUP($A56,Plot!$V$7:$AM$67,Plot!$AM$2,FALSE))</f>
        <v xml:space="preserve"> </v>
      </c>
      <c r="AW56" s="1407">
        <f>IF($A56&gt;$C$5,0,VLOOKUP($A56,Plot!$DF$7:$DS$67,7,FALSE))</f>
        <v>0</v>
      </c>
      <c r="AX56" s="1390" t="str">
        <f>IF($A56&gt;$C$5," ",VLOOKUP($A56,Plot!$DF$7:$DS$67,14,FALSE))</f>
        <v xml:space="preserve"> </v>
      </c>
      <c r="AY56" s="1390" t="str">
        <f>IF($A56&gt;$C$5," ",VLOOKUP($A56,Plot!$DF$7:$DT$67,15,FALSE))</f>
        <v xml:space="preserve"> </v>
      </c>
      <c r="AZ56" s="1390" t="str">
        <f>IF($A56&gt;$C$5," ",VLOOKUP($A56,Plot!$DF$7:$DU$67,16,FALSE))</f>
        <v xml:space="preserve"> </v>
      </c>
      <c r="BA56" s="1390" t="str">
        <f>IF($A56&gt;$C$5," ",AX56+SUM($AZ$20:AZ56)+IF(AW57=0,-AX56,0))</f>
        <v xml:space="preserve"> </v>
      </c>
      <c r="BB56" s="1390" t="str">
        <f>IF($A56&gt;$C$5," ",VLOOKUP($A56,Plot!$DF$7:$DW$67,Plot!$DW$2,FALSE))</f>
        <v xml:space="preserve"> </v>
      </c>
      <c r="BC56" s="1390" t="str">
        <f>IF($A56&gt;$C$5," ",VLOOKUP($A56,Plot!$DF$7:$DX$67,Plot!$DX$2,FALSE))</f>
        <v xml:space="preserve"> </v>
      </c>
      <c r="BD56" s="1396" t="str">
        <f>IF($A56&gt;$C$5," ",VLOOKUP($A56,Plot!$A$7:$N$67,14,FALSE))</f>
        <v xml:space="preserve"> </v>
      </c>
      <c r="BE56" s="303" t="str">
        <f>IF($A56&gt;$C$5," ",VLOOKUP($A56,Plot!$V$7:$BW$67,Plot!$BW$2,FALSE))</f>
        <v xml:space="preserve"> </v>
      </c>
      <c r="BF56" s="303" t="str">
        <f>IF($A56&gt;$C$5," ",VLOOKUP($A56,Plot!$CK$7:$CX$67,14,FALSE))</f>
        <v xml:space="preserve"> </v>
      </c>
      <c r="BG56" s="303" t="str">
        <f>IF($A56&gt;$C$5," ",VLOOKUP($A56,Plot!$DF$7:$FH$67,Plot!$FH$2,FALSE))</f>
        <v xml:space="preserve"> </v>
      </c>
      <c r="BH56" s="1397" t="str">
        <f t="shared" si="24"/>
        <v xml:space="preserve"> </v>
      </c>
      <c r="BI56" s="303" t="str">
        <f>IF($A56&gt;$C$5," ",VLOOKUP($A56,Plot!$DF$7:$EJ$67,29,FALSE))</f>
        <v xml:space="preserve"> </v>
      </c>
      <c r="BJ56" s="303" t="str">
        <f>IF($A56&gt;$C$5," ",VLOOKUP($A56,Plot!$DF$7:$FT$67,30,FALSE))</f>
        <v xml:space="preserve"> </v>
      </c>
      <c r="BK56" s="303" t="str">
        <f>IF($A56&gt;$C$5," ",VLOOKUP($A56,Plot!$DF$7:$FT$67,Plot!$EL$2,FALSE))</f>
        <v xml:space="preserve"> </v>
      </c>
      <c r="BL56" s="303" t="str">
        <f>IF($A56&gt;$C$5," ",VLOOKUP($A56,Plot!$DF$7:$FT$67,Plot!$EM$2,FALSE))</f>
        <v xml:space="preserve"> </v>
      </c>
      <c r="BM56" s="303" t="str">
        <f>IF($A56&gt;$C$5," ",VLOOKUP($A56,Plot!$DF$7:$FT$67,Plot!$EN$2,FALSE))</f>
        <v xml:space="preserve"> </v>
      </c>
      <c r="BN56" s="303" t="str">
        <f>IF($A56&gt;$C$5," ",VLOOKUP($A56,Plot!$DF$7:$FT$67,Plot!$EO$2,FALSE))</f>
        <v xml:space="preserve"> </v>
      </c>
      <c r="BO56" s="303" t="str">
        <f t="shared" si="19"/>
        <v xml:space="preserve"> </v>
      </c>
      <c r="BP56" s="303" t="str">
        <f>IF($A56&gt;$C$5," ",VLOOKUP($A56,Plot!$DF$7:$FT$67,Plot!$EQ$2,FALSE))</f>
        <v xml:space="preserve"> </v>
      </c>
      <c r="BQ56" s="303" t="str">
        <f>IF($A56&gt;$C$5," ",(VLOOKUP($A56,Plot!$DF$7:$FT$67,Plot!$ES$2,FALSE)+VLOOKUP($A56,Plot!$DF$7:$FT$67,Plot!$ET$2,FALSE)))</f>
        <v xml:space="preserve"> </v>
      </c>
      <c r="BR56" s="303" t="str">
        <f>IF($A56&gt;$C$5," ",(VLOOKUP($A56,Plot!$DF$7:$FT$67,Plot!$EV$2,FALSE)+VLOOKUP($A56,Plot!$DF$7:$FT$67,Plot!$EW$2,FALSE)))</f>
        <v xml:space="preserve"> </v>
      </c>
      <c r="BS56" s="303" t="str">
        <f>IF($A56&gt;$C$5," ",VLOOKUP($A56,Plot!$DF$7:$FT$67,Plot!$EY$2,FALSE))</f>
        <v xml:space="preserve"> </v>
      </c>
      <c r="BT56" s="303" t="str">
        <f>IF($A56&gt;$C$5," ",(VLOOKUP($A56,Plot!$DF$7:$FT$67,Plot!$FB$2,FALSE)+VLOOKUP($A56,Plot!$DF$7:$FT$67,Plot!$FC$2,FALSE)))</f>
        <v xml:space="preserve"> </v>
      </c>
      <c r="BU56" s="303" t="str">
        <f>IF($A56&gt;$C$5," ",(VLOOKUP($A56,Plot!$DF$7:$FT$67,Plot!$FE$2,FALSE)+VLOOKUP($A56,Plot!$DF$7:$FT$67,Plot!$FF$2,FALSE)))</f>
        <v xml:space="preserve"> </v>
      </c>
      <c r="BV56" s="1026" t="str">
        <f>IF($A56&gt;$C$5," ",VLOOKUP($A56,Plot!$FV$7:$GJ$67,2,FALSE))</f>
        <v xml:space="preserve"> </v>
      </c>
      <c r="BW56" s="1027" t="str">
        <f>IF($A56&gt;$C$5," ",VLOOKUP($A56,Plot!$FV$7:$GJ$67,3,FALSE))</f>
        <v xml:space="preserve"> </v>
      </c>
      <c r="BX56" s="1379" t="str">
        <f>IF($A56&gt;$C$5," ",VLOOKUP($A56,Plot!$FV$7:$GJ$67,6,FALSE))</f>
        <v xml:space="preserve"> </v>
      </c>
      <c r="BY56" s="1026" t="str">
        <f>IF($A56&gt;$C$5," ",VLOOKUP($A56,Plot!$GO$7:$GY$67,2,FALSE))</f>
        <v xml:space="preserve"> </v>
      </c>
      <c r="BZ56" s="1027" t="str">
        <f>IF($A56&gt;$C$5," ",VLOOKUP($A56,Plot!$GO$7:$GY$67,3,FALSE))</f>
        <v xml:space="preserve"> </v>
      </c>
      <c r="CA56" s="1379" t="str">
        <f>IF($A56&gt;$C$5," ",VLOOKUP($A56,Plot!$GO$7:$GY$67,6,FALSE))</f>
        <v xml:space="preserve"> </v>
      </c>
      <c r="CB56" s="1027" t="str">
        <f>IF($A56&gt;$C$5," ",-1*VLOOKUP($A56,Plot!$HA$7:$HK$67,2,FALSE))</f>
        <v xml:space="preserve"> </v>
      </c>
      <c r="CC56" s="1027" t="str">
        <f>IF($A56&gt;$C$5," ",-1*VLOOKUP($A56,Plot!$HA$7:$HK$67,3,FALSE))</f>
        <v xml:space="preserve"> </v>
      </c>
      <c r="CD56" s="1189" t="str">
        <f>IF($A56&gt;$C$5," ",-1*VLOOKUP($A56,Plot!$HA$7:$HK$67,6,FALSE))</f>
        <v xml:space="preserve"> </v>
      </c>
      <c r="CE56" s="10"/>
      <c r="CF56" s="38">
        <v>37</v>
      </c>
      <c r="CG56" s="1381" t="str">
        <f>IF($CF56&gt;$C$5," ",VLOOKUP($CF56,Unit!$A$7:$BE$68,22,FALSE))</f>
        <v xml:space="preserve"> </v>
      </c>
      <c r="CH56" s="1027" t="str">
        <f>IF($CF56&gt;$C$5," ",VLOOKUP($CF56,Unit!$A$7:$BE$68,23,FALSE))</f>
        <v xml:space="preserve"> </v>
      </c>
      <c r="CI56" s="1027" t="str">
        <f>IF($CF56&gt;$C$5," ",VLOOKUP($CF56,Unit!$A$7:$BE$68,24,FALSE))</f>
        <v xml:space="preserve"> </v>
      </c>
      <c r="CJ56" s="1189" t="str">
        <f>IF($CF56&gt;$C$5," ",VLOOKUP($CF56,Unit!$A$7:$BE$68,25,FALSE))</f>
        <v xml:space="preserve"> </v>
      </c>
      <c r="CK56" s="1381" t="str">
        <f>IF($CF56&gt;$C$5," ",VLOOKUP($CF56,Unit!$A$7:$BE$68,27,FALSE))</f>
        <v xml:space="preserve"> </v>
      </c>
      <c r="CL56" s="1027" t="str">
        <f>IF($CF56&gt;$C$5," ",VLOOKUP($CF56,Unit!$A$7:$BE$68,28,FALSE))</f>
        <v xml:space="preserve"> </v>
      </c>
      <c r="CM56" s="1027" t="str">
        <f>IF($CF56&gt;$C$5," ",VLOOKUP($CF56,Unit!$A$7:$BE$68,29,FALSE))</f>
        <v xml:space="preserve"> </v>
      </c>
      <c r="CN56" s="1027" t="str">
        <f>IF($CF56&gt;$C$5," ",VLOOKUP($CF56,Unit!$A$7:$BE$68,30,FALSE))</f>
        <v xml:space="preserve"> </v>
      </c>
      <c r="CO56" s="1027" t="str">
        <f>IF($CF56&gt;$C$5," ",VLOOKUP($CF56,Unit!$A$7:$BE$68,31,FALSE))</f>
        <v xml:space="preserve"> </v>
      </c>
      <c r="CP56" s="1027" t="str">
        <f>IF($CF56&gt;$C$5," ",VLOOKUP($CF56,Unit!$A$7:$BE$68,32,FALSE))</f>
        <v xml:space="preserve"> </v>
      </c>
      <c r="CQ56" s="1381" t="str">
        <f>IF($CF56&gt;$C$5," ",VLOOKUP($CF56,Unit!$A$7:$BE$68,33,FALSE))</f>
        <v xml:space="preserve"> </v>
      </c>
      <c r="CR56" s="1027" t="str">
        <f>IF($CF56&gt;$C$5," ",VLOOKUP($CF56,Unit!$A$7:$BE$68,34,FALSE))</f>
        <v xml:space="preserve"> </v>
      </c>
      <c r="CS56" s="1027" t="str">
        <f>IF($CF56&gt;$C$5," ",VLOOKUP($CF56,Unit!$A$7:$BE$68,35,FALSE))</f>
        <v xml:space="preserve"> </v>
      </c>
      <c r="CT56" s="1027" t="str">
        <f>IF($CF56&gt;$C$5," ",VLOOKUP($CF56,Unit!$A$7:$BE$68,36,FALSE))</f>
        <v xml:space="preserve"> </v>
      </c>
      <c r="CU56" s="1189" t="str">
        <f t="shared" si="20"/>
        <v xml:space="preserve"> </v>
      </c>
      <c r="CV56" s="1027" t="str">
        <f>IF($CF56&gt;$C$5," ",VLOOKUP($CF56,Unit!$A$7:$BA$68,43,FALSE))</f>
        <v xml:space="preserve"> </v>
      </c>
      <c r="CW56" s="1027" t="str">
        <f>IF($CF56&gt;$C$5," ",VLOOKUP($CF56,Unit!$A$7:$BB$68,44,FALSE))</f>
        <v xml:space="preserve"> </v>
      </c>
      <c r="CX56" s="1189" t="str">
        <f>IF($CF56&gt;$C$5," ",VLOOKUP($CF56,Unit!$A$7:$BE$68,47,FALSE))</f>
        <v xml:space="preserve"> </v>
      </c>
      <c r="CY56" s="1381" t="str">
        <f>IF($CF56&gt;$C$5," ",VLOOKUP($CF56,Unit!$A$7:$BA$68,53,FALSE))</f>
        <v xml:space="preserve"> </v>
      </c>
      <c r="CZ56" s="1027" t="str">
        <f>IF($CF56&gt;$C$5," ",VLOOKUP($CF56,Unit!$A$7:$BB$68,54,FALSE))</f>
        <v xml:space="preserve"> </v>
      </c>
      <c r="DA56" s="1189" t="str">
        <f>IF($CF56&gt;$C$5," ",VLOOKUP($CF56,Unit!$A$7:$BE$68,57,FALSE))</f>
        <v xml:space="preserve"> </v>
      </c>
    </row>
    <row r="57" spans="1:105" x14ac:dyDescent="0.25">
      <c r="A57" s="38">
        <v>38</v>
      </c>
      <c r="B57" s="1381" t="str">
        <f>IF($A57&gt;$C$5," ",VLOOKUP($A57,Plot!$A$7:$T$67,Plot!P$2,FALSE))</f>
        <v xml:space="preserve"> </v>
      </c>
      <c r="C57" s="1027" t="str">
        <f>IF($A57&gt;$C$5," ",VLOOKUP($A57,Plot!$V$7:$CI$67,Plot!$CA$2,FALSE))</f>
        <v xml:space="preserve"> </v>
      </c>
      <c r="D57" s="1027" t="str">
        <f>IF($A57&gt;$C$5," ",VLOOKUP($A57,Plot!$CK$7:$DD$67,Plot!$CZ$2,FALSE))</f>
        <v xml:space="preserve"> </v>
      </c>
      <c r="E57" s="1027" t="str">
        <f>IF($A57&gt;$C$5," ",VLOOKUP($A57,Plot!$DF$7:$FT$67,Plot!$FL$2,FALSE))</f>
        <v xml:space="preserve"> </v>
      </c>
      <c r="F57" s="1379" t="str">
        <f t="shared" si="25"/>
        <v xml:space="preserve"> </v>
      </c>
      <c r="G57" s="1026" t="str">
        <f>IF($A57&gt;$C$5," ",VLOOKUP($A57,Plot!$V$7:$CG$67,Plot!$CG$2,FALSE))</f>
        <v xml:space="preserve"> </v>
      </c>
      <c r="H57" s="1027" t="str">
        <f>IF($A57&gt;$C$5," ",VLOOKUP($A57,Plot!$DF$7:$FT$67,Plot!$FR$2,FALSE))</f>
        <v xml:space="preserve"> </v>
      </c>
      <c r="I57" s="1379" t="str">
        <f t="shared" si="17"/>
        <v xml:space="preserve"> </v>
      </c>
      <c r="J57" s="1026" t="str">
        <f>IF($A57&gt;$C$5," ",SUM(B$20:$B57))</f>
        <v xml:space="preserve"> </v>
      </c>
      <c r="K57" s="1027" t="str">
        <f>IF($A57&gt;$C$5," ",SUM($C$20:C57))</f>
        <v xml:space="preserve"> </v>
      </c>
      <c r="L57" s="1027" t="str">
        <f>IF($A57&gt;$C$5," ",SUM($D$20:D57))</f>
        <v xml:space="preserve"> </v>
      </c>
      <c r="M57" s="1027" t="str">
        <f>IF($A57&gt;$C$5," ",SUM($E$20:E57))</f>
        <v xml:space="preserve"> </v>
      </c>
      <c r="N57" s="1379" t="str">
        <f>IF($A57&gt;$C$5," ",SUM($F$20:F57))</f>
        <v xml:space="preserve"> </v>
      </c>
      <c r="O57" s="1027" t="str">
        <f>IF($A57&gt;$C$5," ",SUM($G$20:G57))</f>
        <v xml:space="preserve"> </v>
      </c>
      <c r="P57" s="1027" t="str">
        <f>IF($A57&gt;$C$5," ",SUM($H$20:H57))</f>
        <v xml:space="preserve"> </v>
      </c>
      <c r="Q57" s="1027" t="str">
        <f>IF($A57&gt;$C$5," ",SUM($I$20:I57))</f>
        <v xml:space="preserve"> </v>
      </c>
      <c r="R57" s="1026"/>
      <c r="S57" s="1027"/>
      <c r="T57" s="1027"/>
      <c r="U57" s="1027"/>
      <c r="V57" s="1379"/>
      <c r="W57" s="1027" t="str">
        <f>IF($A57&gt;$C$5," ",VLOOKUP($A57,Plot!$HM$7:$IA$67,Plot!$HR$2,FALSE))</f>
        <v xml:space="preserve"> </v>
      </c>
      <c r="X57" s="1027" t="str">
        <f>IF($A57&gt;$C$5," ",VLOOKUP($A57,Plot!$HM$7:$IA$67,Plot!$HS$2,FALSE))</f>
        <v xml:space="preserve"> </v>
      </c>
      <c r="Y57" s="1379" t="str">
        <f t="shared" si="18"/>
        <v xml:space="preserve"> </v>
      </c>
      <c r="Z57" s="1026" t="str">
        <f>IF($A57&gt;$C$5," ",SUM($B$20:B57))</f>
        <v xml:space="preserve"> </v>
      </c>
      <c r="AA57" s="1027" t="str">
        <f>IF($A57&gt;$C$5," ",SUM($C$20:C57))</f>
        <v xml:space="preserve"> </v>
      </c>
      <c r="AB57" s="1027" t="str">
        <f>IF($A57&gt;$C$5," ",SUM($D$20:D57))</f>
        <v xml:space="preserve"> </v>
      </c>
      <c r="AC57" s="1027" t="str">
        <f>IF($A57&gt;$C$5," ",SUM($E$20:E57))</f>
        <v xml:space="preserve"> </v>
      </c>
      <c r="AD57" s="1379" t="str">
        <f t="shared" si="22"/>
        <v xml:space="preserve"> </v>
      </c>
      <c r="AE57" s="1027" t="str">
        <f>IF($A57&gt;$C$5," ",SUM($W$20:W57))</f>
        <v xml:space="preserve"> </v>
      </c>
      <c r="AF57" s="1027" t="str">
        <f>IF($A57&gt;$C$5," ",SUM($X$20:X57))</f>
        <v xml:space="preserve"> </v>
      </c>
      <c r="AG57" s="1027" t="str">
        <f t="shared" si="23"/>
        <v xml:space="preserve"> </v>
      </c>
      <c r="AH57" s="1394" t="str">
        <f>IF($A57&gt;$C$5," ",VLOOKUP($A57,Plot!$A$7:$D$67,4,FALSE))</f>
        <v xml:space="preserve"> </v>
      </c>
      <c r="AI57" s="1390" t="str">
        <f>IF($A57&gt;$C$5," ",VLOOKUP($A57,Plot!$A$7:$E$67,5,FALSE))</f>
        <v xml:space="preserve"> </v>
      </c>
      <c r="AJ57" s="1390" t="str">
        <f ca="1">IF($A57&gt;$C$5," ",IF(ROW()-ROW($A$18)&gt;='Options and results'!$AR$56,AVERAGE(OFFSET(AI57,0,0,COUNTA($BS:$BS)-'Options and results'!$AR$56,1)),NA()))</f>
        <v xml:space="preserve"> </v>
      </c>
      <c r="AK57" s="1395" t="str">
        <f>IF($A57&gt;$C$5," ",VLOOKUP($A57,Plot!$A$7:$F$67,6,FALSE))</f>
        <v xml:space="preserve"> </v>
      </c>
      <c r="AL57" s="1390" t="str">
        <f>IF($A57&gt;$C$5," ",VLOOKUP($A57,Plot!$CK$7:$CN$67,4,FALSE))</f>
        <v xml:space="preserve"> </v>
      </c>
      <c r="AM57" s="1390" t="str">
        <f>IF($A57&gt;$C$5," ",AL57*VLOOKUP($A57,Plot!$CK$7:$CO$67,5,FALSE))</f>
        <v xml:space="preserve"> </v>
      </c>
      <c r="AN57" s="1390" t="str">
        <f ca="1">IF($A57&gt;$C$5," ",IF(ROW()-ROW($A$18)&gt;='Options and results'!$AR$56,AVERAGE(OFFSET(AM57,0,0,COUNTA($BS:$BS)-'Options and results'!$AR$56,1)),NA()))</f>
        <v xml:space="preserve"> </v>
      </c>
      <c r="AO57" s="1390" t="str">
        <f>IF($A57&gt;$C$5," ",VLOOKUP($A57,Plot!$CK$7:$CP$67,6,FALSE))</f>
        <v xml:space="preserve"> </v>
      </c>
      <c r="AP57" s="1409">
        <f>IF($A57&gt;$C$5,0,VLOOKUP($A57,Plot!$V$7:$AH$67,7,FALSE))</f>
        <v>0</v>
      </c>
      <c r="AQ57" s="1390" t="str">
        <f>IF($A57&gt;$C$5," ",VLOOKUP($A57,Plot!$V$7:$AH$67,13,FALSE))</f>
        <v xml:space="preserve"> </v>
      </c>
      <c r="AR57" s="1390" t="str">
        <f>IF($A57&gt;$C$5," ",VLOOKUP($A57,Plot!$V$7:$AI$67,14,FALSE))</f>
        <v xml:space="preserve"> </v>
      </c>
      <c r="AS57" s="1390" t="str">
        <f>IF($A57&gt;$C$5," ",VLOOKUP($A57,Plot!$V$7:$AJ$67,15,FALSE))</f>
        <v xml:space="preserve"> </v>
      </c>
      <c r="AT57" s="1390" t="str">
        <f>IF($A57&gt;$C$5," ",AQ57+SUM($AS$20:AS57)+IF(AP58=0,-AQ57,0))</f>
        <v xml:space="preserve"> </v>
      </c>
      <c r="AU57" s="1390" t="str">
        <f>IF($A57&gt;$C$5," ",VLOOKUP($A57,Plot!$V$7:$AL$67,Plot!$AL$2,FALSE))</f>
        <v xml:space="preserve"> </v>
      </c>
      <c r="AV57" s="1395" t="str">
        <f>IF($A57&gt;$C$5," ",VLOOKUP($A57,Plot!$V$7:$AM$67,Plot!$AM$2,FALSE))</f>
        <v xml:space="preserve"> </v>
      </c>
      <c r="AW57" s="1407">
        <f>IF($A57&gt;$C$5,0,VLOOKUP($A57,Plot!$DF$7:$DS$67,7,FALSE))</f>
        <v>0</v>
      </c>
      <c r="AX57" s="1390" t="str">
        <f>IF($A57&gt;$C$5," ",VLOOKUP($A57,Plot!$DF$7:$DS$67,14,FALSE))</f>
        <v xml:space="preserve"> </v>
      </c>
      <c r="AY57" s="1390" t="str">
        <f>IF($A57&gt;$C$5," ",VLOOKUP($A57,Plot!$DF$7:$DT$67,15,FALSE))</f>
        <v xml:space="preserve"> </v>
      </c>
      <c r="AZ57" s="1390" t="str">
        <f>IF($A57&gt;$C$5," ",VLOOKUP($A57,Plot!$DF$7:$DU$67,16,FALSE))</f>
        <v xml:space="preserve"> </v>
      </c>
      <c r="BA57" s="1390" t="str">
        <f>IF($A57&gt;$C$5," ",AX57+SUM($AZ$20:AZ57)+IF(AW58=0,-AX57,0))</f>
        <v xml:space="preserve"> </v>
      </c>
      <c r="BB57" s="1390" t="str">
        <f>IF($A57&gt;$C$5," ",VLOOKUP($A57,Plot!$DF$7:$DW$67,Plot!$DW$2,FALSE))</f>
        <v xml:space="preserve"> </v>
      </c>
      <c r="BC57" s="1390" t="str">
        <f>IF($A57&gt;$C$5," ",VLOOKUP($A57,Plot!$DF$7:$DX$67,Plot!$DX$2,FALSE))</f>
        <v xml:space="preserve"> </v>
      </c>
      <c r="BD57" s="1396" t="str">
        <f>IF($A57&gt;$C$5," ",VLOOKUP($A57,Plot!$A$7:$N$67,14,FALSE))</f>
        <v xml:space="preserve"> </v>
      </c>
      <c r="BE57" s="303" t="str">
        <f>IF($A57&gt;$C$5," ",VLOOKUP($A57,Plot!$V$7:$BW$67,Plot!$BW$2,FALSE))</f>
        <v xml:space="preserve"> </v>
      </c>
      <c r="BF57" s="303" t="str">
        <f>IF($A57&gt;$C$5," ",VLOOKUP($A57,Plot!$CK$7:$CX$67,14,FALSE))</f>
        <v xml:space="preserve"> </v>
      </c>
      <c r="BG57" s="303" t="str">
        <f>IF($A57&gt;$C$5," ",VLOOKUP($A57,Plot!$DF$7:$FH$67,Plot!$FH$2,FALSE))</f>
        <v xml:space="preserve"> </v>
      </c>
      <c r="BH57" s="1397" t="str">
        <f t="shared" si="24"/>
        <v xml:space="preserve"> </v>
      </c>
      <c r="BI57" s="303" t="str">
        <f>IF($A57&gt;$C$5," ",VLOOKUP($A57,Plot!$DF$7:$EJ$67,29,FALSE))</f>
        <v xml:space="preserve"> </v>
      </c>
      <c r="BJ57" s="303" t="str">
        <f>IF($A57&gt;$C$5," ",VLOOKUP($A57,Plot!$DF$7:$FT$67,30,FALSE))</f>
        <v xml:space="preserve"> </v>
      </c>
      <c r="BK57" s="303" t="str">
        <f>IF($A57&gt;$C$5," ",VLOOKUP($A57,Plot!$DF$7:$FT$67,Plot!$EL$2,FALSE))</f>
        <v xml:space="preserve"> </v>
      </c>
      <c r="BL57" s="303" t="str">
        <f>IF($A57&gt;$C$5," ",VLOOKUP($A57,Plot!$DF$7:$FT$67,Plot!$EM$2,FALSE))</f>
        <v xml:space="preserve"> </v>
      </c>
      <c r="BM57" s="303" t="str">
        <f>IF($A57&gt;$C$5," ",VLOOKUP($A57,Plot!$DF$7:$FT$67,Plot!$EN$2,FALSE))</f>
        <v xml:space="preserve"> </v>
      </c>
      <c r="BN57" s="303" t="str">
        <f>IF($A57&gt;$C$5," ",VLOOKUP($A57,Plot!$DF$7:$FT$67,Plot!$EO$2,FALSE))</f>
        <v xml:space="preserve"> </v>
      </c>
      <c r="BO57" s="303" t="str">
        <f t="shared" si="19"/>
        <v xml:space="preserve"> </v>
      </c>
      <c r="BP57" s="303" t="str">
        <f>IF($A57&gt;$C$5," ",VLOOKUP($A57,Plot!$DF$7:$FT$67,Plot!$EQ$2,FALSE))</f>
        <v xml:space="preserve"> </v>
      </c>
      <c r="BQ57" s="303" t="str">
        <f>IF($A57&gt;$C$5," ",(VLOOKUP($A57,Plot!$DF$7:$FT$67,Plot!$ES$2,FALSE)+VLOOKUP($A57,Plot!$DF$7:$FT$67,Plot!$ET$2,FALSE)))</f>
        <v xml:space="preserve"> </v>
      </c>
      <c r="BR57" s="303" t="str">
        <f>IF($A57&gt;$C$5," ",(VLOOKUP($A57,Plot!$DF$7:$FT$67,Plot!$EV$2,FALSE)+VLOOKUP($A57,Plot!$DF$7:$FT$67,Plot!$EW$2,FALSE)))</f>
        <v xml:space="preserve"> </v>
      </c>
      <c r="BS57" s="303" t="str">
        <f>IF($A57&gt;$C$5," ",VLOOKUP($A57,Plot!$DF$7:$FT$67,Plot!$EY$2,FALSE))</f>
        <v xml:space="preserve"> </v>
      </c>
      <c r="BT57" s="303" t="str">
        <f>IF($A57&gt;$C$5," ",(VLOOKUP($A57,Plot!$DF$7:$FT$67,Plot!$FB$2,FALSE)+VLOOKUP($A57,Plot!$DF$7:$FT$67,Plot!$FC$2,FALSE)))</f>
        <v xml:space="preserve"> </v>
      </c>
      <c r="BU57" s="303" t="str">
        <f>IF($A57&gt;$C$5," ",(VLOOKUP($A57,Plot!$DF$7:$FT$67,Plot!$FE$2,FALSE)+VLOOKUP($A57,Plot!$DF$7:$FT$67,Plot!$FF$2,FALSE)))</f>
        <v xml:space="preserve"> </v>
      </c>
      <c r="BV57" s="1026" t="str">
        <f>IF($A57&gt;$C$5," ",VLOOKUP($A57,Plot!$FV$7:$GJ$67,2,FALSE))</f>
        <v xml:space="preserve"> </v>
      </c>
      <c r="BW57" s="1027" t="str">
        <f>IF($A57&gt;$C$5," ",VLOOKUP($A57,Plot!$FV$7:$GJ$67,3,FALSE))</f>
        <v xml:space="preserve"> </v>
      </c>
      <c r="BX57" s="1379" t="str">
        <f>IF($A57&gt;$C$5," ",VLOOKUP($A57,Plot!$FV$7:$GJ$67,6,FALSE))</f>
        <v xml:space="preserve"> </v>
      </c>
      <c r="BY57" s="1026" t="str">
        <f>IF($A57&gt;$C$5," ",VLOOKUP($A57,Plot!$GO$7:$GY$67,2,FALSE))</f>
        <v xml:space="preserve"> </v>
      </c>
      <c r="BZ57" s="1027" t="str">
        <f>IF($A57&gt;$C$5," ",VLOOKUP($A57,Plot!$GO$7:$GY$67,3,FALSE))</f>
        <v xml:space="preserve"> </v>
      </c>
      <c r="CA57" s="1379" t="str">
        <f>IF($A57&gt;$C$5," ",VLOOKUP($A57,Plot!$GO$7:$GY$67,6,FALSE))</f>
        <v xml:space="preserve"> </v>
      </c>
      <c r="CB57" s="1027" t="str">
        <f>IF($A57&gt;$C$5," ",-1*VLOOKUP($A57,Plot!$HA$7:$HK$67,2,FALSE))</f>
        <v xml:space="preserve"> </v>
      </c>
      <c r="CC57" s="1027" t="str">
        <f>IF($A57&gt;$C$5," ",-1*VLOOKUP($A57,Plot!$HA$7:$HK$67,3,FALSE))</f>
        <v xml:space="preserve"> </v>
      </c>
      <c r="CD57" s="1189" t="str">
        <f>IF($A57&gt;$C$5," ",-1*VLOOKUP($A57,Plot!$HA$7:$HK$67,6,FALSE))</f>
        <v xml:space="preserve"> </v>
      </c>
      <c r="CE57" s="10"/>
      <c r="CF57" s="38">
        <v>38</v>
      </c>
      <c r="CG57" s="1381" t="str">
        <f>IF($CF57&gt;$C$5," ",VLOOKUP($CF57,Unit!$A$7:$BE$68,22,FALSE))</f>
        <v xml:space="preserve"> </v>
      </c>
      <c r="CH57" s="1027" t="str">
        <f>IF($CF57&gt;$C$5," ",VLOOKUP($CF57,Unit!$A$7:$BE$68,23,FALSE))</f>
        <v xml:space="preserve"> </v>
      </c>
      <c r="CI57" s="1027" t="str">
        <f>IF($CF57&gt;$C$5," ",VLOOKUP($CF57,Unit!$A$7:$BE$68,24,FALSE))</f>
        <v xml:space="preserve"> </v>
      </c>
      <c r="CJ57" s="1189" t="str">
        <f>IF($CF57&gt;$C$5," ",VLOOKUP($CF57,Unit!$A$7:$BE$68,25,FALSE))</f>
        <v xml:space="preserve"> </v>
      </c>
      <c r="CK57" s="1381" t="str">
        <f>IF($CF57&gt;$C$5," ",VLOOKUP($CF57,Unit!$A$7:$BE$68,27,FALSE))</f>
        <v xml:space="preserve"> </v>
      </c>
      <c r="CL57" s="1027" t="str">
        <f>IF($CF57&gt;$C$5," ",VLOOKUP($CF57,Unit!$A$7:$BE$68,28,FALSE))</f>
        <v xml:space="preserve"> </v>
      </c>
      <c r="CM57" s="1027" t="str">
        <f>IF($CF57&gt;$C$5," ",VLOOKUP($CF57,Unit!$A$7:$BE$68,29,FALSE))</f>
        <v xml:space="preserve"> </v>
      </c>
      <c r="CN57" s="1027" t="str">
        <f>IF($CF57&gt;$C$5," ",VLOOKUP($CF57,Unit!$A$7:$BE$68,30,FALSE))</f>
        <v xml:space="preserve"> </v>
      </c>
      <c r="CO57" s="1027" t="str">
        <f>IF($CF57&gt;$C$5," ",VLOOKUP($CF57,Unit!$A$7:$BE$68,31,FALSE))</f>
        <v xml:space="preserve"> </v>
      </c>
      <c r="CP57" s="1027" t="str">
        <f>IF($CF57&gt;$C$5," ",VLOOKUP($CF57,Unit!$A$7:$BE$68,32,FALSE))</f>
        <v xml:space="preserve"> </v>
      </c>
      <c r="CQ57" s="1381" t="str">
        <f>IF($CF57&gt;$C$5," ",VLOOKUP($CF57,Unit!$A$7:$BE$68,33,FALSE))</f>
        <v xml:space="preserve"> </v>
      </c>
      <c r="CR57" s="1027" t="str">
        <f>IF($CF57&gt;$C$5," ",VLOOKUP($CF57,Unit!$A$7:$BE$68,34,FALSE))</f>
        <v xml:space="preserve"> </v>
      </c>
      <c r="CS57" s="1027" t="str">
        <f>IF($CF57&gt;$C$5," ",VLOOKUP($CF57,Unit!$A$7:$BE$68,35,FALSE))</f>
        <v xml:space="preserve"> </v>
      </c>
      <c r="CT57" s="1027" t="str">
        <f>IF($CF57&gt;$C$5," ",VLOOKUP($CF57,Unit!$A$7:$BE$68,36,FALSE))</f>
        <v xml:space="preserve"> </v>
      </c>
      <c r="CU57" s="1189" t="str">
        <f t="shared" si="20"/>
        <v xml:space="preserve"> </v>
      </c>
      <c r="CV57" s="1027" t="str">
        <f>IF($CF57&gt;$C$5," ",VLOOKUP($CF57,Unit!$A$7:$BA$68,43,FALSE))</f>
        <v xml:space="preserve"> </v>
      </c>
      <c r="CW57" s="1027" t="str">
        <f>IF($CF57&gt;$C$5," ",VLOOKUP($CF57,Unit!$A$7:$BB$68,44,FALSE))</f>
        <v xml:space="preserve"> </v>
      </c>
      <c r="CX57" s="1189" t="str">
        <f>IF($CF57&gt;$C$5," ",VLOOKUP($CF57,Unit!$A$7:$BE$68,47,FALSE))</f>
        <v xml:space="preserve"> </v>
      </c>
      <c r="CY57" s="1381" t="str">
        <f>IF($CF57&gt;$C$5," ",VLOOKUP($CF57,Unit!$A$7:$BA$68,53,FALSE))</f>
        <v xml:space="preserve"> </v>
      </c>
      <c r="CZ57" s="1027" t="str">
        <f>IF($CF57&gt;$C$5," ",VLOOKUP($CF57,Unit!$A$7:$BB$68,54,FALSE))</f>
        <v xml:space="preserve"> </v>
      </c>
      <c r="DA57" s="1189" t="str">
        <f>IF($CF57&gt;$C$5," ",VLOOKUP($CF57,Unit!$A$7:$BE$68,57,FALSE))</f>
        <v xml:space="preserve"> </v>
      </c>
    </row>
    <row r="58" spans="1:105" x14ac:dyDescent="0.25">
      <c r="A58" s="38">
        <v>39</v>
      </c>
      <c r="B58" s="1381" t="str">
        <f>IF($A58&gt;$C$5," ",VLOOKUP($A58,Plot!$A$7:$T$67,Plot!P$2,FALSE))</f>
        <v xml:space="preserve"> </v>
      </c>
      <c r="C58" s="1027" t="str">
        <f>IF($A58&gt;$C$5," ",VLOOKUP($A58,Plot!$V$7:$CI$67,Plot!$CA$2,FALSE))</f>
        <v xml:space="preserve"> </v>
      </c>
      <c r="D58" s="1027" t="str">
        <f>IF($A58&gt;$C$5," ",VLOOKUP($A58,Plot!$CK$7:$DD$67,Plot!$CZ$2,FALSE))</f>
        <v xml:space="preserve"> </v>
      </c>
      <c r="E58" s="1027" t="str">
        <f>IF($A58&gt;$C$5," ",VLOOKUP($A58,Plot!$DF$7:$FT$67,Plot!$FL$2,FALSE))</f>
        <v xml:space="preserve"> </v>
      </c>
      <c r="F58" s="1379" t="str">
        <f t="shared" si="25"/>
        <v xml:space="preserve"> </v>
      </c>
      <c r="G58" s="1026" t="str">
        <f>IF($A58&gt;$C$5," ",VLOOKUP($A58,Plot!$V$7:$CG$67,Plot!$CG$2,FALSE))</f>
        <v xml:space="preserve"> </v>
      </c>
      <c r="H58" s="1027" t="str">
        <f>IF($A58&gt;$C$5," ",VLOOKUP($A58,Plot!$DF$7:$FT$67,Plot!$FR$2,FALSE))</f>
        <v xml:space="preserve"> </v>
      </c>
      <c r="I58" s="1379" t="str">
        <f t="shared" si="17"/>
        <v xml:space="preserve"> </v>
      </c>
      <c r="J58" s="1026" t="str">
        <f>IF($A58&gt;$C$5," ",SUM(B$20:$B58))</f>
        <v xml:space="preserve"> </v>
      </c>
      <c r="K58" s="1027" t="str">
        <f>IF($A58&gt;$C$5," ",SUM($C$20:C58))</f>
        <v xml:space="preserve"> </v>
      </c>
      <c r="L58" s="1027" t="str">
        <f>IF($A58&gt;$C$5," ",SUM($D$20:D58))</f>
        <v xml:space="preserve"> </v>
      </c>
      <c r="M58" s="1027" t="str">
        <f>IF($A58&gt;$C$5," ",SUM($E$20:E58))</f>
        <v xml:space="preserve"> </v>
      </c>
      <c r="N58" s="1379" t="str">
        <f>IF($A58&gt;$C$5," ",SUM($F$20:F58))</f>
        <v xml:space="preserve"> </v>
      </c>
      <c r="O58" s="1027" t="str">
        <f>IF($A58&gt;$C$5," ",SUM($G$20:G58))</f>
        <v xml:space="preserve"> </v>
      </c>
      <c r="P58" s="1027" t="str">
        <f>IF($A58&gt;$C$5," ",SUM($H$20:H58))</f>
        <v xml:space="preserve"> </v>
      </c>
      <c r="Q58" s="1027" t="str">
        <f>IF($A58&gt;$C$5," ",SUM($I$20:I58))</f>
        <v xml:space="preserve"> </v>
      </c>
      <c r="R58" s="1026"/>
      <c r="S58" s="1027"/>
      <c r="T58" s="1027"/>
      <c r="U58" s="1027"/>
      <c r="V58" s="1379"/>
      <c r="W58" s="1027" t="str">
        <f>IF($A58&gt;$C$5," ",VLOOKUP($A58,Plot!$HM$7:$IA$67,Plot!$HR$2,FALSE))</f>
        <v xml:space="preserve"> </v>
      </c>
      <c r="X58" s="1027" t="str">
        <f>IF($A58&gt;$C$5," ",VLOOKUP($A58,Plot!$HM$7:$IA$67,Plot!$HS$2,FALSE))</f>
        <v xml:space="preserve"> </v>
      </c>
      <c r="Y58" s="1379" t="str">
        <f t="shared" si="18"/>
        <v xml:space="preserve"> </v>
      </c>
      <c r="Z58" s="1026" t="str">
        <f>IF($A58&gt;$C$5," ",SUM($B$20:B58))</f>
        <v xml:space="preserve"> </v>
      </c>
      <c r="AA58" s="1027" t="str">
        <f>IF($A58&gt;$C$5," ",SUM($C$20:C58))</f>
        <v xml:space="preserve"> </v>
      </c>
      <c r="AB58" s="1027" t="str">
        <f>IF($A58&gt;$C$5," ",SUM($D$20:D58))</f>
        <v xml:space="preserve"> </v>
      </c>
      <c r="AC58" s="1027" t="str">
        <f>IF($A58&gt;$C$5," ",SUM($E$20:E58))</f>
        <v xml:space="preserve"> </v>
      </c>
      <c r="AD58" s="1379" t="str">
        <f t="shared" si="22"/>
        <v xml:space="preserve"> </v>
      </c>
      <c r="AE58" s="1027" t="str">
        <f>IF($A58&gt;$C$5," ",SUM($W$20:W58))</f>
        <v xml:space="preserve"> </v>
      </c>
      <c r="AF58" s="1027" t="str">
        <f>IF($A58&gt;$C$5," ",SUM($X$20:X58))</f>
        <v xml:space="preserve"> </v>
      </c>
      <c r="AG58" s="1027" t="str">
        <f t="shared" si="23"/>
        <v xml:space="preserve"> </v>
      </c>
      <c r="AH58" s="1394" t="str">
        <f>IF($A58&gt;$C$5," ",VLOOKUP($A58,Plot!$A$7:$D$67,4,FALSE))</f>
        <v xml:space="preserve"> </v>
      </c>
      <c r="AI58" s="1390" t="str">
        <f>IF($A58&gt;$C$5," ",VLOOKUP($A58,Plot!$A$7:$E$67,5,FALSE))</f>
        <v xml:space="preserve"> </v>
      </c>
      <c r="AJ58" s="1390" t="str">
        <f ca="1">IF($A58&gt;$C$5," ",IF(ROW()-ROW($A$18)&gt;='Options and results'!$AR$56,AVERAGE(OFFSET(AI58,0,0,COUNTA($BS:$BS)-'Options and results'!$AR$56,1)),NA()))</f>
        <v xml:space="preserve"> </v>
      </c>
      <c r="AK58" s="1395" t="str">
        <f>IF($A58&gt;$C$5," ",VLOOKUP($A58,Plot!$A$7:$F$67,6,FALSE))</f>
        <v xml:space="preserve"> </v>
      </c>
      <c r="AL58" s="1390" t="str">
        <f>IF($A58&gt;$C$5," ",VLOOKUP($A58,Plot!$CK$7:$CN$67,4,FALSE))</f>
        <v xml:space="preserve"> </v>
      </c>
      <c r="AM58" s="1390" t="str">
        <f>IF($A58&gt;$C$5," ",AL58*VLOOKUP($A58,Plot!$CK$7:$CO$67,5,FALSE))</f>
        <v xml:space="preserve"> </v>
      </c>
      <c r="AN58" s="1390" t="str">
        <f ca="1">IF($A58&gt;$C$5," ",IF(ROW()-ROW($A$18)&gt;='Options and results'!$AR$56,AVERAGE(OFFSET(AM58,0,0,COUNTA($BS:$BS)-'Options and results'!$AR$56,1)),NA()))</f>
        <v xml:space="preserve"> </v>
      </c>
      <c r="AO58" s="1390" t="str">
        <f>IF($A58&gt;$C$5," ",VLOOKUP($A58,Plot!$CK$7:$CP$67,6,FALSE))</f>
        <v xml:space="preserve"> </v>
      </c>
      <c r="AP58" s="1409">
        <f>IF($A58&gt;$C$5,0,VLOOKUP($A58,Plot!$V$7:$AH$67,7,FALSE))</f>
        <v>0</v>
      </c>
      <c r="AQ58" s="1390" t="str">
        <f>IF($A58&gt;$C$5," ",VLOOKUP($A58,Plot!$V$7:$AH$67,13,FALSE))</f>
        <v xml:space="preserve"> </v>
      </c>
      <c r="AR58" s="1390" t="str">
        <f>IF($A58&gt;$C$5," ",VLOOKUP($A58,Plot!$V$7:$AI$67,14,FALSE))</f>
        <v xml:space="preserve"> </v>
      </c>
      <c r="AS58" s="1390" t="str">
        <f>IF($A58&gt;$C$5," ",VLOOKUP($A58,Plot!$V$7:$AJ$67,15,FALSE))</f>
        <v xml:space="preserve"> </v>
      </c>
      <c r="AT58" s="1390" t="str">
        <f>IF($A58&gt;$C$5," ",AQ58+SUM($AS$20:AS58)+IF(AP59=0,-AQ58,0))</f>
        <v xml:space="preserve"> </v>
      </c>
      <c r="AU58" s="1390" t="str">
        <f>IF($A58&gt;$C$5," ",VLOOKUP($A58,Plot!$V$7:$AL$67,Plot!$AL$2,FALSE))</f>
        <v xml:space="preserve"> </v>
      </c>
      <c r="AV58" s="1395" t="str">
        <f>IF($A58&gt;$C$5," ",VLOOKUP($A58,Plot!$V$7:$AM$67,Plot!$AM$2,FALSE))</f>
        <v xml:space="preserve"> </v>
      </c>
      <c r="AW58" s="1407">
        <f>IF($A58&gt;$C$5,0,VLOOKUP($A58,Plot!$DF$7:$DS$67,7,FALSE))</f>
        <v>0</v>
      </c>
      <c r="AX58" s="1390" t="str">
        <f>IF($A58&gt;$C$5," ",VLOOKUP($A58,Plot!$DF$7:$DS$67,14,FALSE))</f>
        <v xml:space="preserve"> </v>
      </c>
      <c r="AY58" s="1390" t="str">
        <f>IF($A58&gt;$C$5," ",VLOOKUP($A58,Plot!$DF$7:$DT$67,15,FALSE))</f>
        <v xml:space="preserve"> </v>
      </c>
      <c r="AZ58" s="1390" t="str">
        <f>IF($A58&gt;$C$5," ",VLOOKUP($A58,Plot!$DF$7:$DU$67,16,FALSE))</f>
        <v xml:space="preserve"> </v>
      </c>
      <c r="BA58" s="1390" t="str">
        <f>IF($A58&gt;$C$5," ",AX58+SUM($AZ$20:AZ58)+IF(AW59=0,-AX58,0))</f>
        <v xml:space="preserve"> </v>
      </c>
      <c r="BB58" s="1390" t="str">
        <f>IF($A58&gt;$C$5," ",VLOOKUP($A58,Plot!$DF$7:$DW$67,Plot!$DW$2,FALSE))</f>
        <v xml:space="preserve"> </v>
      </c>
      <c r="BC58" s="1390" t="str">
        <f>IF($A58&gt;$C$5," ",VLOOKUP($A58,Plot!$DF$7:$DX$67,Plot!$DX$2,FALSE))</f>
        <v xml:space="preserve"> </v>
      </c>
      <c r="BD58" s="1396" t="str">
        <f>IF($A58&gt;$C$5," ",VLOOKUP($A58,Plot!$A$7:$N$67,14,FALSE))</f>
        <v xml:space="preserve"> </v>
      </c>
      <c r="BE58" s="303" t="str">
        <f>IF($A58&gt;$C$5," ",VLOOKUP($A58,Plot!$V$7:$BW$67,Plot!$BW$2,FALSE))</f>
        <v xml:space="preserve"> </v>
      </c>
      <c r="BF58" s="303" t="str">
        <f>IF($A58&gt;$C$5," ",VLOOKUP($A58,Plot!$CK$7:$CX$67,14,FALSE))</f>
        <v xml:space="preserve"> </v>
      </c>
      <c r="BG58" s="303" t="str">
        <f>IF($A58&gt;$C$5," ",VLOOKUP($A58,Plot!$DF$7:$FH$67,Plot!$FH$2,FALSE))</f>
        <v xml:space="preserve"> </v>
      </c>
      <c r="BH58" s="1397" t="str">
        <f t="shared" si="24"/>
        <v xml:space="preserve"> </v>
      </c>
      <c r="BI58" s="303" t="str">
        <f>IF($A58&gt;$C$5," ",VLOOKUP($A58,Plot!$DF$7:$EJ$67,29,FALSE))</f>
        <v xml:space="preserve"> </v>
      </c>
      <c r="BJ58" s="303" t="str">
        <f>IF($A58&gt;$C$5," ",VLOOKUP($A58,Plot!$DF$7:$FT$67,30,FALSE))</f>
        <v xml:space="preserve"> </v>
      </c>
      <c r="BK58" s="303" t="str">
        <f>IF($A58&gt;$C$5," ",VLOOKUP($A58,Plot!$DF$7:$FT$67,Plot!$EL$2,FALSE))</f>
        <v xml:space="preserve"> </v>
      </c>
      <c r="BL58" s="303" t="str">
        <f>IF($A58&gt;$C$5," ",VLOOKUP($A58,Plot!$DF$7:$FT$67,Plot!$EM$2,FALSE))</f>
        <v xml:space="preserve"> </v>
      </c>
      <c r="BM58" s="303" t="str">
        <f>IF($A58&gt;$C$5," ",VLOOKUP($A58,Plot!$DF$7:$FT$67,Plot!$EN$2,FALSE))</f>
        <v xml:space="preserve"> </v>
      </c>
      <c r="BN58" s="303" t="str">
        <f>IF($A58&gt;$C$5," ",VLOOKUP($A58,Plot!$DF$7:$FT$67,Plot!$EO$2,FALSE))</f>
        <v xml:space="preserve"> </v>
      </c>
      <c r="BO58" s="303" t="str">
        <f t="shared" si="19"/>
        <v xml:space="preserve"> </v>
      </c>
      <c r="BP58" s="303" t="str">
        <f>IF($A58&gt;$C$5," ",VLOOKUP($A58,Plot!$DF$7:$FT$67,Plot!$EQ$2,FALSE))</f>
        <v xml:space="preserve"> </v>
      </c>
      <c r="BQ58" s="303" t="str">
        <f>IF($A58&gt;$C$5," ",(VLOOKUP($A58,Plot!$DF$7:$FT$67,Plot!$ES$2,FALSE)+VLOOKUP($A58,Plot!$DF$7:$FT$67,Plot!$ET$2,FALSE)))</f>
        <v xml:space="preserve"> </v>
      </c>
      <c r="BR58" s="303" t="str">
        <f>IF($A58&gt;$C$5," ",(VLOOKUP($A58,Plot!$DF$7:$FT$67,Plot!$EV$2,FALSE)+VLOOKUP($A58,Plot!$DF$7:$FT$67,Plot!$EW$2,FALSE)))</f>
        <v xml:space="preserve"> </v>
      </c>
      <c r="BS58" s="303" t="str">
        <f>IF($A58&gt;$C$5," ",VLOOKUP($A58,Plot!$DF$7:$FT$67,Plot!$EY$2,FALSE))</f>
        <v xml:space="preserve"> </v>
      </c>
      <c r="BT58" s="303" t="str">
        <f>IF($A58&gt;$C$5," ",(VLOOKUP($A58,Plot!$DF$7:$FT$67,Plot!$FB$2,FALSE)+VLOOKUP($A58,Plot!$DF$7:$FT$67,Plot!$FC$2,FALSE)))</f>
        <v xml:space="preserve"> </v>
      </c>
      <c r="BU58" s="303" t="str">
        <f>IF($A58&gt;$C$5," ",(VLOOKUP($A58,Plot!$DF$7:$FT$67,Plot!$FE$2,FALSE)+VLOOKUP($A58,Plot!$DF$7:$FT$67,Plot!$FF$2,FALSE)))</f>
        <v xml:space="preserve"> </v>
      </c>
      <c r="BV58" s="1026" t="str">
        <f>IF($A58&gt;$C$5," ",VLOOKUP($A58,Plot!$FV$7:$GJ$67,2,FALSE))</f>
        <v xml:space="preserve"> </v>
      </c>
      <c r="BW58" s="1027" t="str">
        <f>IF($A58&gt;$C$5," ",VLOOKUP($A58,Plot!$FV$7:$GJ$67,3,FALSE))</f>
        <v xml:space="preserve"> </v>
      </c>
      <c r="BX58" s="1379" t="str">
        <f>IF($A58&gt;$C$5," ",VLOOKUP($A58,Plot!$FV$7:$GJ$67,6,FALSE))</f>
        <v xml:space="preserve"> </v>
      </c>
      <c r="BY58" s="1026" t="str">
        <f>IF($A58&gt;$C$5," ",VLOOKUP($A58,Plot!$GO$7:$GY$67,2,FALSE))</f>
        <v xml:space="preserve"> </v>
      </c>
      <c r="BZ58" s="1027" t="str">
        <f>IF($A58&gt;$C$5," ",VLOOKUP($A58,Plot!$GO$7:$GY$67,3,FALSE))</f>
        <v xml:space="preserve"> </v>
      </c>
      <c r="CA58" s="1379" t="str">
        <f>IF($A58&gt;$C$5," ",VLOOKUP($A58,Plot!$GO$7:$GY$67,6,FALSE))</f>
        <v xml:space="preserve"> </v>
      </c>
      <c r="CB58" s="1027" t="str">
        <f>IF($A58&gt;$C$5," ",-1*VLOOKUP($A58,Plot!$HA$7:$HK$67,2,FALSE))</f>
        <v xml:space="preserve"> </v>
      </c>
      <c r="CC58" s="1027" t="str">
        <f>IF($A58&gt;$C$5," ",-1*VLOOKUP($A58,Plot!$HA$7:$HK$67,3,FALSE))</f>
        <v xml:space="preserve"> </v>
      </c>
      <c r="CD58" s="1189" t="str">
        <f>IF($A58&gt;$C$5," ",-1*VLOOKUP($A58,Plot!$HA$7:$HK$67,6,FALSE))</f>
        <v xml:space="preserve"> </v>
      </c>
      <c r="CE58" s="10"/>
      <c r="CF58" s="38">
        <v>39</v>
      </c>
      <c r="CG58" s="1381" t="str">
        <f>IF($CF58&gt;$C$5," ",VLOOKUP($CF58,Unit!$A$7:$BE$68,22,FALSE))</f>
        <v xml:space="preserve"> </v>
      </c>
      <c r="CH58" s="1027" t="str">
        <f>IF($CF58&gt;$C$5," ",VLOOKUP($CF58,Unit!$A$7:$BE$68,23,FALSE))</f>
        <v xml:space="preserve"> </v>
      </c>
      <c r="CI58" s="1027" t="str">
        <f>IF($CF58&gt;$C$5," ",VLOOKUP($CF58,Unit!$A$7:$BE$68,24,FALSE))</f>
        <v xml:space="preserve"> </v>
      </c>
      <c r="CJ58" s="1189" t="str">
        <f>IF($CF58&gt;$C$5," ",VLOOKUP($CF58,Unit!$A$7:$BE$68,25,FALSE))</f>
        <v xml:space="preserve"> </v>
      </c>
      <c r="CK58" s="1381" t="str">
        <f>IF($CF58&gt;$C$5," ",VLOOKUP($CF58,Unit!$A$7:$BE$68,27,FALSE))</f>
        <v xml:space="preserve"> </v>
      </c>
      <c r="CL58" s="1027" t="str">
        <f>IF($CF58&gt;$C$5," ",VLOOKUP($CF58,Unit!$A$7:$BE$68,28,FALSE))</f>
        <v xml:space="preserve"> </v>
      </c>
      <c r="CM58" s="1027" t="str">
        <f>IF($CF58&gt;$C$5," ",VLOOKUP($CF58,Unit!$A$7:$BE$68,29,FALSE))</f>
        <v xml:space="preserve"> </v>
      </c>
      <c r="CN58" s="1027" t="str">
        <f>IF($CF58&gt;$C$5," ",VLOOKUP($CF58,Unit!$A$7:$BE$68,30,FALSE))</f>
        <v xml:space="preserve"> </v>
      </c>
      <c r="CO58" s="1027" t="str">
        <f>IF($CF58&gt;$C$5," ",VLOOKUP($CF58,Unit!$A$7:$BE$68,31,FALSE))</f>
        <v xml:space="preserve"> </v>
      </c>
      <c r="CP58" s="1027" t="str">
        <f>IF($CF58&gt;$C$5," ",VLOOKUP($CF58,Unit!$A$7:$BE$68,32,FALSE))</f>
        <v xml:space="preserve"> </v>
      </c>
      <c r="CQ58" s="1381" t="str">
        <f>IF($CF58&gt;$C$5," ",VLOOKUP($CF58,Unit!$A$7:$BE$68,33,FALSE))</f>
        <v xml:space="preserve"> </v>
      </c>
      <c r="CR58" s="1027" t="str">
        <f>IF($CF58&gt;$C$5," ",VLOOKUP($CF58,Unit!$A$7:$BE$68,34,FALSE))</f>
        <v xml:space="preserve"> </v>
      </c>
      <c r="CS58" s="1027" t="str">
        <f>IF($CF58&gt;$C$5," ",VLOOKUP($CF58,Unit!$A$7:$BE$68,35,FALSE))</f>
        <v xml:space="preserve"> </v>
      </c>
      <c r="CT58" s="1027" t="str">
        <f>IF($CF58&gt;$C$5," ",VLOOKUP($CF58,Unit!$A$7:$BE$68,36,FALSE))</f>
        <v xml:space="preserve"> </v>
      </c>
      <c r="CU58" s="1189" t="str">
        <f t="shared" si="20"/>
        <v xml:space="preserve"> </v>
      </c>
      <c r="CV58" s="1027" t="str">
        <f>IF($CF58&gt;$C$5," ",VLOOKUP($CF58,Unit!$A$7:$BA$68,43,FALSE))</f>
        <v xml:space="preserve"> </v>
      </c>
      <c r="CW58" s="1027" t="str">
        <f>IF($CF58&gt;$C$5," ",VLOOKUP($CF58,Unit!$A$7:$BB$68,44,FALSE))</f>
        <v xml:space="preserve"> </v>
      </c>
      <c r="CX58" s="1189" t="str">
        <f>IF($CF58&gt;$C$5," ",VLOOKUP($CF58,Unit!$A$7:$BE$68,47,FALSE))</f>
        <v xml:space="preserve"> </v>
      </c>
      <c r="CY58" s="1381" t="str">
        <f>IF($CF58&gt;$C$5," ",VLOOKUP($CF58,Unit!$A$7:$BA$68,53,FALSE))</f>
        <v xml:space="preserve"> </v>
      </c>
      <c r="CZ58" s="1027" t="str">
        <f>IF($CF58&gt;$C$5," ",VLOOKUP($CF58,Unit!$A$7:$BB$68,54,FALSE))</f>
        <v xml:space="preserve"> </v>
      </c>
      <c r="DA58" s="1189" t="str">
        <f>IF($CF58&gt;$C$5," ",VLOOKUP($CF58,Unit!$A$7:$BE$68,57,FALSE))</f>
        <v xml:space="preserve"> </v>
      </c>
    </row>
    <row r="59" spans="1:105" x14ac:dyDescent="0.25">
      <c r="A59" s="38">
        <v>40</v>
      </c>
      <c r="B59" s="1381" t="str">
        <f>IF($A59&gt;$C$5," ",VLOOKUP($A59,Plot!$A$7:$T$67,Plot!P$2,FALSE))</f>
        <v xml:space="preserve"> </v>
      </c>
      <c r="C59" s="1027" t="str">
        <f>IF($A59&gt;$C$5," ",VLOOKUP($A59,Plot!$V$7:$CI$67,Plot!$CA$2,FALSE))</f>
        <v xml:space="preserve"> </v>
      </c>
      <c r="D59" s="1027" t="str">
        <f>IF($A59&gt;$C$5," ",VLOOKUP($A59,Plot!$CK$7:$DD$67,Plot!$CZ$2,FALSE))</f>
        <v xml:space="preserve"> </v>
      </c>
      <c r="E59" s="1027" t="str">
        <f>IF($A59&gt;$C$5," ",VLOOKUP($A59,Plot!$DF$7:$FT$67,Plot!$FL$2,FALSE))</f>
        <v xml:space="preserve"> </v>
      </c>
      <c r="F59" s="1379" t="str">
        <f t="shared" si="25"/>
        <v xml:space="preserve"> </v>
      </c>
      <c r="G59" s="1026" t="str">
        <f>IF($A59&gt;$C$5," ",VLOOKUP($A59,Plot!$V$7:$CG$67,Plot!$CG$2,FALSE))</f>
        <v xml:space="preserve"> </v>
      </c>
      <c r="H59" s="1027" t="str">
        <f>IF($A59&gt;$C$5," ",VLOOKUP($A59,Plot!$DF$7:$FT$67,Plot!$FR$2,FALSE))</f>
        <v xml:space="preserve"> </v>
      </c>
      <c r="I59" s="1379" t="str">
        <f t="shared" si="17"/>
        <v xml:space="preserve"> </v>
      </c>
      <c r="J59" s="1026" t="str">
        <f>IF($A59&gt;$C$5," ",SUM(B$20:$B59))</f>
        <v xml:space="preserve"> </v>
      </c>
      <c r="K59" s="1027" t="str">
        <f>IF($A59&gt;$C$5," ",SUM($C$20:C59))</f>
        <v xml:space="preserve"> </v>
      </c>
      <c r="L59" s="1027" t="str">
        <f>IF($A59&gt;$C$5," ",SUM($D$20:D59))</f>
        <v xml:space="preserve"> </v>
      </c>
      <c r="M59" s="1027" t="str">
        <f>IF($A59&gt;$C$5," ",SUM($E$20:E59))</f>
        <v xml:space="preserve"> </v>
      </c>
      <c r="N59" s="1379" t="str">
        <f>IF($A59&gt;$C$5," ",SUM($F$20:F59))</f>
        <v xml:space="preserve"> </v>
      </c>
      <c r="O59" s="1027" t="str">
        <f>IF($A59&gt;$C$5," ",SUM($G$20:G59))</f>
        <v xml:space="preserve"> </v>
      </c>
      <c r="P59" s="1027" t="str">
        <f>IF($A59&gt;$C$5," ",SUM($H$20:H59))</f>
        <v xml:space="preserve"> </v>
      </c>
      <c r="Q59" s="1027" t="str">
        <f>IF($A59&gt;$C$5," ",SUM($I$20:I59))</f>
        <v xml:space="preserve"> </v>
      </c>
      <c r="R59" s="1026"/>
      <c r="S59" s="1027"/>
      <c r="T59" s="1027"/>
      <c r="U59" s="1027"/>
      <c r="V59" s="1379"/>
      <c r="W59" s="1027" t="str">
        <f>IF($A59&gt;$C$5," ",VLOOKUP($A59,Plot!$HM$7:$IA$67,Plot!$HR$2,FALSE))</f>
        <v xml:space="preserve"> </v>
      </c>
      <c r="X59" s="1027" t="str">
        <f>IF($A59&gt;$C$5," ",VLOOKUP($A59,Plot!$HM$7:$IA$67,Plot!$HS$2,FALSE))</f>
        <v xml:space="preserve"> </v>
      </c>
      <c r="Y59" s="1379" t="str">
        <f t="shared" si="18"/>
        <v xml:space="preserve"> </v>
      </c>
      <c r="Z59" s="1026" t="str">
        <f>IF($A59&gt;$C$5," ",SUM($B$20:B59))</f>
        <v xml:space="preserve"> </v>
      </c>
      <c r="AA59" s="1027" t="str">
        <f>IF($A59&gt;$C$5," ",SUM($C$20:C59))</f>
        <v xml:space="preserve"> </v>
      </c>
      <c r="AB59" s="1027" t="str">
        <f>IF($A59&gt;$C$5," ",SUM($D$20:D59))</f>
        <v xml:space="preserve"> </v>
      </c>
      <c r="AC59" s="1027" t="str">
        <f>IF($A59&gt;$C$5," ",SUM($E$20:E59))</f>
        <v xml:space="preserve"> </v>
      </c>
      <c r="AD59" s="1379" t="str">
        <f t="shared" si="22"/>
        <v xml:space="preserve"> </v>
      </c>
      <c r="AE59" s="1027" t="str">
        <f>IF($A59&gt;$C$5," ",SUM($W$20:W59))</f>
        <v xml:space="preserve"> </v>
      </c>
      <c r="AF59" s="1027" t="str">
        <f>IF($A59&gt;$C$5," ",SUM($X$20:X59))</f>
        <v xml:space="preserve"> </v>
      </c>
      <c r="AG59" s="1027" t="str">
        <f t="shared" si="23"/>
        <v xml:space="preserve"> </v>
      </c>
      <c r="AH59" s="1394" t="str">
        <f>IF($A59&gt;$C$5," ",VLOOKUP($A59,Plot!$A$7:$D$67,4,FALSE))</f>
        <v xml:space="preserve"> </v>
      </c>
      <c r="AI59" s="1390" t="str">
        <f>IF($A59&gt;$C$5," ",VLOOKUP($A59,Plot!$A$7:$E$67,5,FALSE))</f>
        <v xml:space="preserve"> </v>
      </c>
      <c r="AJ59" s="1390" t="str">
        <f ca="1">IF($A59&gt;$C$5," ",IF(ROW()-ROW($A$18)&gt;='Options and results'!$AR$56,AVERAGE(OFFSET(AI59,0,0,COUNTA($BS:$BS)-'Options and results'!$AR$56,1)),NA()))</f>
        <v xml:space="preserve"> </v>
      </c>
      <c r="AK59" s="1395" t="str">
        <f>IF($A59&gt;$C$5," ",VLOOKUP($A59,Plot!$A$7:$F$67,6,FALSE))</f>
        <v xml:space="preserve"> </v>
      </c>
      <c r="AL59" s="1390" t="str">
        <f>IF($A59&gt;$C$5," ",VLOOKUP($A59,Plot!$CK$7:$CN$67,4,FALSE))</f>
        <v xml:space="preserve"> </v>
      </c>
      <c r="AM59" s="1390" t="str">
        <f>IF($A59&gt;$C$5," ",AL59*VLOOKUP($A59,Plot!$CK$7:$CO$67,5,FALSE))</f>
        <v xml:space="preserve"> </v>
      </c>
      <c r="AN59" s="1390" t="str">
        <f ca="1">IF($A59&gt;$C$5," ",IF(ROW()-ROW($A$18)&gt;='Options and results'!$AR$56,AVERAGE(OFFSET(AM59,0,0,COUNTA($BS:$BS)-'Options and results'!$AR$56,1)),NA()))</f>
        <v xml:space="preserve"> </v>
      </c>
      <c r="AO59" s="1390" t="str">
        <f>IF($A59&gt;$C$5," ",VLOOKUP($A59,Plot!$CK$7:$CP$67,6,FALSE))</f>
        <v xml:space="preserve"> </v>
      </c>
      <c r="AP59" s="1409">
        <f>IF($A59&gt;$C$5,0,VLOOKUP($A59,Plot!$V$7:$AH$67,7,FALSE))</f>
        <v>0</v>
      </c>
      <c r="AQ59" s="1390" t="str">
        <f>IF($A59&gt;$C$5," ",VLOOKUP($A59,Plot!$V$7:$AH$67,13,FALSE))</f>
        <v xml:space="preserve"> </v>
      </c>
      <c r="AR59" s="1390" t="str">
        <f>IF($A59&gt;$C$5," ",VLOOKUP($A59,Plot!$V$7:$AI$67,14,FALSE))</f>
        <v xml:space="preserve"> </v>
      </c>
      <c r="AS59" s="1390" t="str">
        <f>IF($A59&gt;$C$5," ",VLOOKUP($A59,Plot!$V$7:$AJ$67,15,FALSE))</f>
        <v xml:space="preserve"> </v>
      </c>
      <c r="AT59" s="1390" t="str">
        <f>IF($A59&gt;$C$5," ",AQ59+SUM($AS$20:AS59)+IF(AP60=0,-AQ59,0))</f>
        <v xml:space="preserve"> </v>
      </c>
      <c r="AU59" s="1390" t="str">
        <f>IF($A59&gt;$C$5," ",VLOOKUP($A59,Plot!$V$7:$AL$67,Plot!$AL$2,FALSE))</f>
        <v xml:space="preserve"> </v>
      </c>
      <c r="AV59" s="1395" t="str">
        <f>IF($A59&gt;$C$5," ",VLOOKUP($A59,Plot!$V$7:$AM$67,Plot!$AM$2,FALSE))</f>
        <v xml:space="preserve"> </v>
      </c>
      <c r="AW59" s="1407">
        <f>IF($A59&gt;$C$5,0,VLOOKUP($A59,Plot!$DF$7:$DS$67,7,FALSE))</f>
        <v>0</v>
      </c>
      <c r="AX59" s="1390" t="str">
        <f>IF($A59&gt;$C$5," ",VLOOKUP($A59,Plot!$DF$7:$DS$67,14,FALSE))</f>
        <v xml:space="preserve"> </v>
      </c>
      <c r="AY59" s="1390" t="str">
        <f>IF($A59&gt;$C$5," ",VLOOKUP($A59,Plot!$DF$7:$DT$67,15,FALSE))</f>
        <v xml:space="preserve"> </v>
      </c>
      <c r="AZ59" s="1390" t="str">
        <f>IF($A59&gt;$C$5," ",VLOOKUP($A59,Plot!$DF$7:$DU$67,16,FALSE))</f>
        <v xml:space="preserve"> </v>
      </c>
      <c r="BA59" s="1390" t="str">
        <f>IF($A59&gt;$C$5," ",AX59+SUM($AZ$20:AZ59)+IF(AW60=0,-AX59,0))</f>
        <v xml:space="preserve"> </v>
      </c>
      <c r="BB59" s="1390" t="str">
        <f>IF($A59&gt;$C$5," ",VLOOKUP($A59,Plot!$DF$7:$DW$67,Plot!$DW$2,FALSE))</f>
        <v xml:space="preserve"> </v>
      </c>
      <c r="BC59" s="1390" t="str">
        <f>IF($A59&gt;$C$5," ",VLOOKUP($A59,Plot!$DF$7:$DX$67,Plot!$DX$2,FALSE))</f>
        <v xml:space="preserve"> </v>
      </c>
      <c r="BD59" s="1396" t="str">
        <f>IF($A59&gt;$C$5," ",VLOOKUP($A59,Plot!$A$7:$N$67,14,FALSE))</f>
        <v xml:space="preserve"> </v>
      </c>
      <c r="BE59" s="303" t="str">
        <f>IF($A59&gt;$C$5," ",VLOOKUP($A59,Plot!$V$7:$BW$67,Plot!$BW$2,FALSE))</f>
        <v xml:space="preserve"> </v>
      </c>
      <c r="BF59" s="303" t="str">
        <f>IF($A59&gt;$C$5," ",VLOOKUP($A59,Plot!$CK$7:$CX$67,14,FALSE))</f>
        <v xml:space="preserve"> </v>
      </c>
      <c r="BG59" s="303" t="str">
        <f>IF($A59&gt;$C$5," ",VLOOKUP($A59,Plot!$DF$7:$FH$67,Plot!$FH$2,FALSE))</f>
        <v xml:space="preserve"> </v>
      </c>
      <c r="BH59" s="1397" t="str">
        <f t="shared" si="24"/>
        <v xml:space="preserve"> </v>
      </c>
      <c r="BI59" s="303" t="str">
        <f>IF($A59&gt;$C$5," ",VLOOKUP($A59,Plot!$DF$7:$EJ$67,29,FALSE))</f>
        <v xml:space="preserve"> </v>
      </c>
      <c r="BJ59" s="303" t="str">
        <f>IF($A59&gt;$C$5," ",VLOOKUP($A59,Plot!$DF$7:$FT$67,30,FALSE))</f>
        <v xml:space="preserve"> </v>
      </c>
      <c r="BK59" s="303" t="str">
        <f>IF($A59&gt;$C$5," ",VLOOKUP($A59,Plot!$DF$7:$FT$67,Plot!$EL$2,FALSE))</f>
        <v xml:space="preserve"> </v>
      </c>
      <c r="BL59" s="303" t="str">
        <f>IF($A59&gt;$C$5," ",VLOOKUP($A59,Plot!$DF$7:$FT$67,Plot!$EM$2,FALSE))</f>
        <v xml:space="preserve"> </v>
      </c>
      <c r="BM59" s="303" t="str">
        <f>IF($A59&gt;$C$5," ",VLOOKUP($A59,Plot!$DF$7:$FT$67,Plot!$EN$2,FALSE))</f>
        <v xml:space="preserve"> </v>
      </c>
      <c r="BN59" s="303" t="str">
        <f>IF($A59&gt;$C$5," ",VLOOKUP($A59,Plot!$DF$7:$FT$67,Plot!$EO$2,FALSE))</f>
        <v xml:space="preserve"> </v>
      </c>
      <c r="BO59" s="303" t="str">
        <f t="shared" si="19"/>
        <v xml:space="preserve"> </v>
      </c>
      <c r="BP59" s="303" t="str">
        <f>IF($A59&gt;$C$5," ",VLOOKUP($A59,Plot!$DF$7:$FT$67,Plot!$EQ$2,FALSE))</f>
        <v xml:space="preserve"> </v>
      </c>
      <c r="BQ59" s="303" t="str">
        <f>IF($A59&gt;$C$5," ",(VLOOKUP($A59,Plot!$DF$7:$FT$67,Plot!$ES$2,FALSE)+VLOOKUP($A59,Plot!$DF$7:$FT$67,Plot!$ET$2,FALSE)))</f>
        <v xml:space="preserve"> </v>
      </c>
      <c r="BR59" s="303" t="str">
        <f>IF($A59&gt;$C$5," ",(VLOOKUP($A59,Plot!$DF$7:$FT$67,Plot!$EV$2,FALSE)+VLOOKUP($A59,Plot!$DF$7:$FT$67,Plot!$EW$2,FALSE)))</f>
        <v xml:space="preserve"> </v>
      </c>
      <c r="BS59" s="303" t="str">
        <f>IF($A59&gt;$C$5," ",VLOOKUP($A59,Plot!$DF$7:$FT$67,Plot!$EY$2,FALSE))</f>
        <v xml:space="preserve"> </v>
      </c>
      <c r="BT59" s="303" t="str">
        <f>IF($A59&gt;$C$5," ",(VLOOKUP($A59,Plot!$DF$7:$FT$67,Plot!$FB$2,FALSE)+VLOOKUP($A59,Plot!$DF$7:$FT$67,Plot!$FC$2,FALSE)))</f>
        <v xml:space="preserve"> </v>
      </c>
      <c r="BU59" s="303" t="str">
        <f>IF($A59&gt;$C$5," ",(VLOOKUP($A59,Plot!$DF$7:$FT$67,Plot!$FE$2,FALSE)+VLOOKUP($A59,Plot!$DF$7:$FT$67,Plot!$FF$2,FALSE)))</f>
        <v xml:space="preserve"> </v>
      </c>
      <c r="BV59" s="1026" t="str">
        <f>IF($A59&gt;$C$5," ",VLOOKUP($A59,Plot!$FV$7:$GJ$67,2,FALSE))</f>
        <v xml:space="preserve"> </v>
      </c>
      <c r="BW59" s="1027" t="str">
        <f>IF($A59&gt;$C$5," ",VLOOKUP($A59,Plot!$FV$7:$GJ$67,3,FALSE))</f>
        <v xml:space="preserve"> </v>
      </c>
      <c r="BX59" s="1379" t="str">
        <f>IF($A59&gt;$C$5," ",VLOOKUP($A59,Plot!$FV$7:$GJ$67,6,FALSE))</f>
        <v xml:space="preserve"> </v>
      </c>
      <c r="BY59" s="1026" t="str">
        <f>IF($A59&gt;$C$5," ",VLOOKUP($A59,Plot!$GO$7:$GY$67,2,FALSE))</f>
        <v xml:space="preserve"> </v>
      </c>
      <c r="BZ59" s="1027" t="str">
        <f>IF($A59&gt;$C$5," ",VLOOKUP($A59,Plot!$GO$7:$GY$67,3,FALSE))</f>
        <v xml:space="preserve"> </v>
      </c>
      <c r="CA59" s="1379" t="str">
        <f>IF($A59&gt;$C$5," ",VLOOKUP($A59,Plot!$GO$7:$GY$67,6,FALSE))</f>
        <v xml:space="preserve"> </v>
      </c>
      <c r="CB59" s="1027" t="str">
        <f>IF($A59&gt;$C$5," ",-1*VLOOKUP($A59,Plot!$HA$7:$HK$67,2,FALSE))</f>
        <v xml:space="preserve"> </v>
      </c>
      <c r="CC59" s="1027" t="str">
        <f>IF($A59&gt;$C$5," ",-1*VLOOKUP($A59,Plot!$HA$7:$HK$67,3,FALSE))</f>
        <v xml:space="preserve"> </v>
      </c>
      <c r="CD59" s="1189" t="str">
        <f>IF($A59&gt;$C$5," ",-1*VLOOKUP($A59,Plot!$HA$7:$HK$67,6,FALSE))</f>
        <v xml:space="preserve"> </v>
      </c>
      <c r="CE59" s="10"/>
      <c r="CF59" s="38">
        <v>40</v>
      </c>
      <c r="CG59" s="1381" t="str">
        <f>IF($CF59&gt;$C$5," ",VLOOKUP($CF59,Unit!$A$7:$BE$68,22,FALSE))</f>
        <v xml:space="preserve"> </v>
      </c>
      <c r="CH59" s="1027" t="str">
        <f>IF($CF59&gt;$C$5," ",VLOOKUP($CF59,Unit!$A$7:$BE$68,23,FALSE))</f>
        <v xml:space="preserve"> </v>
      </c>
      <c r="CI59" s="1027" t="str">
        <f>IF($CF59&gt;$C$5," ",VLOOKUP($CF59,Unit!$A$7:$BE$68,24,FALSE))</f>
        <v xml:space="preserve"> </v>
      </c>
      <c r="CJ59" s="1189" t="str">
        <f>IF($CF59&gt;$C$5," ",VLOOKUP($CF59,Unit!$A$7:$BE$68,25,FALSE))</f>
        <v xml:space="preserve"> </v>
      </c>
      <c r="CK59" s="1381" t="str">
        <f>IF($CF59&gt;$C$5," ",VLOOKUP($CF59,Unit!$A$7:$BE$68,27,FALSE))</f>
        <v xml:space="preserve"> </v>
      </c>
      <c r="CL59" s="1027" t="str">
        <f>IF($CF59&gt;$C$5," ",VLOOKUP($CF59,Unit!$A$7:$BE$68,28,FALSE))</f>
        <v xml:space="preserve"> </v>
      </c>
      <c r="CM59" s="1027" t="str">
        <f>IF($CF59&gt;$C$5," ",VLOOKUP($CF59,Unit!$A$7:$BE$68,29,FALSE))</f>
        <v xml:space="preserve"> </v>
      </c>
      <c r="CN59" s="1027" t="str">
        <f>IF($CF59&gt;$C$5," ",VLOOKUP($CF59,Unit!$A$7:$BE$68,30,FALSE))</f>
        <v xml:space="preserve"> </v>
      </c>
      <c r="CO59" s="1027" t="str">
        <f>IF($CF59&gt;$C$5," ",VLOOKUP($CF59,Unit!$A$7:$BE$68,31,FALSE))</f>
        <v xml:space="preserve"> </v>
      </c>
      <c r="CP59" s="1027" t="str">
        <f>IF($CF59&gt;$C$5," ",VLOOKUP($CF59,Unit!$A$7:$BE$68,32,FALSE))</f>
        <v xml:space="preserve"> </v>
      </c>
      <c r="CQ59" s="1381" t="str">
        <f>IF($CF59&gt;$C$5," ",VLOOKUP($CF59,Unit!$A$7:$BE$68,33,FALSE))</f>
        <v xml:space="preserve"> </v>
      </c>
      <c r="CR59" s="1027" t="str">
        <f>IF($CF59&gt;$C$5," ",VLOOKUP($CF59,Unit!$A$7:$BE$68,34,FALSE))</f>
        <v xml:space="preserve"> </v>
      </c>
      <c r="CS59" s="1027" t="str">
        <f>IF($CF59&gt;$C$5," ",VLOOKUP($CF59,Unit!$A$7:$BE$68,35,FALSE))</f>
        <v xml:space="preserve"> </v>
      </c>
      <c r="CT59" s="1027" t="str">
        <f>IF($CF59&gt;$C$5," ",VLOOKUP($CF59,Unit!$A$7:$BE$68,36,FALSE))</f>
        <v xml:space="preserve"> </v>
      </c>
      <c r="CU59" s="1189" t="str">
        <f t="shared" si="20"/>
        <v xml:space="preserve"> </v>
      </c>
      <c r="CV59" s="1027" t="str">
        <f>IF($CF59&gt;$C$5," ",VLOOKUP($CF59,Unit!$A$7:$BA$68,43,FALSE))</f>
        <v xml:space="preserve"> </v>
      </c>
      <c r="CW59" s="1027" t="str">
        <f>IF($CF59&gt;$C$5," ",VLOOKUP($CF59,Unit!$A$7:$BB$68,44,FALSE))</f>
        <v xml:space="preserve"> </v>
      </c>
      <c r="CX59" s="1189" t="str">
        <f>IF($CF59&gt;$C$5," ",VLOOKUP($CF59,Unit!$A$7:$BE$68,47,FALSE))</f>
        <v xml:space="preserve"> </v>
      </c>
      <c r="CY59" s="1381" t="str">
        <f>IF($CF59&gt;$C$5," ",VLOOKUP($CF59,Unit!$A$7:$BA$68,53,FALSE))</f>
        <v xml:space="preserve"> </v>
      </c>
      <c r="CZ59" s="1027" t="str">
        <f>IF($CF59&gt;$C$5," ",VLOOKUP($CF59,Unit!$A$7:$BB$68,54,FALSE))</f>
        <v xml:space="preserve"> </v>
      </c>
      <c r="DA59" s="1189" t="str">
        <f>IF($CF59&gt;$C$5," ",VLOOKUP($CF59,Unit!$A$7:$BE$68,57,FALSE))</f>
        <v xml:space="preserve"> </v>
      </c>
    </row>
    <row r="60" spans="1:105" x14ac:dyDescent="0.25">
      <c r="A60" s="38">
        <v>41</v>
      </c>
      <c r="B60" s="1381" t="str">
        <f>IF($A60&gt;$C$5," ",VLOOKUP($A60,Plot!$A$7:$T$67,Plot!P$2,FALSE))</f>
        <v xml:space="preserve"> </v>
      </c>
      <c r="C60" s="1027" t="str">
        <f>IF($A60&gt;$C$5," ",VLOOKUP($A60,Plot!$V$7:$CI$67,Plot!$CA$2,FALSE))</f>
        <v xml:space="preserve"> </v>
      </c>
      <c r="D60" s="1027" t="str">
        <f>IF($A60&gt;$C$5," ",VLOOKUP($A60,Plot!$CK$7:$DD$67,Plot!$CZ$2,FALSE))</f>
        <v xml:space="preserve"> </v>
      </c>
      <c r="E60" s="1027" t="str">
        <f>IF($A60&gt;$C$5," ",VLOOKUP($A60,Plot!$DF$7:$FT$67,Plot!$FL$2,FALSE))</f>
        <v xml:space="preserve"> </v>
      </c>
      <c r="F60" s="1379" t="str">
        <f t="shared" si="25"/>
        <v xml:space="preserve"> </v>
      </c>
      <c r="G60" s="1026" t="str">
        <f>IF($A60&gt;$C$5," ",VLOOKUP($A60,Plot!$V$7:$CG$67,Plot!$CG$2,FALSE))</f>
        <v xml:space="preserve"> </v>
      </c>
      <c r="H60" s="1027" t="str">
        <f>IF($A60&gt;$C$5," ",VLOOKUP($A60,Plot!$DF$7:$FT$67,Plot!$FR$2,FALSE))</f>
        <v xml:space="preserve"> </v>
      </c>
      <c r="I60" s="1379" t="str">
        <f t="shared" si="17"/>
        <v xml:space="preserve"> </v>
      </c>
      <c r="J60" s="1026" t="str">
        <f>IF($A60&gt;$C$5," ",SUM(B$20:$B60))</f>
        <v xml:space="preserve"> </v>
      </c>
      <c r="K60" s="1027" t="str">
        <f>IF($A60&gt;$C$5," ",SUM($C$20:C60))</f>
        <v xml:space="preserve"> </v>
      </c>
      <c r="L60" s="1027" t="str">
        <f>IF($A60&gt;$C$5," ",SUM($D$20:D60))</f>
        <v xml:space="preserve"> </v>
      </c>
      <c r="M60" s="1027" t="str">
        <f>IF($A60&gt;$C$5," ",SUM($E$20:E60))</f>
        <v xml:space="preserve"> </v>
      </c>
      <c r="N60" s="1379" t="str">
        <f>IF($A60&gt;$C$5," ",SUM($F$20:F60))</f>
        <v xml:space="preserve"> </v>
      </c>
      <c r="O60" s="1027" t="str">
        <f>IF($A60&gt;$C$5," ",SUM($G$20:G60))</f>
        <v xml:space="preserve"> </v>
      </c>
      <c r="P60" s="1027" t="str">
        <f>IF($A60&gt;$C$5," ",SUM($H$20:H60))</f>
        <v xml:space="preserve"> </v>
      </c>
      <c r="Q60" s="1027" t="str">
        <f>IF($A60&gt;$C$5," ",SUM($I$20:I60))</f>
        <v xml:space="preserve"> </v>
      </c>
      <c r="R60" s="1026"/>
      <c r="S60" s="1027"/>
      <c r="T60" s="1027"/>
      <c r="U60" s="1027"/>
      <c r="V60" s="1379"/>
      <c r="W60" s="1027" t="str">
        <f>IF($A60&gt;$C$5," ",VLOOKUP($A60,Plot!$HM$7:$IA$67,Plot!$HR$2,FALSE))</f>
        <v xml:space="preserve"> </v>
      </c>
      <c r="X60" s="1027" t="str">
        <f>IF($A60&gt;$C$5," ",VLOOKUP($A60,Plot!$HM$7:$IA$67,Plot!$HS$2,FALSE))</f>
        <v xml:space="preserve"> </v>
      </c>
      <c r="Y60" s="1379" t="str">
        <f t="shared" si="18"/>
        <v xml:space="preserve"> </v>
      </c>
      <c r="Z60" s="1026" t="str">
        <f>IF($A60&gt;$C$5," ",SUM($B$20:B60))</f>
        <v xml:space="preserve"> </v>
      </c>
      <c r="AA60" s="1027" t="str">
        <f>IF($A60&gt;$C$5," ",SUM($C$20:C60))</f>
        <v xml:space="preserve"> </v>
      </c>
      <c r="AB60" s="1027" t="str">
        <f>IF($A60&gt;$C$5," ",SUM($D$20:D60))</f>
        <v xml:space="preserve"> </v>
      </c>
      <c r="AC60" s="1027" t="str">
        <f>IF($A60&gt;$C$5," ",SUM($E$20:E60))</f>
        <v xml:space="preserve"> </v>
      </c>
      <c r="AD60" s="1379" t="str">
        <f t="shared" si="22"/>
        <v xml:space="preserve"> </v>
      </c>
      <c r="AE60" s="1027" t="str">
        <f>IF($A60&gt;$C$5," ",SUM($W$20:W60))</f>
        <v xml:space="preserve"> </v>
      </c>
      <c r="AF60" s="1027" t="str">
        <f>IF($A60&gt;$C$5," ",SUM($X$20:X60))</f>
        <v xml:space="preserve"> </v>
      </c>
      <c r="AG60" s="1027" t="str">
        <f t="shared" si="23"/>
        <v xml:space="preserve"> </v>
      </c>
      <c r="AH60" s="1394" t="str">
        <f>IF($A60&gt;$C$5," ",VLOOKUP($A60,Plot!$A$7:$D$67,4,FALSE))</f>
        <v xml:space="preserve"> </v>
      </c>
      <c r="AI60" s="1390" t="str">
        <f>IF($A60&gt;$C$5," ",VLOOKUP($A60,Plot!$A$7:$E$67,5,FALSE))</f>
        <v xml:space="preserve"> </v>
      </c>
      <c r="AJ60" s="1390" t="str">
        <f ca="1">IF($A60&gt;$C$5," ",IF(ROW()-ROW($A$18)&gt;='Options and results'!$AR$56,AVERAGE(OFFSET(AI60,0,0,COUNTA($BS:$BS)-'Options and results'!$AR$56,1)),NA()))</f>
        <v xml:space="preserve"> </v>
      </c>
      <c r="AK60" s="1395" t="str">
        <f>IF($A60&gt;$C$5," ",VLOOKUP($A60,Plot!$A$7:$F$67,6,FALSE))</f>
        <v xml:space="preserve"> </v>
      </c>
      <c r="AL60" s="1390" t="str">
        <f>IF($A60&gt;$C$5," ",VLOOKUP($A60,Plot!$CK$7:$CN$67,4,FALSE))</f>
        <v xml:space="preserve"> </v>
      </c>
      <c r="AM60" s="1390" t="str">
        <f>IF($A60&gt;$C$5," ",AL60*VLOOKUP($A60,Plot!$CK$7:$CO$67,5,FALSE))</f>
        <v xml:space="preserve"> </v>
      </c>
      <c r="AN60" s="1390" t="str">
        <f ca="1">IF($A60&gt;$C$5," ",IF(ROW()-ROW($A$18)&gt;='Options and results'!$AR$56,AVERAGE(OFFSET(AM60,0,0,COUNTA($BS:$BS)-'Options and results'!$AR$56,1)),NA()))</f>
        <v xml:space="preserve"> </v>
      </c>
      <c r="AO60" s="1390" t="str">
        <f>IF($A60&gt;$C$5," ",VLOOKUP($A60,Plot!$CK$7:$CP$67,6,FALSE))</f>
        <v xml:space="preserve"> </v>
      </c>
      <c r="AP60" s="1409">
        <f>IF($A60&gt;$C$5,0,VLOOKUP($A60,Plot!$V$7:$AH$67,7,FALSE))</f>
        <v>0</v>
      </c>
      <c r="AQ60" s="1390" t="str">
        <f>IF($A60&gt;$C$5," ",VLOOKUP($A60,Plot!$V$7:$AH$67,13,FALSE))</f>
        <v xml:space="preserve"> </v>
      </c>
      <c r="AR60" s="1390" t="str">
        <f>IF($A60&gt;$C$5," ",VLOOKUP($A60,Plot!$V$7:$AI$67,14,FALSE))</f>
        <v xml:space="preserve"> </v>
      </c>
      <c r="AS60" s="1390" t="str">
        <f>IF($A60&gt;$C$5," ",VLOOKUP($A60,Plot!$V$7:$AJ$67,15,FALSE))</f>
        <v xml:space="preserve"> </v>
      </c>
      <c r="AT60" s="1390" t="str">
        <f>IF($A60&gt;$C$5," ",AQ60+SUM($AS$20:AS60)+IF(AP61=0,-AQ60,0))</f>
        <v xml:space="preserve"> </v>
      </c>
      <c r="AU60" s="1390" t="str">
        <f>IF($A60&gt;$C$5," ",VLOOKUP($A60,Plot!$V$7:$AL$67,Plot!$AL$2,FALSE))</f>
        <v xml:space="preserve"> </v>
      </c>
      <c r="AV60" s="1395" t="str">
        <f>IF($A60&gt;$C$5," ",VLOOKUP($A60,Plot!$V$7:$AM$67,Plot!$AM$2,FALSE))</f>
        <v xml:space="preserve"> </v>
      </c>
      <c r="AW60" s="1407">
        <f>IF($A60&gt;$C$5,0,VLOOKUP($A60,Plot!$DF$7:$DS$67,7,FALSE))</f>
        <v>0</v>
      </c>
      <c r="AX60" s="1390" t="str">
        <f>IF($A60&gt;$C$5," ",VLOOKUP($A60,Plot!$DF$7:$DS$67,14,FALSE))</f>
        <v xml:space="preserve"> </v>
      </c>
      <c r="AY60" s="1390" t="str">
        <f>IF($A60&gt;$C$5," ",VLOOKUP($A60,Plot!$DF$7:$DT$67,15,FALSE))</f>
        <v xml:space="preserve"> </v>
      </c>
      <c r="AZ60" s="1390" t="str">
        <f>IF($A60&gt;$C$5," ",VLOOKUP($A60,Plot!$DF$7:$DU$67,16,FALSE))</f>
        <v xml:space="preserve"> </v>
      </c>
      <c r="BA60" s="1390" t="str">
        <f>IF($A60&gt;$C$5," ",AX60+SUM($AZ$20:AZ60)+IF(AW61=0,-AX60,0))</f>
        <v xml:space="preserve"> </v>
      </c>
      <c r="BB60" s="1390" t="str">
        <f>IF($A60&gt;$C$5," ",VLOOKUP($A60,Plot!$DF$7:$DW$67,Plot!$DW$2,FALSE))</f>
        <v xml:space="preserve"> </v>
      </c>
      <c r="BC60" s="1390" t="str">
        <f>IF($A60&gt;$C$5," ",VLOOKUP($A60,Plot!$DF$7:$DX$67,Plot!$DX$2,FALSE))</f>
        <v xml:space="preserve"> </v>
      </c>
      <c r="BD60" s="1396" t="str">
        <f>IF($A60&gt;$C$5," ",VLOOKUP($A60,Plot!$A$7:$N$67,14,FALSE))</f>
        <v xml:space="preserve"> </v>
      </c>
      <c r="BE60" s="303" t="str">
        <f>IF($A60&gt;$C$5," ",VLOOKUP($A60,Plot!$V$7:$BW$67,Plot!$BW$2,FALSE))</f>
        <v xml:space="preserve"> </v>
      </c>
      <c r="BF60" s="303" t="str">
        <f>IF($A60&gt;$C$5," ",VLOOKUP($A60,Plot!$CK$7:$CX$67,14,FALSE))</f>
        <v xml:space="preserve"> </v>
      </c>
      <c r="BG60" s="303" t="str">
        <f>IF($A60&gt;$C$5," ",VLOOKUP($A60,Plot!$DF$7:$FH$67,Plot!$FH$2,FALSE))</f>
        <v xml:space="preserve"> </v>
      </c>
      <c r="BH60" s="1397" t="str">
        <f t="shared" si="24"/>
        <v xml:space="preserve"> </v>
      </c>
      <c r="BI60" s="303" t="str">
        <f>IF($A60&gt;$C$5," ",VLOOKUP($A60,Plot!$DF$7:$EJ$67,29,FALSE))</f>
        <v xml:space="preserve"> </v>
      </c>
      <c r="BJ60" s="303" t="str">
        <f>IF($A60&gt;$C$5," ",VLOOKUP($A60,Plot!$DF$7:$FT$67,30,FALSE))</f>
        <v xml:space="preserve"> </v>
      </c>
      <c r="BK60" s="303" t="str">
        <f>IF($A60&gt;$C$5," ",VLOOKUP($A60,Plot!$DF$7:$FT$67,Plot!$EL$2,FALSE))</f>
        <v xml:space="preserve"> </v>
      </c>
      <c r="BL60" s="303" t="str">
        <f>IF($A60&gt;$C$5," ",VLOOKUP($A60,Plot!$DF$7:$FT$67,Plot!$EM$2,FALSE))</f>
        <v xml:space="preserve"> </v>
      </c>
      <c r="BM60" s="303" t="str">
        <f>IF($A60&gt;$C$5," ",VLOOKUP($A60,Plot!$DF$7:$FT$67,Plot!$EN$2,FALSE))</f>
        <v xml:space="preserve"> </v>
      </c>
      <c r="BN60" s="303" t="str">
        <f>IF($A60&gt;$C$5," ",VLOOKUP($A60,Plot!$DF$7:$FT$67,Plot!$EO$2,FALSE))</f>
        <v xml:space="preserve"> </v>
      </c>
      <c r="BO60" s="303" t="str">
        <f t="shared" si="19"/>
        <v xml:space="preserve"> </v>
      </c>
      <c r="BP60" s="303" t="str">
        <f>IF($A60&gt;$C$5," ",VLOOKUP($A60,Plot!$DF$7:$FT$67,Plot!$EQ$2,FALSE))</f>
        <v xml:space="preserve"> </v>
      </c>
      <c r="BQ60" s="303" t="str">
        <f>IF($A60&gt;$C$5," ",(VLOOKUP($A60,Plot!$DF$7:$FT$67,Plot!$ES$2,FALSE)+VLOOKUP($A60,Plot!$DF$7:$FT$67,Plot!$ET$2,FALSE)))</f>
        <v xml:space="preserve"> </v>
      </c>
      <c r="BR60" s="303" t="str">
        <f>IF($A60&gt;$C$5," ",(VLOOKUP($A60,Plot!$DF$7:$FT$67,Plot!$EV$2,FALSE)+VLOOKUP($A60,Plot!$DF$7:$FT$67,Plot!$EW$2,FALSE)))</f>
        <v xml:space="preserve"> </v>
      </c>
      <c r="BS60" s="303" t="str">
        <f>IF($A60&gt;$C$5," ",VLOOKUP($A60,Plot!$DF$7:$FT$67,Plot!$EY$2,FALSE))</f>
        <v xml:space="preserve"> </v>
      </c>
      <c r="BT60" s="303" t="str">
        <f>IF($A60&gt;$C$5," ",(VLOOKUP($A60,Plot!$DF$7:$FT$67,Plot!$FB$2,FALSE)+VLOOKUP($A60,Plot!$DF$7:$FT$67,Plot!$FC$2,FALSE)))</f>
        <v xml:space="preserve"> </v>
      </c>
      <c r="BU60" s="303" t="str">
        <f>IF($A60&gt;$C$5," ",(VLOOKUP($A60,Plot!$DF$7:$FT$67,Plot!$FE$2,FALSE)+VLOOKUP($A60,Plot!$DF$7:$FT$67,Plot!$FF$2,FALSE)))</f>
        <v xml:space="preserve"> </v>
      </c>
      <c r="BV60" s="1026" t="str">
        <f>IF($A60&gt;$C$5," ",VLOOKUP($A60,Plot!$FV$7:$GJ$67,2,FALSE))</f>
        <v xml:space="preserve"> </v>
      </c>
      <c r="BW60" s="1027" t="str">
        <f>IF($A60&gt;$C$5," ",VLOOKUP($A60,Plot!$FV$7:$GJ$67,3,FALSE))</f>
        <v xml:space="preserve"> </v>
      </c>
      <c r="BX60" s="1379" t="str">
        <f>IF($A60&gt;$C$5," ",VLOOKUP($A60,Plot!$FV$7:$GJ$67,6,FALSE))</f>
        <v xml:space="preserve"> </v>
      </c>
      <c r="BY60" s="1026" t="str">
        <f>IF($A60&gt;$C$5," ",VLOOKUP($A60,Plot!$GO$7:$GY$67,2,FALSE))</f>
        <v xml:space="preserve"> </v>
      </c>
      <c r="BZ60" s="1027" t="str">
        <f>IF($A60&gt;$C$5," ",VLOOKUP($A60,Plot!$GO$7:$GY$67,3,FALSE))</f>
        <v xml:space="preserve"> </v>
      </c>
      <c r="CA60" s="1379" t="str">
        <f>IF($A60&gt;$C$5," ",VLOOKUP($A60,Plot!$GO$7:$GY$67,6,FALSE))</f>
        <v xml:space="preserve"> </v>
      </c>
      <c r="CB60" s="1027" t="str">
        <f>IF($A60&gt;$C$5," ",-1*VLOOKUP($A60,Plot!$HA$7:$HK$67,2,FALSE))</f>
        <v xml:space="preserve"> </v>
      </c>
      <c r="CC60" s="1027" t="str">
        <f>IF($A60&gt;$C$5," ",-1*VLOOKUP($A60,Plot!$HA$7:$HK$67,3,FALSE))</f>
        <v xml:space="preserve"> </v>
      </c>
      <c r="CD60" s="1189" t="str">
        <f>IF($A60&gt;$C$5," ",-1*VLOOKUP($A60,Plot!$HA$7:$HK$67,6,FALSE))</f>
        <v xml:space="preserve"> </v>
      </c>
      <c r="CE60" s="10"/>
      <c r="CF60" s="38">
        <v>41</v>
      </c>
      <c r="CG60" s="1381" t="str">
        <f>IF($CF60&gt;$C$5," ",VLOOKUP($CF60,Unit!$A$7:$BE$68,22,FALSE))</f>
        <v xml:space="preserve"> </v>
      </c>
      <c r="CH60" s="1027" t="str">
        <f>IF($CF60&gt;$C$5," ",VLOOKUP($CF60,Unit!$A$7:$BE$68,23,FALSE))</f>
        <v xml:space="preserve"> </v>
      </c>
      <c r="CI60" s="1027" t="str">
        <f>IF($CF60&gt;$C$5," ",VLOOKUP($CF60,Unit!$A$7:$BE$68,24,FALSE))</f>
        <v xml:space="preserve"> </v>
      </c>
      <c r="CJ60" s="1189" t="str">
        <f>IF($CF60&gt;$C$5," ",VLOOKUP($CF60,Unit!$A$7:$BE$68,25,FALSE))</f>
        <v xml:space="preserve"> </v>
      </c>
      <c r="CK60" s="1381" t="str">
        <f>IF($CF60&gt;$C$5," ",VLOOKUP($CF60,Unit!$A$7:$BE$68,27,FALSE))</f>
        <v xml:space="preserve"> </v>
      </c>
      <c r="CL60" s="1027" t="str">
        <f>IF($CF60&gt;$C$5," ",VLOOKUP($CF60,Unit!$A$7:$BE$68,28,FALSE))</f>
        <v xml:space="preserve"> </v>
      </c>
      <c r="CM60" s="1027" t="str">
        <f>IF($CF60&gt;$C$5," ",VLOOKUP($CF60,Unit!$A$7:$BE$68,29,FALSE))</f>
        <v xml:space="preserve"> </v>
      </c>
      <c r="CN60" s="1027" t="str">
        <f>IF($CF60&gt;$C$5," ",VLOOKUP($CF60,Unit!$A$7:$BE$68,30,FALSE))</f>
        <v xml:space="preserve"> </v>
      </c>
      <c r="CO60" s="1027" t="str">
        <f>IF($CF60&gt;$C$5," ",VLOOKUP($CF60,Unit!$A$7:$BE$68,31,FALSE))</f>
        <v xml:space="preserve"> </v>
      </c>
      <c r="CP60" s="1027" t="str">
        <f>IF($CF60&gt;$C$5," ",VLOOKUP($CF60,Unit!$A$7:$BE$68,32,FALSE))</f>
        <v xml:space="preserve"> </v>
      </c>
      <c r="CQ60" s="1381" t="str">
        <f>IF($CF60&gt;$C$5," ",VLOOKUP($CF60,Unit!$A$7:$BE$68,33,FALSE))</f>
        <v xml:space="preserve"> </v>
      </c>
      <c r="CR60" s="1027" t="str">
        <f>IF($CF60&gt;$C$5," ",VLOOKUP($CF60,Unit!$A$7:$BE$68,34,FALSE))</f>
        <v xml:space="preserve"> </v>
      </c>
      <c r="CS60" s="1027" t="str">
        <f>IF($CF60&gt;$C$5," ",VLOOKUP($CF60,Unit!$A$7:$BE$68,35,FALSE))</f>
        <v xml:space="preserve"> </v>
      </c>
      <c r="CT60" s="1027" t="str">
        <f>IF($CF60&gt;$C$5," ",VLOOKUP($CF60,Unit!$A$7:$BE$68,36,FALSE))</f>
        <v xml:space="preserve"> </v>
      </c>
      <c r="CU60" s="1189" t="str">
        <f t="shared" si="20"/>
        <v xml:space="preserve"> </v>
      </c>
      <c r="CV60" s="1027" t="str">
        <f>IF($CF60&gt;$C$5," ",VLOOKUP($CF60,Unit!$A$7:$BA$68,43,FALSE))</f>
        <v xml:space="preserve"> </v>
      </c>
      <c r="CW60" s="1027" t="str">
        <f>IF($CF60&gt;$C$5," ",VLOOKUP($CF60,Unit!$A$7:$BB$68,44,FALSE))</f>
        <v xml:space="preserve"> </v>
      </c>
      <c r="CX60" s="1189" t="str">
        <f>IF($CF60&gt;$C$5," ",VLOOKUP($CF60,Unit!$A$7:$BE$68,47,FALSE))</f>
        <v xml:space="preserve"> </v>
      </c>
      <c r="CY60" s="1381" t="str">
        <f>IF($CF60&gt;$C$5," ",VLOOKUP($CF60,Unit!$A$7:$BA$68,53,FALSE))</f>
        <v xml:space="preserve"> </v>
      </c>
      <c r="CZ60" s="1027" t="str">
        <f>IF($CF60&gt;$C$5," ",VLOOKUP($CF60,Unit!$A$7:$BB$68,54,FALSE))</f>
        <v xml:space="preserve"> </v>
      </c>
      <c r="DA60" s="1189" t="str">
        <f>IF($CF60&gt;$C$5," ",VLOOKUP($CF60,Unit!$A$7:$BE$68,57,FALSE))</f>
        <v xml:space="preserve"> </v>
      </c>
    </row>
    <row r="61" spans="1:105" x14ac:dyDescent="0.25">
      <c r="A61" s="38">
        <v>42</v>
      </c>
      <c r="B61" s="1381" t="str">
        <f>IF($A61&gt;$C$5," ",VLOOKUP($A61,Plot!$A$7:$T$67,Plot!P$2,FALSE))</f>
        <v xml:space="preserve"> </v>
      </c>
      <c r="C61" s="1027" t="str">
        <f>IF($A61&gt;$C$5," ",VLOOKUP($A61,Plot!$V$7:$CI$67,Plot!$CA$2,FALSE))</f>
        <v xml:space="preserve"> </v>
      </c>
      <c r="D61" s="1027" t="str">
        <f>IF($A61&gt;$C$5," ",VLOOKUP($A61,Plot!$CK$7:$DD$67,Plot!$CZ$2,FALSE))</f>
        <v xml:space="preserve"> </v>
      </c>
      <c r="E61" s="1027" t="str">
        <f>IF($A61&gt;$C$5," ",VLOOKUP($A61,Plot!$DF$7:$FT$67,Plot!$FL$2,FALSE))</f>
        <v xml:space="preserve"> </v>
      </c>
      <c r="F61" s="1379" t="str">
        <f t="shared" si="25"/>
        <v xml:space="preserve"> </v>
      </c>
      <c r="G61" s="1026" t="str">
        <f>IF($A61&gt;$C$5," ",VLOOKUP($A61,Plot!$V$7:$CG$67,Plot!$CG$2,FALSE))</f>
        <v xml:space="preserve"> </v>
      </c>
      <c r="H61" s="1027" t="str">
        <f>IF($A61&gt;$C$5," ",VLOOKUP($A61,Plot!$DF$7:$FT$67,Plot!$FR$2,FALSE))</f>
        <v xml:space="preserve"> </v>
      </c>
      <c r="I61" s="1379" t="str">
        <f t="shared" si="17"/>
        <v xml:space="preserve"> </v>
      </c>
      <c r="J61" s="1026" t="str">
        <f>IF($A61&gt;$C$5," ",SUM(B$20:$B61))</f>
        <v xml:space="preserve"> </v>
      </c>
      <c r="K61" s="1027" t="str">
        <f>IF($A61&gt;$C$5," ",SUM($C$20:C61))</f>
        <v xml:space="preserve"> </v>
      </c>
      <c r="L61" s="1027" t="str">
        <f>IF($A61&gt;$C$5," ",SUM($D$20:D61))</f>
        <v xml:space="preserve"> </v>
      </c>
      <c r="M61" s="1027" t="str">
        <f>IF($A61&gt;$C$5," ",SUM($E$20:E61))</f>
        <v xml:space="preserve"> </v>
      </c>
      <c r="N61" s="1379" t="str">
        <f>IF($A61&gt;$C$5," ",SUM($F$20:F61))</f>
        <v xml:space="preserve"> </v>
      </c>
      <c r="O61" s="1027" t="str">
        <f>IF($A61&gt;$C$5," ",SUM($G$20:G61))</f>
        <v xml:space="preserve"> </v>
      </c>
      <c r="P61" s="1027" t="str">
        <f>IF($A61&gt;$C$5," ",SUM($H$20:H61))</f>
        <v xml:space="preserve"> </v>
      </c>
      <c r="Q61" s="1027" t="str">
        <f>IF($A61&gt;$C$5," ",SUM($I$20:I61))</f>
        <v xml:space="preserve"> </v>
      </c>
      <c r="R61" s="1026"/>
      <c r="S61" s="1027"/>
      <c r="T61" s="1027"/>
      <c r="U61" s="1027"/>
      <c r="V61" s="1379"/>
      <c r="W61" s="1027" t="str">
        <f>IF($A61&gt;$C$5," ",VLOOKUP($A61,Plot!$HM$7:$IA$67,Plot!$HR$2,FALSE))</f>
        <v xml:space="preserve"> </v>
      </c>
      <c r="X61" s="1027" t="str">
        <f>IF($A61&gt;$C$5," ",VLOOKUP($A61,Plot!$HM$7:$IA$67,Plot!$HS$2,FALSE))</f>
        <v xml:space="preserve"> </v>
      </c>
      <c r="Y61" s="1379" t="str">
        <f t="shared" si="18"/>
        <v xml:space="preserve"> </v>
      </c>
      <c r="Z61" s="1026" t="str">
        <f>IF($A61&gt;$C$5," ",SUM($B$20:B61))</f>
        <v xml:space="preserve"> </v>
      </c>
      <c r="AA61" s="1027" t="str">
        <f>IF($A61&gt;$C$5," ",SUM($C$20:C61))</f>
        <v xml:space="preserve"> </v>
      </c>
      <c r="AB61" s="1027" t="str">
        <f>IF($A61&gt;$C$5," ",SUM($D$20:D61))</f>
        <v xml:space="preserve"> </v>
      </c>
      <c r="AC61" s="1027" t="str">
        <f>IF($A61&gt;$C$5," ",SUM($E$20:E61))</f>
        <v xml:space="preserve"> </v>
      </c>
      <c r="AD61" s="1379" t="str">
        <f t="shared" si="22"/>
        <v xml:space="preserve"> </v>
      </c>
      <c r="AE61" s="1027" t="str">
        <f>IF($A61&gt;$C$5," ",SUM($W$20:W61))</f>
        <v xml:space="preserve"> </v>
      </c>
      <c r="AF61" s="1027" t="str">
        <f>IF($A61&gt;$C$5," ",SUM($X$20:X61))</f>
        <v xml:space="preserve"> </v>
      </c>
      <c r="AG61" s="1027" t="str">
        <f t="shared" si="23"/>
        <v xml:space="preserve"> </v>
      </c>
      <c r="AH61" s="1394" t="str">
        <f>IF($A61&gt;$C$5," ",VLOOKUP($A61,Plot!$A$7:$D$67,4,FALSE))</f>
        <v xml:space="preserve"> </v>
      </c>
      <c r="AI61" s="1390" t="str">
        <f>IF($A61&gt;$C$5," ",VLOOKUP($A61,Plot!$A$7:$E$67,5,FALSE))</f>
        <v xml:space="preserve"> </v>
      </c>
      <c r="AJ61" s="1390" t="str">
        <f ca="1">IF($A61&gt;$C$5," ",IF(ROW()-ROW($A$18)&gt;='Options and results'!$AR$56,AVERAGE(OFFSET(AI61,0,0,COUNTA($BS:$BS)-'Options and results'!$AR$56,1)),NA()))</f>
        <v xml:space="preserve"> </v>
      </c>
      <c r="AK61" s="1395" t="str">
        <f>IF($A61&gt;$C$5," ",VLOOKUP($A61,Plot!$A$7:$F$67,6,FALSE))</f>
        <v xml:space="preserve"> </v>
      </c>
      <c r="AL61" s="1390" t="str">
        <f>IF($A61&gt;$C$5," ",VLOOKUP($A61,Plot!$CK$7:$CN$67,4,FALSE))</f>
        <v xml:space="preserve"> </v>
      </c>
      <c r="AM61" s="1390" t="str">
        <f>IF($A61&gt;$C$5," ",AL61*VLOOKUP($A61,Plot!$CK$7:$CO$67,5,FALSE))</f>
        <v xml:space="preserve"> </v>
      </c>
      <c r="AN61" s="1390" t="str">
        <f ca="1">IF($A61&gt;$C$5," ",IF(ROW()-ROW($A$18)&gt;='Options and results'!$AR$56,AVERAGE(OFFSET(AM61,0,0,COUNTA($BS:$BS)-'Options and results'!$AR$56,1)),NA()))</f>
        <v xml:space="preserve"> </v>
      </c>
      <c r="AO61" s="1390" t="str">
        <f>IF($A61&gt;$C$5," ",VLOOKUP($A61,Plot!$CK$7:$CP$67,6,FALSE))</f>
        <v xml:space="preserve"> </v>
      </c>
      <c r="AP61" s="1409">
        <f>IF($A61&gt;$C$5,0,VLOOKUP($A61,Plot!$V$7:$AH$67,7,FALSE))</f>
        <v>0</v>
      </c>
      <c r="AQ61" s="1390" t="str">
        <f>IF($A61&gt;$C$5," ",VLOOKUP($A61,Plot!$V$7:$AH$67,13,FALSE))</f>
        <v xml:space="preserve"> </v>
      </c>
      <c r="AR61" s="1390" t="str">
        <f>IF($A61&gt;$C$5," ",VLOOKUP($A61,Plot!$V$7:$AI$67,14,FALSE))</f>
        <v xml:space="preserve"> </v>
      </c>
      <c r="AS61" s="1390" t="str">
        <f>IF($A61&gt;$C$5," ",VLOOKUP($A61,Plot!$V$7:$AJ$67,15,FALSE))</f>
        <v xml:space="preserve"> </v>
      </c>
      <c r="AT61" s="1390" t="str">
        <f>IF($A61&gt;$C$5," ",AQ61+SUM($AS$20:AS61)+IF(AP62=0,-AQ61,0))</f>
        <v xml:space="preserve"> </v>
      </c>
      <c r="AU61" s="1390" t="str">
        <f>IF($A61&gt;$C$5," ",VLOOKUP($A61,Plot!$V$7:$AL$67,Plot!$AL$2,FALSE))</f>
        <v xml:space="preserve"> </v>
      </c>
      <c r="AV61" s="1395" t="str">
        <f>IF($A61&gt;$C$5," ",VLOOKUP($A61,Plot!$V$7:$AM$67,Plot!$AM$2,FALSE))</f>
        <v xml:space="preserve"> </v>
      </c>
      <c r="AW61" s="1407">
        <f>IF($A61&gt;$C$5,0,VLOOKUP($A61,Plot!$DF$7:$DS$67,7,FALSE))</f>
        <v>0</v>
      </c>
      <c r="AX61" s="1390" t="str">
        <f>IF($A61&gt;$C$5," ",VLOOKUP($A61,Plot!$DF$7:$DS$67,14,FALSE))</f>
        <v xml:space="preserve"> </v>
      </c>
      <c r="AY61" s="1390" t="str">
        <f>IF($A61&gt;$C$5," ",VLOOKUP($A61,Plot!$DF$7:$DT$67,15,FALSE))</f>
        <v xml:space="preserve"> </v>
      </c>
      <c r="AZ61" s="1390" t="str">
        <f>IF($A61&gt;$C$5," ",VLOOKUP($A61,Plot!$DF$7:$DU$67,16,FALSE))</f>
        <v xml:space="preserve"> </v>
      </c>
      <c r="BA61" s="1390" t="str">
        <f>IF($A61&gt;$C$5," ",AX61+SUM($AZ$20:AZ61)+IF(AW62=0,-AX61,0))</f>
        <v xml:space="preserve"> </v>
      </c>
      <c r="BB61" s="1390" t="str">
        <f>IF($A61&gt;$C$5," ",VLOOKUP($A61,Plot!$DF$7:$DW$67,Plot!$DW$2,FALSE))</f>
        <v xml:space="preserve"> </v>
      </c>
      <c r="BC61" s="1390" t="str">
        <f>IF($A61&gt;$C$5," ",VLOOKUP($A61,Plot!$DF$7:$DX$67,Plot!$DX$2,FALSE))</f>
        <v xml:space="preserve"> </v>
      </c>
      <c r="BD61" s="1396" t="str">
        <f>IF($A61&gt;$C$5," ",VLOOKUP($A61,Plot!$A$7:$N$67,14,FALSE))</f>
        <v xml:space="preserve"> </v>
      </c>
      <c r="BE61" s="303" t="str">
        <f>IF($A61&gt;$C$5," ",VLOOKUP($A61,Plot!$V$7:$BW$67,Plot!$BW$2,FALSE))</f>
        <v xml:space="preserve"> </v>
      </c>
      <c r="BF61" s="303" t="str">
        <f>IF($A61&gt;$C$5," ",VLOOKUP($A61,Plot!$CK$7:$CX$67,14,FALSE))</f>
        <v xml:space="preserve"> </v>
      </c>
      <c r="BG61" s="303" t="str">
        <f>IF($A61&gt;$C$5," ",VLOOKUP($A61,Plot!$DF$7:$FH$67,Plot!$FH$2,FALSE))</f>
        <v xml:space="preserve"> </v>
      </c>
      <c r="BH61" s="1397" t="str">
        <f t="shared" si="24"/>
        <v xml:space="preserve"> </v>
      </c>
      <c r="BI61" s="303" t="str">
        <f>IF($A61&gt;$C$5," ",VLOOKUP($A61,Plot!$DF$7:$EJ$67,29,FALSE))</f>
        <v xml:space="preserve"> </v>
      </c>
      <c r="BJ61" s="303" t="str">
        <f>IF($A61&gt;$C$5," ",VLOOKUP($A61,Plot!$DF$7:$FT$67,30,FALSE))</f>
        <v xml:space="preserve"> </v>
      </c>
      <c r="BK61" s="303" t="str">
        <f>IF($A61&gt;$C$5," ",VLOOKUP($A61,Plot!$DF$7:$FT$67,Plot!$EL$2,FALSE))</f>
        <v xml:space="preserve"> </v>
      </c>
      <c r="BL61" s="303" t="str">
        <f>IF($A61&gt;$C$5," ",VLOOKUP($A61,Plot!$DF$7:$FT$67,Plot!$EM$2,FALSE))</f>
        <v xml:space="preserve"> </v>
      </c>
      <c r="BM61" s="303" t="str">
        <f>IF($A61&gt;$C$5," ",VLOOKUP($A61,Plot!$DF$7:$FT$67,Plot!$EN$2,FALSE))</f>
        <v xml:space="preserve"> </v>
      </c>
      <c r="BN61" s="303" t="str">
        <f>IF($A61&gt;$C$5," ",VLOOKUP($A61,Plot!$DF$7:$FT$67,Plot!$EO$2,FALSE))</f>
        <v xml:space="preserve"> </v>
      </c>
      <c r="BO61" s="303" t="str">
        <f t="shared" si="19"/>
        <v xml:space="preserve"> </v>
      </c>
      <c r="BP61" s="303" t="str">
        <f>IF($A61&gt;$C$5," ",VLOOKUP($A61,Plot!$DF$7:$FT$67,Plot!$EQ$2,FALSE))</f>
        <v xml:space="preserve"> </v>
      </c>
      <c r="BQ61" s="303" t="str">
        <f>IF($A61&gt;$C$5," ",(VLOOKUP($A61,Plot!$DF$7:$FT$67,Plot!$ES$2,FALSE)+VLOOKUP($A61,Plot!$DF$7:$FT$67,Plot!$ET$2,FALSE)))</f>
        <v xml:space="preserve"> </v>
      </c>
      <c r="BR61" s="303" t="str">
        <f>IF($A61&gt;$C$5," ",(VLOOKUP($A61,Plot!$DF$7:$FT$67,Plot!$EV$2,FALSE)+VLOOKUP($A61,Plot!$DF$7:$FT$67,Plot!$EW$2,FALSE)))</f>
        <v xml:space="preserve"> </v>
      </c>
      <c r="BS61" s="303" t="str">
        <f>IF($A61&gt;$C$5," ",VLOOKUP($A61,Plot!$DF$7:$FT$67,Plot!$EY$2,FALSE))</f>
        <v xml:space="preserve"> </v>
      </c>
      <c r="BT61" s="303" t="str">
        <f>IF($A61&gt;$C$5," ",(VLOOKUP($A61,Plot!$DF$7:$FT$67,Plot!$FB$2,FALSE)+VLOOKUP($A61,Plot!$DF$7:$FT$67,Plot!$FC$2,FALSE)))</f>
        <v xml:space="preserve"> </v>
      </c>
      <c r="BU61" s="303" t="str">
        <f>IF($A61&gt;$C$5," ",(VLOOKUP($A61,Plot!$DF$7:$FT$67,Plot!$FE$2,FALSE)+VLOOKUP($A61,Plot!$DF$7:$FT$67,Plot!$FF$2,FALSE)))</f>
        <v xml:space="preserve"> </v>
      </c>
      <c r="BV61" s="1026" t="str">
        <f>IF($A61&gt;$C$5," ",VLOOKUP($A61,Plot!$FV$7:$GJ$67,2,FALSE))</f>
        <v xml:space="preserve"> </v>
      </c>
      <c r="BW61" s="1027" t="str">
        <f>IF($A61&gt;$C$5," ",VLOOKUP($A61,Plot!$FV$7:$GJ$67,3,FALSE))</f>
        <v xml:space="preserve"> </v>
      </c>
      <c r="BX61" s="1379" t="str">
        <f>IF($A61&gt;$C$5," ",VLOOKUP($A61,Plot!$FV$7:$GJ$67,6,FALSE))</f>
        <v xml:space="preserve"> </v>
      </c>
      <c r="BY61" s="1026" t="str">
        <f>IF($A61&gt;$C$5," ",VLOOKUP($A61,Plot!$GO$7:$GY$67,2,FALSE))</f>
        <v xml:space="preserve"> </v>
      </c>
      <c r="BZ61" s="1027" t="str">
        <f>IF($A61&gt;$C$5," ",VLOOKUP($A61,Plot!$GO$7:$GY$67,3,FALSE))</f>
        <v xml:space="preserve"> </v>
      </c>
      <c r="CA61" s="1379" t="str">
        <f>IF($A61&gt;$C$5," ",VLOOKUP($A61,Plot!$GO$7:$GY$67,6,FALSE))</f>
        <v xml:space="preserve"> </v>
      </c>
      <c r="CB61" s="1027" t="str">
        <f>IF($A61&gt;$C$5," ",-1*VLOOKUP($A61,Plot!$HA$7:$HK$67,2,FALSE))</f>
        <v xml:space="preserve"> </v>
      </c>
      <c r="CC61" s="1027" t="str">
        <f>IF($A61&gt;$C$5," ",-1*VLOOKUP($A61,Plot!$HA$7:$HK$67,3,FALSE))</f>
        <v xml:space="preserve"> </v>
      </c>
      <c r="CD61" s="1189" t="str">
        <f>IF($A61&gt;$C$5," ",-1*VLOOKUP($A61,Plot!$HA$7:$HK$67,6,FALSE))</f>
        <v xml:space="preserve"> </v>
      </c>
      <c r="CE61" s="10"/>
      <c r="CF61" s="38">
        <v>42</v>
      </c>
      <c r="CG61" s="1381" t="str">
        <f>IF($CF61&gt;$C$5," ",VLOOKUP($CF61,Unit!$A$7:$BE$68,22,FALSE))</f>
        <v xml:space="preserve"> </v>
      </c>
      <c r="CH61" s="1027" t="str">
        <f>IF($CF61&gt;$C$5," ",VLOOKUP($CF61,Unit!$A$7:$BE$68,23,FALSE))</f>
        <v xml:space="preserve"> </v>
      </c>
      <c r="CI61" s="1027" t="str">
        <f>IF($CF61&gt;$C$5," ",VLOOKUP($CF61,Unit!$A$7:$BE$68,24,FALSE))</f>
        <v xml:space="preserve"> </v>
      </c>
      <c r="CJ61" s="1189" t="str">
        <f>IF($CF61&gt;$C$5," ",VLOOKUP($CF61,Unit!$A$7:$BE$68,25,FALSE))</f>
        <v xml:space="preserve"> </v>
      </c>
      <c r="CK61" s="1381" t="str">
        <f>IF($CF61&gt;$C$5," ",VLOOKUP($CF61,Unit!$A$7:$BE$68,27,FALSE))</f>
        <v xml:space="preserve"> </v>
      </c>
      <c r="CL61" s="1027" t="str">
        <f>IF($CF61&gt;$C$5," ",VLOOKUP($CF61,Unit!$A$7:$BE$68,28,FALSE))</f>
        <v xml:space="preserve"> </v>
      </c>
      <c r="CM61" s="1027" t="str">
        <f>IF($CF61&gt;$C$5," ",VLOOKUP($CF61,Unit!$A$7:$BE$68,29,FALSE))</f>
        <v xml:space="preserve"> </v>
      </c>
      <c r="CN61" s="1027" t="str">
        <f>IF($CF61&gt;$C$5," ",VLOOKUP($CF61,Unit!$A$7:$BE$68,30,FALSE))</f>
        <v xml:space="preserve"> </v>
      </c>
      <c r="CO61" s="1027" t="str">
        <f>IF($CF61&gt;$C$5," ",VLOOKUP($CF61,Unit!$A$7:$BE$68,31,FALSE))</f>
        <v xml:space="preserve"> </v>
      </c>
      <c r="CP61" s="1027" t="str">
        <f>IF($CF61&gt;$C$5," ",VLOOKUP($CF61,Unit!$A$7:$BE$68,32,FALSE))</f>
        <v xml:space="preserve"> </v>
      </c>
      <c r="CQ61" s="1381" t="str">
        <f>IF($CF61&gt;$C$5," ",VLOOKUP($CF61,Unit!$A$7:$BE$68,33,FALSE))</f>
        <v xml:space="preserve"> </v>
      </c>
      <c r="CR61" s="1027" t="str">
        <f>IF($CF61&gt;$C$5," ",VLOOKUP($CF61,Unit!$A$7:$BE$68,34,FALSE))</f>
        <v xml:space="preserve"> </v>
      </c>
      <c r="CS61" s="1027" t="str">
        <f>IF($CF61&gt;$C$5," ",VLOOKUP($CF61,Unit!$A$7:$BE$68,35,FALSE))</f>
        <v xml:space="preserve"> </v>
      </c>
      <c r="CT61" s="1027" t="str">
        <f>IF($CF61&gt;$C$5," ",VLOOKUP($CF61,Unit!$A$7:$BE$68,36,FALSE))</f>
        <v xml:space="preserve"> </v>
      </c>
      <c r="CU61" s="1189" t="str">
        <f t="shared" si="20"/>
        <v xml:space="preserve"> </v>
      </c>
      <c r="CV61" s="1027" t="str">
        <f>IF($CF61&gt;$C$5," ",VLOOKUP($CF61,Unit!$A$7:$BA$68,43,FALSE))</f>
        <v xml:space="preserve"> </v>
      </c>
      <c r="CW61" s="1027" t="str">
        <f>IF($CF61&gt;$C$5," ",VLOOKUP($CF61,Unit!$A$7:$BB$68,44,FALSE))</f>
        <v xml:space="preserve"> </v>
      </c>
      <c r="CX61" s="1189" t="str">
        <f>IF($CF61&gt;$C$5," ",VLOOKUP($CF61,Unit!$A$7:$BE$68,47,FALSE))</f>
        <v xml:space="preserve"> </v>
      </c>
      <c r="CY61" s="1381" t="str">
        <f>IF($CF61&gt;$C$5," ",VLOOKUP($CF61,Unit!$A$7:$BA$68,53,FALSE))</f>
        <v xml:space="preserve"> </v>
      </c>
      <c r="CZ61" s="1027" t="str">
        <f>IF($CF61&gt;$C$5," ",VLOOKUP($CF61,Unit!$A$7:$BB$68,54,FALSE))</f>
        <v xml:space="preserve"> </v>
      </c>
      <c r="DA61" s="1189" t="str">
        <f>IF($CF61&gt;$C$5," ",VLOOKUP($CF61,Unit!$A$7:$BE$68,57,FALSE))</f>
        <v xml:space="preserve"> </v>
      </c>
    </row>
    <row r="62" spans="1:105" x14ac:dyDescent="0.25">
      <c r="A62" s="38">
        <v>43</v>
      </c>
      <c r="B62" s="1381" t="str">
        <f>IF($A62&gt;$C$5," ",VLOOKUP($A62,Plot!$A$7:$T$67,Plot!P$2,FALSE))</f>
        <v xml:space="preserve"> </v>
      </c>
      <c r="C62" s="1027" t="str">
        <f>IF($A62&gt;$C$5," ",VLOOKUP($A62,Plot!$V$7:$CI$67,Plot!$CA$2,FALSE))</f>
        <v xml:space="preserve"> </v>
      </c>
      <c r="D62" s="1027" t="str">
        <f>IF($A62&gt;$C$5," ",VLOOKUP($A62,Plot!$CK$7:$DD$67,Plot!$CZ$2,FALSE))</f>
        <v xml:space="preserve"> </v>
      </c>
      <c r="E62" s="1027" t="str">
        <f>IF($A62&gt;$C$5," ",VLOOKUP($A62,Plot!$DF$7:$FT$67,Plot!$FL$2,FALSE))</f>
        <v xml:space="preserve"> </v>
      </c>
      <c r="F62" s="1379" t="str">
        <f t="shared" si="25"/>
        <v xml:space="preserve"> </v>
      </c>
      <c r="G62" s="1026" t="str">
        <f>IF($A62&gt;$C$5," ",VLOOKUP($A62,Plot!$V$7:$CG$67,Plot!$CG$2,FALSE))</f>
        <v xml:space="preserve"> </v>
      </c>
      <c r="H62" s="1027" t="str">
        <f>IF($A62&gt;$C$5," ",VLOOKUP($A62,Plot!$DF$7:$FT$67,Plot!$FR$2,FALSE))</f>
        <v xml:space="preserve"> </v>
      </c>
      <c r="I62" s="1379" t="str">
        <f t="shared" si="17"/>
        <v xml:space="preserve"> </v>
      </c>
      <c r="J62" s="1026" t="str">
        <f>IF($A62&gt;$C$5," ",SUM(B$20:$B62))</f>
        <v xml:space="preserve"> </v>
      </c>
      <c r="K62" s="1027" t="str">
        <f>IF($A62&gt;$C$5," ",SUM($C$20:C62))</f>
        <v xml:space="preserve"> </v>
      </c>
      <c r="L62" s="1027" t="str">
        <f>IF($A62&gt;$C$5," ",SUM($D$20:D62))</f>
        <v xml:space="preserve"> </v>
      </c>
      <c r="M62" s="1027" t="str">
        <f>IF($A62&gt;$C$5," ",SUM($E$20:E62))</f>
        <v xml:space="preserve"> </v>
      </c>
      <c r="N62" s="1379" t="str">
        <f>IF($A62&gt;$C$5," ",SUM($F$20:F62))</f>
        <v xml:space="preserve"> </v>
      </c>
      <c r="O62" s="1027" t="str">
        <f>IF($A62&gt;$C$5," ",SUM($G$20:G62))</f>
        <v xml:space="preserve"> </v>
      </c>
      <c r="P62" s="1027" t="str">
        <f>IF($A62&gt;$C$5," ",SUM($H$20:H62))</f>
        <v xml:space="preserve"> </v>
      </c>
      <c r="Q62" s="1027" t="str">
        <f>IF($A62&gt;$C$5," ",SUM($I$20:I62))</f>
        <v xml:space="preserve"> </v>
      </c>
      <c r="R62" s="1026"/>
      <c r="S62" s="1027"/>
      <c r="T62" s="1027"/>
      <c r="U62" s="1027"/>
      <c r="V62" s="1379"/>
      <c r="W62" s="1027" t="str">
        <f>IF($A62&gt;$C$5," ",VLOOKUP($A62,Plot!$HM$7:$IA$67,Plot!$HR$2,FALSE))</f>
        <v xml:space="preserve"> </v>
      </c>
      <c r="X62" s="1027" t="str">
        <f>IF($A62&gt;$C$5," ",VLOOKUP($A62,Plot!$HM$7:$IA$67,Plot!$HS$2,FALSE))</f>
        <v xml:space="preserve"> </v>
      </c>
      <c r="Y62" s="1379" t="str">
        <f t="shared" si="18"/>
        <v xml:space="preserve"> </v>
      </c>
      <c r="Z62" s="1026" t="str">
        <f>IF($A62&gt;$C$5," ",SUM($B$20:B62))</f>
        <v xml:space="preserve"> </v>
      </c>
      <c r="AA62" s="1027" t="str">
        <f>IF($A62&gt;$C$5," ",SUM($C$20:C62))</f>
        <v xml:space="preserve"> </v>
      </c>
      <c r="AB62" s="1027" t="str">
        <f>IF($A62&gt;$C$5," ",SUM($D$20:D62))</f>
        <v xml:space="preserve"> </v>
      </c>
      <c r="AC62" s="1027" t="str">
        <f>IF($A62&gt;$C$5," ",SUM($E$20:E62))</f>
        <v xml:space="preserve"> </v>
      </c>
      <c r="AD62" s="1379" t="str">
        <f t="shared" si="22"/>
        <v xml:space="preserve"> </v>
      </c>
      <c r="AE62" s="1027" t="str">
        <f>IF($A62&gt;$C$5," ",SUM($W$20:W62))</f>
        <v xml:space="preserve"> </v>
      </c>
      <c r="AF62" s="1027" t="str">
        <f>IF($A62&gt;$C$5," ",SUM($X$20:X62))</f>
        <v xml:space="preserve"> </v>
      </c>
      <c r="AG62" s="1027" t="str">
        <f t="shared" si="23"/>
        <v xml:space="preserve"> </v>
      </c>
      <c r="AH62" s="1394" t="str">
        <f>IF($A62&gt;$C$5," ",VLOOKUP($A62,Plot!$A$7:$D$67,4,FALSE))</f>
        <v xml:space="preserve"> </v>
      </c>
      <c r="AI62" s="1390" t="str">
        <f>IF($A62&gt;$C$5," ",VLOOKUP($A62,Plot!$A$7:$E$67,5,FALSE))</f>
        <v xml:space="preserve"> </v>
      </c>
      <c r="AJ62" s="1390" t="str">
        <f ca="1">IF($A62&gt;$C$5," ",IF(ROW()-ROW($A$18)&gt;='Options and results'!$AR$56,AVERAGE(OFFSET(AI62,0,0,COUNTA($BS:$BS)-'Options and results'!$AR$56,1)),NA()))</f>
        <v xml:space="preserve"> </v>
      </c>
      <c r="AK62" s="1395" t="str">
        <f>IF($A62&gt;$C$5," ",VLOOKUP($A62,Plot!$A$7:$F$67,6,FALSE))</f>
        <v xml:space="preserve"> </v>
      </c>
      <c r="AL62" s="1390" t="str">
        <f>IF($A62&gt;$C$5," ",VLOOKUP($A62,Plot!$CK$7:$CN$67,4,FALSE))</f>
        <v xml:space="preserve"> </v>
      </c>
      <c r="AM62" s="1390" t="str">
        <f>IF($A62&gt;$C$5," ",AL62*VLOOKUP($A62,Plot!$CK$7:$CO$67,5,FALSE))</f>
        <v xml:space="preserve"> </v>
      </c>
      <c r="AN62" s="1390" t="str">
        <f ca="1">IF($A62&gt;$C$5," ",IF(ROW()-ROW($A$18)&gt;='Options and results'!$AR$56,AVERAGE(OFFSET(AM62,0,0,COUNTA($BS:$BS)-'Options and results'!$AR$56,1)),NA()))</f>
        <v xml:space="preserve"> </v>
      </c>
      <c r="AO62" s="1390" t="str">
        <f>IF($A62&gt;$C$5," ",VLOOKUP($A62,Plot!$CK$7:$CP$67,6,FALSE))</f>
        <v xml:space="preserve"> </v>
      </c>
      <c r="AP62" s="1409">
        <f>IF($A62&gt;$C$5,0,VLOOKUP($A62,Plot!$V$7:$AH$67,7,FALSE))</f>
        <v>0</v>
      </c>
      <c r="AQ62" s="1390" t="str">
        <f>IF($A62&gt;$C$5," ",VLOOKUP($A62,Plot!$V$7:$AH$67,13,FALSE))</f>
        <v xml:space="preserve"> </v>
      </c>
      <c r="AR62" s="1390" t="str">
        <f>IF($A62&gt;$C$5," ",VLOOKUP($A62,Plot!$V$7:$AI$67,14,FALSE))</f>
        <v xml:space="preserve"> </v>
      </c>
      <c r="AS62" s="1390" t="str">
        <f>IF($A62&gt;$C$5," ",VLOOKUP($A62,Plot!$V$7:$AJ$67,15,FALSE))</f>
        <v xml:space="preserve"> </v>
      </c>
      <c r="AT62" s="1390" t="str">
        <f>IF($A62&gt;$C$5," ",AQ62+SUM($AS$20:AS62)+IF(AP63=0,-AQ62,0))</f>
        <v xml:space="preserve"> </v>
      </c>
      <c r="AU62" s="1390" t="str">
        <f>IF($A62&gt;$C$5," ",VLOOKUP($A62,Plot!$V$7:$AL$67,Plot!$AL$2,FALSE))</f>
        <v xml:space="preserve"> </v>
      </c>
      <c r="AV62" s="1395" t="str">
        <f>IF($A62&gt;$C$5," ",VLOOKUP($A62,Plot!$V$7:$AM$67,Plot!$AM$2,FALSE))</f>
        <v xml:space="preserve"> </v>
      </c>
      <c r="AW62" s="1407">
        <f>IF($A62&gt;$C$5,0,VLOOKUP($A62,Plot!$DF$7:$DS$67,7,FALSE))</f>
        <v>0</v>
      </c>
      <c r="AX62" s="1390" t="str">
        <f>IF($A62&gt;$C$5," ",VLOOKUP($A62,Plot!$DF$7:$DS$67,14,FALSE))</f>
        <v xml:space="preserve"> </v>
      </c>
      <c r="AY62" s="1390" t="str">
        <f>IF($A62&gt;$C$5," ",VLOOKUP($A62,Plot!$DF$7:$DT$67,15,FALSE))</f>
        <v xml:space="preserve"> </v>
      </c>
      <c r="AZ62" s="1390" t="str">
        <f>IF($A62&gt;$C$5," ",VLOOKUP($A62,Plot!$DF$7:$DU$67,16,FALSE))</f>
        <v xml:space="preserve"> </v>
      </c>
      <c r="BA62" s="1390" t="str">
        <f>IF($A62&gt;$C$5," ",AX62+SUM($AZ$20:AZ62)+IF(AW63=0,-AX62,0))</f>
        <v xml:space="preserve"> </v>
      </c>
      <c r="BB62" s="1390" t="str">
        <f>IF($A62&gt;$C$5," ",VLOOKUP($A62,Plot!$DF$7:$DW$67,Plot!$DW$2,FALSE))</f>
        <v xml:space="preserve"> </v>
      </c>
      <c r="BC62" s="1390" t="str">
        <f>IF($A62&gt;$C$5," ",VLOOKUP($A62,Plot!$DF$7:$DX$67,Plot!$DX$2,FALSE))</f>
        <v xml:space="preserve"> </v>
      </c>
      <c r="BD62" s="1396" t="str">
        <f>IF($A62&gt;$C$5," ",VLOOKUP($A62,Plot!$A$7:$N$67,14,FALSE))</f>
        <v xml:space="preserve"> </v>
      </c>
      <c r="BE62" s="303" t="str">
        <f>IF($A62&gt;$C$5," ",VLOOKUP($A62,Plot!$V$7:$BW$67,Plot!$BW$2,FALSE))</f>
        <v xml:space="preserve"> </v>
      </c>
      <c r="BF62" s="303" t="str">
        <f>IF($A62&gt;$C$5," ",VLOOKUP($A62,Plot!$CK$7:$CX$67,14,FALSE))</f>
        <v xml:space="preserve"> </v>
      </c>
      <c r="BG62" s="303" t="str">
        <f>IF($A62&gt;$C$5," ",VLOOKUP($A62,Plot!$DF$7:$FH$67,Plot!$FH$2,FALSE))</f>
        <v xml:space="preserve"> </v>
      </c>
      <c r="BH62" s="1397" t="str">
        <f t="shared" si="24"/>
        <v xml:space="preserve"> </v>
      </c>
      <c r="BI62" s="303" t="str">
        <f>IF($A62&gt;$C$5," ",VLOOKUP($A62,Plot!$DF$7:$EJ$67,29,FALSE))</f>
        <v xml:space="preserve"> </v>
      </c>
      <c r="BJ62" s="303" t="str">
        <f>IF($A62&gt;$C$5," ",VLOOKUP($A62,Plot!$DF$7:$FT$67,30,FALSE))</f>
        <v xml:space="preserve"> </v>
      </c>
      <c r="BK62" s="303" t="str">
        <f>IF($A62&gt;$C$5," ",VLOOKUP($A62,Plot!$DF$7:$FT$67,Plot!$EL$2,FALSE))</f>
        <v xml:space="preserve"> </v>
      </c>
      <c r="BL62" s="303" t="str">
        <f>IF($A62&gt;$C$5," ",VLOOKUP($A62,Plot!$DF$7:$FT$67,Plot!$EM$2,FALSE))</f>
        <v xml:space="preserve"> </v>
      </c>
      <c r="BM62" s="303" t="str">
        <f>IF($A62&gt;$C$5," ",VLOOKUP($A62,Plot!$DF$7:$FT$67,Plot!$EN$2,FALSE))</f>
        <v xml:space="preserve"> </v>
      </c>
      <c r="BN62" s="303" t="str">
        <f>IF($A62&gt;$C$5," ",VLOOKUP($A62,Plot!$DF$7:$FT$67,Plot!$EO$2,FALSE))</f>
        <v xml:space="preserve"> </v>
      </c>
      <c r="BO62" s="303" t="str">
        <f t="shared" si="19"/>
        <v xml:space="preserve"> </v>
      </c>
      <c r="BP62" s="303" t="str">
        <f>IF($A62&gt;$C$5," ",VLOOKUP($A62,Plot!$DF$7:$FT$67,Plot!$EQ$2,FALSE))</f>
        <v xml:space="preserve"> </v>
      </c>
      <c r="BQ62" s="303" t="str">
        <f>IF($A62&gt;$C$5," ",(VLOOKUP($A62,Plot!$DF$7:$FT$67,Plot!$ES$2,FALSE)+VLOOKUP($A62,Plot!$DF$7:$FT$67,Plot!$ET$2,FALSE)))</f>
        <v xml:space="preserve"> </v>
      </c>
      <c r="BR62" s="303" t="str">
        <f>IF($A62&gt;$C$5," ",(VLOOKUP($A62,Plot!$DF$7:$FT$67,Plot!$EV$2,FALSE)+VLOOKUP($A62,Plot!$DF$7:$FT$67,Plot!$EW$2,FALSE)))</f>
        <v xml:space="preserve"> </v>
      </c>
      <c r="BS62" s="303" t="str">
        <f>IF($A62&gt;$C$5," ",VLOOKUP($A62,Plot!$DF$7:$FT$67,Plot!$EY$2,FALSE))</f>
        <v xml:space="preserve"> </v>
      </c>
      <c r="BT62" s="303" t="str">
        <f>IF($A62&gt;$C$5," ",(VLOOKUP($A62,Plot!$DF$7:$FT$67,Plot!$FB$2,FALSE)+VLOOKUP($A62,Plot!$DF$7:$FT$67,Plot!$FC$2,FALSE)))</f>
        <v xml:space="preserve"> </v>
      </c>
      <c r="BU62" s="303" t="str">
        <f>IF($A62&gt;$C$5," ",(VLOOKUP($A62,Plot!$DF$7:$FT$67,Plot!$FE$2,FALSE)+VLOOKUP($A62,Plot!$DF$7:$FT$67,Plot!$FF$2,FALSE)))</f>
        <v xml:space="preserve"> </v>
      </c>
      <c r="BV62" s="1026" t="str">
        <f>IF($A62&gt;$C$5," ",VLOOKUP($A62,Plot!$FV$7:$GJ$67,2,FALSE))</f>
        <v xml:space="preserve"> </v>
      </c>
      <c r="BW62" s="1027" t="str">
        <f>IF($A62&gt;$C$5," ",VLOOKUP($A62,Plot!$FV$7:$GJ$67,3,FALSE))</f>
        <v xml:space="preserve"> </v>
      </c>
      <c r="BX62" s="1379" t="str">
        <f>IF($A62&gt;$C$5," ",VLOOKUP($A62,Plot!$FV$7:$GJ$67,6,FALSE))</f>
        <v xml:space="preserve"> </v>
      </c>
      <c r="BY62" s="1026" t="str">
        <f>IF($A62&gt;$C$5," ",VLOOKUP($A62,Plot!$GO$7:$GY$67,2,FALSE))</f>
        <v xml:space="preserve"> </v>
      </c>
      <c r="BZ62" s="1027" t="str">
        <f>IF($A62&gt;$C$5," ",VLOOKUP($A62,Plot!$GO$7:$GY$67,3,FALSE))</f>
        <v xml:space="preserve"> </v>
      </c>
      <c r="CA62" s="1379" t="str">
        <f>IF($A62&gt;$C$5," ",VLOOKUP($A62,Plot!$GO$7:$GY$67,6,FALSE))</f>
        <v xml:space="preserve"> </v>
      </c>
      <c r="CB62" s="1027" t="str">
        <f>IF($A62&gt;$C$5," ",-1*VLOOKUP($A62,Plot!$HA$7:$HK$67,2,FALSE))</f>
        <v xml:space="preserve"> </v>
      </c>
      <c r="CC62" s="1027" t="str">
        <f>IF($A62&gt;$C$5," ",-1*VLOOKUP($A62,Plot!$HA$7:$HK$67,3,FALSE))</f>
        <v xml:space="preserve"> </v>
      </c>
      <c r="CD62" s="1189" t="str">
        <f>IF($A62&gt;$C$5," ",-1*VLOOKUP($A62,Plot!$HA$7:$HK$67,6,FALSE))</f>
        <v xml:space="preserve"> </v>
      </c>
      <c r="CE62" s="10"/>
      <c r="CF62" s="38">
        <v>43</v>
      </c>
      <c r="CG62" s="1381" t="str">
        <f>IF($CF62&gt;$C$5," ",VLOOKUP($CF62,Unit!$A$7:$BE$68,22,FALSE))</f>
        <v xml:space="preserve"> </v>
      </c>
      <c r="CH62" s="1027" t="str">
        <f>IF($CF62&gt;$C$5," ",VLOOKUP($CF62,Unit!$A$7:$BE$68,23,FALSE))</f>
        <v xml:space="preserve"> </v>
      </c>
      <c r="CI62" s="1027" t="str">
        <f>IF($CF62&gt;$C$5," ",VLOOKUP($CF62,Unit!$A$7:$BE$68,24,FALSE))</f>
        <v xml:space="preserve"> </v>
      </c>
      <c r="CJ62" s="1189" t="str">
        <f>IF($CF62&gt;$C$5," ",VLOOKUP($CF62,Unit!$A$7:$BE$68,25,FALSE))</f>
        <v xml:space="preserve"> </v>
      </c>
      <c r="CK62" s="1381" t="str">
        <f>IF($CF62&gt;$C$5," ",VLOOKUP($CF62,Unit!$A$7:$BE$68,27,FALSE))</f>
        <v xml:space="preserve"> </v>
      </c>
      <c r="CL62" s="1027" t="str">
        <f>IF($CF62&gt;$C$5," ",VLOOKUP($CF62,Unit!$A$7:$BE$68,28,FALSE))</f>
        <v xml:space="preserve"> </v>
      </c>
      <c r="CM62" s="1027" t="str">
        <f>IF($CF62&gt;$C$5," ",VLOOKUP($CF62,Unit!$A$7:$BE$68,29,FALSE))</f>
        <v xml:space="preserve"> </v>
      </c>
      <c r="CN62" s="1027" t="str">
        <f>IF($CF62&gt;$C$5," ",VLOOKUP($CF62,Unit!$A$7:$BE$68,30,FALSE))</f>
        <v xml:space="preserve"> </v>
      </c>
      <c r="CO62" s="1027" t="str">
        <f>IF($CF62&gt;$C$5," ",VLOOKUP($CF62,Unit!$A$7:$BE$68,31,FALSE))</f>
        <v xml:space="preserve"> </v>
      </c>
      <c r="CP62" s="1027" t="str">
        <f>IF($CF62&gt;$C$5," ",VLOOKUP($CF62,Unit!$A$7:$BE$68,32,FALSE))</f>
        <v xml:space="preserve"> </v>
      </c>
      <c r="CQ62" s="1381" t="str">
        <f>IF($CF62&gt;$C$5," ",VLOOKUP($CF62,Unit!$A$7:$BE$68,33,FALSE))</f>
        <v xml:space="preserve"> </v>
      </c>
      <c r="CR62" s="1027" t="str">
        <f>IF($CF62&gt;$C$5," ",VLOOKUP($CF62,Unit!$A$7:$BE$68,34,FALSE))</f>
        <v xml:space="preserve"> </v>
      </c>
      <c r="CS62" s="1027" t="str">
        <f>IF($CF62&gt;$C$5," ",VLOOKUP($CF62,Unit!$A$7:$BE$68,35,FALSE))</f>
        <v xml:space="preserve"> </v>
      </c>
      <c r="CT62" s="1027" t="str">
        <f>IF($CF62&gt;$C$5," ",VLOOKUP($CF62,Unit!$A$7:$BE$68,36,FALSE))</f>
        <v xml:space="preserve"> </v>
      </c>
      <c r="CU62" s="1189" t="str">
        <f t="shared" si="20"/>
        <v xml:space="preserve"> </v>
      </c>
      <c r="CV62" s="1027" t="str">
        <f>IF($CF62&gt;$C$5," ",VLOOKUP($CF62,Unit!$A$7:$BA$68,43,FALSE))</f>
        <v xml:space="preserve"> </v>
      </c>
      <c r="CW62" s="1027" t="str">
        <f>IF($CF62&gt;$C$5," ",VLOOKUP($CF62,Unit!$A$7:$BB$68,44,FALSE))</f>
        <v xml:space="preserve"> </v>
      </c>
      <c r="CX62" s="1189" t="str">
        <f>IF($CF62&gt;$C$5," ",VLOOKUP($CF62,Unit!$A$7:$BE$68,47,FALSE))</f>
        <v xml:space="preserve"> </v>
      </c>
      <c r="CY62" s="1381" t="str">
        <f>IF($CF62&gt;$C$5," ",VLOOKUP($CF62,Unit!$A$7:$BA$68,53,FALSE))</f>
        <v xml:space="preserve"> </v>
      </c>
      <c r="CZ62" s="1027" t="str">
        <f>IF($CF62&gt;$C$5," ",VLOOKUP($CF62,Unit!$A$7:$BB$68,54,FALSE))</f>
        <v xml:space="preserve"> </v>
      </c>
      <c r="DA62" s="1189" t="str">
        <f>IF($CF62&gt;$C$5," ",VLOOKUP($CF62,Unit!$A$7:$BE$68,57,FALSE))</f>
        <v xml:space="preserve"> </v>
      </c>
    </row>
    <row r="63" spans="1:105" x14ac:dyDescent="0.25">
      <c r="A63" s="38">
        <v>44</v>
      </c>
      <c r="B63" s="1381" t="str">
        <f>IF($A63&gt;$C$5," ",VLOOKUP($A63,Plot!$A$7:$T$67,Plot!P$2,FALSE))</f>
        <v xml:space="preserve"> </v>
      </c>
      <c r="C63" s="1027" t="str">
        <f>IF($A63&gt;$C$5," ",VLOOKUP($A63,Plot!$V$7:$CI$67,Plot!$CA$2,FALSE))</f>
        <v xml:space="preserve"> </v>
      </c>
      <c r="D63" s="1027" t="str">
        <f>IF($A63&gt;$C$5," ",VLOOKUP($A63,Plot!$CK$7:$DD$67,Plot!$CZ$2,FALSE))</f>
        <v xml:space="preserve"> </v>
      </c>
      <c r="E63" s="1027" t="str">
        <f>IF($A63&gt;$C$5," ",VLOOKUP($A63,Plot!$DF$7:$FT$67,Plot!$FL$2,FALSE))</f>
        <v xml:space="preserve"> </v>
      </c>
      <c r="F63" s="1379" t="str">
        <f t="shared" si="25"/>
        <v xml:space="preserve"> </v>
      </c>
      <c r="G63" s="1026" t="str">
        <f>IF($A63&gt;$C$5," ",VLOOKUP($A63,Plot!$V$7:$CG$67,Plot!$CG$2,FALSE))</f>
        <v xml:space="preserve"> </v>
      </c>
      <c r="H63" s="1027" t="str">
        <f>IF($A63&gt;$C$5," ",VLOOKUP($A63,Plot!$DF$7:$FT$67,Plot!$FR$2,FALSE))</f>
        <v xml:space="preserve"> </v>
      </c>
      <c r="I63" s="1379" t="str">
        <f t="shared" si="17"/>
        <v xml:space="preserve"> </v>
      </c>
      <c r="J63" s="1026" t="str">
        <f>IF($A63&gt;$C$5," ",SUM(B$20:$B63))</f>
        <v xml:space="preserve"> </v>
      </c>
      <c r="K63" s="1027" t="str">
        <f>IF($A63&gt;$C$5," ",SUM($C$20:C63))</f>
        <v xml:space="preserve"> </v>
      </c>
      <c r="L63" s="1027" t="str">
        <f>IF($A63&gt;$C$5," ",SUM($D$20:D63))</f>
        <v xml:space="preserve"> </v>
      </c>
      <c r="M63" s="1027" t="str">
        <f>IF($A63&gt;$C$5," ",SUM($E$20:E63))</f>
        <v xml:space="preserve"> </v>
      </c>
      <c r="N63" s="1379" t="str">
        <f>IF($A63&gt;$C$5," ",SUM($F$20:F63))</f>
        <v xml:space="preserve"> </v>
      </c>
      <c r="O63" s="1027" t="str">
        <f>IF($A63&gt;$C$5," ",SUM($G$20:G63))</f>
        <v xml:space="preserve"> </v>
      </c>
      <c r="P63" s="1027" t="str">
        <f>IF($A63&gt;$C$5," ",SUM($H$20:H63))</f>
        <v xml:space="preserve"> </v>
      </c>
      <c r="Q63" s="1027" t="str">
        <f>IF($A63&gt;$C$5," ",SUM($I$20:I63))</f>
        <v xml:space="preserve"> </v>
      </c>
      <c r="R63" s="1026"/>
      <c r="S63" s="1027"/>
      <c r="T63" s="1027"/>
      <c r="U63" s="1027"/>
      <c r="V63" s="1379"/>
      <c r="W63" s="1027" t="str">
        <f>IF($A63&gt;$C$5," ",VLOOKUP($A63,Plot!$HM$7:$IA$67,Plot!$HR$2,FALSE))</f>
        <v xml:space="preserve"> </v>
      </c>
      <c r="X63" s="1027" t="str">
        <f>IF($A63&gt;$C$5," ",VLOOKUP($A63,Plot!$HM$7:$IA$67,Plot!$HS$2,FALSE))</f>
        <v xml:space="preserve"> </v>
      </c>
      <c r="Y63" s="1379" t="str">
        <f t="shared" si="18"/>
        <v xml:space="preserve"> </v>
      </c>
      <c r="Z63" s="1026" t="str">
        <f>IF($A63&gt;$C$5," ",SUM($B$20:B63))</f>
        <v xml:space="preserve"> </v>
      </c>
      <c r="AA63" s="1027" t="str">
        <f>IF($A63&gt;$C$5," ",SUM($C$20:C63))</f>
        <v xml:space="preserve"> </v>
      </c>
      <c r="AB63" s="1027" t="str">
        <f>IF($A63&gt;$C$5," ",SUM($D$20:D63))</f>
        <v xml:space="preserve"> </v>
      </c>
      <c r="AC63" s="1027" t="str">
        <f>IF($A63&gt;$C$5," ",SUM($E$20:E63))</f>
        <v xml:space="preserve"> </v>
      </c>
      <c r="AD63" s="1379" t="str">
        <f t="shared" si="22"/>
        <v xml:space="preserve"> </v>
      </c>
      <c r="AE63" s="1027" t="str">
        <f>IF($A63&gt;$C$5," ",SUM($W$20:W63))</f>
        <v xml:space="preserve"> </v>
      </c>
      <c r="AF63" s="1027" t="str">
        <f>IF($A63&gt;$C$5," ",SUM($X$20:X63))</f>
        <v xml:space="preserve"> </v>
      </c>
      <c r="AG63" s="1027" t="str">
        <f t="shared" si="23"/>
        <v xml:space="preserve"> </v>
      </c>
      <c r="AH63" s="1394" t="str">
        <f>IF($A63&gt;$C$5," ",VLOOKUP($A63,Plot!$A$7:$D$67,4,FALSE))</f>
        <v xml:space="preserve"> </v>
      </c>
      <c r="AI63" s="1390" t="str">
        <f>IF($A63&gt;$C$5," ",VLOOKUP($A63,Plot!$A$7:$E$67,5,FALSE))</f>
        <v xml:space="preserve"> </v>
      </c>
      <c r="AJ63" s="1390" t="str">
        <f ca="1">IF($A63&gt;$C$5," ",IF(ROW()-ROW($A$18)&gt;='Options and results'!$AR$56,AVERAGE(OFFSET(AI63,0,0,COUNTA($BS:$BS)-'Options and results'!$AR$56,1)),NA()))</f>
        <v xml:space="preserve"> </v>
      </c>
      <c r="AK63" s="1395" t="str">
        <f>IF($A63&gt;$C$5," ",VLOOKUP($A63,Plot!$A$7:$F$67,6,FALSE))</f>
        <v xml:space="preserve"> </v>
      </c>
      <c r="AL63" s="1390" t="str">
        <f>IF($A63&gt;$C$5," ",VLOOKUP($A63,Plot!$CK$7:$CN$67,4,FALSE))</f>
        <v xml:space="preserve"> </v>
      </c>
      <c r="AM63" s="1390" t="str">
        <f>IF($A63&gt;$C$5," ",AL63*VLOOKUP($A63,Plot!$CK$7:$CO$67,5,FALSE))</f>
        <v xml:space="preserve"> </v>
      </c>
      <c r="AN63" s="1390" t="str">
        <f ca="1">IF($A63&gt;$C$5," ",IF(ROW()-ROW($A$18)&gt;='Options and results'!$AR$56,AVERAGE(OFFSET(AM63,0,0,COUNTA($BS:$BS)-'Options and results'!$AR$56,1)),NA()))</f>
        <v xml:space="preserve"> </v>
      </c>
      <c r="AO63" s="1390" t="str">
        <f>IF($A63&gt;$C$5," ",VLOOKUP($A63,Plot!$CK$7:$CP$67,6,FALSE))</f>
        <v xml:space="preserve"> </v>
      </c>
      <c r="AP63" s="1409">
        <f>IF($A63&gt;$C$5,0,VLOOKUP($A63,Plot!$V$7:$AH$67,7,FALSE))</f>
        <v>0</v>
      </c>
      <c r="AQ63" s="1390" t="str">
        <f>IF($A63&gt;$C$5," ",VLOOKUP($A63,Plot!$V$7:$AH$67,13,FALSE))</f>
        <v xml:space="preserve"> </v>
      </c>
      <c r="AR63" s="1390" t="str">
        <f>IF($A63&gt;$C$5," ",VLOOKUP($A63,Plot!$V$7:$AI$67,14,FALSE))</f>
        <v xml:space="preserve"> </v>
      </c>
      <c r="AS63" s="1390" t="str">
        <f>IF($A63&gt;$C$5," ",VLOOKUP($A63,Plot!$V$7:$AJ$67,15,FALSE))</f>
        <v xml:space="preserve"> </v>
      </c>
      <c r="AT63" s="1390" t="str">
        <f>IF($A63&gt;$C$5," ",AQ63+SUM($AS$20:AS63)+IF(AP64=0,-AQ63,0))</f>
        <v xml:space="preserve"> </v>
      </c>
      <c r="AU63" s="1390" t="str">
        <f>IF($A63&gt;$C$5," ",VLOOKUP($A63,Plot!$V$7:$AL$67,Plot!$AL$2,FALSE))</f>
        <v xml:space="preserve"> </v>
      </c>
      <c r="AV63" s="1395" t="str">
        <f>IF($A63&gt;$C$5," ",VLOOKUP($A63,Plot!$V$7:$AM$67,Plot!$AM$2,FALSE))</f>
        <v xml:space="preserve"> </v>
      </c>
      <c r="AW63" s="1407">
        <f>IF($A63&gt;$C$5,0,VLOOKUP($A63,Plot!$DF$7:$DS$67,7,FALSE))</f>
        <v>0</v>
      </c>
      <c r="AX63" s="1390" t="str">
        <f>IF($A63&gt;$C$5," ",VLOOKUP($A63,Plot!$DF$7:$DS$67,14,FALSE))</f>
        <v xml:space="preserve"> </v>
      </c>
      <c r="AY63" s="1390" t="str">
        <f>IF($A63&gt;$C$5," ",VLOOKUP($A63,Plot!$DF$7:$DT$67,15,FALSE))</f>
        <v xml:space="preserve"> </v>
      </c>
      <c r="AZ63" s="1390" t="str">
        <f>IF($A63&gt;$C$5," ",VLOOKUP($A63,Plot!$DF$7:$DU$67,16,FALSE))</f>
        <v xml:space="preserve"> </v>
      </c>
      <c r="BA63" s="1390" t="str">
        <f>IF($A63&gt;$C$5," ",AX63+SUM($AZ$20:AZ63)+IF(AW64=0,-AX63,0))</f>
        <v xml:space="preserve"> </v>
      </c>
      <c r="BB63" s="1390" t="str">
        <f>IF($A63&gt;$C$5," ",VLOOKUP($A63,Plot!$DF$7:$DW$67,Plot!$DW$2,FALSE))</f>
        <v xml:space="preserve"> </v>
      </c>
      <c r="BC63" s="1390" t="str">
        <f>IF($A63&gt;$C$5," ",VLOOKUP($A63,Plot!$DF$7:$DX$67,Plot!$DX$2,FALSE))</f>
        <v xml:space="preserve"> </v>
      </c>
      <c r="BD63" s="1396" t="str">
        <f>IF($A63&gt;$C$5," ",VLOOKUP($A63,Plot!$A$7:$N$67,14,FALSE))</f>
        <v xml:space="preserve"> </v>
      </c>
      <c r="BE63" s="303" t="str">
        <f>IF($A63&gt;$C$5," ",VLOOKUP($A63,Plot!$V$7:$BW$67,Plot!$BW$2,FALSE))</f>
        <v xml:space="preserve"> </v>
      </c>
      <c r="BF63" s="303" t="str">
        <f>IF($A63&gt;$C$5," ",VLOOKUP($A63,Plot!$CK$7:$CX$67,14,FALSE))</f>
        <v xml:space="preserve"> </v>
      </c>
      <c r="BG63" s="303" t="str">
        <f>IF($A63&gt;$C$5," ",VLOOKUP($A63,Plot!$DF$7:$FH$67,Plot!$FH$2,FALSE))</f>
        <v xml:space="preserve"> </v>
      </c>
      <c r="BH63" s="1397" t="str">
        <f t="shared" si="24"/>
        <v xml:space="preserve"> </v>
      </c>
      <c r="BI63" s="303" t="str">
        <f>IF($A63&gt;$C$5," ",VLOOKUP($A63,Plot!$DF$7:$EJ$67,29,FALSE))</f>
        <v xml:space="preserve"> </v>
      </c>
      <c r="BJ63" s="303" t="str">
        <f>IF($A63&gt;$C$5," ",VLOOKUP($A63,Plot!$DF$7:$FT$67,30,FALSE))</f>
        <v xml:space="preserve"> </v>
      </c>
      <c r="BK63" s="303" t="str">
        <f>IF($A63&gt;$C$5," ",VLOOKUP($A63,Plot!$DF$7:$FT$67,Plot!$EL$2,FALSE))</f>
        <v xml:space="preserve"> </v>
      </c>
      <c r="BL63" s="303" t="str">
        <f>IF($A63&gt;$C$5," ",VLOOKUP($A63,Plot!$DF$7:$FT$67,Plot!$EM$2,FALSE))</f>
        <v xml:space="preserve"> </v>
      </c>
      <c r="BM63" s="303" t="str">
        <f>IF($A63&gt;$C$5," ",VLOOKUP($A63,Plot!$DF$7:$FT$67,Plot!$EN$2,FALSE))</f>
        <v xml:space="preserve"> </v>
      </c>
      <c r="BN63" s="303" t="str">
        <f>IF($A63&gt;$C$5," ",VLOOKUP($A63,Plot!$DF$7:$FT$67,Plot!$EO$2,FALSE))</f>
        <v xml:space="preserve"> </v>
      </c>
      <c r="BO63" s="303" t="str">
        <f t="shared" si="19"/>
        <v xml:space="preserve"> </v>
      </c>
      <c r="BP63" s="303" t="str">
        <f>IF($A63&gt;$C$5," ",VLOOKUP($A63,Plot!$DF$7:$FT$67,Plot!$EQ$2,FALSE))</f>
        <v xml:space="preserve"> </v>
      </c>
      <c r="BQ63" s="303" t="str">
        <f>IF($A63&gt;$C$5," ",(VLOOKUP($A63,Plot!$DF$7:$FT$67,Plot!$ES$2,FALSE)+VLOOKUP($A63,Plot!$DF$7:$FT$67,Plot!$ET$2,FALSE)))</f>
        <v xml:space="preserve"> </v>
      </c>
      <c r="BR63" s="303" t="str">
        <f>IF($A63&gt;$C$5," ",(VLOOKUP($A63,Plot!$DF$7:$FT$67,Plot!$EV$2,FALSE)+VLOOKUP($A63,Plot!$DF$7:$FT$67,Plot!$EW$2,FALSE)))</f>
        <v xml:space="preserve"> </v>
      </c>
      <c r="BS63" s="303" t="str">
        <f>IF($A63&gt;$C$5," ",VLOOKUP($A63,Plot!$DF$7:$FT$67,Plot!$EY$2,FALSE))</f>
        <v xml:space="preserve"> </v>
      </c>
      <c r="BT63" s="303" t="str">
        <f>IF($A63&gt;$C$5," ",(VLOOKUP($A63,Plot!$DF$7:$FT$67,Plot!$FB$2,FALSE)+VLOOKUP($A63,Plot!$DF$7:$FT$67,Plot!$FC$2,FALSE)))</f>
        <v xml:space="preserve"> </v>
      </c>
      <c r="BU63" s="303" t="str">
        <f>IF($A63&gt;$C$5," ",(VLOOKUP($A63,Plot!$DF$7:$FT$67,Plot!$FE$2,FALSE)+VLOOKUP($A63,Plot!$DF$7:$FT$67,Plot!$FF$2,FALSE)))</f>
        <v xml:space="preserve"> </v>
      </c>
      <c r="BV63" s="1026" t="str">
        <f>IF($A63&gt;$C$5," ",VLOOKUP($A63,Plot!$FV$7:$GJ$67,2,FALSE))</f>
        <v xml:space="preserve"> </v>
      </c>
      <c r="BW63" s="1027" t="str">
        <f>IF($A63&gt;$C$5," ",VLOOKUP($A63,Plot!$FV$7:$GJ$67,3,FALSE))</f>
        <v xml:space="preserve"> </v>
      </c>
      <c r="BX63" s="1379" t="str">
        <f>IF($A63&gt;$C$5," ",VLOOKUP($A63,Plot!$FV$7:$GJ$67,6,FALSE))</f>
        <v xml:space="preserve"> </v>
      </c>
      <c r="BY63" s="1026" t="str">
        <f>IF($A63&gt;$C$5," ",VLOOKUP($A63,Plot!$GO$7:$GY$67,2,FALSE))</f>
        <v xml:space="preserve"> </v>
      </c>
      <c r="BZ63" s="1027" t="str">
        <f>IF($A63&gt;$C$5," ",VLOOKUP($A63,Plot!$GO$7:$GY$67,3,FALSE))</f>
        <v xml:space="preserve"> </v>
      </c>
      <c r="CA63" s="1379" t="str">
        <f>IF($A63&gt;$C$5," ",VLOOKUP($A63,Plot!$GO$7:$GY$67,6,FALSE))</f>
        <v xml:space="preserve"> </v>
      </c>
      <c r="CB63" s="1027" t="str">
        <f>IF($A63&gt;$C$5," ",-1*VLOOKUP($A63,Plot!$HA$7:$HK$67,2,FALSE))</f>
        <v xml:space="preserve"> </v>
      </c>
      <c r="CC63" s="1027" t="str">
        <f>IF($A63&gt;$C$5," ",-1*VLOOKUP($A63,Plot!$HA$7:$HK$67,3,FALSE))</f>
        <v xml:space="preserve"> </v>
      </c>
      <c r="CD63" s="1189" t="str">
        <f>IF($A63&gt;$C$5," ",-1*VLOOKUP($A63,Plot!$HA$7:$HK$67,6,FALSE))</f>
        <v xml:space="preserve"> </v>
      </c>
      <c r="CE63" s="10"/>
      <c r="CF63" s="38">
        <v>44</v>
      </c>
      <c r="CG63" s="1381" t="str">
        <f>IF($CF63&gt;$C$5," ",VLOOKUP($CF63,Unit!$A$7:$BE$68,22,FALSE))</f>
        <v xml:space="preserve"> </v>
      </c>
      <c r="CH63" s="1027" t="str">
        <f>IF($CF63&gt;$C$5," ",VLOOKUP($CF63,Unit!$A$7:$BE$68,23,FALSE))</f>
        <v xml:space="preserve"> </v>
      </c>
      <c r="CI63" s="1027" t="str">
        <f>IF($CF63&gt;$C$5," ",VLOOKUP($CF63,Unit!$A$7:$BE$68,24,FALSE))</f>
        <v xml:space="preserve"> </v>
      </c>
      <c r="CJ63" s="1189" t="str">
        <f>IF($CF63&gt;$C$5," ",VLOOKUP($CF63,Unit!$A$7:$BE$68,25,FALSE))</f>
        <v xml:space="preserve"> </v>
      </c>
      <c r="CK63" s="1381" t="str">
        <f>IF($CF63&gt;$C$5," ",VLOOKUP($CF63,Unit!$A$7:$BE$68,27,FALSE))</f>
        <v xml:space="preserve"> </v>
      </c>
      <c r="CL63" s="1027" t="str">
        <f>IF($CF63&gt;$C$5," ",VLOOKUP($CF63,Unit!$A$7:$BE$68,28,FALSE))</f>
        <v xml:space="preserve"> </v>
      </c>
      <c r="CM63" s="1027" t="str">
        <f>IF($CF63&gt;$C$5," ",VLOOKUP($CF63,Unit!$A$7:$BE$68,29,FALSE))</f>
        <v xml:space="preserve"> </v>
      </c>
      <c r="CN63" s="1027" t="str">
        <f>IF($CF63&gt;$C$5," ",VLOOKUP($CF63,Unit!$A$7:$BE$68,30,FALSE))</f>
        <v xml:space="preserve"> </v>
      </c>
      <c r="CO63" s="1027" t="str">
        <f>IF($CF63&gt;$C$5," ",VLOOKUP($CF63,Unit!$A$7:$BE$68,31,FALSE))</f>
        <v xml:space="preserve"> </v>
      </c>
      <c r="CP63" s="1027" t="str">
        <f>IF($CF63&gt;$C$5," ",VLOOKUP($CF63,Unit!$A$7:$BE$68,32,FALSE))</f>
        <v xml:space="preserve"> </v>
      </c>
      <c r="CQ63" s="1381" t="str">
        <f>IF($CF63&gt;$C$5," ",VLOOKUP($CF63,Unit!$A$7:$BE$68,33,FALSE))</f>
        <v xml:space="preserve"> </v>
      </c>
      <c r="CR63" s="1027" t="str">
        <f>IF($CF63&gt;$C$5," ",VLOOKUP($CF63,Unit!$A$7:$BE$68,34,FALSE))</f>
        <v xml:space="preserve"> </v>
      </c>
      <c r="CS63" s="1027" t="str">
        <f>IF($CF63&gt;$C$5," ",VLOOKUP($CF63,Unit!$A$7:$BE$68,35,FALSE))</f>
        <v xml:space="preserve"> </v>
      </c>
      <c r="CT63" s="1027" t="str">
        <f>IF($CF63&gt;$C$5," ",VLOOKUP($CF63,Unit!$A$7:$BE$68,36,FALSE))</f>
        <v xml:space="preserve"> </v>
      </c>
      <c r="CU63" s="1189" t="str">
        <f t="shared" si="20"/>
        <v xml:space="preserve"> </v>
      </c>
      <c r="CV63" s="1027" t="str">
        <f>IF($CF63&gt;$C$5," ",VLOOKUP($CF63,Unit!$A$7:$BA$68,43,FALSE))</f>
        <v xml:space="preserve"> </v>
      </c>
      <c r="CW63" s="1027" t="str">
        <f>IF($CF63&gt;$C$5," ",VLOOKUP($CF63,Unit!$A$7:$BB$68,44,FALSE))</f>
        <v xml:space="preserve"> </v>
      </c>
      <c r="CX63" s="1189" t="str">
        <f>IF($CF63&gt;$C$5," ",VLOOKUP($CF63,Unit!$A$7:$BE$68,47,FALSE))</f>
        <v xml:space="preserve"> </v>
      </c>
      <c r="CY63" s="1381" t="str">
        <f>IF($CF63&gt;$C$5," ",VLOOKUP($CF63,Unit!$A$7:$BA$68,53,FALSE))</f>
        <v xml:space="preserve"> </v>
      </c>
      <c r="CZ63" s="1027" t="str">
        <f>IF($CF63&gt;$C$5," ",VLOOKUP($CF63,Unit!$A$7:$BB$68,54,FALSE))</f>
        <v xml:space="preserve"> </v>
      </c>
      <c r="DA63" s="1189" t="str">
        <f>IF($CF63&gt;$C$5," ",VLOOKUP($CF63,Unit!$A$7:$BE$68,57,FALSE))</f>
        <v xml:space="preserve"> </v>
      </c>
    </row>
    <row r="64" spans="1:105" x14ac:dyDescent="0.25">
      <c r="A64" s="38">
        <v>45</v>
      </c>
      <c r="B64" s="1381" t="str">
        <f>IF($A64&gt;$C$5," ",VLOOKUP($A64,Plot!$A$7:$T$67,Plot!P$2,FALSE))</f>
        <v xml:space="preserve"> </v>
      </c>
      <c r="C64" s="1027" t="str">
        <f>IF($A64&gt;$C$5," ",VLOOKUP($A64,Plot!$V$7:$CI$67,Plot!$CA$2,FALSE))</f>
        <v xml:space="preserve"> </v>
      </c>
      <c r="D64" s="1027" t="str">
        <f>IF($A64&gt;$C$5," ",VLOOKUP($A64,Plot!$CK$7:$DD$67,Plot!$CZ$2,FALSE))</f>
        <v xml:space="preserve"> </v>
      </c>
      <c r="E64" s="1027" t="str">
        <f>IF($A64&gt;$C$5," ",VLOOKUP($A64,Plot!$DF$7:$FT$67,Plot!$FL$2,FALSE))</f>
        <v xml:space="preserve"> </v>
      </c>
      <c r="F64" s="1379" t="str">
        <f t="shared" si="25"/>
        <v xml:space="preserve"> </v>
      </c>
      <c r="G64" s="1026" t="str">
        <f>IF($A64&gt;$C$5," ",VLOOKUP($A64,Plot!$V$7:$CG$67,Plot!$CG$2,FALSE))</f>
        <v xml:space="preserve"> </v>
      </c>
      <c r="H64" s="1027" t="str">
        <f>IF($A64&gt;$C$5," ",VLOOKUP($A64,Plot!$DF$7:$FT$67,Plot!$FR$2,FALSE))</f>
        <v xml:space="preserve"> </v>
      </c>
      <c r="I64" s="1379" t="str">
        <f t="shared" si="17"/>
        <v xml:space="preserve"> </v>
      </c>
      <c r="J64" s="1026" t="str">
        <f>IF($A64&gt;$C$5," ",SUM(B$20:$B64))</f>
        <v xml:space="preserve"> </v>
      </c>
      <c r="K64" s="1027" t="str">
        <f>IF($A64&gt;$C$5," ",SUM($C$20:C64))</f>
        <v xml:space="preserve"> </v>
      </c>
      <c r="L64" s="1027" t="str">
        <f>IF($A64&gt;$C$5," ",SUM($D$20:D64))</f>
        <v xml:space="preserve"> </v>
      </c>
      <c r="M64" s="1027" t="str">
        <f>IF($A64&gt;$C$5," ",SUM($E$20:E64))</f>
        <v xml:space="preserve"> </v>
      </c>
      <c r="N64" s="1379" t="str">
        <f>IF($A64&gt;$C$5," ",SUM($F$20:F64))</f>
        <v xml:space="preserve"> </v>
      </c>
      <c r="O64" s="1027" t="str">
        <f>IF($A64&gt;$C$5," ",SUM($G$20:G64))</f>
        <v xml:space="preserve"> </v>
      </c>
      <c r="P64" s="1027" t="str">
        <f>IF($A64&gt;$C$5," ",SUM($H$20:H64))</f>
        <v xml:space="preserve"> </v>
      </c>
      <c r="Q64" s="1027" t="str">
        <f>IF($A64&gt;$C$5," ",SUM($I$20:I64))</f>
        <v xml:space="preserve"> </v>
      </c>
      <c r="R64" s="1026"/>
      <c r="S64" s="1027"/>
      <c r="T64" s="1027"/>
      <c r="U64" s="1027"/>
      <c r="V64" s="1379"/>
      <c r="W64" s="1027" t="str">
        <f>IF($A64&gt;$C$5," ",VLOOKUP($A64,Plot!$HM$7:$IA$67,Plot!$HR$2,FALSE))</f>
        <v xml:space="preserve"> </v>
      </c>
      <c r="X64" s="1027" t="str">
        <f>IF($A64&gt;$C$5," ",VLOOKUP($A64,Plot!$HM$7:$IA$67,Plot!$HS$2,FALSE))</f>
        <v xml:space="preserve"> </v>
      </c>
      <c r="Y64" s="1379" t="str">
        <f t="shared" si="18"/>
        <v xml:space="preserve"> </v>
      </c>
      <c r="Z64" s="1026" t="str">
        <f>IF($A64&gt;$C$5," ",SUM($B$20:B64))</f>
        <v xml:space="preserve"> </v>
      </c>
      <c r="AA64" s="1027" t="str">
        <f>IF($A64&gt;$C$5," ",SUM($C$20:C64))</f>
        <v xml:space="preserve"> </v>
      </c>
      <c r="AB64" s="1027" t="str">
        <f>IF($A64&gt;$C$5," ",SUM($D$20:D64))</f>
        <v xml:space="preserve"> </v>
      </c>
      <c r="AC64" s="1027" t="str">
        <f>IF($A64&gt;$C$5," ",SUM($E$20:E64))</f>
        <v xml:space="preserve"> </v>
      </c>
      <c r="AD64" s="1379" t="str">
        <f t="shared" si="22"/>
        <v xml:space="preserve"> </v>
      </c>
      <c r="AE64" s="1027" t="str">
        <f>IF($A64&gt;$C$5," ",SUM($W$20:W64))</f>
        <v xml:space="preserve"> </v>
      </c>
      <c r="AF64" s="1027" t="str">
        <f>IF($A64&gt;$C$5," ",SUM($X$20:X64))</f>
        <v xml:space="preserve"> </v>
      </c>
      <c r="AG64" s="1027" t="str">
        <f t="shared" si="23"/>
        <v xml:space="preserve"> </v>
      </c>
      <c r="AH64" s="1394" t="str">
        <f>IF($A64&gt;$C$5," ",VLOOKUP($A64,Plot!$A$7:$D$67,4,FALSE))</f>
        <v xml:space="preserve"> </v>
      </c>
      <c r="AI64" s="1390" t="str">
        <f>IF($A64&gt;$C$5," ",VLOOKUP($A64,Plot!$A$7:$E$67,5,FALSE))</f>
        <v xml:space="preserve"> </v>
      </c>
      <c r="AJ64" s="1390" t="str">
        <f ca="1">IF($A64&gt;$C$5," ",IF(ROW()-ROW($A$18)&gt;='Options and results'!$AR$56,AVERAGE(OFFSET(AI64,0,0,COUNTA($BS:$BS)-'Options and results'!$AR$56,1)),NA()))</f>
        <v xml:space="preserve"> </v>
      </c>
      <c r="AK64" s="1395" t="str">
        <f>IF($A64&gt;$C$5," ",VLOOKUP($A64,Plot!$A$7:$F$67,6,FALSE))</f>
        <v xml:space="preserve"> </v>
      </c>
      <c r="AL64" s="1390" t="str">
        <f>IF($A64&gt;$C$5," ",VLOOKUP($A64,Plot!$CK$7:$CN$67,4,FALSE))</f>
        <v xml:space="preserve"> </v>
      </c>
      <c r="AM64" s="1390" t="str">
        <f>IF($A64&gt;$C$5," ",AL64*VLOOKUP($A64,Plot!$CK$7:$CO$67,5,FALSE))</f>
        <v xml:space="preserve"> </v>
      </c>
      <c r="AN64" s="1390" t="str">
        <f ca="1">IF($A64&gt;$C$5," ",IF(ROW()-ROW($A$18)&gt;='Options and results'!$AR$56,AVERAGE(OFFSET(AM64,0,0,COUNTA($BS:$BS)-'Options and results'!$AR$56,1)),NA()))</f>
        <v xml:space="preserve"> </v>
      </c>
      <c r="AO64" s="1390" t="str">
        <f>IF($A64&gt;$C$5," ",VLOOKUP($A64,Plot!$CK$7:$CP$67,6,FALSE))</f>
        <v xml:space="preserve"> </v>
      </c>
      <c r="AP64" s="1409">
        <f>IF($A64&gt;$C$5,0,VLOOKUP($A64,Plot!$V$7:$AH$67,7,FALSE))</f>
        <v>0</v>
      </c>
      <c r="AQ64" s="1390" t="str">
        <f>IF($A64&gt;$C$5," ",VLOOKUP($A64,Plot!$V$7:$AH$67,13,FALSE))</f>
        <v xml:space="preserve"> </v>
      </c>
      <c r="AR64" s="1390" t="str">
        <f>IF($A64&gt;$C$5," ",VLOOKUP($A64,Plot!$V$7:$AI$67,14,FALSE))</f>
        <v xml:space="preserve"> </v>
      </c>
      <c r="AS64" s="1390" t="str">
        <f>IF($A64&gt;$C$5," ",VLOOKUP($A64,Plot!$V$7:$AJ$67,15,FALSE))</f>
        <v xml:space="preserve"> </v>
      </c>
      <c r="AT64" s="1390" t="str">
        <f>IF($A64&gt;$C$5," ",AQ64+SUM($AS$20:AS64)+IF(AP65=0,-AQ64,0))</f>
        <v xml:space="preserve"> </v>
      </c>
      <c r="AU64" s="1390" t="str">
        <f>IF($A64&gt;$C$5," ",VLOOKUP($A64,Plot!$V$7:$AL$67,Plot!$AL$2,FALSE))</f>
        <v xml:space="preserve"> </v>
      </c>
      <c r="AV64" s="1395" t="str">
        <f>IF($A64&gt;$C$5," ",VLOOKUP($A64,Plot!$V$7:$AM$67,Plot!$AM$2,FALSE))</f>
        <v xml:space="preserve"> </v>
      </c>
      <c r="AW64" s="1407">
        <f>IF($A64&gt;$C$5,0,VLOOKUP($A64,Plot!$DF$7:$DS$67,7,FALSE))</f>
        <v>0</v>
      </c>
      <c r="AX64" s="1390" t="str">
        <f>IF($A64&gt;$C$5," ",VLOOKUP($A64,Plot!$DF$7:$DS$67,14,FALSE))</f>
        <v xml:space="preserve"> </v>
      </c>
      <c r="AY64" s="1390" t="str">
        <f>IF($A64&gt;$C$5," ",VLOOKUP($A64,Plot!$DF$7:$DT$67,15,FALSE))</f>
        <v xml:space="preserve"> </v>
      </c>
      <c r="AZ64" s="1390" t="str">
        <f>IF($A64&gt;$C$5," ",VLOOKUP($A64,Plot!$DF$7:$DU$67,16,FALSE))</f>
        <v xml:space="preserve"> </v>
      </c>
      <c r="BA64" s="1390" t="str">
        <f>IF($A64&gt;$C$5," ",AX64+SUM($AZ$20:AZ64)+IF(AW65=0,-AX64,0))</f>
        <v xml:space="preserve"> </v>
      </c>
      <c r="BB64" s="1390" t="str">
        <f>IF($A64&gt;$C$5," ",VLOOKUP($A64,Plot!$DF$7:$DW$67,Plot!$DW$2,FALSE))</f>
        <v xml:space="preserve"> </v>
      </c>
      <c r="BC64" s="1390" t="str">
        <f>IF($A64&gt;$C$5," ",VLOOKUP($A64,Plot!$DF$7:$DX$67,Plot!$DX$2,FALSE))</f>
        <v xml:space="preserve"> </v>
      </c>
      <c r="BD64" s="1396" t="str">
        <f>IF($A64&gt;$C$5," ",VLOOKUP($A64,Plot!$A$7:$N$67,14,FALSE))</f>
        <v xml:space="preserve"> </v>
      </c>
      <c r="BE64" s="303" t="str">
        <f>IF($A64&gt;$C$5," ",VLOOKUP($A64,Plot!$V$7:$BW$67,Plot!$BW$2,FALSE))</f>
        <v xml:space="preserve"> </v>
      </c>
      <c r="BF64" s="303" t="str">
        <f>IF($A64&gt;$C$5," ",VLOOKUP($A64,Plot!$CK$7:$CX$67,14,FALSE))</f>
        <v xml:space="preserve"> </v>
      </c>
      <c r="BG64" s="303" t="str">
        <f>IF($A64&gt;$C$5," ",VLOOKUP($A64,Plot!$DF$7:$FH$67,Plot!$FH$2,FALSE))</f>
        <v xml:space="preserve"> </v>
      </c>
      <c r="BH64" s="1397" t="str">
        <f t="shared" si="24"/>
        <v xml:space="preserve"> </v>
      </c>
      <c r="BI64" s="303" t="str">
        <f>IF($A64&gt;$C$5," ",VLOOKUP($A64,Plot!$DF$7:$EJ$67,29,FALSE))</f>
        <v xml:space="preserve"> </v>
      </c>
      <c r="BJ64" s="303" t="str">
        <f>IF($A64&gt;$C$5," ",VLOOKUP($A64,Plot!$DF$7:$FT$67,30,FALSE))</f>
        <v xml:space="preserve"> </v>
      </c>
      <c r="BK64" s="303" t="str">
        <f>IF($A64&gt;$C$5," ",VLOOKUP($A64,Plot!$DF$7:$FT$67,Plot!$EL$2,FALSE))</f>
        <v xml:space="preserve"> </v>
      </c>
      <c r="BL64" s="303" t="str">
        <f>IF($A64&gt;$C$5," ",VLOOKUP($A64,Plot!$DF$7:$FT$67,Plot!$EM$2,FALSE))</f>
        <v xml:space="preserve"> </v>
      </c>
      <c r="BM64" s="303" t="str">
        <f>IF($A64&gt;$C$5," ",VLOOKUP($A64,Plot!$DF$7:$FT$67,Plot!$EN$2,FALSE))</f>
        <v xml:space="preserve"> </v>
      </c>
      <c r="BN64" s="303" t="str">
        <f>IF($A64&gt;$C$5," ",VLOOKUP($A64,Plot!$DF$7:$FT$67,Plot!$EO$2,FALSE))</f>
        <v xml:space="preserve"> </v>
      </c>
      <c r="BO64" s="303" t="str">
        <f t="shared" si="19"/>
        <v xml:space="preserve"> </v>
      </c>
      <c r="BP64" s="303" t="str">
        <f>IF($A64&gt;$C$5," ",VLOOKUP($A64,Plot!$DF$7:$FT$67,Plot!$EQ$2,FALSE))</f>
        <v xml:space="preserve"> </v>
      </c>
      <c r="BQ64" s="303" t="str">
        <f>IF($A64&gt;$C$5," ",(VLOOKUP($A64,Plot!$DF$7:$FT$67,Plot!$ES$2,FALSE)+VLOOKUP($A64,Plot!$DF$7:$FT$67,Plot!$ET$2,FALSE)))</f>
        <v xml:space="preserve"> </v>
      </c>
      <c r="BR64" s="303" t="str">
        <f>IF($A64&gt;$C$5," ",(VLOOKUP($A64,Plot!$DF$7:$FT$67,Plot!$EV$2,FALSE)+VLOOKUP($A64,Plot!$DF$7:$FT$67,Plot!$EW$2,FALSE)))</f>
        <v xml:space="preserve"> </v>
      </c>
      <c r="BS64" s="303" t="str">
        <f>IF($A64&gt;$C$5," ",VLOOKUP($A64,Plot!$DF$7:$FT$67,Plot!$EY$2,FALSE))</f>
        <v xml:space="preserve"> </v>
      </c>
      <c r="BT64" s="303" t="str">
        <f>IF($A64&gt;$C$5," ",(VLOOKUP($A64,Plot!$DF$7:$FT$67,Plot!$FB$2,FALSE)+VLOOKUP($A64,Plot!$DF$7:$FT$67,Plot!$FC$2,FALSE)))</f>
        <v xml:space="preserve"> </v>
      </c>
      <c r="BU64" s="303" t="str">
        <f>IF($A64&gt;$C$5," ",(VLOOKUP($A64,Plot!$DF$7:$FT$67,Plot!$FE$2,FALSE)+VLOOKUP($A64,Plot!$DF$7:$FT$67,Plot!$FF$2,FALSE)))</f>
        <v xml:space="preserve"> </v>
      </c>
      <c r="BV64" s="1026" t="str">
        <f>IF($A64&gt;$C$5," ",VLOOKUP($A64,Plot!$FV$7:$GJ$67,2,FALSE))</f>
        <v xml:space="preserve"> </v>
      </c>
      <c r="BW64" s="1027" t="str">
        <f>IF($A64&gt;$C$5," ",VLOOKUP($A64,Plot!$FV$7:$GJ$67,3,FALSE))</f>
        <v xml:space="preserve"> </v>
      </c>
      <c r="BX64" s="1379" t="str">
        <f>IF($A64&gt;$C$5," ",VLOOKUP($A64,Plot!$FV$7:$GJ$67,6,FALSE))</f>
        <v xml:space="preserve"> </v>
      </c>
      <c r="BY64" s="1026" t="str">
        <f>IF($A64&gt;$C$5," ",VLOOKUP($A64,Plot!$GO$7:$GY$67,2,FALSE))</f>
        <v xml:space="preserve"> </v>
      </c>
      <c r="BZ64" s="1027" t="str">
        <f>IF($A64&gt;$C$5," ",VLOOKUP($A64,Plot!$GO$7:$GY$67,3,FALSE))</f>
        <v xml:space="preserve"> </v>
      </c>
      <c r="CA64" s="1379" t="str">
        <f>IF($A64&gt;$C$5," ",VLOOKUP($A64,Plot!$GO$7:$GY$67,6,FALSE))</f>
        <v xml:space="preserve"> </v>
      </c>
      <c r="CB64" s="1027" t="str">
        <f>IF($A64&gt;$C$5," ",-1*VLOOKUP($A64,Plot!$HA$7:$HK$67,2,FALSE))</f>
        <v xml:space="preserve"> </v>
      </c>
      <c r="CC64" s="1027" t="str">
        <f>IF($A64&gt;$C$5," ",-1*VLOOKUP($A64,Plot!$HA$7:$HK$67,3,FALSE))</f>
        <v xml:space="preserve"> </v>
      </c>
      <c r="CD64" s="1189" t="str">
        <f>IF($A64&gt;$C$5," ",-1*VLOOKUP($A64,Plot!$HA$7:$HK$67,6,FALSE))</f>
        <v xml:space="preserve"> </v>
      </c>
      <c r="CE64" s="10"/>
      <c r="CF64" s="38">
        <v>45</v>
      </c>
      <c r="CG64" s="1381" t="str">
        <f>IF($CF64&gt;$C$5," ",VLOOKUP($CF64,Unit!$A$7:$BE$68,22,FALSE))</f>
        <v xml:space="preserve"> </v>
      </c>
      <c r="CH64" s="1027" t="str">
        <f>IF($CF64&gt;$C$5," ",VLOOKUP($CF64,Unit!$A$7:$BE$68,23,FALSE))</f>
        <v xml:space="preserve"> </v>
      </c>
      <c r="CI64" s="1027" t="str">
        <f>IF($CF64&gt;$C$5," ",VLOOKUP($CF64,Unit!$A$7:$BE$68,24,FALSE))</f>
        <v xml:space="preserve"> </v>
      </c>
      <c r="CJ64" s="1189" t="str">
        <f>IF($CF64&gt;$C$5," ",VLOOKUP($CF64,Unit!$A$7:$BE$68,25,FALSE))</f>
        <v xml:space="preserve"> </v>
      </c>
      <c r="CK64" s="1381" t="str">
        <f>IF($CF64&gt;$C$5," ",VLOOKUP($CF64,Unit!$A$7:$BE$68,27,FALSE))</f>
        <v xml:space="preserve"> </v>
      </c>
      <c r="CL64" s="1027" t="str">
        <f>IF($CF64&gt;$C$5," ",VLOOKUP($CF64,Unit!$A$7:$BE$68,28,FALSE))</f>
        <v xml:space="preserve"> </v>
      </c>
      <c r="CM64" s="1027" t="str">
        <f>IF($CF64&gt;$C$5," ",VLOOKUP($CF64,Unit!$A$7:$BE$68,29,FALSE))</f>
        <v xml:space="preserve"> </v>
      </c>
      <c r="CN64" s="1027" t="str">
        <f>IF($CF64&gt;$C$5," ",VLOOKUP($CF64,Unit!$A$7:$BE$68,30,FALSE))</f>
        <v xml:space="preserve"> </v>
      </c>
      <c r="CO64" s="1027" t="str">
        <f>IF($CF64&gt;$C$5," ",VLOOKUP($CF64,Unit!$A$7:$BE$68,31,FALSE))</f>
        <v xml:space="preserve"> </v>
      </c>
      <c r="CP64" s="1027" t="str">
        <f>IF($CF64&gt;$C$5," ",VLOOKUP($CF64,Unit!$A$7:$BE$68,32,FALSE))</f>
        <v xml:space="preserve"> </v>
      </c>
      <c r="CQ64" s="1381" t="str">
        <f>IF($CF64&gt;$C$5," ",VLOOKUP($CF64,Unit!$A$7:$BE$68,33,FALSE))</f>
        <v xml:space="preserve"> </v>
      </c>
      <c r="CR64" s="1027" t="str">
        <f>IF($CF64&gt;$C$5," ",VLOOKUP($CF64,Unit!$A$7:$BE$68,34,FALSE))</f>
        <v xml:space="preserve"> </v>
      </c>
      <c r="CS64" s="1027" t="str">
        <f>IF($CF64&gt;$C$5," ",VLOOKUP($CF64,Unit!$A$7:$BE$68,35,FALSE))</f>
        <v xml:space="preserve"> </v>
      </c>
      <c r="CT64" s="1027" t="str">
        <f>IF($CF64&gt;$C$5," ",VLOOKUP($CF64,Unit!$A$7:$BE$68,36,FALSE))</f>
        <v xml:space="preserve"> </v>
      </c>
      <c r="CU64" s="1189" t="str">
        <f t="shared" si="20"/>
        <v xml:space="preserve"> </v>
      </c>
      <c r="CV64" s="1027" t="str">
        <f>IF($CF64&gt;$C$5," ",VLOOKUP($CF64,Unit!$A$7:$BA$68,43,FALSE))</f>
        <v xml:space="preserve"> </v>
      </c>
      <c r="CW64" s="1027" t="str">
        <f>IF($CF64&gt;$C$5," ",VLOOKUP($CF64,Unit!$A$7:$BB$68,44,FALSE))</f>
        <v xml:space="preserve"> </v>
      </c>
      <c r="CX64" s="1189" t="str">
        <f>IF($CF64&gt;$C$5," ",VLOOKUP($CF64,Unit!$A$7:$BE$68,47,FALSE))</f>
        <v xml:space="preserve"> </v>
      </c>
      <c r="CY64" s="1381" t="str">
        <f>IF($CF64&gt;$C$5," ",VLOOKUP($CF64,Unit!$A$7:$BA$68,53,FALSE))</f>
        <v xml:space="preserve"> </v>
      </c>
      <c r="CZ64" s="1027" t="str">
        <f>IF($CF64&gt;$C$5," ",VLOOKUP($CF64,Unit!$A$7:$BB$68,54,FALSE))</f>
        <v xml:space="preserve"> </v>
      </c>
      <c r="DA64" s="1189" t="str">
        <f>IF($CF64&gt;$C$5," ",VLOOKUP($CF64,Unit!$A$7:$BE$68,57,FALSE))</f>
        <v xml:space="preserve"> </v>
      </c>
    </row>
    <row r="65" spans="1:105" x14ac:dyDescent="0.25">
      <c r="A65" s="38">
        <v>46</v>
      </c>
      <c r="B65" s="1381" t="str">
        <f>IF($A65&gt;$C$5," ",VLOOKUP($A65,Plot!$A$7:$T$67,Plot!P$2,FALSE))</f>
        <v xml:space="preserve"> </v>
      </c>
      <c r="C65" s="1027" t="str">
        <f>IF($A65&gt;$C$5," ",VLOOKUP($A65,Plot!$V$7:$CI$67,Plot!$CA$2,FALSE))</f>
        <v xml:space="preserve"> </v>
      </c>
      <c r="D65" s="1027" t="str">
        <f>IF($A65&gt;$C$5," ",VLOOKUP($A65,Plot!$CK$7:$DD$67,Plot!$CZ$2,FALSE))</f>
        <v xml:space="preserve"> </v>
      </c>
      <c r="E65" s="1027" t="str">
        <f>IF($A65&gt;$C$5," ",VLOOKUP($A65,Plot!$DF$7:$FT$67,Plot!$FL$2,FALSE))</f>
        <v xml:space="preserve"> </v>
      </c>
      <c r="F65" s="1379" t="str">
        <f t="shared" si="25"/>
        <v xml:space="preserve"> </v>
      </c>
      <c r="G65" s="1026" t="str">
        <f>IF($A65&gt;$C$5," ",VLOOKUP($A65,Plot!$V$7:$CG$67,Plot!$CG$2,FALSE))</f>
        <v xml:space="preserve"> </v>
      </c>
      <c r="H65" s="1027" t="str">
        <f>IF($A65&gt;$C$5," ",VLOOKUP($A65,Plot!$DF$7:$FT$67,Plot!$FR$2,FALSE))</f>
        <v xml:space="preserve"> </v>
      </c>
      <c r="I65" s="1379" t="str">
        <f t="shared" si="17"/>
        <v xml:space="preserve"> </v>
      </c>
      <c r="J65" s="1026" t="str">
        <f>IF($A65&gt;$C$5," ",SUM(B$20:$B65))</f>
        <v xml:space="preserve"> </v>
      </c>
      <c r="K65" s="1027" t="str">
        <f>IF($A65&gt;$C$5," ",SUM($C$20:C65))</f>
        <v xml:space="preserve"> </v>
      </c>
      <c r="L65" s="1027" t="str">
        <f>IF($A65&gt;$C$5," ",SUM($D$20:D65))</f>
        <v xml:space="preserve"> </v>
      </c>
      <c r="M65" s="1027" t="str">
        <f>IF($A65&gt;$C$5," ",SUM($E$20:E65))</f>
        <v xml:space="preserve"> </v>
      </c>
      <c r="N65" s="1379" t="str">
        <f>IF($A65&gt;$C$5," ",SUM($F$20:F65))</f>
        <v xml:space="preserve"> </v>
      </c>
      <c r="O65" s="1027" t="str">
        <f>IF($A65&gt;$C$5," ",SUM($G$20:G65))</f>
        <v xml:space="preserve"> </v>
      </c>
      <c r="P65" s="1027" t="str">
        <f>IF($A65&gt;$C$5," ",SUM($H$20:H65))</f>
        <v xml:space="preserve"> </v>
      </c>
      <c r="Q65" s="1027" t="str">
        <f>IF($A65&gt;$C$5," ",SUM($I$20:I65))</f>
        <v xml:space="preserve"> </v>
      </c>
      <c r="R65" s="1026"/>
      <c r="S65" s="1027"/>
      <c r="T65" s="1027"/>
      <c r="U65" s="1027"/>
      <c r="V65" s="1379"/>
      <c r="W65" s="1027" t="str">
        <f>IF($A65&gt;$C$5," ",VLOOKUP($A65,Plot!$HM$7:$IA$67,Plot!$HR$2,FALSE))</f>
        <v xml:space="preserve"> </v>
      </c>
      <c r="X65" s="1027" t="str">
        <f>IF($A65&gt;$C$5," ",VLOOKUP($A65,Plot!$HM$7:$IA$67,Plot!$HS$2,FALSE))</f>
        <v xml:space="preserve"> </v>
      </c>
      <c r="Y65" s="1379" t="str">
        <f t="shared" si="18"/>
        <v xml:space="preserve"> </v>
      </c>
      <c r="Z65" s="1026" t="str">
        <f>IF($A65&gt;$C$5," ",SUM($B$20:B65))</f>
        <v xml:space="preserve"> </v>
      </c>
      <c r="AA65" s="1027" t="str">
        <f>IF($A65&gt;$C$5," ",SUM($C$20:C65))</f>
        <v xml:space="preserve"> </v>
      </c>
      <c r="AB65" s="1027" t="str">
        <f>IF($A65&gt;$C$5," ",SUM($D$20:D65))</f>
        <v xml:space="preserve"> </v>
      </c>
      <c r="AC65" s="1027" t="str">
        <f>IF($A65&gt;$C$5," ",SUM($E$20:E65))</f>
        <v xml:space="preserve"> </v>
      </c>
      <c r="AD65" s="1379" t="str">
        <f t="shared" si="22"/>
        <v xml:space="preserve"> </v>
      </c>
      <c r="AE65" s="1027" t="str">
        <f>IF($A65&gt;$C$5," ",SUM($W$20:W65))</f>
        <v xml:space="preserve"> </v>
      </c>
      <c r="AF65" s="1027" t="str">
        <f>IF($A65&gt;$C$5," ",SUM($X$20:X65))</f>
        <v xml:space="preserve"> </v>
      </c>
      <c r="AG65" s="1027" t="str">
        <f t="shared" si="23"/>
        <v xml:space="preserve"> </v>
      </c>
      <c r="AH65" s="1394" t="str">
        <f>IF($A65&gt;$C$5," ",VLOOKUP($A65,Plot!$A$7:$D$67,4,FALSE))</f>
        <v xml:space="preserve"> </v>
      </c>
      <c r="AI65" s="1390" t="str">
        <f>IF($A65&gt;$C$5," ",VLOOKUP($A65,Plot!$A$7:$E$67,5,FALSE))</f>
        <v xml:space="preserve"> </v>
      </c>
      <c r="AJ65" s="1390" t="str">
        <f ca="1">IF($A65&gt;$C$5," ",IF(ROW()-ROW($A$18)&gt;='Options and results'!$AR$56,AVERAGE(OFFSET(AI65,0,0,COUNTA($BS:$BS)-'Options and results'!$AR$56,1)),NA()))</f>
        <v xml:space="preserve"> </v>
      </c>
      <c r="AK65" s="1395" t="str">
        <f>IF($A65&gt;$C$5," ",VLOOKUP($A65,Plot!$A$7:$F$67,6,FALSE))</f>
        <v xml:space="preserve"> </v>
      </c>
      <c r="AL65" s="1390" t="str">
        <f>IF($A65&gt;$C$5," ",VLOOKUP($A65,Plot!$CK$7:$CN$67,4,FALSE))</f>
        <v xml:space="preserve"> </v>
      </c>
      <c r="AM65" s="1390" t="str">
        <f>IF($A65&gt;$C$5," ",AL65*VLOOKUP($A65,Plot!$CK$7:$CO$67,5,FALSE))</f>
        <v xml:space="preserve"> </v>
      </c>
      <c r="AN65" s="1390" t="str">
        <f ca="1">IF($A65&gt;$C$5," ",IF(ROW()-ROW($A$18)&gt;='Options and results'!$AR$56,AVERAGE(OFFSET(AM65,0,0,COUNTA($BS:$BS)-'Options and results'!$AR$56,1)),NA()))</f>
        <v xml:space="preserve"> </v>
      </c>
      <c r="AO65" s="1390" t="str">
        <f>IF($A65&gt;$C$5," ",VLOOKUP($A65,Plot!$CK$7:$CP$67,6,FALSE))</f>
        <v xml:space="preserve"> </v>
      </c>
      <c r="AP65" s="1409">
        <f>IF($A65&gt;$C$5,0,VLOOKUP($A65,Plot!$V$7:$AH$67,7,FALSE))</f>
        <v>0</v>
      </c>
      <c r="AQ65" s="1390" t="str">
        <f>IF($A65&gt;$C$5," ",VLOOKUP($A65,Plot!$V$7:$AH$67,13,FALSE))</f>
        <v xml:space="preserve"> </v>
      </c>
      <c r="AR65" s="1390" t="str">
        <f>IF($A65&gt;$C$5," ",VLOOKUP($A65,Plot!$V$7:$AI$67,14,FALSE))</f>
        <v xml:space="preserve"> </v>
      </c>
      <c r="AS65" s="1390" t="str">
        <f>IF($A65&gt;$C$5," ",VLOOKUP($A65,Plot!$V$7:$AJ$67,15,FALSE))</f>
        <v xml:space="preserve"> </v>
      </c>
      <c r="AT65" s="1390" t="str">
        <f>IF($A65&gt;$C$5," ",AQ65+SUM($AS$20:AS65)+IF(AP66=0,-AQ65,0))</f>
        <v xml:space="preserve"> </v>
      </c>
      <c r="AU65" s="1390" t="str">
        <f>IF($A65&gt;$C$5," ",VLOOKUP($A65,Plot!$V$7:$AL$67,Plot!$AL$2,FALSE))</f>
        <v xml:space="preserve"> </v>
      </c>
      <c r="AV65" s="1395" t="str">
        <f>IF($A65&gt;$C$5," ",VLOOKUP($A65,Plot!$V$7:$AM$67,Plot!$AM$2,FALSE))</f>
        <v xml:space="preserve"> </v>
      </c>
      <c r="AW65" s="1407">
        <f>IF($A65&gt;$C$5,0,VLOOKUP($A65,Plot!$DF$7:$DS$67,7,FALSE))</f>
        <v>0</v>
      </c>
      <c r="AX65" s="1390" t="str">
        <f>IF($A65&gt;$C$5," ",VLOOKUP($A65,Plot!$DF$7:$DS$67,14,FALSE))</f>
        <v xml:space="preserve"> </v>
      </c>
      <c r="AY65" s="1390" t="str">
        <f>IF($A65&gt;$C$5," ",VLOOKUP($A65,Plot!$DF$7:$DT$67,15,FALSE))</f>
        <v xml:space="preserve"> </v>
      </c>
      <c r="AZ65" s="1390" t="str">
        <f>IF($A65&gt;$C$5," ",VLOOKUP($A65,Plot!$DF$7:$DU$67,16,FALSE))</f>
        <v xml:space="preserve"> </v>
      </c>
      <c r="BA65" s="1390" t="str">
        <f>IF($A65&gt;$C$5," ",AX65+SUM($AZ$20:AZ65)+IF(AW66=0,-AX65,0))</f>
        <v xml:space="preserve"> </v>
      </c>
      <c r="BB65" s="1390" t="str">
        <f>IF($A65&gt;$C$5," ",VLOOKUP($A65,Plot!$DF$7:$DW$67,Plot!$DW$2,FALSE))</f>
        <v xml:space="preserve"> </v>
      </c>
      <c r="BC65" s="1390" t="str">
        <f>IF($A65&gt;$C$5," ",VLOOKUP($A65,Plot!$DF$7:$DX$67,Plot!$DX$2,FALSE))</f>
        <v xml:space="preserve"> </v>
      </c>
      <c r="BD65" s="1396" t="str">
        <f>IF($A65&gt;$C$5," ",VLOOKUP($A65,Plot!$A$7:$N$67,14,FALSE))</f>
        <v xml:space="preserve"> </v>
      </c>
      <c r="BE65" s="303" t="str">
        <f>IF($A65&gt;$C$5," ",VLOOKUP($A65,Plot!$V$7:$BW$67,Plot!$BW$2,FALSE))</f>
        <v xml:space="preserve"> </v>
      </c>
      <c r="BF65" s="303" t="str">
        <f>IF($A65&gt;$C$5," ",VLOOKUP($A65,Plot!$CK$7:$CX$67,14,FALSE))</f>
        <v xml:space="preserve"> </v>
      </c>
      <c r="BG65" s="303" t="str">
        <f>IF($A65&gt;$C$5," ",VLOOKUP($A65,Plot!$DF$7:$FH$67,Plot!$FH$2,FALSE))</f>
        <v xml:space="preserve"> </v>
      </c>
      <c r="BH65" s="1397" t="str">
        <f t="shared" si="24"/>
        <v xml:space="preserve"> </v>
      </c>
      <c r="BI65" s="303" t="str">
        <f>IF($A65&gt;$C$5," ",VLOOKUP($A65,Plot!$DF$7:$EJ$67,29,FALSE))</f>
        <v xml:space="preserve"> </v>
      </c>
      <c r="BJ65" s="303" t="str">
        <f>IF($A65&gt;$C$5," ",VLOOKUP($A65,Plot!$DF$7:$FT$67,30,FALSE))</f>
        <v xml:space="preserve"> </v>
      </c>
      <c r="BK65" s="303" t="str">
        <f>IF($A65&gt;$C$5," ",VLOOKUP($A65,Plot!$DF$7:$FT$67,Plot!$EL$2,FALSE))</f>
        <v xml:space="preserve"> </v>
      </c>
      <c r="BL65" s="303" t="str">
        <f>IF($A65&gt;$C$5," ",VLOOKUP($A65,Plot!$DF$7:$FT$67,Plot!$EM$2,FALSE))</f>
        <v xml:space="preserve"> </v>
      </c>
      <c r="BM65" s="303" t="str">
        <f>IF($A65&gt;$C$5," ",VLOOKUP($A65,Plot!$DF$7:$FT$67,Plot!$EN$2,FALSE))</f>
        <v xml:space="preserve"> </v>
      </c>
      <c r="BN65" s="303" t="str">
        <f>IF($A65&gt;$C$5," ",VLOOKUP($A65,Plot!$DF$7:$FT$67,Plot!$EO$2,FALSE))</f>
        <v xml:space="preserve"> </v>
      </c>
      <c r="BO65" s="303" t="str">
        <f t="shared" si="19"/>
        <v xml:space="preserve"> </v>
      </c>
      <c r="BP65" s="303" t="str">
        <f>IF($A65&gt;$C$5," ",VLOOKUP($A65,Plot!$DF$7:$FT$67,Plot!$EQ$2,FALSE))</f>
        <v xml:space="preserve"> </v>
      </c>
      <c r="BQ65" s="303" t="str">
        <f>IF($A65&gt;$C$5," ",(VLOOKUP($A65,Plot!$DF$7:$FT$67,Plot!$ES$2,FALSE)+VLOOKUP($A65,Plot!$DF$7:$FT$67,Plot!$ET$2,FALSE)))</f>
        <v xml:space="preserve"> </v>
      </c>
      <c r="BR65" s="303" t="str">
        <f>IF($A65&gt;$C$5," ",(VLOOKUP($A65,Plot!$DF$7:$FT$67,Plot!$EV$2,FALSE)+VLOOKUP($A65,Plot!$DF$7:$FT$67,Plot!$EW$2,FALSE)))</f>
        <v xml:space="preserve"> </v>
      </c>
      <c r="BS65" s="303" t="str">
        <f>IF($A65&gt;$C$5," ",VLOOKUP($A65,Plot!$DF$7:$FT$67,Plot!$EY$2,FALSE))</f>
        <v xml:space="preserve"> </v>
      </c>
      <c r="BT65" s="303" t="str">
        <f>IF($A65&gt;$C$5," ",(VLOOKUP($A65,Plot!$DF$7:$FT$67,Plot!$FB$2,FALSE)+VLOOKUP($A65,Plot!$DF$7:$FT$67,Plot!$FC$2,FALSE)))</f>
        <v xml:space="preserve"> </v>
      </c>
      <c r="BU65" s="303" t="str">
        <f>IF($A65&gt;$C$5," ",(VLOOKUP($A65,Plot!$DF$7:$FT$67,Plot!$FE$2,FALSE)+VLOOKUP($A65,Plot!$DF$7:$FT$67,Plot!$FF$2,FALSE)))</f>
        <v xml:space="preserve"> </v>
      </c>
      <c r="BV65" s="1026" t="str">
        <f>IF($A65&gt;$C$5," ",VLOOKUP($A65,Plot!$FV$7:$GJ$67,2,FALSE))</f>
        <v xml:space="preserve"> </v>
      </c>
      <c r="BW65" s="1027" t="str">
        <f>IF($A65&gt;$C$5," ",VLOOKUP($A65,Plot!$FV$7:$GJ$67,3,FALSE))</f>
        <v xml:space="preserve"> </v>
      </c>
      <c r="BX65" s="1379" t="str">
        <f>IF($A65&gt;$C$5," ",VLOOKUP($A65,Plot!$FV$7:$GJ$67,6,FALSE))</f>
        <v xml:space="preserve"> </v>
      </c>
      <c r="BY65" s="1026" t="str">
        <f>IF($A65&gt;$C$5," ",VLOOKUP($A65,Plot!$GO$7:$GY$67,2,FALSE))</f>
        <v xml:space="preserve"> </v>
      </c>
      <c r="BZ65" s="1027" t="str">
        <f>IF($A65&gt;$C$5," ",VLOOKUP($A65,Plot!$GO$7:$GY$67,3,FALSE))</f>
        <v xml:space="preserve"> </v>
      </c>
      <c r="CA65" s="1379" t="str">
        <f>IF($A65&gt;$C$5," ",VLOOKUP($A65,Plot!$GO$7:$GY$67,6,FALSE))</f>
        <v xml:space="preserve"> </v>
      </c>
      <c r="CB65" s="1027" t="str">
        <f>IF($A65&gt;$C$5," ",-1*VLOOKUP($A65,Plot!$HA$7:$HK$67,2,FALSE))</f>
        <v xml:space="preserve"> </v>
      </c>
      <c r="CC65" s="1027" t="str">
        <f>IF($A65&gt;$C$5," ",-1*VLOOKUP($A65,Plot!$HA$7:$HK$67,3,FALSE))</f>
        <v xml:space="preserve"> </v>
      </c>
      <c r="CD65" s="1189" t="str">
        <f>IF($A65&gt;$C$5," ",-1*VLOOKUP($A65,Plot!$HA$7:$HK$67,6,FALSE))</f>
        <v xml:space="preserve"> </v>
      </c>
      <c r="CE65" s="10"/>
      <c r="CF65" s="38">
        <v>46</v>
      </c>
      <c r="CG65" s="1381" t="str">
        <f>IF($CF65&gt;$C$5," ",VLOOKUP($CF65,Unit!$A$7:$BE$68,22,FALSE))</f>
        <v xml:space="preserve"> </v>
      </c>
      <c r="CH65" s="1027" t="str">
        <f>IF($CF65&gt;$C$5," ",VLOOKUP($CF65,Unit!$A$7:$BE$68,23,FALSE))</f>
        <v xml:space="preserve"> </v>
      </c>
      <c r="CI65" s="1027" t="str">
        <f>IF($CF65&gt;$C$5," ",VLOOKUP($CF65,Unit!$A$7:$BE$68,24,FALSE))</f>
        <v xml:space="preserve"> </v>
      </c>
      <c r="CJ65" s="1189" t="str">
        <f>IF($CF65&gt;$C$5," ",VLOOKUP($CF65,Unit!$A$7:$BE$68,25,FALSE))</f>
        <v xml:space="preserve"> </v>
      </c>
      <c r="CK65" s="1381" t="str">
        <f>IF($CF65&gt;$C$5," ",VLOOKUP($CF65,Unit!$A$7:$BE$68,27,FALSE))</f>
        <v xml:space="preserve"> </v>
      </c>
      <c r="CL65" s="1027" t="str">
        <f>IF($CF65&gt;$C$5," ",VLOOKUP($CF65,Unit!$A$7:$BE$68,28,FALSE))</f>
        <v xml:space="preserve"> </v>
      </c>
      <c r="CM65" s="1027" t="str">
        <f>IF($CF65&gt;$C$5," ",VLOOKUP($CF65,Unit!$A$7:$BE$68,29,FALSE))</f>
        <v xml:space="preserve"> </v>
      </c>
      <c r="CN65" s="1027" t="str">
        <f>IF($CF65&gt;$C$5," ",VLOOKUP($CF65,Unit!$A$7:$BE$68,30,FALSE))</f>
        <v xml:space="preserve"> </v>
      </c>
      <c r="CO65" s="1027" t="str">
        <f>IF($CF65&gt;$C$5," ",VLOOKUP($CF65,Unit!$A$7:$BE$68,31,FALSE))</f>
        <v xml:space="preserve"> </v>
      </c>
      <c r="CP65" s="1027" t="str">
        <f>IF($CF65&gt;$C$5," ",VLOOKUP($CF65,Unit!$A$7:$BE$68,32,FALSE))</f>
        <v xml:space="preserve"> </v>
      </c>
      <c r="CQ65" s="1381" t="str">
        <f>IF($CF65&gt;$C$5," ",VLOOKUP($CF65,Unit!$A$7:$BE$68,33,FALSE))</f>
        <v xml:space="preserve"> </v>
      </c>
      <c r="CR65" s="1027" t="str">
        <f>IF($CF65&gt;$C$5," ",VLOOKUP($CF65,Unit!$A$7:$BE$68,34,FALSE))</f>
        <v xml:space="preserve"> </v>
      </c>
      <c r="CS65" s="1027" t="str">
        <f>IF($CF65&gt;$C$5," ",VLOOKUP($CF65,Unit!$A$7:$BE$68,35,FALSE))</f>
        <v xml:space="preserve"> </v>
      </c>
      <c r="CT65" s="1027" t="str">
        <f>IF($CF65&gt;$C$5," ",VLOOKUP($CF65,Unit!$A$7:$BE$68,36,FALSE))</f>
        <v xml:space="preserve"> </v>
      </c>
      <c r="CU65" s="1189" t="str">
        <f t="shared" si="20"/>
        <v xml:space="preserve"> </v>
      </c>
      <c r="CV65" s="1027" t="str">
        <f>IF($CF65&gt;$C$5," ",VLOOKUP($CF65,Unit!$A$7:$BA$68,43,FALSE))</f>
        <v xml:space="preserve"> </v>
      </c>
      <c r="CW65" s="1027" t="str">
        <f>IF($CF65&gt;$C$5," ",VLOOKUP($CF65,Unit!$A$7:$BB$68,44,FALSE))</f>
        <v xml:space="preserve"> </v>
      </c>
      <c r="CX65" s="1189" t="str">
        <f>IF($CF65&gt;$C$5," ",VLOOKUP($CF65,Unit!$A$7:$BE$68,47,FALSE))</f>
        <v xml:space="preserve"> </v>
      </c>
      <c r="CY65" s="1381" t="str">
        <f>IF($CF65&gt;$C$5," ",VLOOKUP($CF65,Unit!$A$7:$BA$68,53,FALSE))</f>
        <v xml:space="preserve"> </v>
      </c>
      <c r="CZ65" s="1027" t="str">
        <f>IF($CF65&gt;$C$5," ",VLOOKUP($CF65,Unit!$A$7:$BB$68,54,FALSE))</f>
        <v xml:space="preserve"> </v>
      </c>
      <c r="DA65" s="1189" t="str">
        <f>IF($CF65&gt;$C$5," ",VLOOKUP($CF65,Unit!$A$7:$BE$68,57,FALSE))</f>
        <v xml:space="preserve"> </v>
      </c>
    </row>
    <row r="66" spans="1:105" x14ac:dyDescent="0.25">
      <c r="A66" s="38">
        <v>47</v>
      </c>
      <c r="B66" s="1381" t="str">
        <f>IF($A66&gt;$C$5," ",VLOOKUP($A66,Plot!$A$7:$T$67,Plot!P$2,FALSE))</f>
        <v xml:space="preserve"> </v>
      </c>
      <c r="C66" s="1027" t="str">
        <f>IF($A66&gt;$C$5," ",VLOOKUP($A66,Plot!$V$7:$CI$67,Plot!$CA$2,FALSE))</f>
        <v xml:space="preserve"> </v>
      </c>
      <c r="D66" s="1027" t="str">
        <f>IF($A66&gt;$C$5," ",VLOOKUP($A66,Plot!$CK$7:$DD$67,Plot!$CZ$2,FALSE))</f>
        <v xml:space="preserve"> </v>
      </c>
      <c r="E66" s="1027" t="str">
        <f>IF($A66&gt;$C$5," ",VLOOKUP($A66,Plot!$DF$7:$FT$67,Plot!$FL$2,FALSE))</f>
        <v xml:space="preserve"> </v>
      </c>
      <c r="F66" s="1379" t="str">
        <f t="shared" si="25"/>
        <v xml:space="preserve"> </v>
      </c>
      <c r="G66" s="1026" t="str">
        <f>IF($A66&gt;$C$5," ",VLOOKUP($A66,Plot!$V$7:$CG$67,Plot!$CG$2,FALSE))</f>
        <v xml:space="preserve"> </v>
      </c>
      <c r="H66" s="1027" t="str">
        <f>IF($A66&gt;$C$5," ",VLOOKUP($A66,Plot!$DF$7:$FT$67,Plot!$FR$2,FALSE))</f>
        <v xml:space="preserve"> </v>
      </c>
      <c r="I66" s="1379" t="str">
        <f t="shared" si="17"/>
        <v xml:space="preserve"> </v>
      </c>
      <c r="J66" s="1026" t="str">
        <f>IF($A66&gt;$C$5," ",SUM(B$20:$B66))</f>
        <v xml:space="preserve"> </v>
      </c>
      <c r="K66" s="1027" t="str">
        <f>IF($A66&gt;$C$5," ",SUM($C$20:C66))</f>
        <v xml:space="preserve"> </v>
      </c>
      <c r="L66" s="1027" t="str">
        <f>IF($A66&gt;$C$5," ",SUM($D$20:D66))</f>
        <v xml:space="preserve"> </v>
      </c>
      <c r="M66" s="1027" t="str">
        <f>IF($A66&gt;$C$5," ",SUM($E$20:E66))</f>
        <v xml:space="preserve"> </v>
      </c>
      <c r="N66" s="1379" t="str">
        <f>IF($A66&gt;$C$5," ",SUM($F$20:F66))</f>
        <v xml:space="preserve"> </v>
      </c>
      <c r="O66" s="1027" t="str">
        <f>IF($A66&gt;$C$5," ",SUM($G$20:G66))</f>
        <v xml:space="preserve"> </v>
      </c>
      <c r="P66" s="1027" t="str">
        <f>IF($A66&gt;$C$5," ",SUM($H$20:H66))</f>
        <v xml:space="preserve"> </v>
      </c>
      <c r="Q66" s="1027" t="str">
        <f>IF($A66&gt;$C$5," ",SUM($I$20:I66))</f>
        <v xml:space="preserve"> </v>
      </c>
      <c r="R66" s="1026"/>
      <c r="S66" s="1027"/>
      <c r="T66" s="1027"/>
      <c r="U66" s="1027"/>
      <c r="V66" s="1379"/>
      <c r="W66" s="1027" t="str">
        <f>IF($A66&gt;$C$5," ",VLOOKUP($A66,Plot!$HM$7:$IA$67,Plot!$HR$2,FALSE))</f>
        <v xml:space="preserve"> </v>
      </c>
      <c r="X66" s="1027" t="str">
        <f>IF($A66&gt;$C$5," ",VLOOKUP($A66,Plot!$HM$7:$IA$67,Plot!$HS$2,FALSE))</f>
        <v xml:space="preserve"> </v>
      </c>
      <c r="Y66" s="1379" t="str">
        <f t="shared" si="18"/>
        <v xml:space="preserve"> </v>
      </c>
      <c r="Z66" s="1026" t="str">
        <f>IF($A66&gt;$C$5," ",SUM($B$20:B66))</f>
        <v xml:space="preserve"> </v>
      </c>
      <c r="AA66" s="1027" t="str">
        <f>IF($A66&gt;$C$5," ",SUM($C$20:C66))</f>
        <v xml:space="preserve"> </v>
      </c>
      <c r="AB66" s="1027" t="str">
        <f>IF($A66&gt;$C$5," ",SUM($D$20:D66))</f>
        <v xml:space="preserve"> </v>
      </c>
      <c r="AC66" s="1027" t="str">
        <f>IF($A66&gt;$C$5," ",SUM($E$20:E66))</f>
        <v xml:space="preserve"> </v>
      </c>
      <c r="AD66" s="1379" t="str">
        <f t="shared" si="22"/>
        <v xml:space="preserve"> </v>
      </c>
      <c r="AE66" s="1027" t="str">
        <f>IF($A66&gt;$C$5," ",SUM($W$20:W66))</f>
        <v xml:space="preserve"> </v>
      </c>
      <c r="AF66" s="1027" t="str">
        <f>IF($A66&gt;$C$5," ",SUM($X$20:X66))</f>
        <v xml:space="preserve"> </v>
      </c>
      <c r="AG66" s="1027" t="str">
        <f t="shared" si="23"/>
        <v xml:space="preserve"> </v>
      </c>
      <c r="AH66" s="1394" t="str">
        <f>IF($A66&gt;$C$5," ",VLOOKUP($A66,Plot!$A$7:$D$67,4,FALSE))</f>
        <v xml:space="preserve"> </v>
      </c>
      <c r="AI66" s="1390" t="str">
        <f>IF($A66&gt;$C$5," ",VLOOKUP($A66,Plot!$A$7:$E$67,5,FALSE))</f>
        <v xml:space="preserve"> </v>
      </c>
      <c r="AJ66" s="1390" t="str">
        <f ca="1">IF($A66&gt;$C$5," ",IF(ROW()-ROW($A$18)&gt;='Options and results'!$AR$56,AVERAGE(OFFSET(AI66,0,0,COUNTA($BS:$BS)-'Options and results'!$AR$56,1)),NA()))</f>
        <v xml:space="preserve"> </v>
      </c>
      <c r="AK66" s="1395" t="str">
        <f>IF($A66&gt;$C$5," ",VLOOKUP($A66,Plot!$A$7:$F$67,6,FALSE))</f>
        <v xml:space="preserve"> </v>
      </c>
      <c r="AL66" s="1390" t="str">
        <f>IF($A66&gt;$C$5," ",VLOOKUP($A66,Plot!$CK$7:$CN$67,4,FALSE))</f>
        <v xml:space="preserve"> </v>
      </c>
      <c r="AM66" s="1390" t="str">
        <f>IF($A66&gt;$C$5," ",AL66*VLOOKUP($A66,Plot!$CK$7:$CO$67,5,FALSE))</f>
        <v xml:space="preserve"> </v>
      </c>
      <c r="AN66" s="1390" t="str">
        <f ca="1">IF($A66&gt;$C$5," ",IF(ROW()-ROW($A$18)&gt;='Options and results'!$AR$56,AVERAGE(OFFSET(AM66,0,0,COUNTA($BS:$BS)-'Options and results'!$AR$56,1)),NA()))</f>
        <v xml:space="preserve"> </v>
      </c>
      <c r="AO66" s="1390" t="str">
        <f>IF($A66&gt;$C$5," ",VLOOKUP($A66,Plot!$CK$7:$CP$67,6,FALSE))</f>
        <v xml:space="preserve"> </v>
      </c>
      <c r="AP66" s="1409">
        <f>IF($A66&gt;$C$5,0,VLOOKUP($A66,Plot!$V$7:$AH$67,7,FALSE))</f>
        <v>0</v>
      </c>
      <c r="AQ66" s="1390" t="str">
        <f>IF($A66&gt;$C$5," ",VLOOKUP($A66,Plot!$V$7:$AH$67,13,FALSE))</f>
        <v xml:space="preserve"> </v>
      </c>
      <c r="AR66" s="1390" t="str">
        <f>IF($A66&gt;$C$5," ",VLOOKUP($A66,Plot!$V$7:$AI$67,14,FALSE))</f>
        <v xml:space="preserve"> </v>
      </c>
      <c r="AS66" s="1390" t="str">
        <f>IF($A66&gt;$C$5," ",VLOOKUP($A66,Plot!$V$7:$AJ$67,15,FALSE))</f>
        <v xml:space="preserve"> </v>
      </c>
      <c r="AT66" s="1390" t="str">
        <f>IF($A66&gt;$C$5," ",AQ66+SUM($AS$20:AS66)+IF(AP67=0,-AQ66,0))</f>
        <v xml:space="preserve"> </v>
      </c>
      <c r="AU66" s="1390" t="str">
        <f>IF($A66&gt;$C$5," ",VLOOKUP($A66,Plot!$V$7:$AL$67,Plot!$AL$2,FALSE))</f>
        <v xml:space="preserve"> </v>
      </c>
      <c r="AV66" s="1395" t="str">
        <f>IF($A66&gt;$C$5," ",VLOOKUP($A66,Plot!$V$7:$AM$67,Plot!$AM$2,FALSE))</f>
        <v xml:space="preserve"> </v>
      </c>
      <c r="AW66" s="1407">
        <f>IF($A66&gt;$C$5,0,VLOOKUP($A66,Plot!$DF$7:$DS$67,7,FALSE))</f>
        <v>0</v>
      </c>
      <c r="AX66" s="1390" t="str">
        <f>IF($A66&gt;$C$5," ",VLOOKUP($A66,Plot!$DF$7:$DS$67,14,FALSE))</f>
        <v xml:space="preserve"> </v>
      </c>
      <c r="AY66" s="1390" t="str">
        <f>IF($A66&gt;$C$5," ",VLOOKUP($A66,Plot!$DF$7:$DT$67,15,FALSE))</f>
        <v xml:space="preserve"> </v>
      </c>
      <c r="AZ66" s="1390" t="str">
        <f>IF($A66&gt;$C$5," ",VLOOKUP($A66,Plot!$DF$7:$DU$67,16,FALSE))</f>
        <v xml:space="preserve"> </v>
      </c>
      <c r="BA66" s="1390" t="str">
        <f>IF($A66&gt;$C$5," ",AX66+SUM($AZ$20:AZ66)+IF(AW67=0,-AX66,0))</f>
        <v xml:space="preserve"> </v>
      </c>
      <c r="BB66" s="1390" t="str">
        <f>IF($A66&gt;$C$5," ",VLOOKUP($A66,Plot!$DF$7:$DW$67,Plot!$DW$2,FALSE))</f>
        <v xml:space="preserve"> </v>
      </c>
      <c r="BC66" s="1390" t="str">
        <f>IF($A66&gt;$C$5," ",VLOOKUP($A66,Plot!$DF$7:$DX$67,Plot!$DX$2,FALSE))</f>
        <v xml:space="preserve"> </v>
      </c>
      <c r="BD66" s="1396" t="str">
        <f>IF($A66&gt;$C$5," ",VLOOKUP($A66,Plot!$A$7:$N$67,14,FALSE))</f>
        <v xml:space="preserve"> </v>
      </c>
      <c r="BE66" s="303" t="str">
        <f>IF($A66&gt;$C$5," ",VLOOKUP($A66,Plot!$V$7:$BW$67,Plot!$BW$2,FALSE))</f>
        <v xml:space="preserve"> </v>
      </c>
      <c r="BF66" s="303" t="str">
        <f>IF($A66&gt;$C$5," ",VLOOKUP($A66,Plot!$CK$7:$CX$67,14,FALSE))</f>
        <v xml:space="preserve"> </v>
      </c>
      <c r="BG66" s="303" t="str">
        <f>IF($A66&gt;$C$5," ",VLOOKUP($A66,Plot!$DF$7:$FH$67,Plot!$FH$2,FALSE))</f>
        <v xml:space="preserve"> </v>
      </c>
      <c r="BH66" s="1397" t="str">
        <f t="shared" si="24"/>
        <v xml:space="preserve"> </v>
      </c>
      <c r="BI66" s="303" t="str">
        <f>IF($A66&gt;$C$5," ",VLOOKUP($A66,Plot!$DF$7:$EJ$67,29,FALSE))</f>
        <v xml:space="preserve"> </v>
      </c>
      <c r="BJ66" s="303" t="str">
        <f>IF($A66&gt;$C$5," ",VLOOKUP($A66,Plot!$DF$7:$FT$67,30,FALSE))</f>
        <v xml:space="preserve"> </v>
      </c>
      <c r="BK66" s="303" t="str">
        <f>IF($A66&gt;$C$5," ",VLOOKUP($A66,Plot!$DF$7:$FT$67,Plot!$EL$2,FALSE))</f>
        <v xml:space="preserve"> </v>
      </c>
      <c r="BL66" s="303" t="str">
        <f>IF($A66&gt;$C$5," ",VLOOKUP($A66,Plot!$DF$7:$FT$67,Plot!$EM$2,FALSE))</f>
        <v xml:space="preserve"> </v>
      </c>
      <c r="BM66" s="303" t="str">
        <f>IF($A66&gt;$C$5," ",VLOOKUP($A66,Plot!$DF$7:$FT$67,Plot!$EN$2,FALSE))</f>
        <v xml:space="preserve"> </v>
      </c>
      <c r="BN66" s="303" t="str">
        <f>IF($A66&gt;$C$5," ",VLOOKUP($A66,Plot!$DF$7:$FT$67,Plot!$EO$2,FALSE))</f>
        <v xml:space="preserve"> </v>
      </c>
      <c r="BO66" s="303" t="str">
        <f t="shared" si="19"/>
        <v xml:space="preserve"> </v>
      </c>
      <c r="BP66" s="303" t="str">
        <f>IF($A66&gt;$C$5," ",VLOOKUP($A66,Plot!$DF$7:$FT$67,Plot!$EQ$2,FALSE))</f>
        <v xml:space="preserve"> </v>
      </c>
      <c r="BQ66" s="303" t="str">
        <f>IF($A66&gt;$C$5," ",(VLOOKUP($A66,Plot!$DF$7:$FT$67,Plot!$ES$2,FALSE)+VLOOKUP($A66,Plot!$DF$7:$FT$67,Plot!$ET$2,FALSE)))</f>
        <v xml:space="preserve"> </v>
      </c>
      <c r="BR66" s="303" t="str">
        <f>IF($A66&gt;$C$5," ",(VLOOKUP($A66,Plot!$DF$7:$FT$67,Plot!$EV$2,FALSE)+VLOOKUP($A66,Plot!$DF$7:$FT$67,Plot!$EW$2,FALSE)))</f>
        <v xml:space="preserve"> </v>
      </c>
      <c r="BS66" s="303" t="str">
        <f>IF($A66&gt;$C$5," ",VLOOKUP($A66,Plot!$DF$7:$FT$67,Plot!$EY$2,FALSE))</f>
        <v xml:space="preserve"> </v>
      </c>
      <c r="BT66" s="303" t="str">
        <f>IF($A66&gt;$C$5," ",(VLOOKUP($A66,Plot!$DF$7:$FT$67,Plot!$FB$2,FALSE)+VLOOKUP($A66,Plot!$DF$7:$FT$67,Plot!$FC$2,FALSE)))</f>
        <v xml:space="preserve"> </v>
      </c>
      <c r="BU66" s="303" t="str">
        <f>IF($A66&gt;$C$5," ",(VLOOKUP($A66,Plot!$DF$7:$FT$67,Plot!$FE$2,FALSE)+VLOOKUP($A66,Plot!$DF$7:$FT$67,Plot!$FF$2,FALSE)))</f>
        <v xml:space="preserve"> </v>
      </c>
      <c r="BV66" s="1026" t="str">
        <f>IF($A66&gt;$C$5," ",VLOOKUP($A66,Plot!$FV$7:$GJ$67,2,FALSE))</f>
        <v xml:space="preserve"> </v>
      </c>
      <c r="BW66" s="1027" t="str">
        <f>IF($A66&gt;$C$5," ",VLOOKUP($A66,Plot!$FV$7:$GJ$67,3,FALSE))</f>
        <v xml:space="preserve"> </v>
      </c>
      <c r="BX66" s="1379" t="str">
        <f>IF($A66&gt;$C$5," ",VLOOKUP($A66,Plot!$FV$7:$GJ$67,6,FALSE))</f>
        <v xml:space="preserve"> </v>
      </c>
      <c r="BY66" s="1026" t="str">
        <f>IF($A66&gt;$C$5," ",VLOOKUP($A66,Plot!$GO$7:$GY$67,2,FALSE))</f>
        <v xml:space="preserve"> </v>
      </c>
      <c r="BZ66" s="1027" t="str">
        <f>IF($A66&gt;$C$5," ",VLOOKUP($A66,Plot!$GO$7:$GY$67,3,FALSE))</f>
        <v xml:space="preserve"> </v>
      </c>
      <c r="CA66" s="1379" t="str">
        <f>IF($A66&gt;$C$5," ",VLOOKUP($A66,Plot!$GO$7:$GY$67,6,FALSE))</f>
        <v xml:space="preserve"> </v>
      </c>
      <c r="CB66" s="1027" t="str">
        <f>IF($A66&gt;$C$5," ",-1*VLOOKUP($A66,Plot!$HA$7:$HK$67,2,FALSE))</f>
        <v xml:space="preserve"> </v>
      </c>
      <c r="CC66" s="1027" t="str">
        <f>IF($A66&gt;$C$5," ",-1*VLOOKUP($A66,Plot!$HA$7:$HK$67,3,FALSE))</f>
        <v xml:space="preserve"> </v>
      </c>
      <c r="CD66" s="1189" t="str">
        <f>IF($A66&gt;$C$5," ",-1*VLOOKUP($A66,Plot!$HA$7:$HK$67,6,FALSE))</f>
        <v xml:space="preserve"> </v>
      </c>
      <c r="CE66" s="10"/>
      <c r="CF66" s="38">
        <v>47</v>
      </c>
      <c r="CG66" s="1381" t="str">
        <f>IF($CF66&gt;$C$5," ",VLOOKUP($CF66,Unit!$A$7:$BE$68,22,FALSE))</f>
        <v xml:space="preserve"> </v>
      </c>
      <c r="CH66" s="1027" t="str">
        <f>IF($CF66&gt;$C$5," ",VLOOKUP($CF66,Unit!$A$7:$BE$68,23,FALSE))</f>
        <v xml:space="preserve"> </v>
      </c>
      <c r="CI66" s="1027" t="str">
        <f>IF($CF66&gt;$C$5," ",VLOOKUP($CF66,Unit!$A$7:$BE$68,24,FALSE))</f>
        <v xml:space="preserve"> </v>
      </c>
      <c r="CJ66" s="1189" t="str">
        <f>IF($CF66&gt;$C$5," ",VLOOKUP($CF66,Unit!$A$7:$BE$68,25,FALSE))</f>
        <v xml:space="preserve"> </v>
      </c>
      <c r="CK66" s="1381" t="str">
        <f>IF($CF66&gt;$C$5," ",VLOOKUP($CF66,Unit!$A$7:$BE$68,27,FALSE))</f>
        <v xml:space="preserve"> </v>
      </c>
      <c r="CL66" s="1027" t="str">
        <f>IF($CF66&gt;$C$5," ",VLOOKUP($CF66,Unit!$A$7:$BE$68,28,FALSE))</f>
        <v xml:space="preserve"> </v>
      </c>
      <c r="CM66" s="1027" t="str">
        <f>IF($CF66&gt;$C$5," ",VLOOKUP($CF66,Unit!$A$7:$BE$68,29,FALSE))</f>
        <v xml:space="preserve"> </v>
      </c>
      <c r="CN66" s="1027" t="str">
        <f>IF($CF66&gt;$C$5," ",VLOOKUP($CF66,Unit!$A$7:$BE$68,30,FALSE))</f>
        <v xml:space="preserve"> </v>
      </c>
      <c r="CO66" s="1027" t="str">
        <f>IF($CF66&gt;$C$5," ",VLOOKUP($CF66,Unit!$A$7:$BE$68,31,FALSE))</f>
        <v xml:space="preserve"> </v>
      </c>
      <c r="CP66" s="1027" t="str">
        <f>IF($CF66&gt;$C$5," ",VLOOKUP($CF66,Unit!$A$7:$BE$68,32,FALSE))</f>
        <v xml:space="preserve"> </v>
      </c>
      <c r="CQ66" s="1381" t="str">
        <f>IF($CF66&gt;$C$5," ",VLOOKUP($CF66,Unit!$A$7:$BE$68,33,FALSE))</f>
        <v xml:space="preserve"> </v>
      </c>
      <c r="CR66" s="1027" t="str">
        <f>IF($CF66&gt;$C$5," ",VLOOKUP($CF66,Unit!$A$7:$BE$68,34,FALSE))</f>
        <v xml:space="preserve"> </v>
      </c>
      <c r="CS66" s="1027" t="str">
        <f>IF($CF66&gt;$C$5," ",VLOOKUP($CF66,Unit!$A$7:$BE$68,35,FALSE))</f>
        <v xml:space="preserve"> </v>
      </c>
      <c r="CT66" s="1027" t="str">
        <f>IF($CF66&gt;$C$5," ",VLOOKUP($CF66,Unit!$A$7:$BE$68,36,FALSE))</f>
        <v xml:space="preserve"> </v>
      </c>
      <c r="CU66" s="1189" t="str">
        <f t="shared" si="20"/>
        <v xml:space="preserve"> </v>
      </c>
      <c r="CV66" s="1027" t="str">
        <f>IF($CF66&gt;$C$5," ",VLOOKUP($CF66,Unit!$A$7:$BA$68,43,FALSE))</f>
        <v xml:space="preserve"> </v>
      </c>
      <c r="CW66" s="1027" t="str">
        <f>IF($CF66&gt;$C$5," ",VLOOKUP($CF66,Unit!$A$7:$BB$68,44,FALSE))</f>
        <v xml:space="preserve"> </v>
      </c>
      <c r="CX66" s="1189" t="str">
        <f>IF($CF66&gt;$C$5," ",VLOOKUP($CF66,Unit!$A$7:$BE$68,47,FALSE))</f>
        <v xml:space="preserve"> </v>
      </c>
      <c r="CY66" s="1381" t="str">
        <f>IF($CF66&gt;$C$5," ",VLOOKUP($CF66,Unit!$A$7:$BA$68,53,FALSE))</f>
        <v xml:space="preserve"> </v>
      </c>
      <c r="CZ66" s="1027" t="str">
        <f>IF($CF66&gt;$C$5," ",VLOOKUP($CF66,Unit!$A$7:$BB$68,54,FALSE))</f>
        <v xml:space="preserve"> </v>
      </c>
      <c r="DA66" s="1189" t="str">
        <f>IF($CF66&gt;$C$5," ",VLOOKUP($CF66,Unit!$A$7:$BE$68,57,FALSE))</f>
        <v xml:space="preserve"> </v>
      </c>
    </row>
    <row r="67" spans="1:105" x14ac:dyDescent="0.25">
      <c r="A67" s="38">
        <v>48</v>
      </c>
      <c r="B67" s="1381" t="str">
        <f>IF($A67&gt;$C$5," ",VLOOKUP($A67,Plot!$A$7:$T$67,Plot!P$2,FALSE))</f>
        <v xml:space="preserve"> </v>
      </c>
      <c r="C67" s="1027" t="str">
        <f>IF($A67&gt;$C$5," ",VLOOKUP($A67,Plot!$V$7:$CI$67,Plot!$CA$2,FALSE))</f>
        <v xml:space="preserve"> </v>
      </c>
      <c r="D67" s="1027" t="str">
        <f>IF($A67&gt;$C$5," ",VLOOKUP($A67,Plot!$CK$7:$DD$67,Plot!$CZ$2,FALSE))</f>
        <v xml:space="preserve"> </v>
      </c>
      <c r="E67" s="1027" t="str">
        <f>IF($A67&gt;$C$5," ",VLOOKUP($A67,Plot!$DF$7:$FT$67,Plot!$FL$2,FALSE))</f>
        <v xml:space="preserve"> </v>
      </c>
      <c r="F67" s="1379" t="str">
        <f t="shared" si="25"/>
        <v xml:space="preserve"> </v>
      </c>
      <c r="G67" s="1026" t="str">
        <f>IF($A67&gt;$C$5," ",VLOOKUP($A67,Plot!$V$7:$CG$67,Plot!$CG$2,FALSE))</f>
        <v xml:space="preserve"> </v>
      </c>
      <c r="H67" s="1027" t="str">
        <f>IF($A67&gt;$C$5," ",VLOOKUP($A67,Plot!$DF$7:$FT$67,Plot!$FR$2,FALSE))</f>
        <v xml:space="preserve"> </v>
      </c>
      <c r="I67" s="1379" t="str">
        <f t="shared" si="17"/>
        <v xml:space="preserve"> </v>
      </c>
      <c r="J67" s="1026" t="str">
        <f>IF($A67&gt;$C$5," ",SUM(B$20:$B67))</f>
        <v xml:space="preserve"> </v>
      </c>
      <c r="K67" s="1027" t="str">
        <f>IF($A67&gt;$C$5," ",SUM($C$20:C67))</f>
        <v xml:space="preserve"> </v>
      </c>
      <c r="L67" s="1027" t="str">
        <f>IF($A67&gt;$C$5," ",SUM($D$20:D67))</f>
        <v xml:space="preserve"> </v>
      </c>
      <c r="M67" s="1027" t="str">
        <f>IF($A67&gt;$C$5," ",SUM($E$20:E67))</f>
        <v xml:space="preserve"> </v>
      </c>
      <c r="N67" s="1379" t="str">
        <f>IF($A67&gt;$C$5," ",SUM($F$20:F67))</f>
        <v xml:space="preserve"> </v>
      </c>
      <c r="O67" s="1027" t="str">
        <f>IF($A67&gt;$C$5," ",SUM($G$20:G67))</f>
        <v xml:space="preserve"> </v>
      </c>
      <c r="P67" s="1027" t="str">
        <f>IF($A67&gt;$C$5," ",SUM($H$20:H67))</f>
        <v xml:space="preserve"> </v>
      </c>
      <c r="Q67" s="1027" t="str">
        <f>IF($A67&gt;$C$5," ",SUM($I$20:I67))</f>
        <v xml:space="preserve"> </v>
      </c>
      <c r="R67" s="1026"/>
      <c r="S67" s="1027"/>
      <c r="T67" s="1027"/>
      <c r="U67" s="1027"/>
      <c r="V67" s="1379"/>
      <c r="W67" s="1027" t="str">
        <f>IF($A67&gt;$C$5," ",VLOOKUP($A67,Plot!$HM$7:$IA$67,Plot!$HR$2,FALSE))</f>
        <v xml:space="preserve"> </v>
      </c>
      <c r="X67" s="1027" t="str">
        <f>IF($A67&gt;$C$5," ",VLOOKUP($A67,Plot!$HM$7:$IA$67,Plot!$HS$2,FALSE))</f>
        <v xml:space="preserve"> </v>
      </c>
      <c r="Y67" s="1379" t="str">
        <f t="shared" si="18"/>
        <v xml:space="preserve"> </v>
      </c>
      <c r="Z67" s="1026" t="str">
        <f>IF($A67&gt;$C$5," ",SUM($B$20:B67))</f>
        <v xml:space="preserve"> </v>
      </c>
      <c r="AA67" s="1027" t="str">
        <f>IF($A67&gt;$C$5," ",SUM($C$20:C67))</f>
        <v xml:space="preserve"> </v>
      </c>
      <c r="AB67" s="1027" t="str">
        <f>IF($A67&gt;$C$5," ",SUM($D$20:D67))</f>
        <v xml:space="preserve"> </v>
      </c>
      <c r="AC67" s="1027" t="str">
        <f>IF($A67&gt;$C$5," ",SUM($E$20:E67))</f>
        <v xml:space="preserve"> </v>
      </c>
      <c r="AD67" s="1379" t="str">
        <f t="shared" si="22"/>
        <v xml:space="preserve"> </v>
      </c>
      <c r="AE67" s="1027" t="str">
        <f>IF($A67&gt;$C$5," ",SUM($W$20:W67))</f>
        <v xml:space="preserve"> </v>
      </c>
      <c r="AF67" s="1027" t="str">
        <f>IF($A67&gt;$C$5," ",SUM($X$20:X67))</f>
        <v xml:space="preserve"> </v>
      </c>
      <c r="AG67" s="1027" t="str">
        <f t="shared" si="23"/>
        <v xml:space="preserve"> </v>
      </c>
      <c r="AH67" s="1394" t="str">
        <f>IF($A67&gt;$C$5," ",VLOOKUP($A67,Plot!$A$7:$D$67,4,FALSE))</f>
        <v xml:space="preserve"> </v>
      </c>
      <c r="AI67" s="1390" t="str">
        <f>IF($A67&gt;$C$5," ",VLOOKUP($A67,Plot!$A$7:$E$67,5,FALSE))</f>
        <v xml:space="preserve"> </v>
      </c>
      <c r="AJ67" s="1390" t="str">
        <f ca="1">IF($A67&gt;$C$5," ",IF(ROW()-ROW($A$18)&gt;='Options and results'!$AR$56,AVERAGE(OFFSET(AI67,0,0,COUNTA($BS:$BS)-'Options and results'!$AR$56,1)),NA()))</f>
        <v xml:space="preserve"> </v>
      </c>
      <c r="AK67" s="1395" t="str">
        <f>IF($A67&gt;$C$5," ",VLOOKUP($A67,Plot!$A$7:$F$67,6,FALSE))</f>
        <v xml:space="preserve"> </v>
      </c>
      <c r="AL67" s="1390" t="str">
        <f>IF($A67&gt;$C$5," ",VLOOKUP($A67,Plot!$CK$7:$CN$67,4,FALSE))</f>
        <v xml:space="preserve"> </v>
      </c>
      <c r="AM67" s="1390" t="str">
        <f>IF($A67&gt;$C$5," ",AL67*VLOOKUP($A67,Plot!$CK$7:$CO$67,5,FALSE))</f>
        <v xml:space="preserve"> </v>
      </c>
      <c r="AN67" s="1390" t="str">
        <f ca="1">IF($A67&gt;$C$5," ",IF(ROW()-ROW($A$18)&gt;='Options and results'!$AR$56,AVERAGE(OFFSET(AM67,0,0,COUNTA($BS:$BS)-'Options and results'!$AR$56,1)),NA()))</f>
        <v xml:space="preserve"> </v>
      </c>
      <c r="AO67" s="1390" t="str">
        <f>IF($A67&gt;$C$5," ",VLOOKUP($A67,Plot!$CK$7:$CP$67,6,FALSE))</f>
        <v xml:space="preserve"> </v>
      </c>
      <c r="AP67" s="1409">
        <f>IF($A67&gt;$C$5,0,VLOOKUP($A67,Plot!$V$7:$AH$67,7,FALSE))</f>
        <v>0</v>
      </c>
      <c r="AQ67" s="1390" t="str">
        <f>IF($A67&gt;$C$5," ",VLOOKUP($A67,Plot!$V$7:$AH$67,13,FALSE))</f>
        <v xml:space="preserve"> </v>
      </c>
      <c r="AR67" s="1390" t="str">
        <f>IF($A67&gt;$C$5," ",VLOOKUP($A67,Plot!$V$7:$AI$67,14,FALSE))</f>
        <v xml:space="preserve"> </v>
      </c>
      <c r="AS67" s="1390" t="str">
        <f>IF($A67&gt;$C$5," ",VLOOKUP($A67,Plot!$V$7:$AJ$67,15,FALSE))</f>
        <v xml:space="preserve"> </v>
      </c>
      <c r="AT67" s="1390" t="str">
        <f>IF($A67&gt;$C$5," ",AQ67+SUM($AS$20:AS67)+IF(AP68=0,-AQ67,0))</f>
        <v xml:space="preserve"> </v>
      </c>
      <c r="AU67" s="1390" t="str">
        <f>IF($A67&gt;$C$5," ",VLOOKUP($A67,Plot!$V$7:$AL$67,Plot!$AL$2,FALSE))</f>
        <v xml:space="preserve"> </v>
      </c>
      <c r="AV67" s="1395" t="str">
        <f>IF($A67&gt;$C$5," ",VLOOKUP($A67,Plot!$V$7:$AM$67,Plot!$AM$2,FALSE))</f>
        <v xml:space="preserve"> </v>
      </c>
      <c r="AW67" s="1407">
        <f>IF($A67&gt;$C$5,0,VLOOKUP($A67,Plot!$DF$7:$DS$67,7,FALSE))</f>
        <v>0</v>
      </c>
      <c r="AX67" s="1390" t="str">
        <f>IF($A67&gt;$C$5," ",VLOOKUP($A67,Plot!$DF$7:$DS$67,14,FALSE))</f>
        <v xml:space="preserve"> </v>
      </c>
      <c r="AY67" s="1390" t="str">
        <f>IF($A67&gt;$C$5," ",VLOOKUP($A67,Plot!$DF$7:$DT$67,15,FALSE))</f>
        <v xml:space="preserve"> </v>
      </c>
      <c r="AZ67" s="1390" t="str">
        <f>IF($A67&gt;$C$5," ",VLOOKUP($A67,Plot!$DF$7:$DU$67,16,FALSE))</f>
        <v xml:space="preserve"> </v>
      </c>
      <c r="BA67" s="1390" t="str">
        <f>IF($A67&gt;$C$5," ",AX67+SUM($AZ$20:AZ67)+IF(AW68=0,-AX67,0))</f>
        <v xml:space="preserve"> </v>
      </c>
      <c r="BB67" s="1390" t="str">
        <f>IF($A67&gt;$C$5," ",VLOOKUP($A67,Plot!$DF$7:$DW$67,Plot!$DW$2,FALSE))</f>
        <v xml:space="preserve"> </v>
      </c>
      <c r="BC67" s="1390" t="str">
        <f>IF($A67&gt;$C$5," ",VLOOKUP($A67,Plot!$DF$7:$DX$67,Plot!$DX$2,FALSE))</f>
        <v xml:space="preserve"> </v>
      </c>
      <c r="BD67" s="1396" t="str">
        <f>IF($A67&gt;$C$5," ",VLOOKUP($A67,Plot!$A$7:$N$67,14,FALSE))</f>
        <v xml:space="preserve"> </v>
      </c>
      <c r="BE67" s="303" t="str">
        <f>IF($A67&gt;$C$5," ",VLOOKUP($A67,Plot!$V$7:$BW$67,Plot!$BW$2,FALSE))</f>
        <v xml:space="preserve"> </v>
      </c>
      <c r="BF67" s="303" t="str">
        <f>IF($A67&gt;$C$5," ",VLOOKUP($A67,Plot!$CK$7:$CX$67,14,FALSE))</f>
        <v xml:space="preserve"> </v>
      </c>
      <c r="BG67" s="303" t="str">
        <f>IF($A67&gt;$C$5," ",VLOOKUP($A67,Plot!$DF$7:$FH$67,Plot!$FH$2,FALSE))</f>
        <v xml:space="preserve"> </v>
      </c>
      <c r="BH67" s="1397" t="str">
        <f t="shared" si="24"/>
        <v xml:space="preserve"> </v>
      </c>
      <c r="BI67" s="303" t="str">
        <f>IF($A67&gt;$C$5," ",VLOOKUP($A67,Plot!$DF$7:$EJ$67,29,FALSE))</f>
        <v xml:space="preserve"> </v>
      </c>
      <c r="BJ67" s="303" t="str">
        <f>IF($A67&gt;$C$5," ",VLOOKUP($A67,Plot!$DF$7:$FT$67,30,FALSE))</f>
        <v xml:space="preserve"> </v>
      </c>
      <c r="BK67" s="303" t="str">
        <f>IF($A67&gt;$C$5," ",VLOOKUP($A67,Plot!$DF$7:$FT$67,Plot!$EL$2,FALSE))</f>
        <v xml:space="preserve"> </v>
      </c>
      <c r="BL67" s="303" t="str">
        <f>IF($A67&gt;$C$5," ",VLOOKUP($A67,Plot!$DF$7:$FT$67,Plot!$EM$2,FALSE))</f>
        <v xml:space="preserve"> </v>
      </c>
      <c r="BM67" s="303" t="str">
        <f>IF($A67&gt;$C$5," ",VLOOKUP($A67,Plot!$DF$7:$FT$67,Plot!$EN$2,FALSE))</f>
        <v xml:space="preserve"> </v>
      </c>
      <c r="BN67" s="303" t="str">
        <f>IF($A67&gt;$C$5," ",VLOOKUP($A67,Plot!$DF$7:$FT$67,Plot!$EO$2,FALSE))</f>
        <v xml:space="preserve"> </v>
      </c>
      <c r="BO67" s="303" t="str">
        <f t="shared" si="19"/>
        <v xml:space="preserve"> </v>
      </c>
      <c r="BP67" s="303" t="str">
        <f>IF($A67&gt;$C$5," ",VLOOKUP($A67,Plot!$DF$7:$FT$67,Plot!$EQ$2,FALSE))</f>
        <v xml:space="preserve"> </v>
      </c>
      <c r="BQ67" s="303" t="str">
        <f>IF($A67&gt;$C$5," ",(VLOOKUP($A67,Plot!$DF$7:$FT$67,Plot!$ES$2,FALSE)+VLOOKUP($A67,Plot!$DF$7:$FT$67,Plot!$ET$2,FALSE)))</f>
        <v xml:space="preserve"> </v>
      </c>
      <c r="BR67" s="303" t="str">
        <f>IF($A67&gt;$C$5," ",(VLOOKUP($A67,Plot!$DF$7:$FT$67,Plot!$EV$2,FALSE)+VLOOKUP($A67,Plot!$DF$7:$FT$67,Plot!$EW$2,FALSE)))</f>
        <v xml:space="preserve"> </v>
      </c>
      <c r="BS67" s="303" t="str">
        <f>IF($A67&gt;$C$5," ",VLOOKUP($A67,Plot!$DF$7:$FT$67,Plot!$EY$2,FALSE))</f>
        <v xml:space="preserve"> </v>
      </c>
      <c r="BT67" s="303" t="str">
        <f>IF($A67&gt;$C$5," ",(VLOOKUP($A67,Plot!$DF$7:$FT$67,Plot!$FB$2,FALSE)+VLOOKUP($A67,Plot!$DF$7:$FT$67,Plot!$FC$2,FALSE)))</f>
        <v xml:space="preserve"> </v>
      </c>
      <c r="BU67" s="303" t="str">
        <f>IF($A67&gt;$C$5," ",(VLOOKUP($A67,Plot!$DF$7:$FT$67,Plot!$FE$2,FALSE)+VLOOKUP($A67,Plot!$DF$7:$FT$67,Plot!$FF$2,FALSE)))</f>
        <v xml:space="preserve"> </v>
      </c>
      <c r="BV67" s="1026" t="str">
        <f>IF($A67&gt;$C$5," ",VLOOKUP($A67,Plot!$FV$7:$GJ$67,2,FALSE))</f>
        <v xml:space="preserve"> </v>
      </c>
      <c r="BW67" s="1027" t="str">
        <f>IF($A67&gt;$C$5," ",VLOOKUP($A67,Plot!$FV$7:$GJ$67,3,FALSE))</f>
        <v xml:space="preserve"> </v>
      </c>
      <c r="BX67" s="1379" t="str">
        <f>IF($A67&gt;$C$5," ",VLOOKUP($A67,Plot!$FV$7:$GJ$67,6,FALSE))</f>
        <v xml:space="preserve"> </v>
      </c>
      <c r="BY67" s="1026" t="str">
        <f>IF($A67&gt;$C$5," ",VLOOKUP($A67,Plot!$GO$7:$GY$67,2,FALSE))</f>
        <v xml:space="preserve"> </v>
      </c>
      <c r="BZ67" s="1027" t="str">
        <f>IF($A67&gt;$C$5," ",VLOOKUP($A67,Plot!$GO$7:$GY$67,3,FALSE))</f>
        <v xml:space="preserve"> </v>
      </c>
      <c r="CA67" s="1379" t="str">
        <f>IF($A67&gt;$C$5," ",VLOOKUP($A67,Plot!$GO$7:$GY$67,6,FALSE))</f>
        <v xml:space="preserve"> </v>
      </c>
      <c r="CB67" s="1027" t="str">
        <f>IF($A67&gt;$C$5," ",-1*VLOOKUP($A67,Plot!$HA$7:$HK$67,2,FALSE))</f>
        <v xml:space="preserve"> </v>
      </c>
      <c r="CC67" s="1027" t="str">
        <f>IF($A67&gt;$C$5," ",-1*VLOOKUP($A67,Plot!$HA$7:$HK$67,3,FALSE))</f>
        <v xml:space="preserve"> </v>
      </c>
      <c r="CD67" s="1189" t="str">
        <f>IF($A67&gt;$C$5," ",-1*VLOOKUP($A67,Plot!$HA$7:$HK$67,6,FALSE))</f>
        <v xml:space="preserve"> </v>
      </c>
      <c r="CE67" s="10"/>
      <c r="CF67" s="38">
        <v>48</v>
      </c>
      <c r="CG67" s="1381" t="str">
        <f>IF($CF67&gt;$C$5," ",VLOOKUP($CF67,Unit!$A$7:$BE$68,22,FALSE))</f>
        <v xml:space="preserve"> </v>
      </c>
      <c r="CH67" s="1027" t="str">
        <f>IF($CF67&gt;$C$5," ",VLOOKUP($CF67,Unit!$A$7:$BE$68,23,FALSE))</f>
        <v xml:space="preserve"> </v>
      </c>
      <c r="CI67" s="1027" t="str">
        <f>IF($CF67&gt;$C$5," ",VLOOKUP($CF67,Unit!$A$7:$BE$68,24,FALSE))</f>
        <v xml:space="preserve"> </v>
      </c>
      <c r="CJ67" s="1189" t="str">
        <f>IF($CF67&gt;$C$5," ",VLOOKUP($CF67,Unit!$A$7:$BE$68,25,FALSE))</f>
        <v xml:space="preserve"> </v>
      </c>
      <c r="CK67" s="1381" t="str">
        <f>IF($CF67&gt;$C$5," ",VLOOKUP($CF67,Unit!$A$7:$BE$68,27,FALSE))</f>
        <v xml:space="preserve"> </v>
      </c>
      <c r="CL67" s="1027" t="str">
        <f>IF($CF67&gt;$C$5," ",VLOOKUP($CF67,Unit!$A$7:$BE$68,28,FALSE))</f>
        <v xml:space="preserve"> </v>
      </c>
      <c r="CM67" s="1027" t="str">
        <f>IF($CF67&gt;$C$5," ",VLOOKUP($CF67,Unit!$A$7:$BE$68,29,FALSE))</f>
        <v xml:space="preserve"> </v>
      </c>
      <c r="CN67" s="1027" t="str">
        <f>IF($CF67&gt;$C$5," ",VLOOKUP($CF67,Unit!$A$7:$BE$68,30,FALSE))</f>
        <v xml:space="preserve"> </v>
      </c>
      <c r="CO67" s="1027" t="str">
        <f>IF($CF67&gt;$C$5," ",VLOOKUP($CF67,Unit!$A$7:$BE$68,31,FALSE))</f>
        <v xml:space="preserve"> </v>
      </c>
      <c r="CP67" s="1027" t="str">
        <f>IF($CF67&gt;$C$5," ",VLOOKUP($CF67,Unit!$A$7:$BE$68,32,FALSE))</f>
        <v xml:space="preserve"> </v>
      </c>
      <c r="CQ67" s="1381" t="str">
        <f>IF($CF67&gt;$C$5," ",VLOOKUP($CF67,Unit!$A$7:$BE$68,33,FALSE))</f>
        <v xml:space="preserve"> </v>
      </c>
      <c r="CR67" s="1027" t="str">
        <f>IF($CF67&gt;$C$5," ",VLOOKUP($CF67,Unit!$A$7:$BE$68,34,FALSE))</f>
        <v xml:space="preserve"> </v>
      </c>
      <c r="CS67" s="1027" t="str">
        <f>IF($CF67&gt;$C$5," ",VLOOKUP($CF67,Unit!$A$7:$BE$68,35,FALSE))</f>
        <v xml:space="preserve"> </v>
      </c>
      <c r="CT67" s="1027" t="str">
        <f>IF($CF67&gt;$C$5," ",VLOOKUP($CF67,Unit!$A$7:$BE$68,36,FALSE))</f>
        <v xml:space="preserve"> </v>
      </c>
      <c r="CU67" s="1189" t="str">
        <f t="shared" si="20"/>
        <v xml:space="preserve"> </v>
      </c>
      <c r="CV67" s="1027" t="str">
        <f>IF($CF67&gt;$C$5," ",VLOOKUP($CF67,Unit!$A$7:$BA$68,43,FALSE))</f>
        <v xml:space="preserve"> </v>
      </c>
      <c r="CW67" s="1027" t="str">
        <f>IF($CF67&gt;$C$5," ",VLOOKUP($CF67,Unit!$A$7:$BB$68,44,FALSE))</f>
        <v xml:space="preserve"> </v>
      </c>
      <c r="CX67" s="1189" t="str">
        <f>IF($CF67&gt;$C$5," ",VLOOKUP($CF67,Unit!$A$7:$BE$68,47,FALSE))</f>
        <v xml:space="preserve"> </v>
      </c>
      <c r="CY67" s="1381" t="str">
        <f>IF($CF67&gt;$C$5," ",VLOOKUP($CF67,Unit!$A$7:$BA$68,53,FALSE))</f>
        <v xml:space="preserve"> </v>
      </c>
      <c r="CZ67" s="1027" t="str">
        <f>IF($CF67&gt;$C$5," ",VLOOKUP($CF67,Unit!$A$7:$BB$68,54,FALSE))</f>
        <v xml:space="preserve"> </v>
      </c>
      <c r="DA67" s="1189" t="str">
        <f>IF($CF67&gt;$C$5," ",VLOOKUP($CF67,Unit!$A$7:$BE$68,57,FALSE))</f>
        <v xml:space="preserve"> </v>
      </c>
    </row>
    <row r="68" spans="1:105" x14ac:dyDescent="0.25">
      <c r="A68" s="38">
        <v>49</v>
      </c>
      <c r="B68" s="1381" t="str">
        <f>IF($A68&gt;$C$5," ",VLOOKUP($A68,Plot!$A$7:$T$67,Plot!P$2,FALSE))</f>
        <v xml:space="preserve"> </v>
      </c>
      <c r="C68" s="1027" t="str">
        <f>IF($A68&gt;$C$5," ",VLOOKUP($A68,Plot!$V$7:$CI$67,Plot!$CA$2,FALSE))</f>
        <v xml:space="preserve"> </v>
      </c>
      <c r="D68" s="1027" t="str">
        <f>IF($A68&gt;$C$5," ",VLOOKUP($A68,Plot!$CK$7:$DD$67,Plot!$CZ$2,FALSE))</f>
        <v xml:space="preserve"> </v>
      </c>
      <c r="E68" s="1027" t="str">
        <f>IF($A68&gt;$C$5," ",VLOOKUP($A68,Plot!$DF$7:$FT$67,Plot!$FL$2,FALSE))</f>
        <v xml:space="preserve"> </v>
      </c>
      <c r="F68" s="1379" t="str">
        <f t="shared" si="25"/>
        <v xml:space="preserve"> </v>
      </c>
      <c r="G68" s="1026" t="str">
        <f>IF($A68&gt;$C$5," ",VLOOKUP($A68,Plot!$V$7:$CG$67,Plot!$CG$2,FALSE))</f>
        <v xml:space="preserve"> </v>
      </c>
      <c r="H68" s="1027" t="str">
        <f>IF($A68&gt;$C$5," ",VLOOKUP($A68,Plot!$DF$7:$FT$67,Plot!$FR$2,FALSE))</f>
        <v xml:space="preserve"> </v>
      </c>
      <c r="I68" s="1379" t="str">
        <f t="shared" si="17"/>
        <v xml:space="preserve"> </v>
      </c>
      <c r="J68" s="1026" t="str">
        <f>IF($A68&gt;$C$5," ",SUM(B$20:$B68))</f>
        <v xml:space="preserve"> </v>
      </c>
      <c r="K68" s="1027" t="str">
        <f>IF($A68&gt;$C$5," ",SUM($C$20:C68))</f>
        <v xml:space="preserve"> </v>
      </c>
      <c r="L68" s="1027" t="str">
        <f>IF($A68&gt;$C$5," ",SUM($D$20:D68))</f>
        <v xml:space="preserve"> </v>
      </c>
      <c r="M68" s="1027" t="str">
        <f>IF($A68&gt;$C$5," ",SUM($E$20:E68))</f>
        <v xml:space="preserve"> </v>
      </c>
      <c r="N68" s="1379" t="str">
        <f>IF($A68&gt;$C$5," ",SUM($F$20:F68))</f>
        <v xml:space="preserve"> </v>
      </c>
      <c r="O68" s="1027" t="str">
        <f>IF($A68&gt;$C$5," ",SUM($G$20:G68))</f>
        <v xml:space="preserve"> </v>
      </c>
      <c r="P68" s="1027" t="str">
        <f>IF($A68&gt;$C$5," ",SUM($H$20:H68))</f>
        <v xml:space="preserve"> </v>
      </c>
      <c r="Q68" s="1027" t="str">
        <f>IF($A68&gt;$C$5," ",SUM($I$20:I68))</f>
        <v xml:space="preserve"> </v>
      </c>
      <c r="R68" s="1026"/>
      <c r="S68" s="1027"/>
      <c r="T68" s="1027"/>
      <c r="U68" s="1027"/>
      <c r="V68" s="1379"/>
      <c r="W68" s="1027" t="str">
        <f>IF($A68&gt;$C$5," ",VLOOKUP($A68,Plot!$HM$7:$IA$67,Plot!$HR$2,FALSE))</f>
        <v xml:space="preserve"> </v>
      </c>
      <c r="X68" s="1027" t="str">
        <f>IF($A68&gt;$C$5," ",VLOOKUP($A68,Plot!$HM$7:$IA$67,Plot!$HS$2,FALSE))</f>
        <v xml:space="preserve"> </v>
      </c>
      <c r="Y68" s="1379" t="str">
        <f t="shared" si="18"/>
        <v xml:space="preserve"> </v>
      </c>
      <c r="Z68" s="1026" t="str">
        <f>IF($A68&gt;$C$5," ",SUM($B$20:B68))</f>
        <v xml:space="preserve"> </v>
      </c>
      <c r="AA68" s="1027" t="str">
        <f>IF($A68&gt;$C$5," ",SUM($C$20:C68))</f>
        <v xml:space="preserve"> </v>
      </c>
      <c r="AB68" s="1027" t="str">
        <f>IF($A68&gt;$C$5," ",SUM($D$20:D68))</f>
        <v xml:space="preserve"> </v>
      </c>
      <c r="AC68" s="1027" t="str">
        <f>IF($A68&gt;$C$5," ",SUM($E$20:E68))</f>
        <v xml:space="preserve"> </v>
      </c>
      <c r="AD68" s="1379" t="str">
        <f t="shared" si="22"/>
        <v xml:space="preserve"> </v>
      </c>
      <c r="AE68" s="1027" t="str">
        <f>IF($A68&gt;$C$5," ",SUM($W$20:W68))</f>
        <v xml:space="preserve"> </v>
      </c>
      <c r="AF68" s="1027" t="str">
        <f>IF($A68&gt;$C$5," ",SUM($X$20:X68))</f>
        <v xml:space="preserve"> </v>
      </c>
      <c r="AG68" s="1027" t="str">
        <f t="shared" si="23"/>
        <v xml:space="preserve"> </v>
      </c>
      <c r="AH68" s="1394" t="str">
        <f>IF($A68&gt;$C$5," ",VLOOKUP($A68,Plot!$A$7:$D$67,4,FALSE))</f>
        <v xml:space="preserve"> </v>
      </c>
      <c r="AI68" s="1390" t="str">
        <f>IF($A68&gt;$C$5," ",VLOOKUP($A68,Plot!$A$7:$E$67,5,FALSE))</f>
        <v xml:space="preserve"> </v>
      </c>
      <c r="AJ68" s="1390" t="str">
        <f ca="1">IF($A68&gt;$C$5," ",IF(ROW()-ROW($A$18)&gt;='Options and results'!$AR$56,AVERAGE(OFFSET(AI68,0,0,COUNTA($BS:$BS)-'Options and results'!$AR$56,1)),NA()))</f>
        <v xml:space="preserve"> </v>
      </c>
      <c r="AK68" s="1395" t="str">
        <f>IF($A68&gt;$C$5," ",VLOOKUP($A68,Plot!$A$7:$F$67,6,FALSE))</f>
        <v xml:space="preserve"> </v>
      </c>
      <c r="AL68" s="1390" t="str">
        <f>IF($A68&gt;$C$5," ",VLOOKUP($A68,Plot!$CK$7:$CN$67,4,FALSE))</f>
        <v xml:space="preserve"> </v>
      </c>
      <c r="AM68" s="1390" t="str">
        <f>IF($A68&gt;$C$5," ",AL68*VLOOKUP($A68,Plot!$CK$7:$CO$67,5,FALSE))</f>
        <v xml:space="preserve"> </v>
      </c>
      <c r="AN68" s="1390" t="str">
        <f ca="1">IF($A68&gt;$C$5," ",IF(ROW()-ROW($A$18)&gt;='Options and results'!$AR$56,AVERAGE(OFFSET(AM68,0,0,COUNTA($BS:$BS)-'Options and results'!$AR$56,1)),NA()))</f>
        <v xml:space="preserve"> </v>
      </c>
      <c r="AO68" s="1390" t="str">
        <f>IF($A68&gt;$C$5," ",VLOOKUP($A68,Plot!$CK$7:$CP$67,6,FALSE))</f>
        <v xml:space="preserve"> </v>
      </c>
      <c r="AP68" s="1409">
        <f>IF($A68&gt;$C$5,0,VLOOKUP($A68,Plot!$V$7:$AH$67,7,FALSE))</f>
        <v>0</v>
      </c>
      <c r="AQ68" s="1390" t="str">
        <f>IF($A68&gt;$C$5," ",VLOOKUP($A68,Plot!$V$7:$AH$67,13,FALSE))</f>
        <v xml:space="preserve"> </v>
      </c>
      <c r="AR68" s="1390" t="str">
        <f>IF($A68&gt;$C$5," ",VLOOKUP($A68,Plot!$V$7:$AI$67,14,FALSE))</f>
        <v xml:space="preserve"> </v>
      </c>
      <c r="AS68" s="1390" t="str">
        <f>IF($A68&gt;$C$5," ",VLOOKUP($A68,Plot!$V$7:$AJ$67,15,FALSE))</f>
        <v xml:space="preserve"> </v>
      </c>
      <c r="AT68" s="1390" t="str">
        <f>IF($A68&gt;$C$5," ",AQ68+SUM($AS$20:AS68)+IF(AP69=0,-AQ68,0))</f>
        <v xml:space="preserve"> </v>
      </c>
      <c r="AU68" s="1390" t="str">
        <f>IF($A68&gt;$C$5," ",VLOOKUP($A68,Plot!$V$7:$AL$67,Plot!$AL$2,FALSE))</f>
        <v xml:space="preserve"> </v>
      </c>
      <c r="AV68" s="1395" t="str">
        <f>IF($A68&gt;$C$5," ",VLOOKUP($A68,Plot!$V$7:$AM$67,Plot!$AM$2,FALSE))</f>
        <v xml:space="preserve"> </v>
      </c>
      <c r="AW68" s="1407">
        <f>IF($A68&gt;$C$5,0,VLOOKUP($A68,Plot!$DF$7:$DS$67,7,FALSE))</f>
        <v>0</v>
      </c>
      <c r="AX68" s="1390" t="str">
        <f>IF($A68&gt;$C$5," ",VLOOKUP($A68,Plot!$DF$7:$DS$67,14,FALSE))</f>
        <v xml:space="preserve"> </v>
      </c>
      <c r="AY68" s="1390" t="str">
        <f>IF($A68&gt;$C$5," ",VLOOKUP($A68,Plot!$DF$7:$DT$67,15,FALSE))</f>
        <v xml:space="preserve"> </v>
      </c>
      <c r="AZ68" s="1390" t="str">
        <f>IF($A68&gt;$C$5," ",VLOOKUP($A68,Plot!$DF$7:$DU$67,16,FALSE))</f>
        <v xml:space="preserve"> </v>
      </c>
      <c r="BA68" s="1390" t="str">
        <f>IF($A68&gt;$C$5," ",AX68+SUM($AZ$20:AZ68)+IF(AW69=0,-AX68,0))</f>
        <v xml:space="preserve"> </v>
      </c>
      <c r="BB68" s="1390" t="str">
        <f>IF($A68&gt;$C$5," ",VLOOKUP($A68,Plot!$DF$7:$DW$67,Plot!$DW$2,FALSE))</f>
        <v xml:space="preserve"> </v>
      </c>
      <c r="BC68" s="1390" t="str">
        <f>IF($A68&gt;$C$5," ",VLOOKUP($A68,Plot!$DF$7:$DX$67,Plot!$DX$2,FALSE))</f>
        <v xml:space="preserve"> </v>
      </c>
      <c r="BD68" s="1396" t="str">
        <f>IF($A68&gt;$C$5," ",VLOOKUP($A68,Plot!$A$7:$N$67,14,FALSE))</f>
        <v xml:space="preserve"> </v>
      </c>
      <c r="BE68" s="303" t="str">
        <f>IF($A68&gt;$C$5," ",VLOOKUP($A68,Plot!$V$7:$BW$67,Plot!$BW$2,FALSE))</f>
        <v xml:space="preserve"> </v>
      </c>
      <c r="BF68" s="303" t="str">
        <f>IF($A68&gt;$C$5," ",VLOOKUP($A68,Plot!$CK$7:$CX$67,14,FALSE))</f>
        <v xml:space="preserve"> </v>
      </c>
      <c r="BG68" s="303" t="str">
        <f>IF($A68&gt;$C$5," ",VLOOKUP($A68,Plot!$DF$7:$FH$67,Plot!$FH$2,FALSE))</f>
        <v xml:space="preserve"> </v>
      </c>
      <c r="BH68" s="1397" t="str">
        <f t="shared" si="24"/>
        <v xml:space="preserve"> </v>
      </c>
      <c r="BI68" s="303" t="str">
        <f>IF($A68&gt;$C$5," ",VLOOKUP($A68,Plot!$DF$7:$EJ$67,29,FALSE))</f>
        <v xml:space="preserve"> </v>
      </c>
      <c r="BJ68" s="303" t="str">
        <f>IF($A68&gt;$C$5," ",VLOOKUP($A68,Plot!$DF$7:$FT$67,30,FALSE))</f>
        <v xml:space="preserve"> </v>
      </c>
      <c r="BK68" s="303" t="str">
        <f>IF($A68&gt;$C$5," ",VLOOKUP($A68,Plot!$DF$7:$FT$67,Plot!$EL$2,FALSE))</f>
        <v xml:space="preserve"> </v>
      </c>
      <c r="BL68" s="303" t="str">
        <f>IF($A68&gt;$C$5," ",VLOOKUP($A68,Plot!$DF$7:$FT$67,Plot!$EM$2,FALSE))</f>
        <v xml:space="preserve"> </v>
      </c>
      <c r="BM68" s="303" t="str">
        <f>IF($A68&gt;$C$5," ",VLOOKUP($A68,Plot!$DF$7:$FT$67,Plot!$EN$2,FALSE))</f>
        <v xml:space="preserve"> </v>
      </c>
      <c r="BN68" s="303" t="str">
        <f>IF($A68&gt;$C$5," ",VLOOKUP($A68,Plot!$DF$7:$FT$67,Plot!$EO$2,FALSE))</f>
        <v xml:space="preserve"> </v>
      </c>
      <c r="BO68" s="303" t="str">
        <f t="shared" si="19"/>
        <v xml:space="preserve"> </v>
      </c>
      <c r="BP68" s="303" t="str">
        <f>IF($A68&gt;$C$5," ",VLOOKUP($A68,Plot!$DF$7:$FT$67,Plot!$EQ$2,FALSE))</f>
        <v xml:space="preserve"> </v>
      </c>
      <c r="BQ68" s="303" t="str">
        <f>IF($A68&gt;$C$5," ",(VLOOKUP($A68,Plot!$DF$7:$FT$67,Plot!$ES$2,FALSE)+VLOOKUP($A68,Plot!$DF$7:$FT$67,Plot!$ET$2,FALSE)))</f>
        <v xml:space="preserve"> </v>
      </c>
      <c r="BR68" s="303" t="str">
        <f>IF($A68&gt;$C$5," ",(VLOOKUP($A68,Plot!$DF$7:$FT$67,Plot!$EV$2,FALSE)+VLOOKUP($A68,Plot!$DF$7:$FT$67,Plot!$EW$2,FALSE)))</f>
        <v xml:space="preserve"> </v>
      </c>
      <c r="BS68" s="303" t="str">
        <f>IF($A68&gt;$C$5," ",VLOOKUP($A68,Plot!$DF$7:$FT$67,Plot!$EY$2,FALSE))</f>
        <v xml:space="preserve"> </v>
      </c>
      <c r="BT68" s="303" t="str">
        <f>IF($A68&gt;$C$5," ",(VLOOKUP($A68,Plot!$DF$7:$FT$67,Plot!$FB$2,FALSE)+VLOOKUP($A68,Plot!$DF$7:$FT$67,Plot!$FC$2,FALSE)))</f>
        <v xml:space="preserve"> </v>
      </c>
      <c r="BU68" s="303" t="str">
        <f>IF($A68&gt;$C$5," ",(VLOOKUP($A68,Plot!$DF$7:$FT$67,Plot!$FE$2,FALSE)+VLOOKUP($A68,Plot!$DF$7:$FT$67,Plot!$FF$2,FALSE)))</f>
        <v xml:space="preserve"> </v>
      </c>
      <c r="BV68" s="1026" t="str">
        <f>IF($A68&gt;$C$5," ",VLOOKUP($A68,Plot!$FV$7:$GJ$67,2,FALSE))</f>
        <v xml:space="preserve"> </v>
      </c>
      <c r="BW68" s="1027" t="str">
        <f>IF($A68&gt;$C$5," ",VLOOKUP($A68,Plot!$FV$7:$GJ$67,3,FALSE))</f>
        <v xml:space="preserve"> </v>
      </c>
      <c r="BX68" s="1379" t="str">
        <f>IF($A68&gt;$C$5," ",VLOOKUP($A68,Plot!$FV$7:$GJ$67,6,FALSE))</f>
        <v xml:space="preserve"> </v>
      </c>
      <c r="BY68" s="1026" t="str">
        <f>IF($A68&gt;$C$5," ",VLOOKUP($A68,Plot!$GO$7:$GY$67,2,FALSE))</f>
        <v xml:space="preserve"> </v>
      </c>
      <c r="BZ68" s="1027" t="str">
        <f>IF($A68&gt;$C$5," ",VLOOKUP($A68,Plot!$GO$7:$GY$67,3,FALSE))</f>
        <v xml:space="preserve"> </v>
      </c>
      <c r="CA68" s="1379" t="str">
        <f>IF($A68&gt;$C$5," ",VLOOKUP($A68,Plot!$GO$7:$GY$67,6,FALSE))</f>
        <v xml:space="preserve"> </v>
      </c>
      <c r="CB68" s="1027" t="str">
        <f>IF($A68&gt;$C$5," ",-1*VLOOKUP($A68,Plot!$HA$7:$HK$67,2,FALSE))</f>
        <v xml:space="preserve"> </v>
      </c>
      <c r="CC68" s="1027" t="str">
        <f>IF($A68&gt;$C$5," ",-1*VLOOKUP($A68,Plot!$HA$7:$HK$67,3,FALSE))</f>
        <v xml:space="preserve"> </v>
      </c>
      <c r="CD68" s="1189" t="str">
        <f>IF($A68&gt;$C$5," ",-1*VLOOKUP($A68,Plot!$HA$7:$HK$67,6,FALSE))</f>
        <v xml:space="preserve"> </v>
      </c>
      <c r="CE68" s="10"/>
      <c r="CF68" s="38">
        <v>49</v>
      </c>
      <c r="CG68" s="1381" t="str">
        <f>IF($CF68&gt;$C$5," ",VLOOKUP($CF68,Unit!$A$7:$BE$68,22,FALSE))</f>
        <v xml:space="preserve"> </v>
      </c>
      <c r="CH68" s="1027" t="str">
        <f>IF($CF68&gt;$C$5," ",VLOOKUP($CF68,Unit!$A$7:$BE$68,23,FALSE))</f>
        <v xml:space="preserve"> </v>
      </c>
      <c r="CI68" s="1027" t="str">
        <f>IF($CF68&gt;$C$5," ",VLOOKUP($CF68,Unit!$A$7:$BE$68,24,FALSE))</f>
        <v xml:space="preserve"> </v>
      </c>
      <c r="CJ68" s="1189" t="str">
        <f>IF($CF68&gt;$C$5," ",VLOOKUP($CF68,Unit!$A$7:$BE$68,25,FALSE))</f>
        <v xml:space="preserve"> </v>
      </c>
      <c r="CK68" s="1381" t="str">
        <f>IF($CF68&gt;$C$5," ",VLOOKUP($CF68,Unit!$A$7:$BE$68,27,FALSE))</f>
        <v xml:space="preserve"> </v>
      </c>
      <c r="CL68" s="1027" t="str">
        <f>IF($CF68&gt;$C$5," ",VLOOKUP($CF68,Unit!$A$7:$BE$68,28,FALSE))</f>
        <v xml:space="preserve"> </v>
      </c>
      <c r="CM68" s="1027" t="str">
        <f>IF($CF68&gt;$C$5," ",VLOOKUP($CF68,Unit!$A$7:$BE$68,29,FALSE))</f>
        <v xml:space="preserve"> </v>
      </c>
      <c r="CN68" s="1027" t="str">
        <f>IF($CF68&gt;$C$5," ",VLOOKUP($CF68,Unit!$A$7:$BE$68,30,FALSE))</f>
        <v xml:space="preserve"> </v>
      </c>
      <c r="CO68" s="1027" t="str">
        <f>IF($CF68&gt;$C$5," ",VLOOKUP($CF68,Unit!$A$7:$BE$68,31,FALSE))</f>
        <v xml:space="preserve"> </v>
      </c>
      <c r="CP68" s="1027" t="str">
        <f>IF($CF68&gt;$C$5," ",VLOOKUP($CF68,Unit!$A$7:$BE$68,32,FALSE))</f>
        <v xml:space="preserve"> </v>
      </c>
      <c r="CQ68" s="1381" t="str">
        <f>IF($CF68&gt;$C$5," ",VLOOKUP($CF68,Unit!$A$7:$BE$68,33,FALSE))</f>
        <v xml:space="preserve"> </v>
      </c>
      <c r="CR68" s="1027" t="str">
        <f>IF($CF68&gt;$C$5," ",VLOOKUP($CF68,Unit!$A$7:$BE$68,34,FALSE))</f>
        <v xml:space="preserve"> </v>
      </c>
      <c r="CS68" s="1027" t="str">
        <f>IF($CF68&gt;$C$5," ",VLOOKUP($CF68,Unit!$A$7:$BE$68,35,FALSE))</f>
        <v xml:space="preserve"> </v>
      </c>
      <c r="CT68" s="1027" t="str">
        <f>IF($CF68&gt;$C$5," ",VLOOKUP($CF68,Unit!$A$7:$BE$68,36,FALSE))</f>
        <v xml:space="preserve"> </v>
      </c>
      <c r="CU68" s="1189" t="str">
        <f t="shared" si="20"/>
        <v xml:space="preserve"> </v>
      </c>
      <c r="CV68" s="1027" t="str">
        <f>IF($CF68&gt;$C$5," ",VLOOKUP($CF68,Unit!$A$7:$BA$68,43,FALSE))</f>
        <v xml:space="preserve"> </v>
      </c>
      <c r="CW68" s="1027" t="str">
        <f>IF($CF68&gt;$C$5," ",VLOOKUP($CF68,Unit!$A$7:$BB$68,44,FALSE))</f>
        <v xml:space="preserve"> </v>
      </c>
      <c r="CX68" s="1189" t="str">
        <f>IF($CF68&gt;$C$5," ",VLOOKUP($CF68,Unit!$A$7:$BE$68,47,FALSE))</f>
        <v xml:space="preserve"> </v>
      </c>
      <c r="CY68" s="1381" t="str">
        <f>IF($CF68&gt;$C$5," ",VLOOKUP($CF68,Unit!$A$7:$BA$68,53,FALSE))</f>
        <v xml:space="preserve"> </v>
      </c>
      <c r="CZ68" s="1027" t="str">
        <f>IF($CF68&gt;$C$5," ",VLOOKUP($CF68,Unit!$A$7:$BB$68,54,FALSE))</f>
        <v xml:space="preserve"> </v>
      </c>
      <c r="DA68" s="1189" t="str">
        <f>IF($CF68&gt;$C$5," ",VLOOKUP($CF68,Unit!$A$7:$BE$68,57,FALSE))</f>
        <v xml:space="preserve"> </v>
      </c>
    </row>
    <row r="69" spans="1:105" x14ac:dyDescent="0.25">
      <c r="A69" s="38">
        <v>50</v>
      </c>
      <c r="B69" s="1381" t="str">
        <f>IF($A69&gt;$C$5," ",VLOOKUP($A69,Plot!$A$7:$T$67,Plot!P$2,FALSE))</f>
        <v xml:space="preserve"> </v>
      </c>
      <c r="C69" s="1027" t="str">
        <f>IF($A69&gt;$C$5," ",VLOOKUP($A69,Plot!$V$7:$CI$67,Plot!$CA$2,FALSE))</f>
        <v xml:space="preserve"> </v>
      </c>
      <c r="D69" s="1027" t="str">
        <f>IF($A69&gt;$C$5," ",VLOOKUP($A69,Plot!$CK$7:$DD$67,Plot!$CZ$2,FALSE))</f>
        <v xml:space="preserve"> </v>
      </c>
      <c r="E69" s="1027" t="str">
        <f>IF($A69&gt;$C$5," ",VLOOKUP($A69,Plot!$DF$7:$FT$67,Plot!$FL$2,FALSE))</f>
        <v xml:space="preserve"> </v>
      </c>
      <c r="F69" s="1379" t="str">
        <f t="shared" si="25"/>
        <v xml:space="preserve"> </v>
      </c>
      <c r="G69" s="1026" t="str">
        <f>IF($A69&gt;$C$5," ",VLOOKUP($A69,Plot!$V$7:$CG$67,Plot!$CG$2,FALSE))</f>
        <v xml:space="preserve"> </v>
      </c>
      <c r="H69" s="1027" t="str">
        <f>IF($A69&gt;$C$5," ",VLOOKUP($A69,Plot!$DF$7:$FT$67,Plot!$FR$2,FALSE))</f>
        <v xml:space="preserve"> </v>
      </c>
      <c r="I69" s="1379" t="str">
        <f t="shared" si="17"/>
        <v xml:space="preserve"> </v>
      </c>
      <c r="J69" s="1026" t="str">
        <f>IF($A69&gt;$C$5," ",SUM(B$20:$B69))</f>
        <v xml:space="preserve"> </v>
      </c>
      <c r="K69" s="1027" t="str">
        <f>IF($A69&gt;$C$5," ",SUM($C$20:C69))</f>
        <v xml:space="preserve"> </v>
      </c>
      <c r="L69" s="1027" t="str">
        <f>IF($A69&gt;$C$5," ",SUM($D$20:D69))</f>
        <v xml:space="preserve"> </v>
      </c>
      <c r="M69" s="1027" t="str">
        <f>IF($A69&gt;$C$5," ",SUM($E$20:E69))</f>
        <v xml:space="preserve"> </v>
      </c>
      <c r="N69" s="1379" t="str">
        <f>IF($A69&gt;$C$5," ",SUM($F$20:F69))</f>
        <v xml:space="preserve"> </v>
      </c>
      <c r="O69" s="1027" t="str">
        <f>IF($A69&gt;$C$5," ",SUM($G$20:G69))</f>
        <v xml:space="preserve"> </v>
      </c>
      <c r="P69" s="1027" t="str">
        <f>IF($A69&gt;$C$5," ",SUM($H$20:H69))</f>
        <v xml:space="preserve"> </v>
      </c>
      <c r="Q69" s="1027" t="str">
        <f>IF($A69&gt;$C$5," ",SUM($I$20:I69))</f>
        <v xml:space="preserve"> </v>
      </c>
      <c r="R69" s="1026"/>
      <c r="S69" s="1027"/>
      <c r="T69" s="1027"/>
      <c r="U69" s="1027"/>
      <c r="V69" s="1379"/>
      <c r="W69" s="1027" t="str">
        <f>IF($A69&gt;$C$5," ",VLOOKUP($A69,Plot!$HM$7:$IA$67,Plot!$HR$2,FALSE))</f>
        <v xml:space="preserve"> </v>
      </c>
      <c r="X69" s="1027" t="str">
        <f>IF($A69&gt;$C$5," ",VLOOKUP($A69,Plot!$HM$7:$IA$67,Plot!$HS$2,FALSE))</f>
        <v xml:space="preserve"> </v>
      </c>
      <c r="Y69" s="1379" t="str">
        <f t="shared" si="18"/>
        <v xml:space="preserve"> </v>
      </c>
      <c r="Z69" s="1026" t="str">
        <f>IF($A69&gt;$C$5," ",SUM($B$20:B69))</f>
        <v xml:space="preserve"> </v>
      </c>
      <c r="AA69" s="1027" t="str">
        <f>IF($A69&gt;$C$5," ",SUM($C$20:C69))</f>
        <v xml:space="preserve"> </v>
      </c>
      <c r="AB69" s="1027" t="str">
        <f>IF($A69&gt;$C$5," ",SUM($D$20:D69))</f>
        <v xml:space="preserve"> </v>
      </c>
      <c r="AC69" s="1027" t="str">
        <f>IF($A69&gt;$C$5," ",SUM($E$20:E69))</f>
        <v xml:space="preserve"> </v>
      </c>
      <c r="AD69" s="1379" t="str">
        <f t="shared" si="22"/>
        <v xml:space="preserve"> </v>
      </c>
      <c r="AE69" s="1027" t="str">
        <f>IF($A69&gt;$C$5," ",SUM($W$20:W69))</f>
        <v xml:space="preserve"> </v>
      </c>
      <c r="AF69" s="1027" t="str">
        <f>IF($A69&gt;$C$5," ",SUM($X$20:X69))</f>
        <v xml:space="preserve"> </v>
      </c>
      <c r="AG69" s="1027" t="str">
        <f t="shared" si="23"/>
        <v xml:space="preserve"> </v>
      </c>
      <c r="AH69" s="1394" t="str">
        <f>IF($A69&gt;$C$5," ",VLOOKUP($A69,Plot!$A$7:$D$67,4,FALSE))</f>
        <v xml:space="preserve"> </v>
      </c>
      <c r="AI69" s="1390" t="str">
        <f>IF($A69&gt;$C$5," ",VLOOKUP($A69,Plot!$A$7:$E$67,5,FALSE))</f>
        <v xml:space="preserve"> </v>
      </c>
      <c r="AJ69" s="1390" t="str">
        <f ca="1">IF($A69&gt;$C$5," ",IF(ROW()-ROW($A$18)&gt;='Options and results'!$AR$56,AVERAGE(OFFSET(AI69,0,0,COUNTA($BS:$BS)-'Options and results'!$AR$56,1)),NA()))</f>
        <v xml:space="preserve"> </v>
      </c>
      <c r="AK69" s="1395" t="str">
        <f>IF($A69&gt;$C$5," ",VLOOKUP($A69,Plot!$A$7:$F$67,6,FALSE))</f>
        <v xml:space="preserve"> </v>
      </c>
      <c r="AL69" s="1390" t="str">
        <f>IF($A69&gt;$C$5," ",VLOOKUP($A69,Plot!$CK$7:$CN$67,4,FALSE))</f>
        <v xml:space="preserve"> </v>
      </c>
      <c r="AM69" s="1390" t="str">
        <f>IF($A69&gt;$C$5," ",AL69*VLOOKUP($A69,Plot!$CK$7:$CO$67,5,FALSE))</f>
        <v xml:space="preserve"> </v>
      </c>
      <c r="AN69" s="1390" t="str">
        <f ca="1">IF($A69&gt;$C$5," ",IF(ROW()-ROW($A$18)&gt;='Options and results'!$AR$56,AVERAGE(OFFSET(AM69,0,0,COUNTA($BS:$BS)-'Options and results'!$AR$56,1)),NA()))</f>
        <v xml:space="preserve"> </v>
      </c>
      <c r="AO69" s="1390" t="str">
        <f>IF($A69&gt;$C$5," ",VLOOKUP($A69,Plot!$CK$7:$CP$67,6,FALSE))</f>
        <v xml:space="preserve"> </v>
      </c>
      <c r="AP69" s="1409">
        <f>IF($A69&gt;$C$5,0,VLOOKUP($A69,Plot!$V$7:$AH$67,7,FALSE))</f>
        <v>0</v>
      </c>
      <c r="AQ69" s="1390" t="str">
        <f>IF($A69&gt;$C$5," ",VLOOKUP($A69,Plot!$V$7:$AH$67,13,FALSE))</f>
        <v xml:space="preserve"> </v>
      </c>
      <c r="AR69" s="1390" t="str">
        <f>IF($A69&gt;$C$5," ",VLOOKUP($A69,Plot!$V$7:$AI$67,14,FALSE))</f>
        <v xml:space="preserve"> </v>
      </c>
      <c r="AS69" s="1390" t="str">
        <f>IF($A69&gt;$C$5," ",VLOOKUP($A69,Plot!$V$7:$AJ$67,15,FALSE))</f>
        <v xml:space="preserve"> </v>
      </c>
      <c r="AT69" s="1390" t="str">
        <f>IF($A69&gt;$C$5," ",AQ69+SUM($AS$20:AS69)+IF(AP70=0,-AQ69,0))</f>
        <v xml:space="preserve"> </v>
      </c>
      <c r="AU69" s="1390" t="str">
        <f>IF($A69&gt;$C$5," ",VLOOKUP($A69,Plot!$V$7:$AL$67,Plot!$AL$2,FALSE))</f>
        <v xml:space="preserve"> </v>
      </c>
      <c r="AV69" s="1395" t="str">
        <f>IF($A69&gt;$C$5," ",VLOOKUP($A69,Plot!$V$7:$AM$67,Plot!$AM$2,FALSE))</f>
        <v xml:space="preserve"> </v>
      </c>
      <c r="AW69" s="1407">
        <f>IF($A69&gt;$C$5,0,VLOOKUP($A69,Plot!$DF$7:$DS$67,7,FALSE))</f>
        <v>0</v>
      </c>
      <c r="AX69" s="1390" t="str">
        <f>IF($A69&gt;$C$5," ",VLOOKUP($A69,Plot!$DF$7:$DS$67,14,FALSE))</f>
        <v xml:space="preserve"> </v>
      </c>
      <c r="AY69" s="1390" t="str">
        <f>IF($A69&gt;$C$5," ",VLOOKUP($A69,Plot!$DF$7:$DT$67,15,FALSE))</f>
        <v xml:space="preserve"> </v>
      </c>
      <c r="AZ69" s="1390" t="str">
        <f>IF($A69&gt;$C$5," ",VLOOKUP($A69,Plot!$DF$7:$DU$67,16,FALSE))</f>
        <v xml:space="preserve"> </v>
      </c>
      <c r="BA69" s="1390" t="str">
        <f>IF($A69&gt;$C$5," ",AX69+SUM($AZ$20:AZ69)+IF(AW70=0,-AX69,0))</f>
        <v xml:space="preserve"> </v>
      </c>
      <c r="BB69" s="1390" t="str">
        <f>IF($A69&gt;$C$5," ",VLOOKUP($A69,Plot!$DF$7:$DW$67,Plot!$DW$2,FALSE))</f>
        <v xml:space="preserve"> </v>
      </c>
      <c r="BC69" s="1390" t="str">
        <f>IF($A69&gt;$C$5," ",VLOOKUP($A69,Plot!$DF$7:$DX$67,Plot!$DX$2,FALSE))</f>
        <v xml:space="preserve"> </v>
      </c>
      <c r="BD69" s="1396" t="str">
        <f>IF($A69&gt;$C$5," ",VLOOKUP($A69,Plot!$A$7:$N$67,14,FALSE))</f>
        <v xml:space="preserve"> </v>
      </c>
      <c r="BE69" s="303" t="str">
        <f>IF($A69&gt;$C$5," ",VLOOKUP($A69,Plot!$V$7:$BW$67,Plot!$BW$2,FALSE))</f>
        <v xml:space="preserve"> </v>
      </c>
      <c r="BF69" s="303" t="str">
        <f>IF($A69&gt;$C$5," ",VLOOKUP($A69,Plot!$CK$7:$CX$67,14,FALSE))</f>
        <v xml:space="preserve"> </v>
      </c>
      <c r="BG69" s="303" t="str">
        <f>IF($A69&gt;$C$5," ",VLOOKUP($A69,Plot!$DF$7:$FH$67,Plot!$FH$2,FALSE))</f>
        <v xml:space="preserve"> </v>
      </c>
      <c r="BH69" s="1397" t="str">
        <f t="shared" si="24"/>
        <v xml:space="preserve"> </v>
      </c>
      <c r="BI69" s="303" t="str">
        <f>IF($A69&gt;$C$5," ",VLOOKUP($A69,Plot!$DF$7:$EJ$67,29,FALSE))</f>
        <v xml:space="preserve"> </v>
      </c>
      <c r="BJ69" s="303" t="str">
        <f>IF($A69&gt;$C$5," ",VLOOKUP($A69,Plot!$DF$7:$FT$67,30,FALSE))</f>
        <v xml:space="preserve"> </v>
      </c>
      <c r="BK69" s="303" t="str">
        <f>IF($A69&gt;$C$5," ",VLOOKUP($A69,Plot!$DF$7:$FT$67,Plot!$EL$2,FALSE))</f>
        <v xml:space="preserve"> </v>
      </c>
      <c r="BL69" s="303" t="str">
        <f>IF($A69&gt;$C$5," ",VLOOKUP($A69,Plot!$DF$7:$FT$67,Plot!$EM$2,FALSE))</f>
        <v xml:space="preserve"> </v>
      </c>
      <c r="BM69" s="303" t="str">
        <f>IF($A69&gt;$C$5," ",VLOOKUP($A69,Plot!$DF$7:$FT$67,Plot!$EN$2,FALSE))</f>
        <v xml:space="preserve"> </v>
      </c>
      <c r="BN69" s="303" t="str">
        <f>IF($A69&gt;$C$5," ",VLOOKUP($A69,Plot!$DF$7:$FT$67,Plot!$EO$2,FALSE))</f>
        <v xml:space="preserve"> </v>
      </c>
      <c r="BO69" s="303" t="str">
        <f t="shared" si="19"/>
        <v xml:space="preserve"> </v>
      </c>
      <c r="BP69" s="303" t="str">
        <f>IF($A69&gt;$C$5," ",VLOOKUP($A69,Plot!$DF$7:$FT$67,Plot!$EQ$2,FALSE))</f>
        <v xml:space="preserve"> </v>
      </c>
      <c r="BQ69" s="303" t="str">
        <f>IF($A69&gt;$C$5," ",(VLOOKUP($A69,Plot!$DF$7:$FT$67,Plot!$ES$2,FALSE)+VLOOKUP($A69,Plot!$DF$7:$FT$67,Plot!$ET$2,FALSE)))</f>
        <v xml:space="preserve"> </v>
      </c>
      <c r="BR69" s="303" t="str">
        <f>IF($A69&gt;$C$5," ",(VLOOKUP($A69,Plot!$DF$7:$FT$67,Plot!$EV$2,FALSE)+VLOOKUP($A69,Plot!$DF$7:$FT$67,Plot!$EW$2,FALSE)))</f>
        <v xml:space="preserve"> </v>
      </c>
      <c r="BS69" s="303" t="str">
        <f>IF($A69&gt;$C$5," ",VLOOKUP($A69,Plot!$DF$7:$FT$67,Plot!$EY$2,FALSE))</f>
        <v xml:space="preserve"> </v>
      </c>
      <c r="BT69" s="303" t="str">
        <f>IF($A69&gt;$C$5," ",(VLOOKUP($A69,Plot!$DF$7:$FT$67,Plot!$FB$2,FALSE)+VLOOKUP($A69,Plot!$DF$7:$FT$67,Plot!$FC$2,FALSE)))</f>
        <v xml:space="preserve"> </v>
      </c>
      <c r="BU69" s="303" t="str">
        <f>IF($A69&gt;$C$5," ",(VLOOKUP($A69,Plot!$DF$7:$FT$67,Plot!$FE$2,FALSE)+VLOOKUP($A69,Plot!$DF$7:$FT$67,Plot!$FF$2,FALSE)))</f>
        <v xml:space="preserve"> </v>
      </c>
      <c r="BV69" s="1026" t="str">
        <f>IF($A69&gt;$C$5," ",VLOOKUP($A69,Plot!$FV$7:$GJ$67,2,FALSE))</f>
        <v xml:space="preserve"> </v>
      </c>
      <c r="BW69" s="1027" t="str">
        <f>IF($A69&gt;$C$5," ",VLOOKUP($A69,Plot!$FV$7:$GJ$67,3,FALSE))</f>
        <v xml:space="preserve"> </v>
      </c>
      <c r="BX69" s="1379" t="str">
        <f>IF($A69&gt;$C$5," ",VLOOKUP($A69,Plot!$FV$7:$GJ$67,6,FALSE))</f>
        <v xml:space="preserve"> </v>
      </c>
      <c r="BY69" s="1026" t="str">
        <f>IF($A69&gt;$C$5," ",VLOOKUP($A69,Plot!$GO$7:$GY$67,2,FALSE))</f>
        <v xml:space="preserve"> </v>
      </c>
      <c r="BZ69" s="1027" t="str">
        <f>IF($A69&gt;$C$5," ",VLOOKUP($A69,Plot!$GO$7:$GY$67,3,FALSE))</f>
        <v xml:space="preserve"> </v>
      </c>
      <c r="CA69" s="1379" t="str">
        <f>IF($A69&gt;$C$5," ",VLOOKUP($A69,Plot!$GO$7:$GY$67,6,FALSE))</f>
        <v xml:space="preserve"> </v>
      </c>
      <c r="CB69" s="1027" t="str">
        <f>IF($A69&gt;$C$5," ",-1*VLOOKUP($A69,Plot!$HA$7:$HK$67,2,FALSE))</f>
        <v xml:space="preserve"> </v>
      </c>
      <c r="CC69" s="1027" t="str">
        <f>IF($A69&gt;$C$5," ",-1*VLOOKUP($A69,Plot!$HA$7:$HK$67,3,FALSE))</f>
        <v xml:space="preserve"> </v>
      </c>
      <c r="CD69" s="1189" t="str">
        <f>IF($A69&gt;$C$5," ",-1*VLOOKUP($A69,Plot!$HA$7:$HK$67,6,FALSE))</f>
        <v xml:space="preserve"> </v>
      </c>
      <c r="CE69" s="10"/>
      <c r="CF69" s="38">
        <v>50</v>
      </c>
      <c r="CG69" s="1381" t="str">
        <f>IF($CF69&gt;$C$5," ",VLOOKUP($CF69,Unit!$A$7:$BE$68,22,FALSE))</f>
        <v xml:space="preserve"> </v>
      </c>
      <c r="CH69" s="1027" t="str">
        <f>IF($CF69&gt;$C$5," ",VLOOKUP($CF69,Unit!$A$7:$BE$68,23,FALSE))</f>
        <v xml:space="preserve"> </v>
      </c>
      <c r="CI69" s="1027" t="str">
        <f>IF($CF69&gt;$C$5," ",VLOOKUP($CF69,Unit!$A$7:$BE$68,24,FALSE))</f>
        <v xml:space="preserve"> </v>
      </c>
      <c r="CJ69" s="1189" t="str">
        <f>IF($CF69&gt;$C$5," ",VLOOKUP($CF69,Unit!$A$7:$BE$68,25,FALSE))</f>
        <v xml:space="preserve"> </v>
      </c>
      <c r="CK69" s="1381" t="str">
        <f>IF($CF69&gt;$C$5," ",VLOOKUP($CF69,Unit!$A$7:$BE$68,27,FALSE))</f>
        <v xml:space="preserve"> </v>
      </c>
      <c r="CL69" s="1027" t="str">
        <f>IF($CF69&gt;$C$5," ",VLOOKUP($CF69,Unit!$A$7:$BE$68,28,FALSE))</f>
        <v xml:space="preserve"> </v>
      </c>
      <c r="CM69" s="1027" t="str">
        <f>IF($CF69&gt;$C$5," ",VLOOKUP($CF69,Unit!$A$7:$BE$68,29,FALSE))</f>
        <v xml:space="preserve"> </v>
      </c>
      <c r="CN69" s="1027" t="str">
        <f>IF($CF69&gt;$C$5," ",VLOOKUP($CF69,Unit!$A$7:$BE$68,30,FALSE))</f>
        <v xml:space="preserve"> </v>
      </c>
      <c r="CO69" s="1027" t="str">
        <f>IF($CF69&gt;$C$5," ",VLOOKUP($CF69,Unit!$A$7:$BE$68,31,FALSE))</f>
        <v xml:space="preserve"> </v>
      </c>
      <c r="CP69" s="1027" t="str">
        <f>IF($CF69&gt;$C$5," ",VLOOKUP($CF69,Unit!$A$7:$BE$68,32,FALSE))</f>
        <v xml:space="preserve"> </v>
      </c>
      <c r="CQ69" s="1381" t="str">
        <f>IF($CF69&gt;$C$5," ",VLOOKUP($CF69,Unit!$A$7:$BE$68,33,FALSE))</f>
        <v xml:space="preserve"> </v>
      </c>
      <c r="CR69" s="1027" t="str">
        <f>IF($CF69&gt;$C$5," ",VLOOKUP($CF69,Unit!$A$7:$BE$68,34,FALSE))</f>
        <v xml:space="preserve"> </v>
      </c>
      <c r="CS69" s="1027" t="str">
        <f>IF($CF69&gt;$C$5," ",VLOOKUP($CF69,Unit!$A$7:$BE$68,35,FALSE))</f>
        <v xml:space="preserve"> </v>
      </c>
      <c r="CT69" s="1027" t="str">
        <f>IF($CF69&gt;$C$5," ",VLOOKUP($CF69,Unit!$A$7:$BE$68,36,FALSE))</f>
        <v xml:space="preserve"> </v>
      </c>
      <c r="CU69" s="1189" t="str">
        <f t="shared" si="20"/>
        <v xml:space="preserve"> </v>
      </c>
      <c r="CV69" s="1027" t="str">
        <f>IF($CF69&gt;$C$5," ",VLOOKUP($CF69,Unit!$A$7:$BA$68,43,FALSE))</f>
        <v xml:space="preserve"> </v>
      </c>
      <c r="CW69" s="1027" t="str">
        <f>IF($CF69&gt;$C$5," ",VLOOKUP($CF69,Unit!$A$7:$BB$68,44,FALSE))</f>
        <v xml:space="preserve"> </v>
      </c>
      <c r="CX69" s="1189" t="str">
        <f>IF($CF69&gt;$C$5," ",VLOOKUP($CF69,Unit!$A$7:$BE$68,47,FALSE))</f>
        <v xml:space="preserve"> </v>
      </c>
      <c r="CY69" s="1381" t="str">
        <f>IF($CF69&gt;$C$5," ",VLOOKUP($CF69,Unit!$A$7:$BA$68,53,FALSE))</f>
        <v xml:space="preserve"> </v>
      </c>
      <c r="CZ69" s="1027" t="str">
        <f>IF($CF69&gt;$C$5," ",VLOOKUP($CF69,Unit!$A$7:$BB$68,54,FALSE))</f>
        <v xml:space="preserve"> </v>
      </c>
      <c r="DA69" s="1189" t="str">
        <f>IF($CF69&gt;$C$5," ",VLOOKUP($CF69,Unit!$A$7:$BE$68,57,FALSE))</f>
        <v xml:space="preserve"> </v>
      </c>
    </row>
    <row r="70" spans="1:105" x14ac:dyDescent="0.25">
      <c r="A70" s="38">
        <v>51</v>
      </c>
      <c r="B70" s="1381" t="str">
        <f>IF($A70&gt;$C$5," ",VLOOKUP($A70,Plot!$A$7:$T$67,Plot!P$2,FALSE))</f>
        <v xml:space="preserve"> </v>
      </c>
      <c r="C70" s="1027" t="str">
        <f>IF($A70&gt;$C$5," ",VLOOKUP($A70,Plot!$V$7:$CI$67,Plot!$CA$2,FALSE))</f>
        <v xml:space="preserve"> </v>
      </c>
      <c r="D70" s="1027" t="str">
        <f>IF($A70&gt;$C$5," ",VLOOKUP($A70,Plot!$CK$7:$DD$67,Plot!$CZ$2,FALSE))</f>
        <v xml:space="preserve"> </v>
      </c>
      <c r="E70" s="1027" t="str">
        <f>IF($A70&gt;$C$5," ",VLOOKUP($A70,Plot!$DF$7:$FT$67,Plot!$FL$2,FALSE))</f>
        <v xml:space="preserve"> </v>
      </c>
      <c r="F70" s="1379" t="str">
        <f t="shared" si="25"/>
        <v xml:space="preserve"> </v>
      </c>
      <c r="G70" s="1026" t="str">
        <f>IF($A70&gt;$C$5," ",VLOOKUP($A70,Plot!$V$7:$CG$67,Plot!$CG$2,FALSE))</f>
        <v xml:space="preserve"> </v>
      </c>
      <c r="H70" s="1027" t="str">
        <f>IF($A70&gt;$C$5," ",VLOOKUP($A70,Plot!$DF$7:$FT$67,Plot!$FR$2,FALSE))</f>
        <v xml:space="preserve"> </v>
      </c>
      <c r="I70" s="1379" t="str">
        <f t="shared" si="17"/>
        <v xml:space="preserve"> </v>
      </c>
      <c r="J70" s="1026" t="str">
        <f>IF($A70&gt;$C$5," ",SUM(B$20:$B70))</f>
        <v xml:space="preserve"> </v>
      </c>
      <c r="K70" s="1027" t="str">
        <f>IF($A70&gt;$C$5," ",SUM($C$20:C70))</f>
        <v xml:space="preserve"> </v>
      </c>
      <c r="L70" s="1027" t="str">
        <f>IF($A70&gt;$C$5," ",SUM($D$20:D70))</f>
        <v xml:space="preserve"> </v>
      </c>
      <c r="M70" s="1027" t="str">
        <f>IF($A70&gt;$C$5," ",SUM($E$20:E70))</f>
        <v xml:space="preserve"> </v>
      </c>
      <c r="N70" s="1379" t="str">
        <f>IF($A70&gt;$C$5," ",SUM($F$20:F70))</f>
        <v xml:space="preserve"> </v>
      </c>
      <c r="O70" s="1027" t="str">
        <f>IF($A70&gt;$C$5," ",SUM($G$20:G70))</f>
        <v xml:space="preserve"> </v>
      </c>
      <c r="P70" s="1027" t="str">
        <f>IF($A70&gt;$C$5," ",SUM($H$20:H70))</f>
        <v xml:space="preserve"> </v>
      </c>
      <c r="Q70" s="1027" t="str">
        <f>IF($A70&gt;$C$5," ",SUM($I$20:I70))</f>
        <v xml:space="preserve"> </v>
      </c>
      <c r="R70" s="1026"/>
      <c r="S70" s="1027"/>
      <c r="T70" s="1027"/>
      <c r="U70" s="1027"/>
      <c r="V70" s="1379"/>
      <c r="W70" s="1027" t="str">
        <f>IF($A70&gt;$C$5," ",VLOOKUP($A70,Plot!$HM$7:$IA$67,Plot!$HR$2,FALSE))</f>
        <v xml:space="preserve"> </v>
      </c>
      <c r="X70" s="1027" t="str">
        <f>IF($A70&gt;$C$5," ",VLOOKUP($A70,Plot!$HM$7:$IA$67,Plot!$HS$2,FALSE))</f>
        <v xml:space="preserve"> </v>
      </c>
      <c r="Y70" s="1379" t="str">
        <f t="shared" si="18"/>
        <v xml:space="preserve"> </v>
      </c>
      <c r="Z70" s="1026" t="str">
        <f>IF($A70&gt;$C$5," ",SUM($B$20:B70))</f>
        <v xml:space="preserve"> </v>
      </c>
      <c r="AA70" s="1027" t="str">
        <f>IF($A70&gt;$C$5," ",SUM($C$20:C70))</f>
        <v xml:space="preserve"> </v>
      </c>
      <c r="AB70" s="1027" t="str">
        <f>IF($A70&gt;$C$5," ",SUM($D$20:D70))</f>
        <v xml:space="preserve"> </v>
      </c>
      <c r="AC70" s="1027" t="str">
        <f>IF($A70&gt;$C$5," ",SUM($E$20:E70))</f>
        <v xml:space="preserve"> </v>
      </c>
      <c r="AD70" s="1379" t="str">
        <f t="shared" si="22"/>
        <v xml:space="preserve"> </v>
      </c>
      <c r="AE70" s="1027" t="str">
        <f>IF($A70&gt;$C$5," ",SUM($W$20:W70))</f>
        <v xml:space="preserve"> </v>
      </c>
      <c r="AF70" s="1027" t="str">
        <f>IF($A70&gt;$C$5," ",SUM($X$20:X70))</f>
        <v xml:space="preserve"> </v>
      </c>
      <c r="AG70" s="1027" t="str">
        <f t="shared" si="23"/>
        <v xml:space="preserve"> </v>
      </c>
      <c r="AH70" s="1394" t="str">
        <f>IF($A70&gt;$C$5," ",VLOOKUP($A70,Plot!$A$7:$D$67,4,FALSE))</f>
        <v xml:space="preserve"> </v>
      </c>
      <c r="AI70" s="1390" t="str">
        <f>IF($A70&gt;$C$5," ",VLOOKUP($A70,Plot!$A$7:$E$67,5,FALSE))</f>
        <v xml:space="preserve"> </v>
      </c>
      <c r="AJ70" s="1390" t="str">
        <f ca="1">IF($A70&gt;$C$5," ",IF(ROW()-ROW($A$18)&gt;='Options and results'!$AR$56,AVERAGE(OFFSET(AI70,0,0,COUNTA($BS:$BS)-'Options and results'!$AR$56,1)),NA()))</f>
        <v xml:space="preserve"> </v>
      </c>
      <c r="AK70" s="1395" t="str">
        <f>IF($A70&gt;$C$5," ",VLOOKUP($A70,Plot!$A$7:$F$67,6,FALSE))</f>
        <v xml:space="preserve"> </v>
      </c>
      <c r="AL70" s="1390" t="str">
        <f>IF($A70&gt;$C$5," ",VLOOKUP($A70,Plot!$CK$7:$CN$67,4,FALSE))</f>
        <v xml:space="preserve"> </v>
      </c>
      <c r="AM70" s="1390" t="str">
        <f>IF($A70&gt;$C$5," ",AL70*VLOOKUP($A70,Plot!$CK$7:$CO$67,5,FALSE))</f>
        <v xml:space="preserve"> </v>
      </c>
      <c r="AN70" s="1390" t="str">
        <f ca="1">IF($A70&gt;$C$5," ",IF(ROW()-ROW($A$18)&gt;='Options and results'!$AR$56,AVERAGE(OFFSET(AM70,0,0,COUNTA($BS:$BS)-'Options and results'!$AR$56,1)),NA()))</f>
        <v xml:space="preserve"> </v>
      </c>
      <c r="AO70" s="1390" t="str">
        <f>IF($A70&gt;$C$5," ",VLOOKUP($A70,Plot!$CK$7:$CP$67,6,FALSE))</f>
        <v xml:space="preserve"> </v>
      </c>
      <c r="AP70" s="1409">
        <f>IF($A70&gt;$C$5,0,VLOOKUP($A70,Plot!$V$7:$AH$67,7,FALSE))</f>
        <v>0</v>
      </c>
      <c r="AQ70" s="1390" t="str">
        <f>IF($A70&gt;$C$5," ",VLOOKUP($A70,Plot!$V$7:$AH$67,13,FALSE))</f>
        <v xml:space="preserve"> </v>
      </c>
      <c r="AR70" s="1390" t="str">
        <f>IF($A70&gt;$C$5," ",VLOOKUP($A70,Plot!$V$7:$AI$67,14,FALSE))</f>
        <v xml:space="preserve"> </v>
      </c>
      <c r="AS70" s="1390" t="str">
        <f>IF($A70&gt;$C$5," ",VLOOKUP($A70,Plot!$V$7:$AJ$67,15,FALSE))</f>
        <v xml:space="preserve"> </v>
      </c>
      <c r="AT70" s="1390" t="str">
        <f>IF($A70&gt;$C$5," ",AQ70+SUM($AS$20:AS70)+IF(AP71=0,-AQ70,0))</f>
        <v xml:space="preserve"> </v>
      </c>
      <c r="AU70" s="1390" t="str">
        <f>IF($A70&gt;$C$5," ",VLOOKUP($A70,Plot!$V$7:$AL$67,Plot!$AL$2,FALSE))</f>
        <v xml:space="preserve"> </v>
      </c>
      <c r="AV70" s="1395" t="str">
        <f>IF($A70&gt;$C$5," ",VLOOKUP($A70,Plot!$V$7:$AM$67,Plot!$AM$2,FALSE))</f>
        <v xml:space="preserve"> </v>
      </c>
      <c r="AW70" s="1407">
        <f>IF($A70&gt;$C$5,0,VLOOKUP($A70,Plot!$DF$7:$DS$67,7,FALSE))</f>
        <v>0</v>
      </c>
      <c r="AX70" s="1390" t="str">
        <f>IF($A70&gt;$C$5," ",VLOOKUP($A70,Plot!$DF$7:$DS$67,14,FALSE))</f>
        <v xml:space="preserve"> </v>
      </c>
      <c r="AY70" s="1390" t="str">
        <f>IF($A70&gt;$C$5," ",VLOOKUP($A70,Plot!$DF$7:$DT$67,15,FALSE))</f>
        <v xml:space="preserve"> </v>
      </c>
      <c r="AZ70" s="1390" t="str">
        <f>IF($A70&gt;$C$5," ",VLOOKUP($A70,Plot!$DF$7:$DU$67,16,FALSE))</f>
        <v xml:space="preserve"> </v>
      </c>
      <c r="BA70" s="1390" t="str">
        <f>IF($A70&gt;$C$5," ",AX70+SUM($AZ$20:AZ70)+IF(AW71=0,-AX70,0))</f>
        <v xml:space="preserve"> </v>
      </c>
      <c r="BB70" s="1390" t="str">
        <f>IF($A70&gt;$C$5," ",VLOOKUP($A70,Plot!$DF$7:$DW$67,Plot!$DW$2,FALSE))</f>
        <v xml:space="preserve"> </v>
      </c>
      <c r="BC70" s="1390" t="str">
        <f>IF($A70&gt;$C$5," ",VLOOKUP($A70,Plot!$DF$7:$DX$67,Plot!$DX$2,FALSE))</f>
        <v xml:space="preserve"> </v>
      </c>
      <c r="BD70" s="1396" t="str">
        <f>IF($A70&gt;$C$5," ",VLOOKUP($A70,Plot!$A$7:$N$67,14,FALSE))</f>
        <v xml:space="preserve"> </v>
      </c>
      <c r="BE70" s="303" t="str">
        <f>IF($A70&gt;$C$5," ",VLOOKUP($A70,Plot!$V$7:$BW$67,Plot!$BW$2,FALSE))</f>
        <v xml:space="preserve"> </v>
      </c>
      <c r="BF70" s="303" t="str">
        <f>IF($A70&gt;$C$5," ",VLOOKUP($A70,Plot!$CK$7:$CX$67,14,FALSE))</f>
        <v xml:space="preserve"> </v>
      </c>
      <c r="BG70" s="303" t="str">
        <f>IF($A70&gt;$C$5," ",VLOOKUP($A70,Plot!$DF$7:$FH$67,Plot!$FH$2,FALSE))</f>
        <v xml:space="preserve"> </v>
      </c>
      <c r="BH70" s="1397" t="str">
        <f t="shared" si="24"/>
        <v xml:space="preserve"> </v>
      </c>
      <c r="BI70" s="303" t="str">
        <f>IF($A70&gt;$C$5," ",VLOOKUP($A70,Plot!$DF$7:$EJ$67,29,FALSE))</f>
        <v xml:space="preserve"> </v>
      </c>
      <c r="BJ70" s="303" t="str">
        <f>IF($A70&gt;$C$5," ",VLOOKUP($A70,Plot!$DF$7:$FT$67,30,FALSE))</f>
        <v xml:space="preserve"> </v>
      </c>
      <c r="BK70" s="303" t="str">
        <f>IF($A70&gt;$C$5," ",VLOOKUP($A70,Plot!$DF$7:$FT$67,Plot!$EL$2,FALSE))</f>
        <v xml:space="preserve"> </v>
      </c>
      <c r="BL70" s="303" t="str">
        <f>IF($A70&gt;$C$5," ",VLOOKUP($A70,Plot!$DF$7:$FT$67,Plot!$EM$2,FALSE))</f>
        <v xml:space="preserve"> </v>
      </c>
      <c r="BM70" s="303" t="str">
        <f>IF($A70&gt;$C$5," ",VLOOKUP($A70,Plot!$DF$7:$FT$67,Plot!$EN$2,FALSE))</f>
        <v xml:space="preserve"> </v>
      </c>
      <c r="BN70" s="303" t="str">
        <f>IF($A70&gt;$C$5," ",VLOOKUP($A70,Plot!$DF$7:$FT$67,Plot!$EO$2,FALSE))</f>
        <v xml:space="preserve"> </v>
      </c>
      <c r="BO70" s="303" t="str">
        <f t="shared" si="19"/>
        <v xml:space="preserve"> </v>
      </c>
      <c r="BP70" s="303" t="str">
        <f>IF($A70&gt;$C$5," ",VLOOKUP($A70,Plot!$DF$7:$FT$67,Plot!$EQ$2,FALSE))</f>
        <v xml:space="preserve"> </v>
      </c>
      <c r="BQ70" s="303" t="str">
        <f>IF($A70&gt;$C$5," ",(VLOOKUP($A70,Plot!$DF$7:$FT$67,Plot!$ES$2,FALSE)+VLOOKUP($A70,Plot!$DF$7:$FT$67,Plot!$ET$2,FALSE)))</f>
        <v xml:space="preserve"> </v>
      </c>
      <c r="BR70" s="303" t="str">
        <f>IF($A70&gt;$C$5," ",(VLOOKUP($A70,Plot!$DF$7:$FT$67,Plot!$EV$2,FALSE)+VLOOKUP($A70,Plot!$DF$7:$FT$67,Plot!$EW$2,FALSE)))</f>
        <v xml:space="preserve"> </v>
      </c>
      <c r="BS70" s="303" t="str">
        <f>IF($A70&gt;$C$5," ",VLOOKUP($A70,Plot!$DF$7:$FT$67,Plot!$EY$2,FALSE))</f>
        <v xml:space="preserve"> </v>
      </c>
      <c r="BT70" s="303" t="str">
        <f>IF($A70&gt;$C$5," ",(VLOOKUP($A70,Plot!$DF$7:$FT$67,Plot!$FB$2,FALSE)+VLOOKUP($A70,Plot!$DF$7:$FT$67,Plot!$FC$2,FALSE)))</f>
        <v xml:space="preserve"> </v>
      </c>
      <c r="BU70" s="303" t="str">
        <f>IF($A70&gt;$C$5," ",(VLOOKUP($A70,Plot!$DF$7:$FT$67,Plot!$FE$2,FALSE)+VLOOKUP($A70,Plot!$DF$7:$FT$67,Plot!$FF$2,FALSE)))</f>
        <v xml:space="preserve"> </v>
      </c>
      <c r="BV70" s="1026" t="str">
        <f>IF($A70&gt;$C$5," ",VLOOKUP($A70,Plot!$FV$7:$GJ$67,2,FALSE))</f>
        <v xml:space="preserve"> </v>
      </c>
      <c r="BW70" s="1027" t="str">
        <f>IF($A70&gt;$C$5," ",VLOOKUP($A70,Plot!$FV$7:$GJ$67,3,FALSE))</f>
        <v xml:space="preserve"> </v>
      </c>
      <c r="BX70" s="1379" t="str">
        <f>IF($A70&gt;$C$5," ",VLOOKUP($A70,Plot!$FV$7:$GJ$67,6,FALSE))</f>
        <v xml:space="preserve"> </v>
      </c>
      <c r="BY70" s="1026" t="str">
        <f>IF($A70&gt;$C$5," ",VLOOKUP($A70,Plot!$GO$7:$GY$67,2,FALSE))</f>
        <v xml:space="preserve"> </v>
      </c>
      <c r="BZ70" s="1027" t="str">
        <f>IF($A70&gt;$C$5," ",VLOOKUP($A70,Plot!$GO$7:$GY$67,3,FALSE))</f>
        <v xml:space="preserve"> </v>
      </c>
      <c r="CA70" s="1379" t="str">
        <f>IF($A70&gt;$C$5," ",VLOOKUP($A70,Plot!$GO$7:$GY$67,6,FALSE))</f>
        <v xml:space="preserve"> </v>
      </c>
      <c r="CB70" s="1027" t="str">
        <f>IF($A70&gt;$C$5," ",-1*VLOOKUP($A70,Plot!$HA$7:$HK$67,2,FALSE))</f>
        <v xml:space="preserve"> </v>
      </c>
      <c r="CC70" s="1027" t="str">
        <f>IF($A70&gt;$C$5," ",-1*VLOOKUP($A70,Plot!$HA$7:$HK$67,3,FALSE))</f>
        <v xml:space="preserve"> </v>
      </c>
      <c r="CD70" s="1189" t="str">
        <f>IF($A70&gt;$C$5," ",-1*VLOOKUP($A70,Plot!$HA$7:$HK$67,6,FALSE))</f>
        <v xml:space="preserve"> </v>
      </c>
      <c r="CE70" s="10"/>
      <c r="CF70" s="38">
        <v>51</v>
      </c>
      <c r="CG70" s="1381" t="str">
        <f>IF($CF70&gt;$C$5," ",VLOOKUP($CF70,Unit!$A$7:$BE$68,22,FALSE))</f>
        <v xml:space="preserve"> </v>
      </c>
      <c r="CH70" s="1027" t="str">
        <f>IF($CF70&gt;$C$5," ",VLOOKUP($CF70,Unit!$A$7:$BE$68,23,FALSE))</f>
        <v xml:space="preserve"> </v>
      </c>
      <c r="CI70" s="1027" t="str">
        <f>IF($CF70&gt;$C$5," ",VLOOKUP($CF70,Unit!$A$7:$BE$68,24,FALSE))</f>
        <v xml:space="preserve"> </v>
      </c>
      <c r="CJ70" s="1189" t="str">
        <f>IF($CF70&gt;$C$5," ",VLOOKUP($CF70,Unit!$A$7:$BE$68,25,FALSE))</f>
        <v xml:space="preserve"> </v>
      </c>
      <c r="CK70" s="1381" t="str">
        <f>IF($CF70&gt;$C$5," ",VLOOKUP($CF70,Unit!$A$7:$BE$68,27,FALSE))</f>
        <v xml:space="preserve"> </v>
      </c>
      <c r="CL70" s="1027" t="str">
        <f>IF($CF70&gt;$C$5," ",VLOOKUP($CF70,Unit!$A$7:$BE$68,28,FALSE))</f>
        <v xml:space="preserve"> </v>
      </c>
      <c r="CM70" s="1027" t="str">
        <f>IF($CF70&gt;$C$5," ",VLOOKUP($CF70,Unit!$A$7:$BE$68,29,FALSE))</f>
        <v xml:space="preserve"> </v>
      </c>
      <c r="CN70" s="1027" t="str">
        <f>IF($CF70&gt;$C$5," ",VLOOKUP($CF70,Unit!$A$7:$BE$68,30,FALSE))</f>
        <v xml:space="preserve"> </v>
      </c>
      <c r="CO70" s="1027" t="str">
        <f>IF($CF70&gt;$C$5," ",VLOOKUP($CF70,Unit!$A$7:$BE$68,31,FALSE))</f>
        <v xml:space="preserve"> </v>
      </c>
      <c r="CP70" s="1027" t="str">
        <f>IF($CF70&gt;$C$5," ",VLOOKUP($CF70,Unit!$A$7:$BE$68,32,FALSE))</f>
        <v xml:space="preserve"> </v>
      </c>
      <c r="CQ70" s="1381" t="str">
        <f>IF($CF70&gt;$C$5," ",VLOOKUP($CF70,Unit!$A$7:$BE$68,33,FALSE))</f>
        <v xml:space="preserve"> </v>
      </c>
      <c r="CR70" s="1027" t="str">
        <f>IF($CF70&gt;$C$5," ",VLOOKUP($CF70,Unit!$A$7:$BE$68,34,FALSE))</f>
        <v xml:space="preserve"> </v>
      </c>
      <c r="CS70" s="1027" t="str">
        <f>IF($CF70&gt;$C$5," ",VLOOKUP($CF70,Unit!$A$7:$BE$68,35,FALSE))</f>
        <v xml:space="preserve"> </v>
      </c>
      <c r="CT70" s="1027" t="str">
        <f>IF($CF70&gt;$C$5," ",VLOOKUP($CF70,Unit!$A$7:$BE$68,36,FALSE))</f>
        <v xml:space="preserve"> </v>
      </c>
      <c r="CU70" s="1189" t="str">
        <f t="shared" si="20"/>
        <v xml:space="preserve"> </v>
      </c>
      <c r="CV70" s="1027" t="str">
        <f>IF($CF70&gt;$C$5," ",VLOOKUP($CF70,Unit!$A$7:$BA$68,43,FALSE))</f>
        <v xml:space="preserve"> </v>
      </c>
      <c r="CW70" s="1027" t="str">
        <f>IF($CF70&gt;$C$5," ",VLOOKUP($CF70,Unit!$A$7:$BB$68,44,FALSE))</f>
        <v xml:space="preserve"> </v>
      </c>
      <c r="CX70" s="1189" t="str">
        <f>IF($CF70&gt;$C$5," ",VLOOKUP($CF70,Unit!$A$7:$BE$68,47,FALSE))</f>
        <v xml:space="preserve"> </v>
      </c>
      <c r="CY70" s="1381" t="str">
        <f>IF($CF70&gt;$C$5," ",VLOOKUP($CF70,Unit!$A$7:$BA$68,53,FALSE))</f>
        <v xml:space="preserve"> </v>
      </c>
      <c r="CZ70" s="1027" t="str">
        <f>IF($CF70&gt;$C$5," ",VLOOKUP($CF70,Unit!$A$7:$BB$68,54,FALSE))</f>
        <v xml:space="preserve"> </v>
      </c>
      <c r="DA70" s="1189" t="str">
        <f>IF($CF70&gt;$C$5," ",VLOOKUP($CF70,Unit!$A$7:$BE$68,57,FALSE))</f>
        <v xml:space="preserve"> </v>
      </c>
    </row>
    <row r="71" spans="1:105" x14ac:dyDescent="0.25">
      <c r="A71" s="38">
        <v>52</v>
      </c>
      <c r="B71" s="1381" t="str">
        <f>IF($A71&gt;$C$5," ",VLOOKUP($A71,Plot!$A$7:$T$67,Plot!P$2,FALSE))</f>
        <v xml:space="preserve"> </v>
      </c>
      <c r="C71" s="1027" t="str">
        <f>IF($A71&gt;$C$5," ",VLOOKUP($A71,Plot!$V$7:$CI$67,Plot!$CA$2,FALSE))</f>
        <v xml:space="preserve"> </v>
      </c>
      <c r="D71" s="1027" t="str">
        <f>IF($A71&gt;$C$5," ",VLOOKUP($A71,Plot!$CK$7:$DD$67,Plot!$CZ$2,FALSE))</f>
        <v xml:space="preserve"> </v>
      </c>
      <c r="E71" s="1027" t="str">
        <f>IF($A71&gt;$C$5," ",VLOOKUP($A71,Plot!$DF$7:$FT$67,Plot!$FL$2,FALSE))</f>
        <v xml:space="preserve"> </v>
      </c>
      <c r="F71" s="1379" t="str">
        <f t="shared" si="25"/>
        <v xml:space="preserve"> </v>
      </c>
      <c r="G71" s="1026" t="str">
        <f>IF($A71&gt;$C$5," ",VLOOKUP($A71,Plot!$V$7:$CG$67,Plot!$CG$2,FALSE))</f>
        <v xml:space="preserve"> </v>
      </c>
      <c r="H71" s="1027" t="str">
        <f>IF($A71&gt;$C$5," ",VLOOKUP($A71,Plot!$DF$7:$FT$67,Plot!$FR$2,FALSE))</f>
        <v xml:space="preserve"> </v>
      </c>
      <c r="I71" s="1379" t="str">
        <f t="shared" si="17"/>
        <v xml:space="preserve"> </v>
      </c>
      <c r="J71" s="1026" t="str">
        <f>IF($A71&gt;$C$5," ",SUM(B$20:$B71))</f>
        <v xml:space="preserve"> </v>
      </c>
      <c r="K71" s="1027" t="str">
        <f>IF($A71&gt;$C$5," ",SUM($C$20:C71))</f>
        <v xml:space="preserve"> </v>
      </c>
      <c r="L71" s="1027" t="str">
        <f>IF($A71&gt;$C$5," ",SUM($D$20:D71))</f>
        <v xml:space="preserve"> </v>
      </c>
      <c r="M71" s="1027" t="str">
        <f>IF($A71&gt;$C$5," ",SUM($E$20:E71))</f>
        <v xml:space="preserve"> </v>
      </c>
      <c r="N71" s="1379" t="str">
        <f>IF($A71&gt;$C$5," ",SUM($F$20:F71))</f>
        <v xml:space="preserve"> </v>
      </c>
      <c r="O71" s="1027" t="str">
        <f>IF($A71&gt;$C$5," ",SUM($G$20:G71))</f>
        <v xml:space="preserve"> </v>
      </c>
      <c r="P71" s="1027" t="str">
        <f>IF($A71&gt;$C$5," ",SUM($H$20:H71))</f>
        <v xml:space="preserve"> </v>
      </c>
      <c r="Q71" s="1027" t="str">
        <f>IF($A71&gt;$C$5," ",SUM($I$20:I71))</f>
        <v xml:space="preserve"> </v>
      </c>
      <c r="R71" s="1026"/>
      <c r="S71" s="1027"/>
      <c r="T71" s="1027"/>
      <c r="U71" s="1027"/>
      <c r="V71" s="1379"/>
      <c r="W71" s="1027" t="str">
        <f>IF($A71&gt;$C$5," ",VLOOKUP($A71,Plot!$HM$7:$IA$67,Plot!$HR$2,FALSE))</f>
        <v xml:space="preserve"> </v>
      </c>
      <c r="X71" s="1027" t="str">
        <f>IF($A71&gt;$C$5," ",VLOOKUP($A71,Plot!$HM$7:$IA$67,Plot!$HS$2,FALSE))</f>
        <v xml:space="preserve"> </v>
      </c>
      <c r="Y71" s="1379" t="str">
        <f t="shared" si="18"/>
        <v xml:space="preserve"> </v>
      </c>
      <c r="Z71" s="1026" t="str">
        <f>IF($A71&gt;$C$5," ",SUM($B$20:B71))</f>
        <v xml:space="preserve"> </v>
      </c>
      <c r="AA71" s="1027" t="str">
        <f>IF($A71&gt;$C$5," ",SUM($C$20:C71))</f>
        <v xml:space="preserve"> </v>
      </c>
      <c r="AB71" s="1027" t="str">
        <f>IF($A71&gt;$C$5," ",SUM($D$20:D71))</f>
        <v xml:space="preserve"> </v>
      </c>
      <c r="AC71" s="1027" t="str">
        <f>IF($A71&gt;$C$5," ",SUM($E$20:E71))</f>
        <v xml:space="preserve"> </v>
      </c>
      <c r="AD71" s="1379" t="str">
        <f t="shared" si="22"/>
        <v xml:space="preserve"> </v>
      </c>
      <c r="AE71" s="1027" t="str">
        <f>IF($A71&gt;$C$5," ",SUM($W$20:W71))</f>
        <v xml:space="preserve"> </v>
      </c>
      <c r="AF71" s="1027" t="str">
        <f>IF($A71&gt;$C$5," ",SUM($X$20:X71))</f>
        <v xml:space="preserve"> </v>
      </c>
      <c r="AG71" s="1027" t="str">
        <f t="shared" si="23"/>
        <v xml:space="preserve"> </v>
      </c>
      <c r="AH71" s="1394" t="str">
        <f>IF($A71&gt;$C$5," ",VLOOKUP($A71,Plot!$A$7:$D$67,4,FALSE))</f>
        <v xml:space="preserve"> </v>
      </c>
      <c r="AI71" s="1390" t="str">
        <f>IF($A71&gt;$C$5," ",VLOOKUP($A71,Plot!$A$7:$E$67,5,FALSE))</f>
        <v xml:space="preserve"> </v>
      </c>
      <c r="AJ71" s="1390" t="str">
        <f ca="1">IF($A71&gt;$C$5," ",IF(ROW()-ROW($A$18)&gt;='Options and results'!$AR$56,AVERAGE(OFFSET(AI71,0,0,COUNTA($BS:$BS)-'Options and results'!$AR$56,1)),NA()))</f>
        <v xml:space="preserve"> </v>
      </c>
      <c r="AK71" s="1395" t="str">
        <f>IF($A71&gt;$C$5," ",VLOOKUP($A71,Plot!$A$7:$F$67,6,FALSE))</f>
        <v xml:space="preserve"> </v>
      </c>
      <c r="AL71" s="1390" t="str">
        <f>IF($A71&gt;$C$5," ",VLOOKUP($A71,Plot!$CK$7:$CN$67,4,FALSE))</f>
        <v xml:space="preserve"> </v>
      </c>
      <c r="AM71" s="1390" t="str">
        <f>IF($A71&gt;$C$5," ",AL71*VLOOKUP($A71,Plot!$CK$7:$CO$67,5,FALSE))</f>
        <v xml:space="preserve"> </v>
      </c>
      <c r="AN71" s="1390" t="str">
        <f ca="1">IF($A71&gt;$C$5," ",IF(ROW()-ROW($A$18)&gt;='Options and results'!$AR$56,AVERAGE(OFFSET(AM71,0,0,COUNTA($BS:$BS)-'Options and results'!$AR$56,1)),NA()))</f>
        <v xml:space="preserve"> </v>
      </c>
      <c r="AO71" s="1390" t="str">
        <f>IF($A71&gt;$C$5," ",VLOOKUP($A71,Plot!$CK$7:$CP$67,6,FALSE))</f>
        <v xml:space="preserve"> </v>
      </c>
      <c r="AP71" s="1409">
        <f>IF($A71&gt;$C$5,0,VLOOKUP($A71,Plot!$V$7:$AH$67,7,FALSE))</f>
        <v>0</v>
      </c>
      <c r="AQ71" s="1390" t="str">
        <f>IF($A71&gt;$C$5," ",VLOOKUP($A71,Plot!$V$7:$AH$67,13,FALSE))</f>
        <v xml:space="preserve"> </v>
      </c>
      <c r="AR71" s="1390" t="str">
        <f>IF($A71&gt;$C$5," ",VLOOKUP($A71,Plot!$V$7:$AI$67,14,FALSE))</f>
        <v xml:space="preserve"> </v>
      </c>
      <c r="AS71" s="1390" t="str">
        <f>IF($A71&gt;$C$5," ",VLOOKUP($A71,Plot!$V$7:$AJ$67,15,FALSE))</f>
        <v xml:space="preserve"> </v>
      </c>
      <c r="AT71" s="1390" t="str">
        <f>IF($A71&gt;$C$5," ",AQ71+SUM($AS$20:AS71)+IF(AP72=0,-AQ71,0))</f>
        <v xml:space="preserve"> </v>
      </c>
      <c r="AU71" s="1390" t="str">
        <f>IF($A71&gt;$C$5," ",VLOOKUP($A71,Plot!$V$7:$AL$67,Plot!$AL$2,FALSE))</f>
        <v xml:space="preserve"> </v>
      </c>
      <c r="AV71" s="1395" t="str">
        <f>IF($A71&gt;$C$5," ",VLOOKUP($A71,Plot!$V$7:$AM$67,Plot!$AM$2,FALSE))</f>
        <v xml:space="preserve"> </v>
      </c>
      <c r="AW71" s="1407">
        <f>IF($A71&gt;$C$5,0,VLOOKUP($A71,Plot!$DF$7:$DS$67,7,FALSE))</f>
        <v>0</v>
      </c>
      <c r="AX71" s="1390" t="str">
        <f>IF($A71&gt;$C$5," ",VLOOKUP($A71,Plot!$DF$7:$DS$67,14,FALSE))</f>
        <v xml:space="preserve"> </v>
      </c>
      <c r="AY71" s="1390" t="str">
        <f>IF($A71&gt;$C$5," ",VLOOKUP($A71,Plot!$DF$7:$DT$67,15,FALSE))</f>
        <v xml:space="preserve"> </v>
      </c>
      <c r="AZ71" s="1390" t="str">
        <f>IF($A71&gt;$C$5," ",VLOOKUP($A71,Plot!$DF$7:$DU$67,16,FALSE))</f>
        <v xml:space="preserve"> </v>
      </c>
      <c r="BA71" s="1390" t="str">
        <f>IF($A71&gt;$C$5," ",AX71+SUM($AZ$20:AZ71)+IF(AW72=0,-AX71,0))</f>
        <v xml:space="preserve"> </v>
      </c>
      <c r="BB71" s="1390" t="str">
        <f>IF($A71&gt;$C$5," ",VLOOKUP($A71,Plot!$DF$7:$DW$67,Plot!$DW$2,FALSE))</f>
        <v xml:space="preserve"> </v>
      </c>
      <c r="BC71" s="1390" t="str">
        <f>IF($A71&gt;$C$5," ",VLOOKUP($A71,Plot!$DF$7:$DX$67,Plot!$DX$2,FALSE))</f>
        <v xml:space="preserve"> </v>
      </c>
      <c r="BD71" s="1396" t="str">
        <f>IF($A71&gt;$C$5," ",VLOOKUP($A71,Plot!$A$7:$N$67,14,FALSE))</f>
        <v xml:space="preserve"> </v>
      </c>
      <c r="BE71" s="303" t="str">
        <f>IF($A71&gt;$C$5," ",VLOOKUP($A71,Plot!$V$7:$BW$67,Plot!$BW$2,FALSE))</f>
        <v xml:space="preserve"> </v>
      </c>
      <c r="BF71" s="303" t="str">
        <f>IF($A71&gt;$C$5," ",VLOOKUP($A71,Plot!$CK$7:$CX$67,14,FALSE))</f>
        <v xml:space="preserve"> </v>
      </c>
      <c r="BG71" s="303" t="str">
        <f>IF($A71&gt;$C$5," ",VLOOKUP($A71,Plot!$DF$7:$FH$67,Plot!$FH$2,FALSE))</f>
        <v xml:space="preserve"> </v>
      </c>
      <c r="BH71" s="1397" t="str">
        <f t="shared" si="24"/>
        <v xml:space="preserve"> </v>
      </c>
      <c r="BI71" s="303" t="str">
        <f>IF($A71&gt;$C$5," ",VLOOKUP($A71,Plot!$DF$7:$EJ$67,29,FALSE))</f>
        <v xml:space="preserve"> </v>
      </c>
      <c r="BJ71" s="303" t="str">
        <f>IF($A71&gt;$C$5," ",VLOOKUP($A71,Plot!$DF$7:$FT$67,30,FALSE))</f>
        <v xml:space="preserve"> </v>
      </c>
      <c r="BK71" s="303" t="str">
        <f>IF($A71&gt;$C$5," ",VLOOKUP($A71,Plot!$DF$7:$FT$67,Plot!$EL$2,FALSE))</f>
        <v xml:space="preserve"> </v>
      </c>
      <c r="BL71" s="303" t="str">
        <f>IF($A71&gt;$C$5," ",VLOOKUP($A71,Plot!$DF$7:$FT$67,Plot!$EM$2,FALSE))</f>
        <v xml:space="preserve"> </v>
      </c>
      <c r="BM71" s="303" t="str">
        <f>IF($A71&gt;$C$5," ",VLOOKUP($A71,Plot!$DF$7:$FT$67,Plot!$EN$2,FALSE))</f>
        <v xml:space="preserve"> </v>
      </c>
      <c r="BN71" s="303" t="str">
        <f>IF($A71&gt;$C$5," ",VLOOKUP($A71,Plot!$DF$7:$FT$67,Plot!$EO$2,FALSE))</f>
        <v xml:space="preserve"> </v>
      </c>
      <c r="BO71" s="303" t="str">
        <f t="shared" si="19"/>
        <v xml:space="preserve"> </v>
      </c>
      <c r="BP71" s="303" t="str">
        <f>IF($A71&gt;$C$5," ",VLOOKUP($A71,Plot!$DF$7:$FT$67,Plot!$EQ$2,FALSE))</f>
        <v xml:space="preserve"> </v>
      </c>
      <c r="BQ71" s="303" t="str">
        <f>IF($A71&gt;$C$5," ",(VLOOKUP($A71,Plot!$DF$7:$FT$67,Plot!$ES$2,FALSE)+VLOOKUP($A71,Plot!$DF$7:$FT$67,Plot!$ET$2,FALSE)))</f>
        <v xml:space="preserve"> </v>
      </c>
      <c r="BR71" s="303" t="str">
        <f>IF($A71&gt;$C$5," ",(VLOOKUP($A71,Plot!$DF$7:$FT$67,Plot!$EV$2,FALSE)+VLOOKUP($A71,Plot!$DF$7:$FT$67,Plot!$EW$2,FALSE)))</f>
        <v xml:space="preserve"> </v>
      </c>
      <c r="BS71" s="303" t="str">
        <f>IF($A71&gt;$C$5," ",VLOOKUP($A71,Plot!$DF$7:$FT$67,Plot!$EY$2,FALSE))</f>
        <v xml:space="preserve"> </v>
      </c>
      <c r="BT71" s="303" t="str">
        <f>IF($A71&gt;$C$5," ",(VLOOKUP($A71,Plot!$DF$7:$FT$67,Plot!$FB$2,FALSE)+VLOOKUP($A71,Plot!$DF$7:$FT$67,Plot!$FC$2,FALSE)))</f>
        <v xml:space="preserve"> </v>
      </c>
      <c r="BU71" s="303" t="str">
        <f>IF($A71&gt;$C$5," ",(VLOOKUP($A71,Plot!$DF$7:$FT$67,Plot!$FE$2,FALSE)+VLOOKUP($A71,Plot!$DF$7:$FT$67,Plot!$FF$2,FALSE)))</f>
        <v xml:space="preserve"> </v>
      </c>
      <c r="BV71" s="1026" t="str">
        <f>IF($A71&gt;$C$5," ",VLOOKUP($A71,Plot!$FV$7:$GJ$67,2,FALSE))</f>
        <v xml:space="preserve"> </v>
      </c>
      <c r="BW71" s="1027" t="str">
        <f>IF($A71&gt;$C$5," ",VLOOKUP($A71,Plot!$FV$7:$GJ$67,3,FALSE))</f>
        <v xml:space="preserve"> </v>
      </c>
      <c r="BX71" s="1379" t="str">
        <f>IF($A71&gt;$C$5," ",VLOOKUP($A71,Plot!$FV$7:$GJ$67,6,FALSE))</f>
        <v xml:space="preserve"> </v>
      </c>
      <c r="BY71" s="1026" t="str">
        <f>IF($A71&gt;$C$5," ",VLOOKUP($A71,Plot!$GO$7:$GY$67,2,FALSE))</f>
        <v xml:space="preserve"> </v>
      </c>
      <c r="BZ71" s="1027" t="str">
        <f>IF($A71&gt;$C$5," ",VLOOKUP($A71,Plot!$GO$7:$GY$67,3,FALSE))</f>
        <v xml:space="preserve"> </v>
      </c>
      <c r="CA71" s="1379" t="str">
        <f>IF($A71&gt;$C$5," ",VLOOKUP($A71,Plot!$GO$7:$GY$67,6,FALSE))</f>
        <v xml:space="preserve"> </v>
      </c>
      <c r="CB71" s="1027" t="str">
        <f>IF($A71&gt;$C$5," ",-1*VLOOKUP($A71,Plot!$HA$7:$HK$67,2,FALSE))</f>
        <v xml:space="preserve"> </v>
      </c>
      <c r="CC71" s="1027" t="str">
        <f>IF($A71&gt;$C$5," ",-1*VLOOKUP($A71,Plot!$HA$7:$HK$67,3,FALSE))</f>
        <v xml:space="preserve"> </v>
      </c>
      <c r="CD71" s="1189" t="str">
        <f>IF($A71&gt;$C$5," ",-1*VLOOKUP($A71,Plot!$HA$7:$HK$67,6,FALSE))</f>
        <v xml:space="preserve"> </v>
      </c>
      <c r="CE71" s="10"/>
      <c r="CF71" s="38">
        <v>52</v>
      </c>
      <c r="CG71" s="1381" t="str">
        <f>IF($CF71&gt;$C$5," ",VLOOKUP($CF71,Unit!$A$7:$BE$68,22,FALSE))</f>
        <v xml:space="preserve"> </v>
      </c>
      <c r="CH71" s="1027" t="str">
        <f>IF($CF71&gt;$C$5," ",VLOOKUP($CF71,Unit!$A$7:$BE$68,23,FALSE))</f>
        <v xml:space="preserve"> </v>
      </c>
      <c r="CI71" s="1027" t="str">
        <f>IF($CF71&gt;$C$5," ",VLOOKUP($CF71,Unit!$A$7:$BE$68,24,FALSE))</f>
        <v xml:space="preserve"> </v>
      </c>
      <c r="CJ71" s="1189" t="str">
        <f>IF($CF71&gt;$C$5," ",VLOOKUP($CF71,Unit!$A$7:$BE$68,25,FALSE))</f>
        <v xml:space="preserve"> </v>
      </c>
      <c r="CK71" s="1381" t="str">
        <f>IF($CF71&gt;$C$5," ",VLOOKUP($CF71,Unit!$A$7:$BE$68,27,FALSE))</f>
        <v xml:space="preserve"> </v>
      </c>
      <c r="CL71" s="1027" t="str">
        <f>IF($CF71&gt;$C$5," ",VLOOKUP($CF71,Unit!$A$7:$BE$68,28,FALSE))</f>
        <v xml:space="preserve"> </v>
      </c>
      <c r="CM71" s="1027" t="str">
        <f>IF($CF71&gt;$C$5," ",VLOOKUP($CF71,Unit!$A$7:$BE$68,29,FALSE))</f>
        <v xml:space="preserve"> </v>
      </c>
      <c r="CN71" s="1027" t="str">
        <f>IF($CF71&gt;$C$5," ",VLOOKUP($CF71,Unit!$A$7:$BE$68,30,FALSE))</f>
        <v xml:space="preserve"> </v>
      </c>
      <c r="CO71" s="1027" t="str">
        <f>IF($CF71&gt;$C$5," ",VLOOKUP($CF71,Unit!$A$7:$BE$68,31,FALSE))</f>
        <v xml:space="preserve"> </v>
      </c>
      <c r="CP71" s="1027" t="str">
        <f>IF($CF71&gt;$C$5," ",VLOOKUP($CF71,Unit!$A$7:$BE$68,32,FALSE))</f>
        <v xml:space="preserve"> </v>
      </c>
      <c r="CQ71" s="1381" t="str">
        <f>IF($CF71&gt;$C$5," ",VLOOKUP($CF71,Unit!$A$7:$BE$68,33,FALSE))</f>
        <v xml:space="preserve"> </v>
      </c>
      <c r="CR71" s="1027" t="str">
        <f>IF($CF71&gt;$C$5," ",VLOOKUP($CF71,Unit!$A$7:$BE$68,34,FALSE))</f>
        <v xml:space="preserve"> </v>
      </c>
      <c r="CS71" s="1027" t="str">
        <f>IF($CF71&gt;$C$5," ",VLOOKUP($CF71,Unit!$A$7:$BE$68,35,FALSE))</f>
        <v xml:space="preserve"> </v>
      </c>
      <c r="CT71" s="1027" t="str">
        <f>IF($CF71&gt;$C$5," ",VLOOKUP($CF71,Unit!$A$7:$BE$68,36,FALSE))</f>
        <v xml:space="preserve"> </v>
      </c>
      <c r="CU71" s="1189" t="str">
        <f t="shared" si="20"/>
        <v xml:space="preserve"> </v>
      </c>
      <c r="CV71" s="1027" t="str">
        <f>IF($CF71&gt;$C$5," ",VLOOKUP($CF71,Unit!$A$7:$BA$68,43,FALSE))</f>
        <v xml:space="preserve"> </v>
      </c>
      <c r="CW71" s="1027" t="str">
        <f>IF($CF71&gt;$C$5," ",VLOOKUP($CF71,Unit!$A$7:$BB$68,44,FALSE))</f>
        <v xml:space="preserve"> </v>
      </c>
      <c r="CX71" s="1189" t="str">
        <f>IF($CF71&gt;$C$5," ",VLOOKUP($CF71,Unit!$A$7:$BE$68,47,FALSE))</f>
        <v xml:space="preserve"> </v>
      </c>
      <c r="CY71" s="1381" t="str">
        <f>IF($CF71&gt;$C$5," ",VLOOKUP($CF71,Unit!$A$7:$BA$68,53,FALSE))</f>
        <v xml:space="preserve"> </v>
      </c>
      <c r="CZ71" s="1027" t="str">
        <f>IF($CF71&gt;$C$5," ",VLOOKUP($CF71,Unit!$A$7:$BB$68,54,FALSE))</f>
        <v xml:space="preserve"> </v>
      </c>
      <c r="DA71" s="1189" t="str">
        <f>IF($CF71&gt;$C$5," ",VLOOKUP($CF71,Unit!$A$7:$BE$68,57,FALSE))</f>
        <v xml:space="preserve"> </v>
      </c>
    </row>
    <row r="72" spans="1:105" x14ac:dyDescent="0.25">
      <c r="A72" s="38">
        <v>53</v>
      </c>
      <c r="B72" s="1381" t="str">
        <f>IF($A72&gt;$C$5," ",VLOOKUP($A72,Plot!$A$7:$T$67,Plot!P$2,FALSE))</f>
        <v xml:space="preserve"> </v>
      </c>
      <c r="C72" s="1027" t="str">
        <f>IF($A72&gt;$C$5," ",VLOOKUP($A72,Plot!$V$7:$CI$67,Plot!$CA$2,FALSE))</f>
        <v xml:space="preserve"> </v>
      </c>
      <c r="D72" s="1027" t="str">
        <f>IF($A72&gt;$C$5," ",VLOOKUP($A72,Plot!$CK$7:$DD$67,Plot!$CZ$2,FALSE))</f>
        <v xml:space="preserve"> </v>
      </c>
      <c r="E72" s="1027" t="str">
        <f>IF($A72&gt;$C$5," ",VLOOKUP($A72,Plot!$DF$7:$FT$67,Plot!$FL$2,FALSE))</f>
        <v xml:space="preserve"> </v>
      </c>
      <c r="F72" s="1379" t="str">
        <f t="shared" si="25"/>
        <v xml:space="preserve"> </v>
      </c>
      <c r="G72" s="1026" t="str">
        <f>IF($A72&gt;$C$5," ",VLOOKUP($A72,Plot!$V$7:$CG$67,Plot!$CG$2,FALSE))</f>
        <v xml:space="preserve"> </v>
      </c>
      <c r="H72" s="1027" t="str">
        <f>IF($A72&gt;$C$5," ",VLOOKUP($A72,Plot!$DF$7:$FT$67,Plot!$FR$2,FALSE))</f>
        <v xml:space="preserve"> </v>
      </c>
      <c r="I72" s="1379" t="str">
        <f t="shared" si="17"/>
        <v xml:space="preserve"> </v>
      </c>
      <c r="J72" s="1026" t="str">
        <f>IF($A72&gt;$C$5," ",SUM(B$20:$B72))</f>
        <v xml:space="preserve"> </v>
      </c>
      <c r="K72" s="1027" t="str">
        <f>IF($A72&gt;$C$5," ",SUM($C$20:C72))</f>
        <v xml:space="preserve"> </v>
      </c>
      <c r="L72" s="1027" t="str">
        <f>IF($A72&gt;$C$5," ",SUM($D$20:D72))</f>
        <v xml:space="preserve"> </v>
      </c>
      <c r="M72" s="1027" t="str">
        <f>IF($A72&gt;$C$5," ",SUM($E$20:E72))</f>
        <v xml:space="preserve"> </v>
      </c>
      <c r="N72" s="1379" t="str">
        <f>IF($A72&gt;$C$5," ",SUM($F$20:F72))</f>
        <v xml:space="preserve"> </v>
      </c>
      <c r="O72" s="1027" t="str">
        <f>IF($A72&gt;$C$5," ",SUM($G$20:G72))</f>
        <v xml:space="preserve"> </v>
      </c>
      <c r="P72" s="1027" t="str">
        <f>IF($A72&gt;$C$5," ",SUM($H$20:H72))</f>
        <v xml:space="preserve"> </v>
      </c>
      <c r="Q72" s="1027" t="str">
        <f>IF($A72&gt;$C$5," ",SUM($I$20:I72))</f>
        <v xml:space="preserve"> </v>
      </c>
      <c r="R72" s="1026"/>
      <c r="S72" s="1027"/>
      <c r="T72" s="1027"/>
      <c r="U72" s="1027"/>
      <c r="V72" s="1379"/>
      <c r="W72" s="1027" t="str">
        <f>IF($A72&gt;$C$5," ",VLOOKUP($A72,Plot!$HM$7:$IA$67,Plot!$HR$2,FALSE))</f>
        <v xml:space="preserve"> </v>
      </c>
      <c r="X72" s="1027" t="str">
        <f>IF($A72&gt;$C$5," ",VLOOKUP($A72,Plot!$HM$7:$IA$67,Plot!$HS$2,FALSE))</f>
        <v xml:space="preserve"> </v>
      </c>
      <c r="Y72" s="1379" t="str">
        <f t="shared" si="18"/>
        <v xml:space="preserve"> </v>
      </c>
      <c r="Z72" s="1026" t="str">
        <f>IF($A72&gt;$C$5," ",SUM($B$20:B72))</f>
        <v xml:space="preserve"> </v>
      </c>
      <c r="AA72" s="1027" t="str">
        <f>IF($A72&gt;$C$5," ",SUM($C$20:C72))</f>
        <v xml:space="preserve"> </v>
      </c>
      <c r="AB72" s="1027" t="str">
        <f>IF($A72&gt;$C$5," ",SUM($D$20:D72))</f>
        <v xml:space="preserve"> </v>
      </c>
      <c r="AC72" s="1027" t="str">
        <f>IF($A72&gt;$C$5," ",SUM($E$20:E72))</f>
        <v xml:space="preserve"> </v>
      </c>
      <c r="AD72" s="1379" t="str">
        <f t="shared" si="22"/>
        <v xml:space="preserve"> </v>
      </c>
      <c r="AE72" s="1027" t="str">
        <f>IF($A72&gt;$C$5," ",SUM($W$20:W72))</f>
        <v xml:space="preserve"> </v>
      </c>
      <c r="AF72" s="1027" t="str">
        <f>IF($A72&gt;$C$5," ",SUM($X$20:X72))</f>
        <v xml:space="preserve"> </v>
      </c>
      <c r="AG72" s="1027" t="str">
        <f t="shared" si="23"/>
        <v xml:space="preserve"> </v>
      </c>
      <c r="AH72" s="1394" t="str">
        <f>IF($A72&gt;$C$5," ",VLOOKUP($A72,Plot!$A$7:$D$67,4,FALSE))</f>
        <v xml:space="preserve"> </v>
      </c>
      <c r="AI72" s="1390" t="str">
        <f>IF($A72&gt;$C$5," ",VLOOKUP($A72,Plot!$A$7:$E$67,5,FALSE))</f>
        <v xml:space="preserve"> </v>
      </c>
      <c r="AJ72" s="1390" t="str">
        <f ca="1">IF($A72&gt;$C$5," ",IF(ROW()-ROW($A$18)&gt;='Options and results'!$AR$56,AVERAGE(OFFSET(AI72,0,0,COUNTA($BS:$BS)-'Options and results'!$AR$56,1)),NA()))</f>
        <v xml:space="preserve"> </v>
      </c>
      <c r="AK72" s="1395" t="str">
        <f>IF($A72&gt;$C$5," ",VLOOKUP($A72,Plot!$A$7:$F$67,6,FALSE))</f>
        <v xml:space="preserve"> </v>
      </c>
      <c r="AL72" s="1390" t="str">
        <f>IF($A72&gt;$C$5," ",VLOOKUP($A72,Plot!$CK$7:$CN$67,4,FALSE))</f>
        <v xml:space="preserve"> </v>
      </c>
      <c r="AM72" s="1390" t="str">
        <f>IF($A72&gt;$C$5," ",AL72*VLOOKUP($A72,Plot!$CK$7:$CO$67,5,FALSE))</f>
        <v xml:space="preserve"> </v>
      </c>
      <c r="AN72" s="1390" t="str">
        <f ca="1">IF($A72&gt;$C$5," ",IF(ROW()-ROW($A$18)&gt;='Options and results'!$AR$56,AVERAGE(OFFSET(AM72,0,0,COUNTA($BS:$BS)-'Options and results'!$AR$56,1)),NA()))</f>
        <v xml:space="preserve"> </v>
      </c>
      <c r="AO72" s="1390" t="str">
        <f>IF($A72&gt;$C$5," ",VLOOKUP($A72,Plot!$CK$7:$CP$67,6,FALSE))</f>
        <v xml:space="preserve"> </v>
      </c>
      <c r="AP72" s="1409">
        <f>IF($A72&gt;$C$5,0,VLOOKUP($A72,Plot!$V$7:$AH$67,7,FALSE))</f>
        <v>0</v>
      </c>
      <c r="AQ72" s="1390" t="str">
        <f>IF($A72&gt;$C$5," ",VLOOKUP($A72,Plot!$V$7:$AH$67,13,FALSE))</f>
        <v xml:space="preserve"> </v>
      </c>
      <c r="AR72" s="1390" t="str">
        <f>IF($A72&gt;$C$5," ",VLOOKUP($A72,Plot!$V$7:$AI$67,14,FALSE))</f>
        <v xml:space="preserve"> </v>
      </c>
      <c r="AS72" s="1390" t="str">
        <f>IF($A72&gt;$C$5," ",VLOOKUP($A72,Plot!$V$7:$AJ$67,15,FALSE))</f>
        <v xml:space="preserve"> </v>
      </c>
      <c r="AT72" s="1390" t="str">
        <f>IF($A72&gt;$C$5," ",AQ72+SUM($AS$20:AS72)+IF(AP73=0,-AQ72,0))</f>
        <v xml:space="preserve"> </v>
      </c>
      <c r="AU72" s="1390" t="str">
        <f>IF($A72&gt;$C$5," ",VLOOKUP($A72,Plot!$V$7:$AL$67,Plot!$AL$2,FALSE))</f>
        <v xml:space="preserve"> </v>
      </c>
      <c r="AV72" s="1395" t="str">
        <f>IF($A72&gt;$C$5," ",VLOOKUP($A72,Plot!$V$7:$AM$67,Plot!$AM$2,FALSE))</f>
        <v xml:space="preserve"> </v>
      </c>
      <c r="AW72" s="1407">
        <f>IF($A72&gt;$C$5,0,VLOOKUP($A72,Plot!$DF$7:$DS$67,7,FALSE))</f>
        <v>0</v>
      </c>
      <c r="AX72" s="1390" t="str">
        <f>IF($A72&gt;$C$5," ",VLOOKUP($A72,Plot!$DF$7:$DS$67,14,FALSE))</f>
        <v xml:space="preserve"> </v>
      </c>
      <c r="AY72" s="1390" t="str">
        <f>IF($A72&gt;$C$5," ",VLOOKUP($A72,Plot!$DF$7:$DT$67,15,FALSE))</f>
        <v xml:space="preserve"> </v>
      </c>
      <c r="AZ72" s="1390" t="str">
        <f>IF($A72&gt;$C$5," ",VLOOKUP($A72,Plot!$DF$7:$DU$67,16,FALSE))</f>
        <v xml:space="preserve"> </v>
      </c>
      <c r="BA72" s="1390" t="str">
        <f>IF($A72&gt;$C$5," ",AX72+SUM($AZ$20:AZ72)+IF(AW73=0,-AX72,0))</f>
        <v xml:space="preserve"> </v>
      </c>
      <c r="BB72" s="1390" t="str">
        <f>IF($A72&gt;$C$5," ",VLOOKUP($A72,Plot!$DF$7:$DW$67,Plot!$DW$2,FALSE))</f>
        <v xml:space="preserve"> </v>
      </c>
      <c r="BC72" s="1390" t="str">
        <f>IF($A72&gt;$C$5," ",VLOOKUP($A72,Plot!$DF$7:$DX$67,Plot!$DX$2,FALSE))</f>
        <v xml:space="preserve"> </v>
      </c>
      <c r="BD72" s="1396" t="str">
        <f>IF($A72&gt;$C$5," ",VLOOKUP($A72,Plot!$A$7:$N$67,14,FALSE))</f>
        <v xml:space="preserve"> </v>
      </c>
      <c r="BE72" s="303" t="str">
        <f>IF($A72&gt;$C$5," ",VLOOKUP($A72,Plot!$V$7:$BW$67,Plot!$BW$2,FALSE))</f>
        <v xml:space="preserve"> </v>
      </c>
      <c r="BF72" s="303" t="str">
        <f>IF($A72&gt;$C$5," ",VLOOKUP($A72,Plot!$CK$7:$CX$67,14,FALSE))</f>
        <v xml:space="preserve"> </v>
      </c>
      <c r="BG72" s="303" t="str">
        <f>IF($A72&gt;$C$5," ",VLOOKUP($A72,Plot!$DF$7:$FH$67,Plot!$FH$2,FALSE))</f>
        <v xml:space="preserve"> </v>
      </c>
      <c r="BH72" s="1397" t="str">
        <f t="shared" si="24"/>
        <v xml:space="preserve"> </v>
      </c>
      <c r="BI72" s="303" t="str">
        <f>IF($A72&gt;$C$5," ",VLOOKUP($A72,Plot!$DF$7:$EJ$67,29,FALSE))</f>
        <v xml:space="preserve"> </v>
      </c>
      <c r="BJ72" s="303" t="str">
        <f>IF($A72&gt;$C$5," ",VLOOKUP($A72,Plot!$DF$7:$FT$67,30,FALSE))</f>
        <v xml:space="preserve"> </v>
      </c>
      <c r="BK72" s="303" t="str">
        <f>IF($A72&gt;$C$5," ",VLOOKUP($A72,Plot!$DF$7:$FT$67,Plot!$EL$2,FALSE))</f>
        <v xml:space="preserve"> </v>
      </c>
      <c r="BL72" s="303" t="str">
        <f>IF($A72&gt;$C$5," ",VLOOKUP($A72,Plot!$DF$7:$FT$67,Plot!$EM$2,FALSE))</f>
        <v xml:space="preserve"> </v>
      </c>
      <c r="BM72" s="303" t="str">
        <f>IF($A72&gt;$C$5," ",VLOOKUP($A72,Plot!$DF$7:$FT$67,Plot!$EN$2,FALSE))</f>
        <v xml:space="preserve"> </v>
      </c>
      <c r="BN72" s="303" t="str">
        <f>IF($A72&gt;$C$5," ",VLOOKUP($A72,Plot!$DF$7:$FT$67,Plot!$EO$2,FALSE))</f>
        <v xml:space="preserve"> </v>
      </c>
      <c r="BO72" s="303" t="str">
        <f t="shared" si="19"/>
        <v xml:space="preserve"> </v>
      </c>
      <c r="BP72" s="303" t="str">
        <f>IF($A72&gt;$C$5," ",VLOOKUP($A72,Plot!$DF$7:$FT$67,Plot!$EQ$2,FALSE))</f>
        <v xml:space="preserve"> </v>
      </c>
      <c r="BQ72" s="303" t="str">
        <f>IF($A72&gt;$C$5," ",(VLOOKUP($A72,Plot!$DF$7:$FT$67,Plot!$ES$2,FALSE)+VLOOKUP($A72,Plot!$DF$7:$FT$67,Plot!$ET$2,FALSE)))</f>
        <v xml:space="preserve"> </v>
      </c>
      <c r="BR72" s="303" t="str">
        <f>IF($A72&gt;$C$5," ",(VLOOKUP($A72,Plot!$DF$7:$FT$67,Plot!$EV$2,FALSE)+VLOOKUP($A72,Plot!$DF$7:$FT$67,Plot!$EW$2,FALSE)))</f>
        <v xml:space="preserve"> </v>
      </c>
      <c r="BS72" s="303" t="str">
        <f>IF($A72&gt;$C$5," ",VLOOKUP($A72,Plot!$DF$7:$FT$67,Plot!$EY$2,FALSE))</f>
        <v xml:space="preserve"> </v>
      </c>
      <c r="BT72" s="303" t="str">
        <f>IF($A72&gt;$C$5," ",(VLOOKUP($A72,Plot!$DF$7:$FT$67,Plot!$FB$2,FALSE)+VLOOKUP($A72,Plot!$DF$7:$FT$67,Plot!$FC$2,FALSE)))</f>
        <v xml:space="preserve"> </v>
      </c>
      <c r="BU72" s="303" t="str">
        <f>IF($A72&gt;$C$5," ",(VLOOKUP($A72,Plot!$DF$7:$FT$67,Plot!$FE$2,FALSE)+VLOOKUP($A72,Plot!$DF$7:$FT$67,Plot!$FF$2,FALSE)))</f>
        <v xml:space="preserve"> </v>
      </c>
      <c r="BV72" s="1026" t="str">
        <f>IF($A72&gt;$C$5," ",VLOOKUP($A72,Plot!$FV$7:$GJ$67,2,FALSE))</f>
        <v xml:space="preserve"> </v>
      </c>
      <c r="BW72" s="1027" t="str">
        <f>IF($A72&gt;$C$5," ",VLOOKUP($A72,Plot!$FV$7:$GJ$67,3,FALSE))</f>
        <v xml:space="preserve"> </v>
      </c>
      <c r="BX72" s="1379" t="str">
        <f>IF($A72&gt;$C$5," ",VLOOKUP($A72,Plot!$FV$7:$GJ$67,6,FALSE))</f>
        <v xml:space="preserve"> </v>
      </c>
      <c r="BY72" s="1026" t="str">
        <f>IF($A72&gt;$C$5," ",VLOOKUP($A72,Plot!$GO$7:$GY$67,2,FALSE))</f>
        <v xml:space="preserve"> </v>
      </c>
      <c r="BZ72" s="1027" t="str">
        <f>IF($A72&gt;$C$5," ",VLOOKUP($A72,Plot!$GO$7:$GY$67,3,FALSE))</f>
        <v xml:space="preserve"> </v>
      </c>
      <c r="CA72" s="1379" t="str">
        <f>IF($A72&gt;$C$5," ",VLOOKUP($A72,Plot!$GO$7:$GY$67,6,FALSE))</f>
        <v xml:space="preserve"> </v>
      </c>
      <c r="CB72" s="1027" t="str">
        <f>IF($A72&gt;$C$5," ",-1*VLOOKUP($A72,Plot!$HA$7:$HK$67,2,FALSE))</f>
        <v xml:space="preserve"> </v>
      </c>
      <c r="CC72" s="1027" t="str">
        <f>IF($A72&gt;$C$5," ",-1*VLOOKUP($A72,Plot!$HA$7:$HK$67,3,FALSE))</f>
        <v xml:space="preserve"> </v>
      </c>
      <c r="CD72" s="1189" t="str">
        <f>IF($A72&gt;$C$5," ",-1*VLOOKUP($A72,Plot!$HA$7:$HK$67,6,FALSE))</f>
        <v xml:space="preserve"> </v>
      </c>
      <c r="CE72" s="10"/>
      <c r="CF72" s="38">
        <v>53</v>
      </c>
      <c r="CG72" s="1381" t="str">
        <f>IF($CF72&gt;$C$5," ",VLOOKUP($CF72,Unit!$A$7:$BE$68,22,FALSE))</f>
        <v xml:space="preserve"> </v>
      </c>
      <c r="CH72" s="1027" t="str">
        <f>IF($CF72&gt;$C$5," ",VLOOKUP($CF72,Unit!$A$7:$BE$68,23,FALSE))</f>
        <v xml:space="preserve"> </v>
      </c>
      <c r="CI72" s="1027" t="str">
        <f>IF($CF72&gt;$C$5," ",VLOOKUP($CF72,Unit!$A$7:$BE$68,24,FALSE))</f>
        <v xml:space="preserve"> </v>
      </c>
      <c r="CJ72" s="1189" t="str">
        <f>IF($CF72&gt;$C$5," ",VLOOKUP($CF72,Unit!$A$7:$BE$68,25,FALSE))</f>
        <v xml:space="preserve"> </v>
      </c>
      <c r="CK72" s="1381" t="str">
        <f>IF($CF72&gt;$C$5," ",VLOOKUP($CF72,Unit!$A$7:$BE$68,27,FALSE))</f>
        <v xml:space="preserve"> </v>
      </c>
      <c r="CL72" s="1027" t="str">
        <f>IF($CF72&gt;$C$5," ",VLOOKUP($CF72,Unit!$A$7:$BE$68,28,FALSE))</f>
        <v xml:space="preserve"> </v>
      </c>
      <c r="CM72" s="1027" t="str">
        <f>IF($CF72&gt;$C$5," ",VLOOKUP($CF72,Unit!$A$7:$BE$68,29,FALSE))</f>
        <v xml:space="preserve"> </v>
      </c>
      <c r="CN72" s="1027" t="str">
        <f>IF($CF72&gt;$C$5," ",VLOOKUP($CF72,Unit!$A$7:$BE$68,30,FALSE))</f>
        <v xml:space="preserve"> </v>
      </c>
      <c r="CO72" s="1027" t="str">
        <f>IF($CF72&gt;$C$5," ",VLOOKUP($CF72,Unit!$A$7:$BE$68,31,FALSE))</f>
        <v xml:space="preserve"> </v>
      </c>
      <c r="CP72" s="1027" t="str">
        <f>IF($CF72&gt;$C$5," ",VLOOKUP($CF72,Unit!$A$7:$BE$68,32,FALSE))</f>
        <v xml:space="preserve"> </v>
      </c>
      <c r="CQ72" s="1381" t="str">
        <f>IF($CF72&gt;$C$5," ",VLOOKUP($CF72,Unit!$A$7:$BE$68,33,FALSE))</f>
        <v xml:space="preserve"> </v>
      </c>
      <c r="CR72" s="1027" t="str">
        <f>IF($CF72&gt;$C$5," ",VLOOKUP($CF72,Unit!$A$7:$BE$68,34,FALSE))</f>
        <v xml:space="preserve"> </v>
      </c>
      <c r="CS72" s="1027" t="str">
        <f>IF($CF72&gt;$C$5," ",VLOOKUP($CF72,Unit!$A$7:$BE$68,35,FALSE))</f>
        <v xml:space="preserve"> </v>
      </c>
      <c r="CT72" s="1027" t="str">
        <f>IF($CF72&gt;$C$5," ",VLOOKUP($CF72,Unit!$A$7:$BE$68,36,FALSE))</f>
        <v xml:space="preserve"> </v>
      </c>
      <c r="CU72" s="1189" t="str">
        <f t="shared" si="20"/>
        <v xml:space="preserve"> </v>
      </c>
      <c r="CV72" s="1027" t="str">
        <f>IF($CF72&gt;$C$5," ",VLOOKUP($CF72,Unit!$A$7:$BA$68,43,FALSE))</f>
        <v xml:space="preserve"> </v>
      </c>
      <c r="CW72" s="1027" t="str">
        <f>IF($CF72&gt;$C$5," ",VLOOKUP($CF72,Unit!$A$7:$BB$68,44,FALSE))</f>
        <v xml:space="preserve"> </v>
      </c>
      <c r="CX72" s="1189" t="str">
        <f>IF($CF72&gt;$C$5," ",VLOOKUP($CF72,Unit!$A$7:$BE$68,47,FALSE))</f>
        <v xml:space="preserve"> </v>
      </c>
      <c r="CY72" s="1381" t="str">
        <f>IF($CF72&gt;$C$5," ",VLOOKUP($CF72,Unit!$A$7:$BA$68,53,FALSE))</f>
        <v xml:space="preserve"> </v>
      </c>
      <c r="CZ72" s="1027" t="str">
        <f>IF($CF72&gt;$C$5," ",VLOOKUP($CF72,Unit!$A$7:$BB$68,54,FALSE))</f>
        <v xml:space="preserve"> </v>
      </c>
      <c r="DA72" s="1189" t="str">
        <f>IF($CF72&gt;$C$5," ",VLOOKUP($CF72,Unit!$A$7:$BE$68,57,FALSE))</f>
        <v xml:space="preserve"> </v>
      </c>
    </row>
    <row r="73" spans="1:105" x14ac:dyDescent="0.25">
      <c r="A73" s="38">
        <v>54</v>
      </c>
      <c r="B73" s="1381" t="str">
        <f>IF($A73&gt;$C$5," ",VLOOKUP($A73,Plot!$A$7:$T$67,Plot!P$2,FALSE))</f>
        <v xml:space="preserve"> </v>
      </c>
      <c r="C73" s="1027" t="str">
        <f>IF($A73&gt;$C$5," ",VLOOKUP($A73,Plot!$V$7:$CI$67,Plot!$CA$2,FALSE))</f>
        <v xml:space="preserve"> </v>
      </c>
      <c r="D73" s="1027" t="str">
        <f>IF($A73&gt;$C$5," ",VLOOKUP($A73,Plot!$CK$7:$DD$67,Plot!$CZ$2,FALSE))</f>
        <v xml:space="preserve"> </v>
      </c>
      <c r="E73" s="1027" t="str">
        <f>IF($A73&gt;$C$5," ",VLOOKUP($A73,Plot!$DF$7:$FT$67,Plot!$FL$2,FALSE))</f>
        <v xml:space="preserve"> </v>
      </c>
      <c r="F73" s="1379" t="str">
        <f t="shared" si="25"/>
        <v xml:space="preserve"> </v>
      </c>
      <c r="G73" s="1026" t="str">
        <f>IF($A73&gt;$C$5," ",VLOOKUP($A73,Plot!$V$7:$CG$67,Plot!$CG$2,FALSE))</f>
        <v xml:space="preserve"> </v>
      </c>
      <c r="H73" s="1027" t="str">
        <f>IF($A73&gt;$C$5," ",VLOOKUP($A73,Plot!$DF$7:$FT$67,Plot!$FR$2,FALSE))</f>
        <v xml:space="preserve"> </v>
      </c>
      <c r="I73" s="1379" t="str">
        <f t="shared" si="17"/>
        <v xml:space="preserve"> </v>
      </c>
      <c r="J73" s="1026" t="str">
        <f>IF($A73&gt;$C$5," ",SUM(B$20:$B73))</f>
        <v xml:space="preserve"> </v>
      </c>
      <c r="K73" s="1027" t="str">
        <f>IF($A73&gt;$C$5," ",SUM($C$20:C73))</f>
        <v xml:space="preserve"> </v>
      </c>
      <c r="L73" s="1027" t="str">
        <f>IF($A73&gt;$C$5," ",SUM($D$20:D73))</f>
        <v xml:space="preserve"> </v>
      </c>
      <c r="M73" s="1027" t="str">
        <f>IF($A73&gt;$C$5," ",SUM($E$20:E73))</f>
        <v xml:space="preserve"> </v>
      </c>
      <c r="N73" s="1379" t="str">
        <f>IF($A73&gt;$C$5," ",SUM($F$20:F73))</f>
        <v xml:space="preserve"> </v>
      </c>
      <c r="O73" s="1027" t="str">
        <f>IF($A73&gt;$C$5," ",SUM($G$20:G73))</f>
        <v xml:space="preserve"> </v>
      </c>
      <c r="P73" s="1027" t="str">
        <f>IF($A73&gt;$C$5," ",SUM($H$20:H73))</f>
        <v xml:space="preserve"> </v>
      </c>
      <c r="Q73" s="1027" t="str">
        <f>IF($A73&gt;$C$5," ",SUM($I$20:I73))</f>
        <v xml:space="preserve"> </v>
      </c>
      <c r="R73" s="1026"/>
      <c r="S73" s="1027"/>
      <c r="T73" s="1027"/>
      <c r="U73" s="1027"/>
      <c r="V73" s="1379"/>
      <c r="W73" s="1027" t="str">
        <f>IF($A73&gt;$C$5," ",VLOOKUP($A73,Plot!$HM$7:$IA$67,Plot!$HR$2,FALSE))</f>
        <v xml:space="preserve"> </v>
      </c>
      <c r="X73" s="1027" t="str">
        <f>IF($A73&gt;$C$5," ",VLOOKUP($A73,Plot!$HM$7:$IA$67,Plot!$HS$2,FALSE))</f>
        <v xml:space="preserve"> </v>
      </c>
      <c r="Y73" s="1379" t="str">
        <f t="shared" si="18"/>
        <v xml:space="preserve"> </v>
      </c>
      <c r="Z73" s="1026" t="str">
        <f>IF($A73&gt;$C$5," ",SUM($B$20:B73))</f>
        <v xml:space="preserve"> </v>
      </c>
      <c r="AA73" s="1027" t="str">
        <f>IF($A73&gt;$C$5," ",SUM($C$20:C73))</f>
        <v xml:space="preserve"> </v>
      </c>
      <c r="AB73" s="1027" t="str">
        <f>IF($A73&gt;$C$5," ",SUM($D$20:D73))</f>
        <v xml:space="preserve"> </v>
      </c>
      <c r="AC73" s="1027" t="str">
        <f>IF($A73&gt;$C$5," ",SUM($E$20:E73))</f>
        <v xml:space="preserve"> </v>
      </c>
      <c r="AD73" s="1379" t="str">
        <f t="shared" si="22"/>
        <v xml:space="preserve"> </v>
      </c>
      <c r="AE73" s="1027" t="str">
        <f>IF($A73&gt;$C$5," ",SUM($W$20:W73))</f>
        <v xml:space="preserve"> </v>
      </c>
      <c r="AF73" s="1027" t="str">
        <f>IF($A73&gt;$C$5," ",SUM($X$20:X73))</f>
        <v xml:space="preserve"> </v>
      </c>
      <c r="AG73" s="1027" t="str">
        <f t="shared" si="23"/>
        <v xml:space="preserve"> </v>
      </c>
      <c r="AH73" s="1394" t="str">
        <f>IF($A73&gt;$C$5," ",VLOOKUP($A73,Plot!$A$7:$D$67,4,FALSE))</f>
        <v xml:space="preserve"> </v>
      </c>
      <c r="AI73" s="1390" t="str">
        <f>IF($A73&gt;$C$5," ",VLOOKUP($A73,Plot!$A$7:$E$67,5,FALSE))</f>
        <v xml:space="preserve"> </v>
      </c>
      <c r="AJ73" s="1390" t="str">
        <f ca="1">IF($A73&gt;$C$5," ",IF(ROW()-ROW($A$18)&gt;='Options and results'!$AR$56,AVERAGE(OFFSET(AI73,0,0,COUNTA($BS:$BS)-'Options and results'!$AR$56,1)),NA()))</f>
        <v xml:space="preserve"> </v>
      </c>
      <c r="AK73" s="1395" t="str">
        <f>IF($A73&gt;$C$5," ",VLOOKUP($A73,Plot!$A$7:$F$67,6,FALSE))</f>
        <v xml:space="preserve"> </v>
      </c>
      <c r="AL73" s="1390" t="str">
        <f>IF($A73&gt;$C$5," ",VLOOKUP($A73,Plot!$CK$7:$CN$67,4,FALSE))</f>
        <v xml:space="preserve"> </v>
      </c>
      <c r="AM73" s="1390" t="str">
        <f>IF($A73&gt;$C$5," ",AL73*VLOOKUP($A73,Plot!$CK$7:$CO$67,5,FALSE))</f>
        <v xml:space="preserve"> </v>
      </c>
      <c r="AN73" s="1390" t="str">
        <f ca="1">IF($A73&gt;$C$5," ",IF(ROW()-ROW($A$18)&gt;='Options and results'!$AR$56,AVERAGE(OFFSET(AM73,0,0,COUNTA($BS:$BS)-'Options and results'!$AR$56,1)),NA()))</f>
        <v xml:space="preserve"> </v>
      </c>
      <c r="AO73" s="1390" t="str">
        <f>IF($A73&gt;$C$5," ",VLOOKUP($A73,Plot!$CK$7:$CP$67,6,FALSE))</f>
        <v xml:space="preserve"> </v>
      </c>
      <c r="AP73" s="1409">
        <f>IF($A73&gt;$C$5,0,VLOOKUP($A73,Plot!$V$7:$AH$67,7,FALSE))</f>
        <v>0</v>
      </c>
      <c r="AQ73" s="1390" t="str">
        <f>IF($A73&gt;$C$5," ",VLOOKUP($A73,Plot!$V$7:$AH$67,13,FALSE))</f>
        <v xml:space="preserve"> </v>
      </c>
      <c r="AR73" s="1390" t="str">
        <f>IF($A73&gt;$C$5," ",VLOOKUP($A73,Plot!$V$7:$AI$67,14,FALSE))</f>
        <v xml:space="preserve"> </v>
      </c>
      <c r="AS73" s="1390" t="str">
        <f>IF($A73&gt;$C$5," ",VLOOKUP($A73,Plot!$V$7:$AJ$67,15,FALSE))</f>
        <v xml:space="preserve"> </v>
      </c>
      <c r="AT73" s="1390" t="str">
        <f>IF($A73&gt;$C$5," ",AQ73+SUM($AS$20:AS73)+IF(AP74=0,-AQ73,0))</f>
        <v xml:space="preserve"> </v>
      </c>
      <c r="AU73" s="1390" t="str">
        <f>IF($A73&gt;$C$5," ",VLOOKUP($A73,Plot!$V$7:$AL$67,Plot!$AL$2,FALSE))</f>
        <v xml:space="preserve"> </v>
      </c>
      <c r="AV73" s="1395" t="str">
        <f>IF($A73&gt;$C$5," ",VLOOKUP($A73,Plot!$V$7:$AM$67,Plot!$AM$2,FALSE))</f>
        <v xml:space="preserve"> </v>
      </c>
      <c r="AW73" s="1407">
        <f>IF($A73&gt;$C$5,0,VLOOKUP($A73,Plot!$DF$7:$DS$67,7,FALSE))</f>
        <v>0</v>
      </c>
      <c r="AX73" s="1390" t="str">
        <f>IF($A73&gt;$C$5," ",VLOOKUP($A73,Plot!$DF$7:$DS$67,14,FALSE))</f>
        <v xml:space="preserve"> </v>
      </c>
      <c r="AY73" s="1390" t="str">
        <f>IF($A73&gt;$C$5," ",VLOOKUP($A73,Plot!$DF$7:$DT$67,15,FALSE))</f>
        <v xml:space="preserve"> </v>
      </c>
      <c r="AZ73" s="1390" t="str">
        <f>IF($A73&gt;$C$5," ",VLOOKUP($A73,Plot!$DF$7:$DU$67,16,FALSE))</f>
        <v xml:space="preserve"> </v>
      </c>
      <c r="BA73" s="1390" t="str">
        <f>IF($A73&gt;$C$5," ",AX73+SUM($AZ$20:AZ73)+IF(AW74=0,-AX73,0))</f>
        <v xml:space="preserve"> </v>
      </c>
      <c r="BB73" s="1390" t="str">
        <f>IF($A73&gt;$C$5," ",VLOOKUP($A73,Plot!$DF$7:$DW$67,Plot!$DW$2,FALSE))</f>
        <v xml:space="preserve"> </v>
      </c>
      <c r="BC73" s="1390" t="str">
        <f>IF($A73&gt;$C$5," ",VLOOKUP($A73,Plot!$DF$7:$DX$67,Plot!$DX$2,FALSE))</f>
        <v xml:space="preserve"> </v>
      </c>
      <c r="BD73" s="1396" t="str">
        <f>IF($A73&gt;$C$5," ",VLOOKUP($A73,Plot!$A$7:$N$67,14,FALSE))</f>
        <v xml:space="preserve"> </v>
      </c>
      <c r="BE73" s="303" t="str">
        <f>IF($A73&gt;$C$5," ",VLOOKUP($A73,Plot!$V$7:$BW$67,Plot!$BW$2,FALSE))</f>
        <v xml:space="preserve"> </v>
      </c>
      <c r="BF73" s="303" t="str">
        <f>IF($A73&gt;$C$5," ",VLOOKUP($A73,Plot!$CK$7:$CX$67,14,FALSE))</f>
        <v xml:space="preserve"> </v>
      </c>
      <c r="BG73" s="303" t="str">
        <f>IF($A73&gt;$C$5," ",VLOOKUP($A73,Plot!$DF$7:$FH$67,Plot!$FH$2,FALSE))</f>
        <v xml:space="preserve"> </v>
      </c>
      <c r="BH73" s="1397" t="str">
        <f t="shared" si="24"/>
        <v xml:space="preserve"> </v>
      </c>
      <c r="BI73" s="303" t="str">
        <f>IF($A73&gt;$C$5," ",VLOOKUP($A73,Plot!$DF$7:$EJ$67,29,FALSE))</f>
        <v xml:space="preserve"> </v>
      </c>
      <c r="BJ73" s="303" t="str">
        <f>IF($A73&gt;$C$5," ",VLOOKUP($A73,Plot!$DF$7:$FT$67,30,FALSE))</f>
        <v xml:space="preserve"> </v>
      </c>
      <c r="BK73" s="303" t="str">
        <f>IF($A73&gt;$C$5," ",VLOOKUP($A73,Plot!$DF$7:$FT$67,Plot!$EL$2,FALSE))</f>
        <v xml:space="preserve"> </v>
      </c>
      <c r="BL73" s="303" t="str">
        <f>IF($A73&gt;$C$5," ",VLOOKUP($A73,Plot!$DF$7:$FT$67,Plot!$EM$2,FALSE))</f>
        <v xml:space="preserve"> </v>
      </c>
      <c r="BM73" s="303" t="str">
        <f>IF($A73&gt;$C$5," ",VLOOKUP($A73,Plot!$DF$7:$FT$67,Plot!$EN$2,FALSE))</f>
        <v xml:space="preserve"> </v>
      </c>
      <c r="BN73" s="303" t="str">
        <f>IF($A73&gt;$C$5," ",VLOOKUP($A73,Plot!$DF$7:$FT$67,Plot!$EO$2,FALSE))</f>
        <v xml:space="preserve"> </v>
      </c>
      <c r="BO73" s="303" t="str">
        <f t="shared" si="19"/>
        <v xml:space="preserve"> </v>
      </c>
      <c r="BP73" s="303" t="str">
        <f>IF($A73&gt;$C$5," ",VLOOKUP($A73,Plot!$DF$7:$FT$67,Plot!$EQ$2,FALSE))</f>
        <v xml:space="preserve"> </v>
      </c>
      <c r="BQ73" s="303" t="str">
        <f>IF($A73&gt;$C$5," ",(VLOOKUP($A73,Plot!$DF$7:$FT$67,Plot!$ES$2,FALSE)+VLOOKUP($A73,Plot!$DF$7:$FT$67,Plot!$ET$2,FALSE)))</f>
        <v xml:space="preserve"> </v>
      </c>
      <c r="BR73" s="303" t="str">
        <f>IF($A73&gt;$C$5," ",(VLOOKUP($A73,Plot!$DF$7:$FT$67,Plot!$EV$2,FALSE)+VLOOKUP($A73,Plot!$DF$7:$FT$67,Plot!$EW$2,FALSE)))</f>
        <v xml:space="preserve"> </v>
      </c>
      <c r="BS73" s="303" t="str">
        <f>IF($A73&gt;$C$5," ",VLOOKUP($A73,Plot!$DF$7:$FT$67,Plot!$EY$2,FALSE))</f>
        <v xml:space="preserve"> </v>
      </c>
      <c r="BT73" s="303" t="str">
        <f>IF($A73&gt;$C$5," ",(VLOOKUP($A73,Plot!$DF$7:$FT$67,Plot!$FB$2,FALSE)+VLOOKUP($A73,Plot!$DF$7:$FT$67,Plot!$FC$2,FALSE)))</f>
        <v xml:space="preserve"> </v>
      </c>
      <c r="BU73" s="303" t="str">
        <f>IF($A73&gt;$C$5," ",(VLOOKUP($A73,Plot!$DF$7:$FT$67,Plot!$FE$2,FALSE)+VLOOKUP($A73,Plot!$DF$7:$FT$67,Plot!$FF$2,FALSE)))</f>
        <v xml:space="preserve"> </v>
      </c>
      <c r="BV73" s="1026" t="str">
        <f>IF($A73&gt;$C$5," ",VLOOKUP($A73,Plot!$FV$7:$GJ$67,2,FALSE))</f>
        <v xml:space="preserve"> </v>
      </c>
      <c r="BW73" s="1027" t="str">
        <f>IF($A73&gt;$C$5," ",VLOOKUP($A73,Plot!$FV$7:$GJ$67,3,FALSE))</f>
        <v xml:space="preserve"> </v>
      </c>
      <c r="BX73" s="1379" t="str">
        <f>IF($A73&gt;$C$5," ",VLOOKUP($A73,Plot!$FV$7:$GJ$67,6,FALSE))</f>
        <v xml:space="preserve"> </v>
      </c>
      <c r="BY73" s="1026" t="str">
        <f>IF($A73&gt;$C$5," ",VLOOKUP($A73,Plot!$GO$7:$GY$67,2,FALSE))</f>
        <v xml:space="preserve"> </v>
      </c>
      <c r="BZ73" s="1027" t="str">
        <f>IF($A73&gt;$C$5," ",VLOOKUP($A73,Plot!$GO$7:$GY$67,3,FALSE))</f>
        <v xml:space="preserve"> </v>
      </c>
      <c r="CA73" s="1379" t="str">
        <f>IF($A73&gt;$C$5," ",VLOOKUP($A73,Plot!$GO$7:$GY$67,6,FALSE))</f>
        <v xml:space="preserve"> </v>
      </c>
      <c r="CB73" s="1027" t="str">
        <f>IF($A73&gt;$C$5," ",-1*VLOOKUP($A73,Plot!$HA$7:$HK$67,2,FALSE))</f>
        <v xml:space="preserve"> </v>
      </c>
      <c r="CC73" s="1027" t="str">
        <f>IF($A73&gt;$C$5," ",-1*VLOOKUP($A73,Plot!$HA$7:$HK$67,3,FALSE))</f>
        <v xml:space="preserve"> </v>
      </c>
      <c r="CD73" s="1189" t="str">
        <f>IF($A73&gt;$C$5," ",-1*VLOOKUP($A73,Plot!$HA$7:$HK$67,6,FALSE))</f>
        <v xml:space="preserve"> </v>
      </c>
      <c r="CE73" s="10"/>
      <c r="CF73" s="38">
        <v>54</v>
      </c>
      <c r="CG73" s="1381" t="str">
        <f>IF($CF73&gt;$C$5," ",VLOOKUP($CF73,Unit!$A$7:$BE$68,22,FALSE))</f>
        <v xml:space="preserve"> </v>
      </c>
      <c r="CH73" s="1027" t="str">
        <f>IF($CF73&gt;$C$5," ",VLOOKUP($CF73,Unit!$A$7:$BE$68,23,FALSE))</f>
        <v xml:space="preserve"> </v>
      </c>
      <c r="CI73" s="1027" t="str">
        <f>IF($CF73&gt;$C$5," ",VLOOKUP($CF73,Unit!$A$7:$BE$68,24,FALSE))</f>
        <v xml:space="preserve"> </v>
      </c>
      <c r="CJ73" s="1189" t="str">
        <f>IF($CF73&gt;$C$5," ",VLOOKUP($CF73,Unit!$A$7:$BE$68,25,FALSE))</f>
        <v xml:space="preserve"> </v>
      </c>
      <c r="CK73" s="1381" t="str">
        <f>IF($CF73&gt;$C$5," ",VLOOKUP($CF73,Unit!$A$7:$BE$68,27,FALSE))</f>
        <v xml:space="preserve"> </v>
      </c>
      <c r="CL73" s="1027" t="str">
        <f>IF($CF73&gt;$C$5," ",VLOOKUP($CF73,Unit!$A$7:$BE$68,28,FALSE))</f>
        <v xml:space="preserve"> </v>
      </c>
      <c r="CM73" s="1027" t="str">
        <f>IF($CF73&gt;$C$5," ",VLOOKUP($CF73,Unit!$A$7:$BE$68,29,FALSE))</f>
        <v xml:space="preserve"> </v>
      </c>
      <c r="CN73" s="1027" t="str">
        <f>IF($CF73&gt;$C$5," ",VLOOKUP($CF73,Unit!$A$7:$BE$68,30,FALSE))</f>
        <v xml:space="preserve"> </v>
      </c>
      <c r="CO73" s="1027" t="str">
        <f>IF($CF73&gt;$C$5," ",VLOOKUP($CF73,Unit!$A$7:$BE$68,31,FALSE))</f>
        <v xml:space="preserve"> </v>
      </c>
      <c r="CP73" s="1027" t="str">
        <f>IF($CF73&gt;$C$5," ",VLOOKUP($CF73,Unit!$A$7:$BE$68,32,FALSE))</f>
        <v xml:space="preserve"> </v>
      </c>
      <c r="CQ73" s="1381" t="str">
        <f>IF($CF73&gt;$C$5," ",VLOOKUP($CF73,Unit!$A$7:$BE$68,33,FALSE))</f>
        <v xml:space="preserve"> </v>
      </c>
      <c r="CR73" s="1027" t="str">
        <f>IF($CF73&gt;$C$5," ",VLOOKUP($CF73,Unit!$A$7:$BE$68,34,FALSE))</f>
        <v xml:space="preserve"> </v>
      </c>
      <c r="CS73" s="1027" t="str">
        <f>IF($CF73&gt;$C$5," ",VLOOKUP($CF73,Unit!$A$7:$BE$68,35,FALSE))</f>
        <v xml:space="preserve"> </v>
      </c>
      <c r="CT73" s="1027" t="str">
        <f>IF($CF73&gt;$C$5," ",VLOOKUP($CF73,Unit!$A$7:$BE$68,36,FALSE))</f>
        <v xml:space="preserve"> </v>
      </c>
      <c r="CU73" s="1189" t="str">
        <f t="shared" si="20"/>
        <v xml:space="preserve"> </v>
      </c>
      <c r="CV73" s="1027" t="str">
        <f>IF($CF73&gt;$C$5," ",VLOOKUP($CF73,Unit!$A$7:$BA$68,43,FALSE))</f>
        <v xml:space="preserve"> </v>
      </c>
      <c r="CW73" s="1027" t="str">
        <f>IF($CF73&gt;$C$5," ",VLOOKUP($CF73,Unit!$A$7:$BB$68,44,FALSE))</f>
        <v xml:space="preserve"> </v>
      </c>
      <c r="CX73" s="1189" t="str">
        <f>IF($CF73&gt;$C$5," ",VLOOKUP($CF73,Unit!$A$7:$BE$68,47,FALSE))</f>
        <v xml:space="preserve"> </v>
      </c>
      <c r="CY73" s="1381" t="str">
        <f>IF($CF73&gt;$C$5," ",VLOOKUP($CF73,Unit!$A$7:$BA$68,53,FALSE))</f>
        <v xml:space="preserve"> </v>
      </c>
      <c r="CZ73" s="1027" t="str">
        <f>IF($CF73&gt;$C$5," ",VLOOKUP($CF73,Unit!$A$7:$BB$68,54,FALSE))</f>
        <v xml:space="preserve"> </v>
      </c>
      <c r="DA73" s="1189" t="str">
        <f>IF($CF73&gt;$C$5," ",VLOOKUP($CF73,Unit!$A$7:$BE$68,57,FALSE))</f>
        <v xml:space="preserve"> </v>
      </c>
    </row>
    <row r="74" spans="1:105" x14ac:dyDescent="0.25">
      <c r="A74" s="38">
        <v>55</v>
      </c>
      <c r="B74" s="1381" t="str">
        <f>IF($A74&gt;$C$5," ",VLOOKUP($A74,Plot!$A$7:$T$67,Plot!P$2,FALSE))</f>
        <v xml:space="preserve"> </v>
      </c>
      <c r="C74" s="1027" t="str">
        <f>IF($A74&gt;$C$5," ",VLOOKUP($A74,Plot!$V$7:$CI$67,Plot!$CA$2,FALSE))</f>
        <v xml:space="preserve"> </v>
      </c>
      <c r="D74" s="1027" t="str">
        <f>IF($A74&gt;$C$5," ",VLOOKUP($A74,Plot!$CK$7:$DD$67,Plot!$CZ$2,FALSE))</f>
        <v xml:space="preserve"> </v>
      </c>
      <c r="E74" s="1027" t="str">
        <f>IF($A74&gt;$C$5," ",VLOOKUP($A74,Plot!$DF$7:$FT$67,Plot!$FL$2,FALSE))</f>
        <v xml:space="preserve"> </v>
      </c>
      <c r="F74" s="1379" t="str">
        <f t="shared" si="25"/>
        <v xml:space="preserve"> </v>
      </c>
      <c r="G74" s="1026" t="str">
        <f>IF($A74&gt;$C$5," ",VLOOKUP($A74,Plot!$V$7:$CG$67,Plot!$CG$2,FALSE))</f>
        <v xml:space="preserve"> </v>
      </c>
      <c r="H74" s="1027" t="str">
        <f>IF($A74&gt;$C$5," ",VLOOKUP($A74,Plot!$DF$7:$FT$67,Plot!$FR$2,FALSE))</f>
        <v xml:space="preserve"> </v>
      </c>
      <c r="I74" s="1379" t="str">
        <f t="shared" si="17"/>
        <v xml:space="preserve"> </v>
      </c>
      <c r="J74" s="1026" t="str">
        <f>IF($A74&gt;$C$5," ",SUM(B$20:$B74))</f>
        <v xml:space="preserve"> </v>
      </c>
      <c r="K74" s="1027" t="str">
        <f>IF($A74&gt;$C$5," ",SUM($C$20:C74))</f>
        <v xml:space="preserve"> </v>
      </c>
      <c r="L74" s="1027" t="str">
        <f>IF($A74&gt;$C$5," ",SUM($D$20:D74))</f>
        <v xml:space="preserve"> </v>
      </c>
      <c r="M74" s="1027" t="str">
        <f>IF($A74&gt;$C$5," ",SUM($E$20:E74))</f>
        <v xml:space="preserve"> </v>
      </c>
      <c r="N74" s="1379" t="str">
        <f>IF($A74&gt;$C$5," ",SUM($F$20:F74))</f>
        <v xml:space="preserve"> </v>
      </c>
      <c r="O74" s="1027" t="str">
        <f>IF($A74&gt;$C$5," ",SUM($G$20:G74))</f>
        <v xml:space="preserve"> </v>
      </c>
      <c r="P74" s="1027" t="str">
        <f>IF($A74&gt;$C$5," ",SUM($H$20:H74))</f>
        <v xml:space="preserve"> </v>
      </c>
      <c r="Q74" s="1027" t="str">
        <f>IF($A74&gt;$C$5," ",SUM($I$20:I74))</f>
        <v xml:space="preserve"> </v>
      </c>
      <c r="R74" s="1026"/>
      <c r="S74" s="1027"/>
      <c r="T74" s="1027"/>
      <c r="U74" s="1027"/>
      <c r="V74" s="1379"/>
      <c r="W74" s="1027" t="str">
        <f>IF($A74&gt;$C$5," ",VLOOKUP($A74,Plot!$HM$7:$IA$67,Plot!$HR$2,FALSE))</f>
        <v xml:space="preserve"> </v>
      </c>
      <c r="X74" s="1027" t="str">
        <f>IF($A74&gt;$C$5," ",VLOOKUP($A74,Plot!$HM$7:$IA$67,Plot!$HS$2,FALSE))</f>
        <v xml:space="preserve"> </v>
      </c>
      <c r="Y74" s="1379" t="str">
        <f t="shared" si="18"/>
        <v xml:space="preserve"> </v>
      </c>
      <c r="Z74" s="1026" t="str">
        <f>IF($A74&gt;$C$5," ",SUM($B$20:B74))</f>
        <v xml:space="preserve"> </v>
      </c>
      <c r="AA74" s="1027" t="str">
        <f>IF($A74&gt;$C$5," ",SUM($C$20:C74))</f>
        <v xml:space="preserve"> </v>
      </c>
      <c r="AB74" s="1027" t="str">
        <f>IF($A74&gt;$C$5," ",SUM($D$20:D74))</f>
        <v xml:space="preserve"> </v>
      </c>
      <c r="AC74" s="1027" t="str">
        <f>IF($A74&gt;$C$5," ",SUM($E$20:E74))</f>
        <v xml:space="preserve"> </v>
      </c>
      <c r="AD74" s="1379" t="str">
        <f t="shared" si="22"/>
        <v xml:space="preserve"> </v>
      </c>
      <c r="AE74" s="1027" t="str">
        <f>IF($A74&gt;$C$5," ",SUM($W$20:W74))</f>
        <v xml:space="preserve"> </v>
      </c>
      <c r="AF74" s="1027" t="str">
        <f>IF($A74&gt;$C$5," ",SUM($X$20:X74))</f>
        <v xml:space="preserve"> </v>
      </c>
      <c r="AG74" s="1027" t="str">
        <f t="shared" si="23"/>
        <v xml:space="preserve"> </v>
      </c>
      <c r="AH74" s="1394" t="str">
        <f>IF($A74&gt;$C$5," ",VLOOKUP($A74,Plot!$A$7:$D$67,4,FALSE))</f>
        <v xml:space="preserve"> </v>
      </c>
      <c r="AI74" s="1390" t="str">
        <f>IF($A74&gt;$C$5," ",VLOOKUP($A74,Plot!$A$7:$E$67,5,FALSE))</f>
        <v xml:space="preserve"> </v>
      </c>
      <c r="AJ74" s="1390" t="str">
        <f ca="1">IF($A74&gt;$C$5," ",IF(ROW()-ROW($A$18)&gt;='Options and results'!$AR$56,AVERAGE(OFFSET(AI74,0,0,COUNTA($BS:$BS)-'Options and results'!$AR$56,1)),NA()))</f>
        <v xml:space="preserve"> </v>
      </c>
      <c r="AK74" s="1395" t="str">
        <f>IF($A74&gt;$C$5," ",VLOOKUP($A74,Plot!$A$7:$F$67,6,FALSE))</f>
        <v xml:space="preserve"> </v>
      </c>
      <c r="AL74" s="1390" t="str">
        <f>IF($A74&gt;$C$5," ",VLOOKUP($A74,Plot!$CK$7:$CN$67,4,FALSE))</f>
        <v xml:space="preserve"> </v>
      </c>
      <c r="AM74" s="1390" t="str">
        <f>IF($A74&gt;$C$5," ",AL74*VLOOKUP($A74,Plot!$CK$7:$CO$67,5,FALSE))</f>
        <v xml:space="preserve"> </v>
      </c>
      <c r="AN74" s="1390" t="str">
        <f ca="1">IF($A74&gt;$C$5," ",IF(ROW()-ROW($A$18)&gt;='Options and results'!$AR$56,AVERAGE(OFFSET(AM74,0,0,COUNTA($BS:$BS)-'Options and results'!$AR$56,1)),NA()))</f>
        <v xml:space="preserve"> </v>
      </c>
      <c r="AO74" s="1390" t="str">
        <f>IF($A74&gt;$C$5," ",VLOOKUP($A74,Plot!$CK$7:$CP$67,6,FALSE))</f>
        <v xml:space="preserve"> </v>
      </c>
      <c r="AP74" s="1409">
        <f>IF($A74&gt;$C$5,0,VLOOKUP($A74,Plot!$V$7:$AH$67,7,FALSE))</f>
        <v>0</v>
      </c>
      <c r="AQ74" s="1390" t="str">
        <f>IF($A74&gt;$C$5," ",VLOOKUP($A74,Plot!$V$7:$AH$67,13,FALSE))</f>
        <v xml:space="preserve"> </v>
      </c>
      <c r="AR74" s="1390" t="str">
        <f>IF($A74&gt;$C$5," ",VLOOKUP($A74,Plot!$V$7:$AI$67,14,FALSE))</f>
        <v xml:space="preserve"> </v>
      </c>
      <c r="AS74" s="1390" t="str">
        <f>IF($A74&gt;$C$5," ",VLOOKUP($A74,Plot!$V$7:$AJ$67,15,FALSE))</f>
        <v xml:space="preserve"> </v>
      </c>
      <c r="AT74" s="1390" t="str">
        <f>IF($A74&gt;$C$5," ",AQ74+SUM($AS$20:AS74)+IF(AP75=0,-AQ74,0))</f>
        <v xml:space="preserve"> </v>
      </c>
      <c r="AU74" s="1390" t="str">
        <f>IF($A74&gt;$C$5," ",VLOOKUP($A74,Plot!$V$7:$AL$67,Plot!$AL$2,FALSE))</f>
        <v xml:space="preserve"> </v>
      </c>
      <c r="AV74" s="1395" t="str">
        <f>IF($A74&gt;$C$5," ",VLOOKUP($A74,Plot!$V$7:$AM$67,Plot!$AM$2,FALSE))</f>
        <v xml:space="preserve"> </v>
      </c>
      <c r="AW74" s="1407">
        <f>IF($A74&gt;$C$5,0,VLOOKUP($A74,Plot!$DF$7:$DS$67,7,FALSE))</f>
        <v>0</v>
      </c>
      <c r="AX74" s="1390" t="str">
        <f>IF($A74&gt;$C$5," ",VLOOKUP($A74,Plot!$DF$7:$DS$67,14,FALSE))</f>
        <v xml:space="preserve"> </v>
      </c>
      <c r="AY74" s="1390" t="str">
        <f>IF($A74&gt;$C$5," ",VLOOKUP($A74,Plot!$DF$7:$DT$67,15,FALSE))</f>
        <v xml:space="preserve"> </v>
      </c>
      <c r="AZ74" s="1390" t="str">
        <f>IF($A74&gt;$C$5," ",VLOOKUP($A74,Plot!$DF$7:$DU$67,16,FALSE))</f>
        <v xml:space="preserve"> </v>
      </c>
      <c r="BA74" s="1390" t="str">
        <f>IF($A74&gt;$C$5," ",AX74+SUM($AZ$20:AZ74)+IF(AW75=0,-AX74,0))</f>
        <v xml:space="preserve"> </v>
      </c>
      <c r="BB74" s="1390" t="str">
        <f>IF($A74&gt;$C$5," ",VLOOKUP($A74,Plot!$DF$7:$DW$67,Plot!$DW$2,FALSE))</f>
        <v xml:space="preserve"> </v>
      </c>
      <c r="BC74" s="1390" t="str">
        <f>IF($A74&gt;$C$5," ",VLOOKUP($A74,Plot!$DF$7:$DX$67,Plot!$DX$2,FALSE))</f>
        <v xml:space="preserve"> </v>
      </c>
      <c r="BD74" s="1396" t="str">
        <f>IF($A74&gt;$C$5," ",VLOOKUP($A74,Plot!$A$7:$N$67,14,FALSE))</f>
        <v xml:space="preserve"> </v>
      </c>
      <c r="BE74" s="303" t="str">
        <f>IF($A74&gt;$C$5," ",VLOOKUP($A74,Plot!$V$7:$BW$67,Plot!$BW$2,FALSE))</f>
        <v xml:space="preserve"> </v>
      </c>
      <c r="BF74" s="303" t="str">
        <f>IF($A74&gt;$C$5," ",VLOOKUP($A74,Plot!$CK$7:$CX$67,14,FALSE))</f>
        <v xml:space="preserve"> </v>
      </c>
      <c r="BG74" s="303" t="str">
        <f>IF($A74&gt;$C$5," ",VLOOKUP($A74,Plot!$DF$7:$FH$67,Plot!$FH$2,FALSE))</f>
        <v xml:space="preserve"> </v>
      </c>
      <c r="BH74" s="1397" t="str">
        <f t="shared" si="24"/>
        <v xml:space="preserve"> </v>
      </c>
      <c r="BI74" s="303" t="str">
        <f>IF($A74&gt;$C$5," ",VLOOKUP($A74,Plot!$DF$7:$EJ$67,29,FALSE))</f>
        <v xml:space="preserve"> </v>
      </c>
      <c r="BJ74" s="303" t="str">
        <f>IF($A74&gt;$C$5," ",VLOOKUP($A74,Plot!$DF$7:$FT$67,30,FALSE))</f>
        <v xml:space="preserve"> </v>
      </c>
      <c r="BK74" s="303" t="str">
        <f>IF($A74&gt;$C$5," ",VLOOKUP($A74,Plot!$DF$7:$FT$67,Plot!$EL$2,FALSE))</f>
        <v xml:space="preserve"> </v>
      </c>
      <c r="BL74" s="303" t="str">
        <f>IF($A74&gt;$C$5," ",VLOOKUP($A74,Plot!$DF$7:$FT$67,Plot!$EM$2,FALSE))</f>
        <v xml:space="preserve"> </v>
      </c>
      <c r="BM74" s="303" t="str">
        <f>IF($A74&gt;$C$5," ",VLOOKUP($A74,Plot!$DF$7:$FT$67,Plot!$EN$2,FALSE))</f>
        <v xml:space="preserve"> </v>
      </c>
      <c r="BN74" s="303" t="str">
        <f>IF($A74&gt;$C$5," ",VLOOKUP($A74,Plot!$DF$7:$FT$67,Plot!$EO$2,FALSE))</f>
        <v xml:space="preserve"> </v>
      </c>
      <c r="BO74" s="303" t="str">
        <f t="shared" si="19"/>
        <v xml:space="preserve"> </v>
      </c>
      <c r="BP74" s="303" t="str">
        <f>IF($A74&gt;$C$5," ",VLOOKUP($A74,Plot!$DF$7:$FT$67,Plot!$EQ$2,FALSE))</f>
        <v xml:space="preserve"> </v>
      </c>
      <c r="BQ74" s="303" t="str">
        <f>IF($A74&gt;$C$5," ",(VLOOKUP($A74,Plot!$DF$7:$FT$67,Plot!$ES$2,FALSE)+VLOOKUP($A74,Plot!$DF$7:$FT$67,Plot!$ET$2,FALSE)))</f>
        <v xml:space="preserve"> </v>
      </c>
      <c r="BR74" s="303" t="str">
        <f>IF($A74&gt;$C$5," ",(VLOOKUP($A74,Plot!$DF$7:$FT$67,Plot!$EV$2,FALSE)+VLOOKUP($A74,Plot!$DF$7:$FT$67,Plot!$EW$2,FALSE)))</f>
        <v xml:space="preserve"> </v>
      </c>
      <c r="BS74" s="303" t="str">
        <f>IF($A74&gt;$C$5," ",VLOOKUP($A74,Plot!$DF$7:$FT$67,Plot!$EY$2,FALSE))</f>
        <v xml:space="preserve"> </v>
      </c>
      <c r="BT74" s="303" t="str">
        <f>IF($A74&gt;$C$5," ",(VLOOKUP($A74,Plot!$DF$7:$FT$67,Plot!$FB$2,FALSE)+VLOOKUP($A74,Plot!$DF$7:$FT$67,Plot!$FC$2,FALSE)))</f>
        <v xml:space="preserve"> </v>
      </c>
      <c r="BU74" s="303" t="str">
        <f>IF($A74&gt;$C$5," ",(VLOOKUP($A74,Plot!$DF$7:$FT$67,Plot!$FE$2,FALSE)+VLOOKUP($A74,Plot!$DF$7:$FT$67,Plot!$FF$2,FALSE)))</f>
        <v xml:space="preserve"> </v>
      </c>
      <c r="BV74" s="1026" t="str">
        <f>IF($A74&gt;$C$5," ",VLOOKUP($A74,Plot!$FV$7:$GJ$67,2,FALSE))</f>
        <v xml:space="preserve"> </v>
      </c>
      <c r="BW74" s="1027" t="str">
        <f>IF($A74&gt;$C$5," ",VLOOKUP($A74,Plot!$FV$7:$GJ$67,3,FALSE))</f>
        <v xml:space="preserve"> </v>
      </c>
      <c r="BX74" s="1379" t="str">
        <f>IF($A74&gt;$C$5," ",VLOOKUP($A74,Plot!$FV$7:$GJ$67,6,FALSE))</f>
        <v xml:space="preserve"> </v>
      </c>
      <c r="BY74" s="1026" t="str">
        <f>IF($A74&gt;$C$5," ",VLOOKUP($A74,Plot!$GO$7:$GY$67,2,FALSE))</f>
        <v xml:space="preserve"> </v>
      </c>
      <c r="BZ74" s="1027" t="str">
        <f>IF($A74&gt;$C$5," ",VLOOKUP($A74,Plot!$GO$7:$GY$67,3,FALSE))</f>
        <v xml:space="preserve"> </v>
      </c>
      <c r="CA74" s="1379" t="str">
        <f>IF($A74&gt;$C$5," ",VLOOKUP($A74,Plot!$GO$7:$GY$67,6,FALSE))</f>
        <v xml:space="preserve"> </v>
      </c>
      <c r="CB74" s="1027" t="str">
        <f>IF($A74&gt;$C$5," ",-1*VLOOKUP($A74,Plot!$HA$7:$HK$67,2,FALSE))</f>
        <v xml:space="preserve"> </v>
      </c>
      <c r="CC74" s="1027" t="str">
        <f>IF($A74&gt;$C$5," ",-1*VLOOKUP($A74,Plot!$HA$7:$HK$67,3,FALSE))</f>
        <v xml:space="preserve"> </v>
      </c>
      <c r="CD74" s="1189" t="str">
        <f>IF($A74&gt;$C$5," ",-1*VLOOKUP($A74,Plot!$HA$7:$HK$67,6,FALSE))</f>
        <v xml:space="preserve"> </v>
      </c>
      <c r="CE74" s="10"/>
      <c r="CF74" s="38">
        <v>55</v>
      </c>
      <c r="CG74" s="1381" t="str">
        <f>IF($CF74&gt;$C$5," ",VLOOKUP($CF74,Unit!$A$7:$BE$68,22,FALSE))</f>
        <v xml:space="preserve"> </v>
      </c>
      <c r="CH74" s="1027" t="str">
        <f>IF($CF74&gt;$C$5," ",VLOOKUP($CF74,Unit!$A$7:$BE$68,23,FALSE))</f>
        <v xml:space="preserve"> </v>
      </c>
      <c r="CI74" s="1027" t="str">
        <f>IF($CF74&gt;$C$5," ",VLOOKUP($CF74,Unit!$A$7:$BE$68,24,FALSE))</f>
        <v xml:space="preserve"> </v>
      </c>
      <c r="CJ74" s="1189" t="str">
        <f>IF($CF74&gt;$C$5," ",VLOOKUP($CF74,Unit!$A$7:$BE$68,25,FALSE))</f>
        <v xml:space="preserve"> </v>
      </c>
      <c r="CK74" s="1381" t="str">
        <f>IF($CF74&gt;$C$5," ",VLOOKUP($CF74,Unit!$A$7:$BE$68,27,FALSE))</f>
        <v xml:space="preserve"> </v>
      </c>
      <c r="CL74" s="1027" t="str">
        <f>IF($CF74&gt;$C$5," ",VLOOKUP($CF74,Unit!$A$7:$BE$68,28,FALSE))</f>
        <v xml:space="preserve"> </v>
      </c>
      <c r="CM74" s="1027" t="str">
        <f>IF($CF74&gt;$C$5," ",VLOOKUP($CF74,Unit!$A$7:$BE$68,29,FALSE))</f>
        <v xml:space="preserve"> </v>
      </c>
      <c r="CN74" s="1027" t="str">
        <f>IF($CF74&gt;$C$5," ",VLOOKUP($CF74,Unit!$A$7:$BE$68,30,FALSE))</f>
        <v xml:space="preserve"> </v>
      </c>
      <c r="CO74" s="1027" t="str">
        <f>IF($CF74&gt;$C$5," ",VLOOKUP($CF74,Unit!$A$7:$BE$68,31,FALSE))</f>
        <v xml:space="preserve"> </v>
      </c>
      <c r="CP74" s="1027" t="str">
        <f>IF($CF74&gt;$C$5," ",VLOOKUP($CF74,Unit!$A$7:$BE$68,32,FALSE))</f>
        <v xml:space="preserve"> </v>
      </c>
      <c r="CQ74" s="1381" t="str">
        <f>IF($CF74&gt;$C$5," ",VLOOKUP($CF74,Unit!$A$7:$BE$68,33,FALSE))</f>
        <v xml:space="preserve"> </v>
      </c>
      <c r="CR74" s="1027" t="str">
        <f>IF($CF74&gt;$C$5," ",VLOOKUP($CF74,Unit!$A$7:$BE$68,34,FALSE))</f>
        <v xml:space="preserve"> </v>
      </c>
      <c r="CS74" s="1027" t="str">
        <f>IF($CF74&gt;$C$5," ",VLOOKUP($CF74,Unit!$A$7:$BE$68,35,FALSE))</f>
        <v xml:space="preserve"> </v>
      </c>
      <c r="CT74" s="1027" t="str">
        <f>IF($CF74&gt;$C$5," ",VLOOKUP($CF74,Unit!$A$7:$BE$68,36,FALSE))</f>
        <v xml:space="preserve"> </v>
      </c>
      <c r="CU74" s="1189" t="str">
        <f t="shared" si="20"/>
        <v xml:space="preserve"> </v>
      </c>
      <c r="CV74" s="1027" t="str">
        <f>IF($CF74&gt;$C$5," ",VLOOKUP($CF74,Unit!$A$7:$BA$68,43,FALSE))</f>
        <v xml:space="preserve"> </v>
      </c>
      <c r="CW74" s="1027" t="str">
        <f>IF($CF74&gt;$C$5," ",VLOOKUP($CF74,Unit!$A$7:$BB$68,44,FALSE))</f>
        <v xml:space="preserve"> </v>
      </c>
      <c r="CX74" s="1189" t="str">
        <f>IF($CF74&gt;$C$5," ",VLOOKUP($CF74,Unit!$A$7:$BE$68,47,FALSE))</f>
        <v xml:space="preserve"> </v>
      </c>
      <c r="CY74" s="1381" t="str">
        <f>IF($CF74&gt;$C$5," ",VLOOKUP($CF74,Unit!$A$7:$BA$68,53,FALSE))</f>
        <v xml:space="preserve"> </v>
      </c>
      <c r="CZ74" s="1027" t="str">
        <f>IF($CF74&gt;$C$5," ",VLOOKUP($CF74,Unit!$A$7:$BB$68,54,FALSE))</f>
        <v xml:space="preserve"> </v>
      </c>
      <c r="DA74" s="1189" t="str">
        <f>IF($CF74&gt;$C$5," ",VLOOKUP($CF74,Unit!$A$7:$BE$68,57,FALSE))</f>
        <v xml:space="preserve"> </v>
      </c>
    </row>
    <row r="75" spans="1:105" x14ac:dyDescent="0.25">
      <c r="A75" s="38">
        <v>56</v>
      </c>
      <c r="B75" s="1381" t="str">
        <f>IF($A75&gt;$C$5," ",VLOOKUP($A75,Plot!$A$7:$T$67,Plot!P$2,FALSE))</f>
        <v xml:space="preserve"> </v>
      </c>
      <c r="C75" s="1027" t="str">
        <f>IF($A75&gt;$C$5," ",VLOOKUP($A75,Plot!$V$7:$CI$67,Plot!$CA$2,FALSE))</f>
        <v xml:space="preserve"> </v>
      </c>
      <c r="D75" s="1027" t="str">
        <f>IF($A75&gt;$C$5," ",VLOOKUP($A75,Plot!$CK$7:$DD$67,Plot!$CZ$2,FALSE))</f>
        <v xml:space="preserve"> </v>
      </c>
      <c r="E75" s="1027" t="str">
        <f>IF($A75&gt;$C$5," ",VLOOKUP($A75,Plot!$DF$7:$FT$67,Plot!$FL$2,FALSE))</f>
        <v xml:space="preserve"> </v>
      </c>
      <c r="F75" s="1379" t="str">
        <f t="shared" si="25"/>
        <v xml:space="preserve"> </v>
      </c>
      <c r="G75" s="1026" t="str">
        <f>IF($A75&gt;$C$5," ",VLOOKUP($A75,Plot!$V$7:$CG$67,Plot!$CG$2,FALSE))</f>
        <v xml:space="preserve"> </v>
      </c>
      <c r="H75" s="1027" t="str">
        <f>IF($A75&gt;$C$5," ",VLOOKUP($A75,Plot!$DF$7:$FT$67,Plot!$FR$2,FALSE))</f>
        <v xml:space="preserve"> </v>
      </c>
      <c r="I75" s="1379" t="str">
        <f t="shared" si="17"/>
        <v xml:space="preserve"> </v>
      </c>
      <c r="J75" s="1026" t="str">
        <f>IF($A75&gt;$C$5," ",SUM(B$20:$B75))</f>
        <v xml:space="preserve"> </v>
      </c>
      <c r="K75" s="1027" t="str">
        <f>IF($A75&gt;$C$5," ",SUM($C$20:C75))</f>
        <v xml:space="preserve"> </v>
      </c>
      <c r="L75" s="1027" t="str">
        <f>IF($A75&gt;$C$5," ",SUM($D$20:D75))</f>
        <v xml:space="preserve"> </v>
      </c>
      <c r="M75" s="1027" t="str">
        <f>IF($A75&gt;$C$5," ",SUM($E$20:E75))</f>
        <v xml:space="preserve"> </v>
      </c>
      <c r="N75" s="1379" t="str">
        <f>IF($A75&gt;$C$5," ",SUM($F$20:F75))</f>
        <v xml:space="preserve"> </v>
      </c>
      <c r="O75" s="1027" t="str">
        <f>IF($A75&gt;$C$5," ",SUM($G$20:G75))</f>
        <v xml:space="preserve"> </v>
      </c>
      <c r="P75" s="1027" t="str">
        <f>IF($A75&gt;$C$5," ",SUM($H$20:H75))</f>
        <v xml:space="preserve"> </v>
      </c>
      <c r="Q75" s="1027" t="str">
        <f>IF($A75&gt;$C$5," ",SUM($I$20:I75))</f>
        <v xml:space="preserve"> </v>
      </c>
      <c r="R75" s="1026"/>
      <c r="S75" s="1027"/>
      <c r="T75" s="1027"/>
      <c r="U75" s="1027"/>
      <c r="V75" s="1379"/>
      <c r="W75" s="1027" t="str">
        <f>IF($A75&gt;$C$5," ",VLOOKUP($A75,Plot!$HM$7:$IA$67,Plot!$HR$2,FALSE))</f>
        <v xml:space="preserve"> </v>
      </c>
      <c r="X75" s="1027" t="str">
        <f>IF($A75&gt;$C$5," ",VLOOKUP($A75,Plot!$HM$7:$IA$67,Plot!$HS$2,FALSE))</f>
        <v xml:space="preserve"> </v>
      </c>
      <c r="Y75" s="1379" t="str">
        <f t="shared" si="18"/>
        <v xml:space="preserve"> </v>
      </c>
      <c r="Z75" s="1026" t="str">
        <f>IF($A75&gt;$C$5," ",SUM($B$20:B75))</f>
        <v xml:space="preserve"> </v>
      </c>
      <c r="AA75" s="1027" t="str">
        <f>IF($A75&gt;$C$5," ",SUM($C$20:C75))</f>
        <v xml:space="preserve"> </v>
      </c>
      <c r="AB75" s="1027" t="str">
        <f>IF($A75&gt;$C$5," ",SUM($D$20:D75))</f>
        <v xml:space="preserve"> </v>
      </c>
      <c r="AC75" s="1027" t="str">
        <f>IF($A75&gt;$C$5," ",SUM($E$20:E75))</f>
        <v xml:space="preserve"> </v>
      </c>
      <c r="AD75" s="1379" t="str">
        <f t="shared" si="22"/>
        <v xml:space="preserve"> </v>
      </c>
      <c r="AE75" s="1027" t="str">
        <f>IF($A75&gt;$C$5," ",SUM($W$20:W75))</f>
        <v xml:space="preserve"> </v>
      </c>
      <c r="AF75" s="1027" t="str">
        <f>IF($A75&gt;$C$5," ",SUM($X$20:X75))</f>
        <v xml:space="preserve"> </v>
      </c>
      <c r="AG75" s="1027" t="str">
        <f t="shared" si="23"/>
        <v xml:space="preserve"> </v>
      </c>
      <c r="AH75" s="1394" t="str">
        <f>IF($A75&gt;$C$5," ",VLOOKUP($A75,Plot!$A$7:$D$67,4,FALSE))</f>
        <v xml:space="preserve"> </v>
      </c>
      <c r="AI75" s="1390" t="str">
        <f>IF($A75&gt;$C$5," ",VLOOKUP($A75,Plot!$A$7:$E$67,5,FALSE))</f>
        <v xml:space="preserve"> </v>
      </c>
      <c r="AJ75" s="1390" t="str">
        <f ca="1">IF($A75&gt;$C$5," ",IF(ROW()-ROW($A$18)&gt;='Options and results'!$AR$56,AVERAGE(OFFSET(AI75,0,0,COUNTA($BS:$BS)-'Options and results'!$AR$56,1)),NA()))</f>
        <v xml:space="preserve"> </v>
      </c>
      <c r="AK75" s="1395" t="str">
        <f>IF($A75&gt;$C$5," ",VLOOKUP($A75,Plot!$A$7:$F$67,6,FALSE))</f>
        <v xml:space="preserve"> </v>
      </c>
      <c r="AL75" s="1390" t="str">
        <f>IF($A75&gt;$C$5," ",VLOOKUP($A75,Plot!$CK$7:$CN$67,4,FALSE))</f>
        <v xml:space="preserve"> </v>
      </c>
      <c r="AM75" s="1390" t="str">
        <f>IF($A75&gt;$C$5," ",AL75*VLOOKUP($A75,Plot!$CK$7:$CO$67,5,FALSE))</f>
        <v xml:space="preserve"> </v>
      </c>
      <c r="AN75" s="1390" t="str">
        <f ca="1">IF($A75&gt;$C$5," ",IF(ROW()-ROW($A$18)&gt;='Options and results'!$AR$56,AVERAGE(OFFSET(AM75,0,0,COUNTA($BS:$BS)-'Options and results'!$AR$56,1)),NA()))</f>
        <v xml:space="preserve"> </v>
      </c>
      <c r="AO75" s="1390" t="str">
        <f>IF($A75&gt;$C$5," ",VLOOKUP($A75,Plot!$CK$7:$CP$67,6,FALSE))</f>
        <v xml:space="preserve"> </v>
      </c>
      <c r="AP75" s="1409">
        <f>IF($A75&gt;$C$5,0,VLOOKUP($A75,Plot!$V$7:$AH$67,7,FALSE))</f>
        <v>0</v>
      </c>
      <c r="AQ75" s="1390" t="str">
        <f>IF($A75&gt;$C$5," ",VLOOKUP($A75,Plot!$V$7:$AH$67,13,FALSE))</f>
        <v xml:space="preserve"> </v>
      </c>
      <c r="AR75" s="1390" t="str">
        <f>IF($A75&gt;$C$5," ",VLOOKUP($A75,Plot!$V$7:$AI$67,14,FALSE))</f>
        <v xml:space="preserve"> </v>
      </c>
      <c r="AS75" s="1390" t="str">
        <f>IF($A75&gt;$C$5," ",VLOOKUP($A75,Plot!$V$7:$AJ$67,15,FALSE))</f>
        <v xml:space="preserve"> </v>
      </c>
      <c r="AT75" s="1390" t="str">
        <f>IF($A75&gt;$C$5," ",AQ75+SUM($AS$20:AS75)+IF(AP76=0,-AQ75,0))</f>
        <v xml:space="preserve"> </v>
      </c>
      <c r="AU75" s="1390" t="str">
        <f>IF($A75&gt;$C$5," ",VLOOKUP($A75,Plot!$V$7:$AL$67,Plot!$AL$2,FALSE))</f>
        <v xml:space="preserve"> </v>
      </c>
      <c r="AV75" s="1395" t="str">
        <f>IF($A75&gt;$C$5," ",VLOOKUP($A75,Plot!$V$7:$AM$67,Plot!$AM$2,FALSE))</f>
        <v xml:space="preserve"> </v>
      </c>
      <c r="AW75" s="1407">
        <f>IF($A75&gt;$C$5,0,VLOOKUP($A75,Plot!$DF$7:$DS$67,7,FALSE))</f>
        <v>0</v>
      </c>
      <c r="AX75" s="1390" t="str">
        <f>IF($A75&gt;$C$5," ",VLOOKUP($A75,Plot!$DF$7:$DS$67,14,FALSE))</f>
        <v xml:space="preserve"> </v>
      </c>
      <c r="AY75" s="1390" t="str">
        <f>IF($A75&gt;$C$5," ",VLOOKUP($A75,Plot!$DF$7:$DT$67,15,FALSE))</f>
        <v xml:space="preserve"> </v>
      </c>
      <c r="AZ75" s="1390" t="str">
        <f>IF($A75&gt;$C$5," ",VLOOKUP($A75,Plot!$DF$7:$DU$67,16,FALSE))</f>
        <v xml:space="preserve"> </v>
      </c>
      <c r="BA75" s="1390" t="str">
        <f>IF($A75&gt;$C$5," ",AX75+SUM($AZ$20:AZ75)+IF(AW76=0,-AX75,0))</f>
        <v xml:space="preserve"> </v>
      </c>
      <c r="BB75" s="1390" t="str">
        <f>IF($A75&gt;$C$5," ",VLOOKUP($A75,Plot!$DF$7:$DW$67,Plot!$DW$2,FALSE))</f>
        <v xml:space="preserve"> </v>
      </c>
      <c r="BC75" s="1390" t="str">
        <f>IF($A75&gt;$C$5," ",VLOOKUP($A75,Plot!$DF$7:$DX$67,Plot!$DX$2,FALSE))</f>
        <v xml:space="preserve"> </v>
      </c>
      <c r="BD75" s="1396" t="str">
        <f>IF($A75&gt;$C$5," ",VLOOKUP($A75,Plot!$A$7:$N$67,14,FALSE))</f>
        <v xml:space="preserve"> </v>
      </c>
      <c r="BE75" s="303" t="str">
        <f>IF($A75&gt;$C$5," ",VLOOKUP($A75,Plot!$V$7:$BW$67,Plot!$BW$2,FALSE))</f>
        <v xml:space="preserve"> </v>
      </c>
      <c r="BF75" s="303" t="str">
        <f>IF($A75&gt;$C$5," ",VLOOKUP($A75,Plot!$CK$7:$CX$67,14,FALSE))</f>
        <v xml:space="preserve"> </v>
      </c>
      <c r="BG75" s="303" t="str">
        <f>IF($A75&gt;$C$5," ",VLOOKUP($A75,Plot!$DF$7:$FH$67,Plot!$FH$2,FALSE))</f>
        <v xml:space="preserve"> </v>
      </c>
      <c r="BH75" s="1397" t="str">
        <f t="shared" si="24"/>
        <v xml:space="preserve"> </v>
      </c>
      <c r="BI75" s="303" t="str">
        <f>IF($A75&gt;$C$5," ",VLOOKUP($A75,Plot!$DF$7:$EJ$67,29,FALSE))</f>
        <v xml:space="preserve"> </v>
      </c>
      <c r="BJ75" s="303" t="str">
        <f>IF($A75&gt;$C$5," ",VLOOKUP($A75,Plot!$DF$7:$FT$67,30,FALSE))</f>
        <v xml:space="preserve"> </v>
      </c>
      <c r="BK75" s="303" t="str">
        <f>IF($A75&gt;$C$5," ",VLOOKUP($A75,Plot!$DF$7:$FT$67,Plot!$EL$2,FALSE))</f>
        <v xml:space="preserve"> </v>
      </c>
      <c r="BL75" s="303" t="str">
        <f>IF($A75&gt;$C$5," ",VLOOKUP($A75,Plot!$DF$7:$FT$67,Plot!$EM$2,FALSE))</f>
        <v xml:space="preserve"> </v>
      </c>
      <c r="BM75" s="303" t="str">
        <f>IF($A75&gt;$C$5," ",VLOOKUP($A75,Plot!$DF$7:$FT$67,Plot!$EN$2,FALSE))</f>
        <v xml:space="preserve"> </v>
      </c>
      <c r="BN75" s="303" t="str">
        <f>IF($A75&gt;$C$5," ",VLOOKUP($A75,Plot!$DF$7:$FT$67,Plot!$EO$2,FALSE))</f>
        <v xml:space="preserve"> </v>
      </c>
      <c r="BO75" s="303" t="str">
        <f t="shared" si="19"/>
        <v xml:space="preserve"> </v>
      </c>
      <c r="BP75" s="303" t="str">
        <f>IF($A75&gt;$C$5," ",VLOOKUP($A75,Plot!$DF$7:$FT$67,Plot!$EQ$2,FALSE))</f>
        <v xml:space="preserve"> </v>
      </c>
      <c r="BQ75" s="303" t="str">
        <f>IF($A75&gt;$C$5," ",(VLOOKUP($A75,Plot!$DF$7:$FT$67,Plot!$ES$2,FALSE)+VLOOKUP($A75,Plot!$DF$7:$FT$67,Plot!$ET$2,FALSE)))</f>
        <v xml:space="preserve"> </v>
      </c>
      <c r="BR75" s="303" t="str">
        <f>IF($A75&gt;$C$5," ",(VLOOKUP($A75,Plot!$DF$7:$FT$67,Plot!$EV$2,FALSE)+VLOOKUP($A75,Plot!$DF$7:$FT$67,Plot!$EW$2,FALSE)))</f>
        <v xml:space="preserve"> </v>
      </c>
      <c r="BS75" s="303" t="str">
        <f>IF($A75&gt;$C$5," ",VLOOKUP($A75,Plot!$DF$7:$FT$67,Plot!$EY$2,FALSE))</f>
        <v xml:space="preserve"> </v>
      </c>
      <c r="BT75" s="303" t="str">
        <f>IF($A75&gt;$C$5," ",(VLOOKUP($A75,Plot!$DF$7:$FT$67,Plot!$FB$2,FALSE)+VLOOKUP($A75,Plot!$DF$7:$FT$67,Plot!$FC$2,FALSE)))</f>
        <v xml:space="preserve"> </v>
      </c>
      <c r="BU75" s="303" t="str">
        <f>IF($A75&gt;$C$5," ",(VLOOKUP($A75,Plot!$DF$7:$FT$67,Plot!$FE$2,FALSE)+VLOOKUP($A75,Plot!$DF$7:$FT$67,Plot!$FF$2,FALSE)))</f>
        <v xml:space="preserve"> </v>
      </c>
      <c r="BV75" s="1026" t="str">
        <f>IF($A75&gt;$C$5," ",VLOOKUP($A75,Plot!$FV$7:$GJ$67,2,FALSE))</f>
        <v xml:space="preserve"> </v>
      </c>
      <c r="BW75" s="1027" t="str">
        <f>IF($A75&gt;$C$5," ",VLOOKUP($A75,Plot!$FV$7:$GJ$67,3,FALSE))</f>
        <v xml:space="preserve"> </v>
      </c>
      <c r="BX75" s="1379" t="str">
        <f>IF($A75&gt;$C$5," ",VLOOKUP($A75,Plot!$FV$7:$GJ$67,6,FALSE))</f>
        <v xml:space="preserve"> </v>
      </c>
      <c r="BY75" s="1026" t="str">
        <f>IF($A75&gt;$C$5," ",VLOOKUP($A75,Plot!$GO$7:$GY$67,2,FALSE))</f>
        <v xml:space="preserve"> </v>
      </c>
      <c r="BZ75" s="1027" t="str">
        <f>IF($A75&gt;$C$5," ",VLOOKUP($A75,Plot!$GO$7:$GY$67,3,FALSE))</f>
        <v xml:space="preserve"> </v>
      </c>
      <c r="CA75" s="1379" t="str">
        <f>IF($A75&gt;$C$5," ",VLOOKUP($A75,Plot!$GO$7:$GY$67,6,FALSE))</f>
        <v xml:space="preserve"> </v>
      </c>
      <c r="CB75" s="1027" t="str">
        <f>IF($A75&gt;$C$5," ",-1*VLOOKUP($A75,Plot!$HA$7:$HK$67,2,FALSE))</f>
        <v xml:space="preserve"> </v>
      </c>
      <c r="CC75" s="1027" t="str">
        <f>IF($A75&gt;$C$5," ",-1*VLOOKUP($A75,Plot!$HA$7:$HK$67,3,FALSE))</f>
        <v xml:space="preserve"> </v>
      </c>
      <c r="CD75" s="1189" t="str">
        <f>IF($A75&gt;$C$5," ",-1*VLOOKUP($A75,Plot!$HA$7:$HK$67,6,FALSE))</f>
        <v xml:space="preserve"> </v>
      </c>
      <c r="CE75" s="10"/>
      <c r="CF75" s="38">
        <v>56</v>
      </c>
      <c r="CG75" s="1381" t="str">
        <f>IF($CF75&gt;$C$5," ",VLOOKUP($CF75,Unit!$A$7:$BE$68,22,FALSE))</f>
        <v xml:space="preserve"> </v>
      </c>
      <c r="CH75" s="1027" t="str">
        <f>IF($CF75&gt;$C$5," ",VLOOKUP($CF75,Unit!$A$7:$BE$68,23,FALSE))</f>
        <v xml:space="preserve"> </v>
      </c>
      <c r="CI75" s="1027" t="str">
        <f>IF($CF75&gt;$C$5," ",VLOOKUP($CF75,Unit!$A$7:$BE$68,24,FALSE))</f>
        <v xml:space="preserve"> </v>
      </c>
      <c r="CJ75" s="1189" t="str">
        <f>IF($CF75&gt;$C$5," ",VLOOKUP($CF75,Unit!$A$7:$BE$68,25,FALSE))</f>
        <v xml:space="preserve"> </v>
      </c>
      <c r="CK75" s="1381" t="str">
        <f>IF($CF75&gt;$C$5," ",VLOOKUP($CF75,Unit!$A$7:$BE$68,27,FALSE))</f>
        <v xml:space="preserve"> </v>
      </c>
      <c r="CL75" s="1027" t="str">
        <f>IF($CF75&gt;$C$5," ",VLOOKUP($CF75,Unit!$A$7:$BE$68,28,FALSE))</f>
        <v xml:space="preserve"> </v>
      </c>
      <c r="CM75" s="1027" t="str">
        <f>IF($CF75&gt;$C$5," ",VLOOKUP($CF75,Unit!$A$7:$BE$68,29,FALSE))</f>
        <v xml:space="preserve"> </v>
      </c>
      <c r="CN75" s="1027" t="str">
        <f>IF($CF75&gt;$C$5," ",VLOOKUP($CF75,Unit!$A$7:$BE$68,30,FALSE))</f>
        <v xml:space="preserve"> </v>
      </c>
      <c r="CO75" s="1027" t="str">
        <f>IF($CF75&gt;$C$5," ",VLOOKUP($CF75,Unit!$A$7:$BE$68,31,FALSE))</f>
        <v xml:space="preserve"> </v>
      </c>
      <c r="CP75" s="1027" t="str">
        <f>IF($CF75&gt;$C$5," ",VLOOKUP($CF75,Unit!$A$7:$BE$68,32,FALSE))</f>
        <v xml:space="preserve"> </v>
      </c>
      <c r="CQ75" s="1381" t="str">
        <f>IF($CF75&gt;$C$5," ",VLOOKUP($CF75,Unit!$A$7:$BE$68,33,FALSE))</f>
        <v xml:space="preserve"> </v>
      </c>
      <c r="CR75" s="1027" t="str">
        <f>IF($CF75&gt;$C$5," ",VLOOKUP($CF75,Unit!$A$7:$BE$68,34,FALSE))</f>
        <v xml:space="preserve"> </v>
      </c>
      <c r="CS75" s="1027" t="str">
        <f>IF($CF75&gt;$C$5," ",VLOOKUP($CF75,Unit!$A$7:$BE$68,35,FALSE))</f>
        <v xml:space="preserve"> </v>
      </c>
      <c r="CT75" s="1027" t="str">
        <f>IF($CF75&gt;$C$5," ",VLOOKUP($CF75,Unit!$A$7:$BE$68,36,FALSE))</f>
        <v xml:space="preserve"> </v>
      </c>
      <c r="CU75" s="1189" t="str">
        <f t="shared" si="20"/>
        <v xml:space="preserve"> </v>
      </c>
      <c r="CV75" s="1027" t="str">
        <f>IF($CF75&gt;$C$5," ",VLOOKUP($CF75,Unit!$A$7:$BA$68,43,FALSE))</f>
        <v xml:space="preserve"> </v>
      </c>
      <c r="CW75" s="1027" t="str">
        <f>IF($CF75&gt;$C$5," ",VLOOKUP($CF75,Unit!$A$7:$BB$68,44,FALSE))</f>
        <v xml:space="preserve"> </v>
      </c>
      <c r="CX75" s="1189" t="str">
        <f>IF($CF75&gt;$C$5," ",VLOOKUP($CF75,Unit!$A$7:$BE$68,47,FALSE))</f>
        <v xml:space="preserve"> </v>
      </c>
      <c r="CY75" s="1381" t="str">
        <f>IF($CF75&gt;$C$5," ",VLOOKUP($CF75,Unit!$A$7:$BA$68,53,FALSE))</f>
        <v xml:space="preserve"> </v>
      </c>
      <c r="CZ75" s="1027" t="str">
        <f>IF($CF75&gt;$C$5," ",VLOOKUP($CF75,Unit!$A$7:$BB$68,54,FALSE))</f>
        <v xml:space="preserve"> </v>
      </c>
      <c r="DA75" s="1189" t="str">
        <f>IF($CF75&gt;$C$5," ",VLOOKUP($CF75,Unit!$A$7:$BE$68,57,FALSE))</f>
        <v xml:space="preserve"> </v>
      </c>
    </row>
    <row r="76" spans="1:105" x14ac:dyDescent="0.25">
      <c r="A76" s="38">
        <v>57</v>
      </c>
      <c r="B76" s="1381" t="str">
        <f>IF($A76&gt;$C$5," ",VLOOKUP($A76,Plot!$A$7:$T$67,Plot!P$2,FALSE))</f>
        <v xml:space="preserve"> </v>
      </c>
      <c r="C76" s="1027" t="str">
        <f>IF($A76&gt;$C$5," ",VLOOKUP($A76,Plot!$V$7:$CI$67,Plot!$CA$2,FALSE))</f>
        <v xml:space="preserve"> </v>
      </c>
      <c r="D76" s="1027" t="str">
        <f>IF($A76&gt;$C$5," ",VLOOKUP($A76,Plot!$CK$7:$DD$67,Plot!$CZ$2,FALSE))</f>
        <v xml:space="preserve"> </v>
      </c>
      <c r="E76" s="1027" t="str">
        <f>IF($A76&gt;$C$5," ",VLOOKUP($A76,Plot!$DF$7:$FT$67,Plot!$FL$2,FALSE))</f>
        <v xml:space="preserve"> </v>
      </c>
      <c r="F76" s="1379" t="str">
        <f t="shared" si="25"/>
        <v xml:space="preserve"> </v>
      </c>
      <c r="G76" s="1026" t="str">
        <f>IF($A76&gt;$C$5," ",VLOOKUP($A76,Plot!$V$7:$CG$67,Plot!$CG$2,FALSE))</f>
        <v xml:space="preserve"> </v>
      </c>
      <c r="H76" s="1027" t="str">
        <f>IF($A76&gt;$C$5," ",VLOOKUP($A76,Plot!$DF$7:$FT$67,Plot!$FR$2,FALSE))</f>
        <v xml:space="preserve"> </v>
      </c>
      <c r="I76" s="1379" t="str">
        <f t="shared" si="17"/>
        <v xml:space="preserve"> </v>
      </c>
      <c r="J76" s="1026" t="str">
        <f>IF($A76&gt;$C$5," ",SUM(B$20:$B76))</f>
        <v xml:space="preserve"> </v>
      </c>
      <c r="K76" s="1027" t="str">
        <f>IF($A76&gt;$C$5," ",SUM($C$20:C76))</f>
        <v xml:space="preserve"> </v>
      </c>
      <c r="L76" s="1027" t="str">
        <f>IF($A76&gt;$C$5," ",SUM($D$20:D76))</f>
        <v xml:space="preserve"> </v>
      </c>
      <c r="M76" s="1027" t="str">
        <f>IF($A76&gt;$C$5," ",SUM($E$20:E76))</f>
        <v xml:space="preserve"> </v>
      </c>
      <c r="N76" s="1379" t="str">
        <f>IF($A76&gt;$C$5," ",SUM($F$20:F76))</f>
        <v xml:space="preserve"> </v>
      </c>
      <c r="O76" s="1027" t="str">
        <f>IF($A76&gt;$C$5," ",SUM($G$20:G76))</f>
        <v xml:space="preserve"> </v>
      </c>
      <c r="P76" s="1027" t="str">
        <f>IF($A76&gt;$C$5," ",SUM($H$20:H76))</f>
        <v xml:space="preserve"> </v>
      </c>
      <c r="Q76" s="1027" t="str">
        <f>IF($A76&gt;$C$5," ",SUM($I$20:I76))</f>
        <v xml:space="preserve"> </v>
      </c>
      <c r="R76" s="1026"/>
      <c r="S76" s="1027"/>
      <c r="T76" s="1027"/>
      <c r="U76" s="1027"/>
      <c r="V76" s="1379"/>
      <c r="W76" s="1027" t="str">
        <f>IF($A76&gt;$C$5," ",VLOOKUP($A76,Plot!$HM$7:$IA$67,Plot!$HR$2,FALSE))</f>
        <v xml:space="preserve"> </v>
      </c>
      <c r="X76" s="1027" t="str">
        <f>IF($A76&gt;$C$5," ",VLOOKUP($A76,Plot!$HM$7:$IA$67,Plot!$HS$2,FALSE))</f>
        <v xml:space="preserve"> </v>
      </c>
      <c r="Y76" s="1379" t="str">
        <f t="shared" si="18"/>
        <v xml:space="preserve"> </v>
      </c>
      <c r="Z76" s="1026" t="str">
        <f>IF($A76&gt;$C$5," ",SUM($B$20:B76))</f>
        <v xml:space="preserve"> </v>
      </c>
      <c r="AA76" s="1027" t="str">
        <f>IF($A76&gt;$C$5," ",SUM($C$20:C76))</f>
        <v xml:space="preserve"> </v>
      </c>
      <c r="AB76" s="1027" t="str">
        <f>IF($A76&gt;$C$5," ",SUM($D$20:D76))</f>
        <v xml:space="preserve"> </v>
      </c>
      <c r="AC76" s="1027" t="str">
        <f>IF($A76&gt;$C$5," ",SUM($E$20:E76))</f>
        <v xml:space="preserve"> </v>
      </c>
      <c r="AD76" s="1379" t="str">
        <f t="shared" si="22"/>
        <v xml:space="preserve"> </v>
      </c>
      <c r="AE76" s="1027" t="str">
        <f>IF($A76&gt;$C$5," ",SUM($W$20:W76))</f>
        <v xml:space="preserve"> </v>
      </c>
      <c r="AF76" s="1027" t="str">
        <f>IF($A76&gt;$C$5," ",SUM($X$20:X76))</f>
        <v xml:space="preserve"> </v>
      </c>
      <c r="AG76" s="1027" t="str">
        <f t="shared" si="23"/>
        <v xml:space="preserve"> </v>
      </c>
      <c r="AH76" s="1394" t="str">
        <f>IF($A76&gt;$C$5," ",VLOOKUP($A76,Plot!$A$7:$D$67,4,FALSE))</f>
        <v xml:space="preserve"> </v>
      </c>
      <c r="AI76" s="1390" t="str">
        <f>IF($A76&gt;$C$5," ",VLOOKUP($A76,Plot!$A$7:$E$67,5,FALSE))</f>
        <v xml:space="preserve"> </v>
      </c>
      <c r="AJ76" s="1390" t="str">
        <f ca="1">IF($A76&gt;$C$5," ",IF(ROW()-ROW($A$18)&gt;='Options and results'!$AR$56,AVERAGE(OFFSET(AI76,0,0,COUNTA($BS:$BS)-'Options and results'!$AR$56,1)),NA()))</f>
        <v xml:space="preserve"> </v>
      </c>
      <c r="AK76" s="1395" t="str">
        <f>IF($A76&gt;$C$5," ",VLOOKUP($A76,Plot!$A$7:$F$67,6,FALSE))</f>
        <v xml:space="preserve"> </v>
      </c>
      <c r="AL76" s="1390" t="str">
        <f>IF($A76&gt;$C$5," ",VLOOKUP($A76,Plot!$CK$7:$CN$67,4,FALSE))</f>
        <v xml:space="preserve"> </v>
      </c>
      <c r="AM76" s="1390" t="str">
        <f>IF($A76&gt;$C$5," ",AL76*VLOOKUP($A76,Plot!$CK$7:$CO$67,5,FALSE))</f>
        <v xml:space="preserve"> </v>
      </c>
      <c r="AN76" s="1390" t="str">
        <f ca="1">IF($A76&gt;$C$5," ",IF(ROW()-ROW($A$18)&gt;='Options and results'!$AR$56,AVERAGE(OFFSET(AM76,0,0,COUNTA($BS:$BS)-'Options and results'!$AR$56,1)),NA()))</f>
        <v xml:space="preserve"> </v>
      </c>
      <c r="AO76" s="1390" t="str">
        <f>IF($A76&gt;$C$5," ",VLOOKUP($A76,Plot!$CK$7:$CP$67,6,FALSE))</f>
        <v xml:space="preserve"> </v>
      </c>
      <c r="AP76" s="1409">
        <f>IF($A76&gt;$C$5,0,VLOOKUP($A76,Plot!$V$7:$AH$67,7,FALSE))</f>
        <v>0</v>
      </c>
      <c r="AQ76" s="1390" t="str">
        <f>IF($A76&gt;$C$5," ",VLOOKUP($A76,Plot!$V$7:$AH$67,13,FALSE))</f>
        <v xml:space="preserve"> </v>
      </c>
      <c r="AR76" s="1390" t="str">
        <f>IF($A76&gt;$C$5," ",VLOOKUP($A76,Plot!$V$7:$AI$67,14,FALSE))</f>
        <v xml:space="preserve"> </v>
      </c>
      <c r="AS76" s="1390" t="str">
        <f>IF($A76&gt;$C$5," ",VLOOKUP($A76,Plot!$V$7:$AJ$67,15,FALSE))</f>
        <v xml:space="preserve"> </v>
      </c>
      <c r="AT76" s="1390" t="str">
        <f>IF($A76&gt;$C$5," ",AQ76+SUM($AS$20:AS76)+IF(AP77=0,-AQ76,0))</f>
        <v xml:space="preserve"> </v>
      </c>
      <c r="AU76" s="1390" t="str">
        <f>IF($A76&gt;$C$5," ",VLOOKUP($A76,Plot!$V$7:$AL$67,Plot!$AL$2,FALSE))</f>
        <v xml:space="preserve"> </v>
      </c>
      <c r="AV76" s="1395" t="str">
        <f>IF($A76&gt;$C$5," ",VLOOKUP($A76,Plot!$V$7:$AM$67,Plot!$AM$2,FALSE))</f>
        <v xml:space="preserve"> </v>
      </c>
      <c r="AW76" s="1407">
        <f>IF($A76&gt;$C$5,0,VLOOKUP($A76,Plot!$DF$7:$DS$67,7,FALSE))</f>
        <v>0</v>
      </c>
      <c r="AX76" s="1390" t="str">
        <f>IF($A76&gt;$C$5," ",VLOOKUP($A76,Plot!$DF$7:$DS$67,14,FALSE))</f>
        <v xml:space="preserve"> </v>
      </c>
      <c r="AY76" s="1390" t="str">
        <f>IF($A76&gt;$C$5," ",VLOOKUP($A76,Plot!$DF$7:$DT$67,15,FALSE))</f>
        <v xml:space="preserve"> </v>
      </c>
      <c r="AZ76" s="1390" t="str">
        <f>IF($A76&gt;$C$5," ",VLOOKUP($A76,Plot!$DF$7:$DU$67,16,FALSE))</f>
        <v xml:space="preserve"> </v>
      </c>
      <c r="BA76" s="1390" t="str">
        <f>IF($A76&gt;$C$5," ",AX76+SUM($AZ$20:AZ76)+IF(AW77=0,-AX76,0))</f>
        <v xml:space="preserve"> </v>
      </c>
      <c r="BB76" s="1390" t="str">
        <f>IF($A76&gt;$C$5," ",VLOOKUP($A76,Plot!$DF$7:$DW$67,Plot!$DW$2,FALSE))</f>
        <v xml:space="preserve"> </v>
      </c>
      <c r="BC76" s="1390" t="str">
        <f>IF($A76&gt;$C$5," ",VLOOKUP($A76,Plot!$DF$7:$DX$67,Plot!$DX$2,FALSE))</f>
        <v xml:space="preserve"> </v>
      </c>
      <c r="BD76" s="1396" t="str">
        <f>IF($A76&gt;$C$5," ",VLOOKUP($A76,Plot!$A$7:$N$67,14,FALSE))</f>
        <v xml:space="preserve"> </v>
      </c>
      <c r="BE76" s="303" t="str">
        <f>IF($A76&gt;$C$5," ",VLOOKUP($A76,Plot!$V$7:$BW$67,Plot!$BW$2,FALSE))</f>
        <v xml:space="preserve"> </v>
      </c>
      <c r="BF76" s="303" t="str">
        <f>IF($A76&gt;$C$5," ",VLOOKUP($A76,Plot!$CK$7:$CX$67,14,FALSE))</f>
        <v xml:space="preserve"> </v>
      </c>
      <c r="BG76" s="303" t="str">
        <f>IF($A76&gt;$C$5," ",VLOOKUP($A76,Plot!$DF$7:$FH$67,Plot!$FH$2,FALSE))</f>
        <v xml:space="preserve"> </v>
      </c>
      <c r="BH76" s="1397" t="str">
        <f t="shared" si="24"/>
        <v xml:space="preserve"> </v>
      </c>
      <c r="BI76" s="303" t="str">
        <f>IF($A76&gt;$C$5," ",VLOOKUP($A76,Plot!$DF$7:$EJ$67,29,FALSE))</f>
        <v xml:space="preserve"> </v>
      </c>
      <c r="BJ76" s="303" t="str">
        <f>IF($A76&gt;$C$5," ",VLOOKUP($A76,Plot!$DF$7:$FT$67,30,FALSE))</f>
        <v xml:space="preserve"> </v>
      </c>
      <c r="BK76" s="303" t="str">
        <f>IF($A76&gt;$C$5," ",VLOOKUP($A76,Plot!$DF$7:$FT$67,Plot!$EL$2,FALSE))</f>
        <v xml:space="preserve"> </v>
      </c>
      <c r="BL76" s="303" t="str">
        <f>IF($A76&gt;$C$5," ",VLOOKUP($A76,Plot!$DF$7:$FT$67,Plot!$EM$2,FALSE))</f>
        <v xml:space="preserve"> </v>
      </c>
      <c r="BM76" s="303" t="str">
        <f>IF($A76&gt;$C$5," ",VLOOKUP($A76,Plot!$DF$7:$FT$67,Plot!$EN$2,FALSE))</f>
        <v xml:space="preserve"> </v>
      </c>
      <c r="BN76" s="303" t="str">
        <f>IF($A76&gt;$C$5," ",VLOOKUP($A76,Plot!$DF$7:$FT$67,Plot!$EO$2,FALSE))</f>
        <v xml:space="preserve"> </v>
      </c>
      <c r="BO76" s="303" t="str">
        <f t="shared" si="19"/>
        <v xml:space="preserve"> </v>
      </c>
      <c r="BP76" s="303" t="str">
        <f>IF($A76&gt;$C$5," ",VLOOKUP($A76,Plot!$DF$7:$FT$67,Plot!$EQ$2,FALSE))</f>
        <v xml:space="preserve"> </v>
      </c>
      <c r="BQ76" s="303" t="str">
        <f>IF($A76&gt;$C$5," ",(VLOOKUP($A76,Plot!$DF$7:$FT$67,Plot!$ES$2,FALSE)+VLOOKUP($A76,Plot!$DF$7:$FT$67,Plot!$ET$2,FALSE)))</f>
        <v xml:space="preserve"> </v>
      </c>
      <c r="BR76" s="303" t="str">
        <f>IF($A76&gt;$C$5," ",(VLOOKUP($A76,Plot!$DF$7:$FT$67,Plot!$EV$2,FALSE)+VLOOKUP($A76,Plot!$DF$7:$FT$67,Plot!$EW$2,FALSE)))</f>
        <v xml:space="preserve"> </v>
      </c>
      <c r="BS76" s="303" t="str">
        <f>IF($A76&gt;$C$5," ",VLOOKUP($A76,Plot!$DF$7:$FT$67,Plot!$EY$2,FALSE))</f>
        <v xml:space="preserve"> </v>
      </c>
      <c r="BT76" s="303" t="str">
        <f>IF($A76&gt;$C$5," ",(VLOOKUP($A76,Plot!$DF$7:$FT$67,Plot!$FB$2,FALSE)+VLOOKUP($A76,Plot!$DF$7:$FT$67,Plot!$FC$2,FALSE)))</f>
        <v xml:space="preserve"> </v>
      </c>
      <c r="BU76" s="303" t="str">
        <f>IF($A76&gt;$C$5," ",(VLOOKUP($A76,Plot!$DF$7:$FT$67,Plot!$FE$2,FALSE)+VLOOKUP($A76,Plot!$DF$7:$FT$67,Plot!$FF$2,FALSE)))</f>
        <v xml:space="preserve"> </v>
      </c>
      <c r="BV76" s="1026" t="str">
        <f>IF($A76&gt;$C$5," ",VLOOKUP($A76,Plot!$FV$7:$GJ$67,2,FALSE))</f>
        <v xml:space="preserve"> </v>
      </c>
      <c r="BW76" s="1027" t="str">
        <f>IF($A76&gt;$C$5," ",VLOOKUP($A76,Plot!$FV$7:$GJ$67,3,FALSE))</f>
        <v xml:space="preserve"> </v>
      </c>
      <c r="BX76" s="1379" t="str">
        <f>IF($A76&gt;$C$5," ",VLOOKUP($A76,Plot!$FV$7:$GJ$67,6,FALSE))</f>
        <v xml:space="preserve"> </v>
      </c>
      <c r="BY76" s="1026" t="str">
        <f>IF($A76&gt;$C$5," ",VLOOKUP($A76,Plot!$GO$7:$GY$67,2,FALSE))</f>
        <v xml:space="preserve"> </v>
      </c>
      <c r="BZ76" s="1027" t="str">
        <f>IF($A76&gt;$C$5," ",VLOOKUP($A76,Plot!$GO$7:$GY$67,3,FALSE))</f>
        <v xml:space="preserve"> </v>
      </c>
      <c r="CA76" s="1379" t="str">
        <f>IF($A76&gt;$C$5," ",VLOOKUP($A76,Plot!$GO$7:$GY$67,6,FALSE))</f>
        <v xml:space="preserve"> </v>
      </c>
      <c r="CB76" s="1027" t="str">
        <f>IF($A76&gt;$C$5," ",-1*VLOOKUP($A76,Plot!$HA$7:$HK$67,2,FALSE))</f>
        <v xml:space="preserve"> </v>
      </c>
      <c r="CC76" s="1027" t="str">
        <f>IF($A76&gt;$C$5," ",-1*VLOOKUP($A76,Plot!$HA$7:$HK$67,3,FALSE))</f>
        <v xml:space="preserve"> </v>
      </c>
      <c r="CD76" s="1189" t="str">
        <f>IF($A76&gt;$C$5," ",-1*VLOOKUP($A76,Plot!$HA$7:$HK$67,6,FALSE))</f>
        <v xml:space="preserve"> </v>
      </c>
      <c r="CE76" s="10"/>
      <c r="CF76" s="38">
        <v>57</v>
      </c>
      <c r="CG76" s="1381" t="str">
        <f>IF($CF76&gt;$C$5," ",VLOOKUP($CF76,Unit!$A$7:$BE$68,22,FALSE))</f>
        <v xml:space="preserve"> </v>
      </c>
      <c r="CH76" s="1027" t="str">
        <f>IF($CF76&gt;$C$5," ",VLOOKUP($CF76,Unit!$A$7:$BE$68,23,FALSE))</f>
        <v xml:space="preserve"> </v>
      </c>
      <c r="CI76" s="1027" t="str">
        <f>IF($CF76&gt;$C$5," ",VLOOKUP($CF76,Unit!$A$7:$BE$68,24,FALSE))</f>
        <v xml:space="preserve"> </v>
      </c>
      <c r="CJ76" s="1189" t="str">
        <f>IF($CF76&gt;$C$5," ",VLOOKUP($CF76,Unit!$A$7:$BE$68,25,FALSE))</f>
        <v xml:space="preserve"> </v>
      </c>
      <c r="CK76" s="1381" t="str">
        <f>IF($CF76&gt;$C$5," ",VLOOKUP($CF76,Unit!$A$7:$BE$68,27,FALSE))</f>
        <v xml:space="preserve"> </v>
      </c>
      <c r="CL76" s="1027" t="str">
        <f>IF($CF76&gt;$C$5," ",VLOOKUP($CF76,Unit!$A$7:$BE$68,28,FALSE))</f>
        <v xml:space="preserve"> </v>
      </c>
      <c r="CM76" s="1027" t="str">
        <f>IF($CF76&gt;$C$5," ",VLOOKUP($CF76,Unit!$A$7:$BE$68,29,FALSE))</f>
        <v xml:space="preserve"> </v>
      </c>
      <c r="CN76" s="1027" t="str">
        <f>IF($CF76&gt;$C$5," ",VLOOKUP($CF76,Unit!$A$7:$BE$68,30,FALSE))</f>
        <v xml:space="preserve"> </v>
      </c>
      <c r="CO76" s="1027" t="str">
        <f>IF($CF76&gt;$C$5," ",VLOOKUP($CF76,Unit!$A$7:$BE$68,31,FALSE))</f>
        <v xml:space="preserve"> </v>
      </c>
      <c r="CP76" s="1027" t="str">
        <f>IF($CF76&gt;$C$5," ",VLOOKUP($CF76,Unit!$A$7:$BE$68,32,FALSE))</f>
        <v xml:space="preserve"> </v>
      </c>
      <c r="CQ76" s="1381" t="str">
        <f>IF($CF76&gt;$C$5," ",VLOOKUP($CF76,Unit!$A$7:$BE$68,33,FALSE))</f>
        <v xml:space="preserve"> </v>
      </c>
      <c r="CR76" s="1027" t="str">
        <f>IF($CF76&gt;$C$5," ",VLOOKUP($CF76,Unit!$A$7:$BE$68,34,FALSE))</f>
        <v xml:space="preserve"> </v>
      </c>
      <c r="CS76" s="1027" t="str">
        <f>IF($CF76&gt;$C$5," ",VLOOKUP($CF76,Unit!$A$7:$BE$68,35,FALSE))</f>
        <v xml:space="preserve"> </v>
      </c>
      <c r="CT76" s="1027" t="str">
        <f>IF($CF76&gt;$C$5," ",VLOOKUP($CF76,Unit!$A$7:$BE$68,36,FALSE))</f>
        <v xml:space="preserve"> </v>
      </c>
      <c r="CU76" s="1189" t="str">
        <f t="shared" si="20"/>
        <v xml:space="preserve"> </v>
      </c>
      <c r="CV76" s="1027" t="str">
        <f>IF($CF76&gt;$C$5," ",VLOOKUP($CF76,Unit!$A$7:$BA$68,43,FALSE))</f>
        <v xml:space="preserve"> </v>
      </c>
      <c r="CW76" s="1027" t="str">
        <f>IF($CF76&gt;$C$5," ",VLOOKUP($CF76,Unit!$A$7:$BB$68,44,FALSE))</f>
        <v xml:space="preserve"> </v>
      </c>
      <c r="CX76" s="1189" t="str">
        <f>IF($CF76&gt;$C$5," ",VLOOKUP($CF76,Unit!$A$7:$BE$68,47,FALSE))</f>
        <v xml:space="preserve"> </v>
      </c>
      <c r="CY76" s="1381" t="str">
        <f>IF($CF76&gt;$C$5," ",VLOOKUP($CF76,Unit!$A$7:$BA$68,53,FALSE))</f>
        <v xml:space="preserve"> </v>
      </c>
      <c r="CZ76" s="1027" t="str">
        <f>IF($CF76&gt;$C$5," ",VLOOKUP($CF76,Unit!$A$7:$BB$68,54,FALSE))</f>
        <v xml:space="preserve"> </v>
      </c>
      <c r="DA76" s="1189" t="str">
        <f>IF($CF76&gt;$C$5," ",VLOOKUP($CF76,Unit!$A$7:$BE$68,57,FALSE))</f>
        <v xml:space="preserve"> </v>
      </c>
    </row>
    <row r="77" spans="1:105" x14ac:dyDescent="0.25">
      <c r="A77" s="38">
        <v>58</v>
      </c>
      <c r="B77" s="1381" t="str">
        <f>IF($A77&gt;$C$5," ",VLOOKUP($A77,Plot!$A$7:$T$67,Plot!P$2,FALSE))</f>
        <v xml:space="preserve"> </v>
      </c>
      <c r="C77" s="1027" t="str">
        <f>IF($A77&gt;$C$5," ",VLOOKUP($A77,Plot!$V$7:$CI$67,Plot!$CA$2,FALSE))</f>
        <v xml:space="preserve"> </v>
      </c>
      <c r="D77" s="1027" t="str">
        <f>IF($A77&gt;$C$5," ",VLOOKUP($A77,Plot!$CK$7:$DD$67,Plot!$CZ$2,FALSE))</f>
        <v xml:space="preserve"> </v>
      </c>
      <c r="E77" s="1027" t="str">
        <f>IF($A77&gt;$C$5," ",VLOOKUP($A77,Plot!$DF$7:$FT$67,Plot!$FL$2,FALSE))</f>
        <v xml:space="preserve"> </v>
      </c>
      <c r="F77" s="1379" t="str">
        <f t="shared" si="25"/>
        <v xml:space="preserve"> </v>
      </c>
      <c r="G77" s="1026" t="str">
        <f>IF($A77&gt;$C$5," ",VLOOKUP($A77,Plot!$V$7:$CG$67,Plot!$CG$2,FALSE))</f>
        <v xml:space="preserve"> </v>
      </c>
      <c r="H77" s="1027" t="str">
        <f>IF($A77&gt;$C$5," ",VLOOKUP($A77,Plot!$DF$7:$FT$67,Plot!$FR$2,FALSE))</f>
        <v xml:space="preserve"> </v>
      </c>
      <c r="I77" s="1379" t="str">
        <f t="shared" si="17"/>
        <v xml:space="preserve"> </v>
      </c>
      <c r="J77" s="1026" t="str">
        <f>IF($A77&gt;$C$5," ",SUM(B$20:$B77))</f>
        <v xml:space="preserve"> </v>
      </c>
      <c r="K77" s="1027" t="str">
        <f>IF($A77&gt;$C$5," ",SUM($C$20:C77))</f>
        <v xml:space="preserve"> </v>
      </c>
      <c r="L77" s="1027" t="str">
        <f>IF($A77&gt;$C$5," ",SUM($D$20:D77))</f>
        <v xml:space="preserve"> </v>
      </c>
      <c r="M77" s="1027" t="str">
        <f>IF($A77&gt;$C$5," ",SUM($E$20:E77))</f>
        <v xml:space="preserve"> </v>
      </c>
      <c r="N77" s="1379" t="str">
        <f>IF($A77&gt;$C$5," ",SUM($F$20:F77))</f>
        <v xml:space="preserve"> </v>
      </c>
      <c r="O77" s="1027" t="str">
        <f>IF($A77&gt;$C$5," ",SUM($G$20:G77))</f>
        <v xml:space="preserve"> </v>
      </c>
      <c r="P77" s="1027" t="str">
        <f>IF($A77&gt;$C$5," ",SUM($H$20:H77))</f>
        <v xml:space="preserve"> </v>
      </c>
      <c r="Q77" s="1027" t="str">
        <f>IF($A77&gt;$C$5," ",SUM($I$20:I77))</f>
        <v xml:space="preserve"> </v>
      </c>
      <c r="R77" s="1026"/>
      <c r="S77" s="1027"/>
      <c r="T77" s="1027"/>
      <c r="U77" s="1027"/>
      <c r="V77" s="1379"/>
      <c r="W77" s="1027" t="str">
        <f>IF($A77&gt;$C$5," ",VLOOKUP($A77,Plot!$HM$7:$IA$67,Plot!$HR$2,FALSE))</f>
        <v xml:space="preserve"> </v>
      </c>
      <c r="X77" s="1027" t="str">
        <f>IF($A77&gt;$C$5," ",VLOOKUP($A77,Plot!$HM$7:$IA$67,Plot!$HS$2,FALSE))</f>
        <v xml:space="preserve"> </v>
      </c>
      <c r="Y77" s="1379" t="str">
        <f t="shared" si="18"/>
        <v xml:space="preserve"> </v>
      </c>
      <c r="Z77" s="1026" t="str">
        <f>IF($A77&gt;$C$5," ",SUM($B$20:B77))</f>
        <v xml:space="preserve"> </v>
      </c>
      <c r="AA77" s="1027" t="str">
        <f>IF($A77&gt;$C$5," ",SUM($C$20:C77))</f>
        <v xml:space="preserve"> </v>
      </c>
      <c r="AB77" s="1027" t="str">
        <f>IF($A77&gt;$C$5," ",SUM($D$20:D77))</f>
        <v xml:space="preserve"> </v>
      </c>
      <c r="AC77" s="1027" t="str">
        <f>IF($A77&gt;$C$5," ",SUM($E$20:E77))</f>
        <v xml:space="preserve"> </v>
      </c>
      <c r="AD77" s="1379" t="str">
        <f t="shared" si="22"/>
        <v xml:space="preserve"> </v>
      </c>
      <c r="AE77" s="1027" t="str">
        <f>IF($A77&gt;$C$5," ",SUM($W$20:W77))</f>
        <v xml:space="preserve"> </v>
      </c>
      <c r="AF77" s="1027" t="str">
        <f>IF($A77&gt;$C$5," ",SUM($X$20:X77))</f>
        <v xml:space="preserve"> </v>
      </c>
      <c r="AG77" s="1027" t="str">
        <f t="shared" si="23"/>
        <v xml:space="preserve"> </v>
      </c>
      <c r="AH77" s="1394" t="str">
        <f>IF($A77&gt;$C$5," ",VLOOKUP($A77,Plot!$A$7:$D$67,4,FALSE))</f>
        <v xml:space="preserve"> </v>
      </c>
      <c r="AI77" s="1390" t="str">
        <f>IF($A77&gt;$C$5," ",VLOOKUP($A77,Plot!$A$7:$E$67,5,FALSE))</f>
        <v xml:space="preserve"> </v>
      </c>
      <c r="AJ77" s="1390" t="str">
        <f ca="1">IF($A77&gt;$C$5," ",IF(ROW()-ROW($A$18)&gt;='Options and results'!$AR$56,AVERAGE(OFFSET(AI77,0,0,COUNTA($BS:$BS)-'Options and results'!$AR$56,1)),NA()))</f>
        <v xml:space="preserve"> </v>
      </c>
      <c r="AK77" s="1395" t="str">
        <f>IF($A77&gt;$C$5," ",VLOOKUP($A77,Plot!$A$7:$F$67,6,FALSE))</f>
        <v xml:space="preserve"> </v>
      </c>
      <c r="AL77" s="1390" t="str">
        <f>IF($A77&gt;$C$5," ",VLOOKUP($A77,Plot!$CK$7:$CN$67,4,FALSE))</f>
        <v xml:space="preserve"> </v>
      </c>
      <c r="AM77" s="1390" t="str">
        <f>IF($A77&gt;$C$5," ",AL77*VLOOKUP($A77,Plot!$CK$7:$CO$67,5,FALSE))</f>
        <v xml:space="preserve"> </v>
      </c>
      <c r="AN77" s="1390" t="str">
        <f ca="1">IF($A77&gt;$C$5," ",IF(ROW()-ROW($A$18)&gt;='Options and results'!$AR$56,AVERAGE(OFFSET(AM77,0,0,COUNTA($BS:$BS)-'Options and results'!$AR$56,1)),NA()))</f>
        <v xml:space="preserve"> </v>
      </c>
      <c r="AO77" s="1390" t="str">
        <f>IF($A77&gt;$C$5," ",VLOOKUP($A77,Plot!$CK$7:$CP$67,6,FALSE))</f>
        <v xml:space="preserve"> </v>
      </c>
      <c r="AP77" s="1409">
        <f>IF($A77&gt;$C$5,0,VLOOKUP($A77,Plot!$V$7:$AH$67,7,FALSE))</f>
        <v>0</v>
      </c>
      <c r="AQ77" s="1390" t="str">
        <f>IF($A77&gt;$C$5," ",VLOOKUP($A77,Plot!$V$7:$AH$67,13,FALSE))</f>
        <v xml:space="preserve"> </v>
      </c>
      <c r="AR77" s="1390" t="str">
        <f>IF($A77&gt;$C$5," ",VLOOKUP($A77,Plot!$V$7:$AI$67,14,FALSE))</f>
        <v xml:space="preserve"> </v>
      </c>
      <c r="AS77" s="1390" t="str">
        <f>IF($A77&gt;$C$5," ",VLOOKUP($A77,Plot!$V$7:$AJ$67,15,FALSE))</f>
        <v xml:space="preserve"> </v>
      </c>
      <c r="AT77" s="1390" t="str">
        <f>IF($A77&gt;$C$5," ",AQ77+SUM($AS$20:AS77)+IF(AP78=0,-AQ77,0))</f>
        <v xml:space="preserve"> </v>
      </c>
      <c r="AU77" s="1390" t="str">
        <f>IF($A77&gt;$C$5," ",VLOOKUP($A77,Plot!$V$7:$AL$67,Plot!$AL$2,FALSE))</f>
        <v xml:space="preserve"> </v>
      </c>
      <c r="AV77" s="1395" t="str">
        <f>IF($A77&gt;$C$5," ",VLOOKUP($A77,Plot!$V$7:$AM$67,Plot!$AM$2,FALSE))</f>
        <v xml:space="preserve"> </v>
      </c>
      <c r="AW77" s="1407">
        <f>IF($A77&gt;$C$5,0,VLOOKUP($A77,Plot!$DF$7:$DS$67,7,FALSE))</f>
        <v>0</v>
      </c>
      <c r="AX77" s="1390" t="str">
        <f>IF($A77&gt;$C$5," ",VLOOKUP($A77,Plot!$DF$7:$DS$67,14,FALSE))</f>
        <v xml:space="preserve"> </v>
      </c>
      <c r="AY77" s="1390" t="str">
        <f>IF($A77&gt;$C$5," ",VLOOKUP($A77,Plot!$DF$7:$DT$67,15,FALSE))</f>
        <v xml:space="preserve"> </v>
      </c>
      <c r="AZ77" s="1390" t="str">
        <f>IF($A77&gt;$C$5," ",VLOOKUP($A77,Plot!$DF$7:$DU$67,16,FALSE))</f>
        <v xml:space="preserve"> </v>
      </c>
      <c r="BA77" s="1390" t="str">
        <f>IF($A77&gt;$C$5," ",AX77+SUM($AZ$20:AZ77)+IF(AW78=0,-AX77,0))</f>
        <v xml:space="preserve"> </v>
      </c>
      <c r="BB77" s="1390" t="str">
        <f>IF($A77&gt;$C$5," ",VLOOKUP($A77,Plot!$DF$7:$DW$67,Plot!$DW$2,FALSE))</f>
        <v xml:space="preserve"> </v>
      </c>
      <c r="BC77" s="1390" t="str">
        <f>IF($A77&gt;$C$5," ",VLOOKUP($A77,Plot!$DF$7:$DX$67,Plot!$DX$2,FALSE))</f>
        <v xml:space="preserve"> </v>
      </c>
      <c r="BD77" s="1396" t="str">
        <f>IF($A77&gt;$C$5," ",VLOOKUP($A77,Plot!$A$7:$N$67,14,FALSE))</f>
        <v xml:space="preserve"> </v>
      </c>
      <c r="BE77" s="303" t="str">
        <f>IF($A77&gt;$C$5," ",VLOOKUP($A77,Plot!$V$7:$BW$67,Plot!$BW$2,FALSE))</f>
        <v xml:space="preserve"> </v>
      </c>
      <c r="BF77" s="303" t="str">
        <f>IF($A77&gt;$C$5," ",VLOOKUP($A77,Plot!$CK$7:$CX$67,14,FALSE))</f>
        <v xml:space="preserve"> </v>
      </c>
      <c r="BG77" s="303" t="str">
        <f>IF($A77&gt;$C$5," ",VLOOKUP($A77,Plot!$DF$7:$FH$67,Plot!$FH$2,FALSE))</f>
        <v xml:space="preserve"> </v>
      </c>
      <c r="BH77" s="1397" t="str">
        <f t="shared" si="24"/>
        <v xml:space="preserve"> </v>
      </c>
      <c r="BI77" s="303" t="str">
        <f>IF($A77&gt;$C$5," ",VLOOKUP($A77,Plot!$DF$7:$EJ$67,29,FALSE))</f>
        <v xml:space="preserve"> </v>
      </c>
      <c r="BJ77" s="303" t="str">
        <f>IF($A77&gt;$C$5," ",VLOOKUP($A77,Plot!$DF$7:$FT$67,30,FALSE))</f>
        <v xml:space="preserve"> </v>
      </c>
      <c r="BK77" s="303" t="str">
        <f>IF($A77&gt;$C$5," ",VLOOKUP($A77,Plot!$DF$7:$FT$67,Plot!$EL$2,FALSE))</f>
        <v xml:space="preserve"> </v>
      </c>
      <c r="BL77" s="303" t="str">
        <f>IF($A77&gt;$C$5," ",VLOOKUP($A77,Plot!$DF$7:$FT$67,Plot!$EM$2,FALSE))</f>
        <v xml:space="preserve"> </v>
      </c>
      <c r="BM77" s="303" t="str">
        <f>IF($A77&gt;$C$5," ",VLOOKUP($A77,Plot!$DF$7:$FT$67,Plot!$EN$2,FALSE))</f>
        <v xml:space="preserve"> </v>
      </c>
      <c r="BN77" s="303" t="str">
        <f>IF($A77&gt;$C$5," ",VLOOKUP($A77,Plot!$DF$7:$FT$67,Plot!$EO$2,FALSE))</f>
        <v xml:space="preserve"> </v>
      </c>
      <c r="BO77" s="303" t="str">
        <f t="shared" si="19"/>
        <v xml:space="preserve"> </v>
      </c>
      <c r="BP77" s="303" t="str">
        <f>IF($A77&gt;$C$5," ",VLOOKUP($A77,Plot!$DF$7:$FT$67,Plot!$EQ$2,FALSE))</f>
        <v xml:space="preserve"> </v>
      </c>
      <c r="BQ77" s="303" t="str">
        <f>IF($A77&gt;$C$5," ",(VLOOKUP($A77,Plot!$DF$7:$FT$67,Plot!$ES$2,FALSE)+VLOOKUP($A77,Plot!$DF$7:$FT$67,Plot!$ET$2,FALSE)))</f>
        <v xml:space="preserve"> </v>
      </c>
      <c r="BR77" s="303" t="str">
        <f>IF($A77&gt;$C$5," ",(VLOOKUP($A77,Plot!$DF$7:$FT$67,Plot!$EV$2,FALSE)+VLOOKUP($A77,Plot!$DF$7:$FT$67,Plot!$EW$2,FALSE)))</f>
        <v xml:space="preserve"> </v>
      </c>
      <c r="BS77" s="303" t="str">
        <f>IF($A77&gt;$C$5," ",VLOOKUP($A77,Plot!$DF$7:$FT$67,Plot!$EY$2,FALSE))</f>
        <v xml:space="preserve"> </v>
      </c>
      <c r="BT77" s="303" t="str">
        <f>IF($A77&gt;$C$5," ",(VLOOKUP($A77,Plot!$DF$7:$FT$67,Plot!$FB$2,FALSE)+VLOOKUP($A77,Plot!$DF$7:$FT$67,Plot!$FC$2,FALSE)))</f>
        <v xml:space="preserve"> </v>
      </c>
      <c r="BU77" s="303" t="str">
        <f>IF($A77&gt;$C$5," ",(VLOOKUP($A77,Plot!$DF$7:$FT$67,Plot!$FE$2,FALSE)+VLOOKUP($A77,Plot!$DF$7:$FT$67,Plot!$FF$2,FALSE)))</f>
        <v xml:space="preserve"> </v>
      </c>
      <c r="BV77" s="1026" t="str">
        <f>IF($A77&gt;$C$5," ",VLOOKUP($A77,Plot!$FV$7:$GJ$67,2,FALSE))</f>
        <v xml:space="preserve"> </v>
      </c>
      <c r="BW77" s="1027" t="str">
        <f>IF($A77&gt;$C$5," ",VLOOKUP($A77,Plot!$FV$7:$GJ$67,3,FALSE))</f>
        <v xml:space="preserve"> </v>
      </c>
      <c r="BX77" s="1379" t="str">
        <f>IF($A77&gt;$C$5," ",VLOOKUP($A77,Plot!$FV$7:$GJ$67,6,FALSE))</f>
        <v xml:space="preserve"> </v>
      </c>
      <c r="BY77" s="1026" t="str">
        <f>IF($A77&gt;$C$5," ",VLOOKUP($A77,Plot!$GO$7:$GY$67,2,FALSE))</f>
        <v xml:space="preserve"> </v>
      </c>
      <c r="BZ77" s="1027" t="str">
        <f>IF($A77&gt;$C$5," ",VLOOKUP($A77,Plot!$GO$7:$GY$67,3,FALSE))</f>
        <v xml:space="preserve"> </v>
      </c>
      <c r="CA77" s="1379" t="str">
        <f>IF($A77&gt;$C$5," ",VLOOKUP($A77,Plot!$GO$7:$GY$67,6,FALSE))</f>
        <v xml:space="preserve"> </v>
      </c>
      <c r="CB77" s="1027" t="str">
        <f>IF($A77&gt;$C$5," ",-1*VLOOKUP($A77,Plot!$HA$7:$HK$67,2,FALSE))</f>
        <v xml:space="preserve"> </v>
      </c>
      <c r="CC77" s="1027" t="str">
        <f>IF($A77&gt;$C$5," ",-1*VLOOKUP($A77,Plot!$HA$7:$HK$67,3,FALSE))</f>
        <v xml:space="preserve"> </v>
      </c>
      <c r="CD77" s="1189" t="str">
        <f>IF($A77&gt;$C$5," ",-1*VLOOKUP($A77,Plot!$HA$7:$HK$67,6,FALSE))</f>
        <v xml:space="preserve"> </v>
      </c>
      <c r="CE77" s="10"/>
      <c r="CF77" s="38">
        <v>58</v>
      </c>
      <c r="CG77" s="1381" t="str">
        <f>IF($CF77&gt;$C$5," ",VLOOKUP($CF77,Unit!$A$7:$BE$68,22,FALSE))</f>
        <v xml:space="preserve"> </v>
      </c>
      <c r="CH77" s="1027" t="str">
        <f>IF($CF77&gt;$C$5," ",VLOOKUP($CF77,Unit!$A$7:$BE$68,23,FALSE))</f>
        <v xml:space="preserve"> </v>
      </c>
      <c r="CI77" s="1027" t="str">
        <f>IF($CF77&gt;$C$5," ",VLOOKUP($CF77,Unit!$A$7:$BE$68,24,FALSE))</f>
        <v xml:space="preserve"> </v>
      </c>
      <c r="CJ77" s="1189" t="str">
        <f>IF($CF77&gt;$C$5," ",VLOOKUP($CF77,Unit!$A$7:$BE$68,25,FALSE))</f>
        <v xml:space="preserve"> </v>
      </c>
      <c r="CK77" s="1381" t="str">
        <f>IF($CF77&gt;$C$5," ",VLOOKUP($CF77,Unit!$A$7:$BE$68,27,FALSE))</f>
        <v xml:space="preserve"> </v>
      </c>
      <c r="CL77" s="1027" t="str">
        <f>IF($CF77&gt;$C$5," ",VLOOKUP($CF77,Unit!$A$7:$BE$68,28,FALSE))</f>
        <v xml:space="preserve"> </v>
      </c>
      <c r="CM77" s="1027" t="str">
        <f>IF($CF77&gt;$C$5," ",VLOOKUP($CF77,Unit!$A$7:$BE$68,29,FALSE))</f>
        <v xml:space="preserve"> </v>
      </c>
      <c r="CN77" s="1027" t="str">
        <f>IF($CF77&gt;$C$5," ",VLOOKUP($CF77,Unit!$A$7:$BE$68,30,FALSE))</f>
        <v xml:space="preserve"> </v>
      </c>
      <c r="CO77" s="1027" t="str">
        <f>IF($CF77&gt;$C$5," ",VLOOKUP($CF77,Unit!$A$7:$BE$68,31,FALSE))</f>
        <v xml:space="preserve"> </v>
      </c>
      <c r="CP77" s="1027" t="str">
        <f>IF($CF77&gt;$C$5," ",VLOOKUP($CF77,Unit!$A$7:$BE$68,32,FALSE))</f>
        <v xml:space="preserve"> </v>
      </c>
      <c r="CQ77" s="1381" t="str">
        <f>IF($CF77&gt;$C$5," ",VLOOKUP($CF77,Unit!$A$7:$BE$68,33,FALSE))</f>
        <v xml:space="preserve"> </v>
      </c>
      <c r="CR77" s="1027" t="str">
        <f>IF($CF77&gt;$C$5," ",VLOOKUP($CF77,Unit!$A$7:$BE$68,34,FALSE))</f>
        <v xml:space="preserve"> </v>
      </c>
      <c r="CS77" s="1027" t="str">
        <f>IF($CF77&gt;$C$5," ",VLOOKUP($CF77,Unit!$A$7:$BE$68,35,FALSE))</f>
        <v xml:space="preserve"> </v>
      </c>
      <c r="CT77" s="1027" t="str">
        <f>IF($CF77&gt;$C$5," ",VLOOKUP($CF77,Unit!$A$7:$BE$68,36,FALSE))</f>
        <v xml:space="preserve"> </v>
      </c>
      <c r="CU77" s="1189" t="str">
        <f t="shared" si="20"/>
        <v xml:space="preserve"> </v>
      </c>
      <c r="CV77" s="1027" t="str">
        <f>IF($CF77&gt;$C$5," ",VLOOKUP($CF77,Unit!$A$7:$BA$68,43,FALSE))</f>
        <v xml:space="preserve"> </v>
      </c>
      <c r="CW77" s="1027" t="str">
        <f>IF($CF77&gt;$C$5," ",VLOOKUP($CF77,Unit!$A$7:$BB$68,44,FALSE))</f>
        <v xml:space="preserve"> </v>
      </c>
      <c r="CX77" s="1189" t="str">
        <f>IF($CF77&gt;$C$5," ",VLOOKUP($CF77,Unit!$A$7:$BE$68,47,FALSE))</f>
        <v xml:space="preserve"> </v>
      </c>
      <c r="CY77" s="1381" t="str">
        <f>IF($CF77&gt;$C$5," ",VLOOKUP($CF77,Unit!$A$7:$BA$68,53,FALSE))</f>
        <v xml:space="preserve"> </v>
      </c>
      <c r="CZ77" s="1027" t="str">
        <f>IF($CF77&gt;$C$5," ",VLOOKUP($CF77,Unit!$A$7:$BB$68,54,FALSE))</f>
        <v xml:space="preserve"> </v>
      </c>
      <c r="DA77" s="1189" t="str">
        <f>IF($CF77&gt;$C$5," ",VLOOKUP($CF77,Unit!$A$7:$BE$68,57,FALSE))</f>
        <v xml:space="preserve"> </v>
      </c>
    </row>
    <row r="78" spans="1:105" x14ac:dyDescent="0.25">
      <c r="A78" s="38">
        <v>59</v>
      </c>
      <c r="B78" s="1381" t="str">
        <f>IF($A78&gt;$C$5," ",VLOOKUP($A78,Plot!$A$7:$T$67,Plot!P$2,FALSE))</f>
        <v xml:space="preserve"> </v>
      </c>
      <c r="C78" s="1027" t="str">
        <f>IF($A78&gt;$C$5," ",VLOOKUP($A78,Plot!$V$7:$CI$67,Plot!$CA$2,FALSE))</f>
        <v xml:space="preserve"> </v>
      </c>
      <c r="D78" s="1027" t="str">
        <f>IF($A78&gt;$C$5," ",VLOOKUP($A78,Plot!$CK$7:$DD$67,Plot!$CZ$2,FALSE))</f>
        <v xml:space="preserve"> </v>
      </c>
      <c r="E78" s="1027" t="str">
        <f>IF($A78&gt;$C$5," ",VLOOKUP($A78,Plot!$DF$7:$FT$67,Plot!$FL$2,FALSE))</f>
        <v xml:space="preserve"> </v>
      </c>
      <c r="F78" s="1379" t="str">
        <f t="shared" si="25"/>
        <v xml:space="preserve"> </v>
      </c>
      <c r="G78" s="1026" t="str">
        <f>IF($A78&gt;$C$5," ",VLOOKUP($A78,Plot!$V$7:$CG$67,Plot!$CG$2,FALSE))</f>
        <v xml:space="preserve"> </v>
      </c>
      <c r="H78" s="1027" t="str">
        <f>IF($A78&gt;$C$5," ",VLOOKUP($A78,Plot!$DF$7:$FT$67,Plot!$FR$2,FALSE))</f>
        <v xml:space="preserve"> </v>
      </c>
      <c r="I78" s="1379" t="str">
        <f t="shared" si="17"/>
        <v xml:space="preserve"> </v>
      </c>
      <c r="J78" s="1026" t="str">
        <f>IF($A78&gt;$C$5," ",SUM(B$20:$B78))</f>
        <v xml:space="preserve"> </v>
      </c>
      <c r="K78" s="1027" t="str">
        <f>IF($A78&gt;$C$5," ",SUM($C$20:C78))</f>
        <v xml:space="preserve"> </v>
      </c>
      <c r="L78" s="1027" t="str">
        <f>IF($A78&gt;$C$5," ",SUM($D$20:D78))</f>
        <v xml:space="preserve"> </v>
      </c>
      <c r="M78" s="1027" t="str">
        <f>IF($A78&gt;$C$5," ",SUM($E$20:E78))</f>
        <v xml:space="preserve"> </v>
      </c>
      <c r="N78" s="1379" t="str">
        <f>IF($A78&gt;$C$5," ",SUM($F$20:F78))</f>
        <v xml:space="preserve"> </v>
      </c>
      <c r="O78" s="1027" t="str">
        <f>IF($A78&gt;$C$5," ",SUM($G$20:G78))</f>
        <v xml:space="preserve"> </v>
      </c>
      <c r="P78" s="1027" t="str">
        <f>IF($A78&gt;$C$5," ",SUM($H$20:H78))</f>
        <v xml:space="preserve"> </v>
      </c>
      <c r="Q78" s="1027" t="str">
        <f>IF($A78&gt;$C$5," ",SUM($I$20:I78))</f>
        <v xml:space="preserve"> </v>
      </c>
      <c r="R78" s="1026"/>
      <c r="S78" s="1027"/>
      <c r="T78" s="1027"/>
      <c r="U78" s="1027"/>
      <c r="V78" s="1379"/>
      <c r="W78" s="1027" t="str">
        <f>IF($A78&gt;$C$5," ",VLOOKUP($A78,Plot!$HM$7:$IA$67,Plot!$HR$2,FALSE))</f>
        <v xml:space="preserve"> </v>
      </c>
      <c r="X78" s="1027" t="str">
        <f>IF($A78&gt;$C$5," ",VLOOKUP($A78,Plot!$HM$7:$IA$67,Plot!$HS$2,FALSE))</f>
        <v xml:space="preserve"> </v>
      </c>
      <c r="Y78" s="1379" t="str">
        <f t="shared" si="18"/>
        <v xml:space="preserve"> </v>
      </c>
      <c r="Z78" s="1026" t="str">
        <f>IF($A78&gt;$C$5," ",SUM($B$20:B78))</f>
        <v xml:space="preserve"> </v>
      </c>
      <c r="AA78" s="1027" t="str">
        <f>IF($A78&gt;$C$5," ",SUM($C$20:C78))</f>
        <v xml:space="preserve"> </v>
      </c>
      <c r="AB78" s="1027" t="str">
        <f>IF($A78&gt;$C$5," ",SUM($D$20:D78))</f>
        <v xml:space="preserve"> </v>
      </c>
      <c r="AC78" s="1027" t="str">
        <f>IF($A78&gt;$C$5," ",SUM($E$20:E78))</f>
        <v xml:space="preserve"> </v>
      </c>
      <c r="AD78" s="1379" t="str">
        <f t="shared" si="22"/>
        <v xml:space="preserve"> </v>
      </c>
      <c r="AE78" s="1027" t="str">
        <f>IF($A78&gt;$C$5," ",SUM($W$20:W78))</f>
        <v xml:space="preserve"> </v>
      </c>
      <c r="AF78" s="1027" t="str">
        <f>IF($A78&gt;$C$5," ",SUM($X$20:X78))</f>
        <v xml:space="preserve"> </v>
      </c>
      <c r="AG78" s="1027" t="str">
        <f t="shared" si="23"/>
        <v xml:space="preserve"> </v>
      </c>
      <c r="AH78" s="1394" t="str">
        <f>IF($A78&gt;$C$5," ",VLOOKUP($A78,Plot!$A$7:$D$67,4,FALSE))</f>
        <v xml:space="preserve"> </v>
      </c>
      <c r="AI78" s="1390" t="str">
        <f>IF($A78&gt;$C$5," ",VLOOKUP($A78,Plot!$A$7:$E$67,5,FALSE))</f>
        <v xml:space="preserve"> </v>
      </c>
      <c r="AJ78" s="1390" t="str">
        <f ca="1">IF($A78&gt;$C$5," ",IF(ROW()-ROW($A$18)&gt;='Options and results'!$AR$56,AVERAGE(OFFSET(AI78,0,0,COUNTA($BS:$BS)-'Options and results'!$AR$56,1)),NA()))</f>
        <v xml:space="preserve"> </v>
      </c>
      <c r="AK78" s="1395" t="str">
        <f>IF($A78&gt;$C$5," ",VLOOKUP($A78,Plot!$A$7:$F$67,6,FALSE))</f>
        <v xml:space="preserve"> </v>
      </c>
      <c r="AL78" s="1390" t="str">
        <f>IF($A78&gt;$C$5," ",VLOOKUP($A78,Plot!$CK$7:$CN$67,4,FALSE))</f>
        <v xml:space="preserve"> </v>
      </c>
      <c r="AM78" s="1390" t="str">
        <f>IF($A78&gt;$C$5," ",AL78*VLOOKUP($A78,Plot!$CK$7:$CO$67,5,FALSE))</f>
        <v xml:space="preserve"> </v>
      </c>
      <c r="AN78" s="1390" t="str">
        <f ca="1">IF($A78&gt;$C$5," ",IF(ROW()-ROW($A$18)&gt;='Options and results'!$AR$56,AVERAGE(OFFSET(AM78,0,0,COUNTA($BS:$BS)-'Options and results'!$AR$56,1)),NA()))</f>
        <v xml:space="preserve"> </v>
      </c>
      <c r="AO78" s="1390" t="str">
        <f>IF($A78&gt;$C$5," ",VLOOKUP($A78,Plot!$CK$7:$CP$67,6,FALSE))</f>
        <v xml:space="preserve"> </v>
      </c>
      <c r="AP78" s="1409">
        <f>IF($A78&gt;$C$5,0,VLOOKUP($A78,Plot!$V$7:$AH$67,7,FALSE))</f>
        <v>0</v>
      </c>
      <c r="AQ78" s="1390" t="str">
        <f>IF($A78&gt;$C$5," ",VLOOKUP($A78,Plot!$V$7:$AH$67,13,FALSE))</f>
        <v xml:space="preserve"> </v>
      </c>
      <c r="AR78" s="1390" t="str">
        <f>IF($A78&gt;$C$5," ",VLOOKUP($A78,Plot!$V$7:$AI$67,14,FALSE))</f>
        <v xml:space="preserve"> </v>
      </c>
      <c r="AS78" s="1390" t="str">
        <f>IF($A78&gt;$C$5," ",VLOOKUP($A78,Plot!$V$7:$AJ$67,15,FALSE))</f>
        <v xml:space="preserve"> </v>
      </c>
      <c r="AT78" s="1390" t="str">
        <f>IF($A78&gt;$C$5," ",AQ78+SUM($AS$20:AS78)+IF(AP79=0,-AQ78,0))</f>
        <v xml:space="preserve"> </v>
      </c>
      <c r="AU78" s="1390" t="str">
        <f>IF($A78&gt;$C$5," ",VLOOKUP($A78,Plot!$V$7:$AL$67,Plot!$AL$2,FALSE))</f>
        <v xml:space="preserve"> </v>
      </c>
      <c r="AV78" s="1395" t="str">
        <f>IF($A78&gt;$C$5," ",VLOOKUP($A78,Plot!$V$7:$AM$67,Plot!$AM$2,FALSE))</f>
        <v xml:space="preserve"> </v>
      </c>
      <c r="AW78" s="1407">
        <f>IF($A78&gt;$C$5,0,VLOOKUP($A78,Plot!$DF$7:$DS$67,7,FALSE))</f>
        <v>0</v>
      </c>
      <c r="AX78" s="1390" t="str">
        <f>IF($A78&gt;$C$5," ",VLOOKUP($A78,Plot!$DF$7:$DS$67,14,FALSE))</f>
        <v xml:space="preserve"> </v>
      </c>
      <c r="AY78" s="1390" t="str">
        <f>IF($A78&gt;$C$5," ",VLOOKUP($A78,Plot!$DF$7:$DT$67,15,FALSE))</f>
        <v xml:space="preserve"> </v>
      </c>
      <c r="AZ78" s="1390" t="str">
        <f>IF($A78&gt;$C$5," ",VLOOKUP($A78,Plot!$DF$7:$DU$67,16,FALSE))</f>
        <v xml:space="preserve"> </v>
      </c>
      <c r="BA78" s="1390" t="str">
        <f>IF($A78&gt;$C$5," ",AX78+SUM($AZ$20:AZ78)+IF(AW79=0,-AX78,0))</f>
        <v xml:space="preserve"> </v>
      </c>
      <c r="BB78" s="1390" t="str">
        <f>IF($A78&gt;$C$5," ",VLOOKUP($A78,Plot!$DF$7:$DW$67,Plot!$DW$2,FALSE))</f>
        <v xml:space="preserve"> </v>
      </c>
      <c r="BC78" s="1390" t="str">
        <f>IF($A78&gt;$C$5," ",VLOOKUP($A78,Plot!$DF$7:$DX$67,Plot!$DX$2,FALSE))</f>
        <v xml:space="preserve"> </v>
      </c>
      <c r="BD78" s="1396" t="str">
        <f>IF($A78&gt;$C$5," ",VLOOKUP($A78,Plot!$A$7:$N$67,14,FALSE))</f>
        <v xml:space="preserve"> </v>
      </c>
      <c r="BE78" s="303" t="str">
        <f>IF($A78&gt;$C$5," ",VLOOKUP($A78,Plot!$V$7:$BW$67,Plot!$BW$2,FALSE))</f>
        <v xml:space="preserve"> </v>
      </c>
      <c r="BF78" s="303" t="str">
        <f>IF($A78&gt;$C$5," ",VLOOKUP($A78,Plot!$CK$7:$CX$67,14,FALSE))</f>
        <v xml:space="preserve"> </v>
      </c>
      <c r="BG78" s="303" t="str">
        <f>IF($A78&gt;$C$5," ",VLOOKUP($A78,Plot!$DF$7:$FH$67,Plot!$FH$2,FALSE))</f>
        <v xml:space="preserve"> </v>
      </c>
      <c r="BH78" s="1397" t="str">
        <f t="shared" si="24"/>
        <v xml:space="preserve"> </v>
      </c>
      <c r="BI78" s="303" t="str">
        <f>IF($A78&gt;$C$5," ",VLOOKUP($A78,Plot!$DF$7:$EJ$67,29,FALSE))</f>
        <v xml:space="preserve"> </v>
      </c>
      <c r="BJ78" s="303" t="str">
        <f>IF($A78&gt;$C$5," ",VLOOKUP($A78,Plot!$DF$7:$FT$67,30,FALSE))</f>
        <v xml:space="preserve"> </v>
      </c>
      <c r="BK78" s="303" t="str">
        <f>IF($A78&gt;$C$5," ",VLOOKUP($A78,Plot!$DF$7:$FT$67,Plot!$EL$2,FALSE))</f>
        <v xml:space="preserve"> </v>
      </c>
      <c r="BL78" s="303" t="str">
        <f>IF($A78&gt;$C$5," ",VLOOKUP($A78,Plot!$DF$7:$FT$67,Plot!$EM$2,FALSE))</f>
        <v xml:space="preserve"> </v>
      </c>
      <c r="BM78" s="303" t="str">
        <f>IF($A78&gt;$C$5," ",VLOOKUP($A78,Plot!$DF$7:$FT$67,Plot!$EN$2,FALSE))</f>
        <v xml:space="preserve"> </v>
      </c>
      <c r="BN78" s="303" t="str">
        <f>IF($A78&gt;$C$5," ",VLOOKUP($A78,Plot!$DF$7:$FT$67,Plot!$EO$2,FALSE))</f>
        <v xml:space="preserve"> </v>
      </c>
      <c r="BO78" s="303" t="str">
        <f t="shared" si="19"/>
        <v xml:space="preserve"> </v>
      </c>
      <c r="BP78" s="303" t="str">
        <f>IF($A78&gt;$C$5," ",VLOOKUP($A78,Plot!$DF$7:$FT$67,Plot!$EQ$2,FALSE))</f>
        <v xml:space="preserve"> </v>
      </c>
      <c r="BQ78" s="303" t="str">
        <f>IF($A78&gt;$C$5," ",(VLOOKUP($A78,Plot!$DF$7:$FT$67,Plot!$ES$2,FALSE)+VLOOKUP($A78,Plot!$DF$7:$FT$67,Plot!$ET$2,FALSE)))</f>
        <v xml:space="preserve"> </v>
      </c>
      <c r="BR78" s="303" t="str">
        <f>IF($A78&gt;$C$5," ",(VLOOKUP($A78,Plot!$DF$7:$FT$67,Plot!$EV$2,FALSE)+VLOOKUP($A78,Plot!$DF$7:$FT$67,Plot!$EW$2,FALSE)))</f>
        <v xml:space="preserve"> </v>
      </c>
      <c r="BS78" s="303" t="str">
        <f>IF($A78&gt;$C$5," ",VLOOKUP($A78,Plot!$DF$7:$FT$67,Plot!$EY$2,FALSE))</f>
        <v xml:space="preserve"> </v>
      </c>
      <c r="BT78" s="303" t="str">
        <f>IF($A78&gt;$C$5," ",(VLOOKUP($A78,Plot!$DF$7:$FT$67,Plot!$FB$2,FALSE)+VLOOKUP($A78,Plot!$DF$7:$FT$67,Plot!$FC$2,FALSE)))</f>
        <v xml:space="preserve"> </v>
      </c>
      <c r="BU78" s="303" t="str">
        <f>IF($A78&gt;$C$5," ",(VLOOKUP($A78,Plot!$DF$7:$FT$67,Plot!$FE$2,FALSE)+VLOOKUP($A78,Plot!$DF$7:$FT$67,Plot!$FF$2,FALSE)))</f>
        <v xml:space="preserve"> </v>
      </c>
      <c r="BV78" s="1026" t="str">
        <f>IF($A78&gt;$C$5," ",VLOOKUP($A78,Plot!$FV$7:$GJ$67,2,FALSE))</f>
        <v xml:space="preserve"> </v>
      </c>
      <c r="BW78" s="1027" t="str">
        <f>IF($A78&gt;$C$5," ",VLOOKUP($A78,Plot!$FV$7:$GJ$67,3,FALSE))</f>
        <v xml:space="preserve"> </v>
      </c>
      <c r="BX78" s="1379" t="str">
        <f>IF($A78&gt;$C$5," ",VLOOKUP($A78,Plot!$FV$7:$GJ$67,6,FALSE))</f>
        <v xml:space="preserve"> </v>
      </c>
      <c r="BY78" s="1026" t="str">
        <f>IF($A78&gt;$C$5," ",VLOOKUP($A78,Plot!$GO$7:$GY$67,2,FALSE))</f>
        <v xml:space="preserve"> </v>
      </c>
      <c r="BZ78" s="1027" t="str">
        <f>IF($A78&gt;$C$5," ",VLOOKUP($A78,Plot!$GO$7:$GY$67,3,FALSE))</f>
        <v xml:space="preserve"> </v>
      </c>
      <c r="CA78" s="1379" t="str">
        <f>IF($A78&gt;$C$5," ",VLOOKUP($A78,Plot!$GO$7:$GY$67,6,FALSE))</f>
        <v xml:space="preserve"> </v>
      </c>
      <c r="CB78" s="1027" t="str">
        <f>IF($A78&gt;$C$5," ",-1*VLOOKUP($A78,Plot!$HA$7:$HK$67,2,FALSE))</f>
        <v xml:space="preserve"> </v>
      </c>
      <c r="CC78" s="1027" t="str">
        <f>IF($A78&gt;$C$5," ",-1*VLOOKUP($A78,Plot!$HA$7:$HK$67,3,FALSE))</f>
        <v xml:space="preserve"> </v>
      </c>
      <c r="CD78" s="1189" t="str">
        <f>IF($A78&gt;$C$5," ",-1*VLOOKUP($A78,Plot!$HA$7:$HK$67,6,FALSE))</f>
        <v xml:space="preserve"> </v>
      </c>
      <c r="CE78" s="10"/>
      <c r="CF78" s="38">
        <v>59</v>
      </c>
      <c r="CG78" s="1381" t="str">
        <f>IF($CF78&gt;$C$5," ",VLOOKUP($CF78,Unit!$A$7:$BE$68,22,FALSE))</f>
        <v xml:space="preserve"> </v>
      </c>
      <c r="CH78" s="1027" t="str">
        <f>IF($CF78&gt;$C$5," ",VLOOKUP($CF78,Unit!$A$7:$BE$68,23,FALSE))</f>
        <v xml:space="preserve"> </v>
      </c>
      <c r="CI78" s="1027" t="str">
        <f>IF($CF78&gt;$C$5," ",VLOOKUP($CF78,Unit!$A$7:$BE$68,24,FALSE))</f>
        <v xml:space="preserve"> </v>
      </c>
      <c r="CJ78" s="1189" t="str">
        <f>IF($CF78&gt;$C$5," ",VLOOKUP($CF78,Unit!$A$7:$BE$68,25,FALSE))</f>
        <v xml:space="preserve"> </v>
      </c>
      <c r="CK78" s="1381" t="str">
        <f>IF($CF78&gt;$C$5," ",VLOOKUP($CF78,Unit!$A$7:$BE$68,27,FALSE))</f>
        <v xml:space="preserve"> </v>
      </c>
      <c r="CL78" s="1027" t="str">
        <f>IF($CF78&gt;$C$5," ",VLOOKUP($CF78,Unit!$A$7:$BE$68,28,FALSE))</f>
        <v xml:space="preserve"> </v>
      </c>
      <c r="CM78" s="1027" t="str">
        <f>IF($CF78&gt;$C$5," ",VLOOKUP($CF78,Unit!$A$7:$BE$68,29,FALSE))</f>
        <v xml:space="preserve"> </v>
      </c>
      <c r="CN78" s="1027" t="str">
        <f>IF($CF78&gt;$C$5," ",VLOOKUP($CF78,Unit!$A$7:$BE$68,30,FALSE))</f>
        <v xml:space="preserve"> </v>
      </c>
      <c r="CO78" s="1027" t="str">
        <f>IF($CF78&gt;$C$5," ",VLOOKUP($CF78,Unit!$A$7:$BE$68,31,FALSE))</f>
        <v xml:space="preserve"> </v>
      </c>
      <c r="CP78" s="1027" t="str">
        <f>IF($CF78&gt;$C$5," ",VLOOKUP($CF78,Unit!$A$7:$BE$68,32,FALSE))</f>
        <v xml:space="preserve"> </v>
      </c>
      <c r="CQ78" s="1381" t="str">
        <f>IF($CF78&gt;$C$5," ",VLOOKUP($CF78,Unit!$A$7:$BE$68,33,FALSE))</f>
        <v xml:space="preserve"> </v>
      </c>
      <c r="CR78" s="1027" t="str">
        <f>IF($CF78&gt;$C$5," ",VLOOKUP($CF78,Unit!$A$7:$BE$68,34,FALSE))</f>
        <v xml:space="preserve"> </v>
      </c>
      <c r="CS78" s="1027" t="str">
        <f>IF($CF78&gt;$C$5," ",VLOOKUP($CF78,Unit!$A$7:$BE$68,35,FALSE))</f>
        <v xml:space="preserve"> </v>
      </c>
      <c r="CT78" s="1027" t="str">
        <f>IF($CF78&gt;$C$5," ",VLOOKUP($CF78,Unit!$A$7:$BE$68,36,FALSE))</f>
        <v xml:space="preserve"> </v>
      </c>
      <c r="CU78" s="1189" t="str">
        <f t="shared" si="20"/>
        <v xml:space="preserve"> </v>
      </c>
      <c r="CV78" s="1027" t="str">
        <f>IF($CF78&gt;$C$5," ",VLOOKUP($CF78,Unit!$A$7:$BA$68,43,FALSE))</f>
        <v xml:space="preserve"> </v>
      </c>
      <c r="CW78" s="1027" t="str">
        <f>IF($CF78&gt;$C$5," ",VLOOKUP($CF78,Unit!$A$7:$BB$68,44,FALSE))</f>
        <v xml:space="preserve"> </v>
      </c>
      <c r="CX78" s="1189" t="str">
        <f>IF($CF78&gt;$C$5," ",VLOOKUP($CF78,Unit!$A$7:$BE$68,47,FALSE))</f>
        <v xml:space="preserve"> </v>
      </c>
      <c r="CY78" s="1381" t="str">
        <f>IF($CF78&gt;$C$5," ",VLOOKUP($CF78,Unit!$A$7:$BA$68,53,FALSE))</f>
        <v xml:space="preserve"> </v>
      </c>
      <c r="CZ78" s="1027" t="str">
        <f>IF($CF78&gt;$C$5," ",VLOOKUP($CF78,Unit!$A$7:$BB$68,54,FALSE))</f>
        <v xml:space="preserve"> </v>
      </c>
      <c r="DA78" s="1189" t="str">
        <f>IF($CF78&gt;$C$5," ",VLOOKUP($CF78,Unit!$A$7:$BE$68,57,FALSE))</f>
        <v xml:space="preserve"> </v>
      </c>
    </row>
    <row r="79" spans="1:105" ht="15.75" thickBot="1" x14ac:dyDescent="0.3">
      <c r="A79" s="57">
        <v>60</v>
      </c>
      <c r="B79" s="1391" t="str">
        <f>IF($A79&gt;$C$5," ",VLOOKUP($A79,Plot!$A$7:$T$67,Plot!P$2,FALSE))</f>
        <v xml:space="preserve"> </v>
      </c>
      <c r="C79" s="1175" t="str">
        <f>IF($A79&gt;$C$5," ",VLOOKUP($A79,Plot!$V$7:$CI$67,Plot!$CA$2,FALSE))</f>
        <v xml:space="preserve"> </v>
      </c>
      <c r="D79" s="1175" t="str">
        <f>IF($A79&gt;$C$5," ",VLOOKUP($A79,Plot!$CK$7:$DD$67,Plot!$CZ$2,FALSE))</f>
        <v xml:space="preserve"> </v>
      </c>
      <c r="E79" s="1175" t="str">
        <f>IF($A79&gt;$C$5," ",VLOOKUP($A79,Plot!$DF$7:$FT$67,Plot!$FL$2,FALSE))</f>
        <v xml:space="preserve"> </v>
      </c>
      <c r="F79" s="1392" t="str">
        <f t="shared" si="25"/>
        <v xml:space="preserve"> </v>
      </c>
      <c r="G79" s="1174" t="str">
        <f>IF($A79&gt;$C$5," ",VLOOKUP($A79,Plot!$V$7:$CG$67,Plot!$CG$2,FALSE))</f>
        <v xml:space="preserve"> </v>
      </c>
      <c r="H79" s="1175" t="str">
        <f>IF($A79&gt;$C$5," ",VLOOKUP($A79,Plot!$DF$7:$FT$67,Plot!$FR$2,FALSE))</f>
        <v xml:space="preserve"> </v>
      </c>
      <c r="I79" s="1392" t="str">
        <f t="shared" si="17"/>
        <v xml:space="preserve"> </v>
      </c>
      <c r="J79" s="1174" t="str">
        <f>IF($A79&gt;$C$5," ",SUM(B$20:$B79))</f>
        <v xml:space="preserve"> </v>
      </c>
      <c r="K79" s="1175" t="str">
        <f>IF($A79&gt;$C$5," ",SUM($C$20:C79))</f>
        <v xml:space="preserve"> </v>
      </c>
      <c r="L79" s="1175" t="str">
        <f>IF($A79&gt;$C$5," ",SUM($D$20:D79))</f>
        <v xml:space="preserve"> </v>
      </c>
      <c r="M79" s="1175" t="str">
        <f>IF($A79&gt;$C$5," ",SUM($E$20:E79))</f>
        <v xml:space="preserve"> </v>
      </c>
      <c r="N79" s="1392" t="str">
        <f>IF($A79&gt;$C$5," ",SUM($F$20:F79))</f>
        <v xml:space="preserve"> </v>
      </c>
      <c r="O79" s="1175" t="str">
        <f>IF($A79&gt;$C$5," ",SUM($G$20:G79))</f>
        <v xml:space="preserve"> </v>
      </c>
      <c r="P79" s="1175" t="str">
        <f>IF($A79&gt;$C$5," ",SUM($H$20:H79))</f>
        <v xml:space="preserve"> </v>
      </c>
      <c r="Q79" s="1175" t="str">
        <f>IF($A79&gt;$C$5," ",SUM($I$20:I79))</f>
        <v xml:space="preserve"> </v>
      </c>
      <c r="R79" s="1174"/>
      <c r="S79" s="1175"/>
      <c r="T79" s="1175"/>
      <c r="U79" s="1175"/>
      <c r="V79" s="1392"/>
      <c r="W79" s="1175" t="str">
        <f>IF($A79&gt;$C$5," ",VLOOKUP($A79,Plot!$HM$7:$IA$67,Plot!$HR$2,FALSE))</f>
        <v xml:space="preserve"> </v>
      </c>
      <c r="X79" s="1175" t="str">
        <f>IF($A79&gt;$C$5," ",VLOOKUP($A79,Plot!$HM$7:$IA$67,Plot!$HS$2,FALSE))</f>
        <v xml:space="preserve"> </v>
      </c>
      <c r="Y79" s="1392" t="str">
        <f t="shared" si="18"/>
        <v xml:space="preserve"> </v>
      </c>
      <c r="Z79" s="1174" t="str">
        <f>IF($A79&gt;$C$5," ",SUM($B$20:B79))</f>
        <v xml:space="preserve"> </v>
      </c>
      <c r="AA79" s="1175" t="str">
        <f>IF($A79&gt;$C$5," ",SUM($C$20:C79))</f>
        <v xml:space="preserve"> </v>
      </c>
      <c r="AB79" s="1175" t="str">
        <f>IF($A79&gt;$C$5," ",SUM($D$20:D79))</f>
        <v xml:space="preserve"> </v>
      </c>
      <c r="AC79" s="1175" t="str">
        <f>IF($A79&gt;$C$5," ",SUM($E$20:E79))</f>
        <v xml:space="preserve"> </v>
      </c>
      <c r="AD79" s="1392" t="str">
        <f t="shared" si="22"/>
        <v xml:space="preserve"> </v>
      </c>
      <c r="AE79" s="1175" t="str">
        <f>IF($A79&gt;$C$5," ",SUM($W$20:W79))</f>
        <v xml:space="preserve"> </v>
      </c>
      <c r="AF79" s="1175" t="str">
        <f>IF($A79&gt;$C$5," ",SUM($X$20:X79))</f>
        <v xml:space="preserve"> </v>
      </c>
      <c r="AG79" s="1175" t="str">
        <f t="shared" si="23"/>
        <v xml:space="preserve"> </v>
      </c>
      <c r="AH79" s="1402" t="str">
        <f>IF($A79&gt;$C$5," ",VLOOKUP($A79,Plot!$A$7:$D$67,4,FALSE))</f>
        <v xml:space="preserve"> </v>
      </c>
      <c r="AI79" s="1393" t="str">
        <f>IF($A79&gt;$C$5," ",VLOOKUP($A79,Plot!$A$7:$E$67,5,FALSE))</f>
        <v xml:space="preserve"> </v>
      </c>
      <c r="AJ79" s="1393" t="str">
        <f ca="1">IF($A79&gt;$C$5," ",IF(ROW()-ROW($A$18)&gt;='Options and results'!$AR$56,AVERAGE(OFFSET(AI79,0,0,COUNTA($BS:$BS)-'Options and results'!$AR$56,1)),NA()))</f>
        <v xml:space="preserve"> </v>
      </c>
      <c r="AK79" s="1403" t="str">
        <f>IF($A79&gt;$C$5," ",VLOOKUP($A79,Plot!$A$7:$F$67,6,FALSE))</f>
        <v xml:space="preserve"> </v>
      </c>
      <c r="AL79" s="1393" t="str">
        <f>IF($A79&gt;$C$5," ",VLOOKUP($A79,Plot!$CK$7:$CN$67,4,FALSE))</f>
        <v xml:space="preserve"> </v>
      </c>
      <c r="AM79" s="1393" t="str">
        <f>IF($A79&gt;$C$5," ",AL79*VLOOKUP($A79,Plot!$CK$7:$CO$67,5,FALSE))</f>
        <v xml:space="preserve"> </v>
      </c>
      <c r="AN79" s="1393" t="str">
        <f ca="1">IF($A79&gt;$C$5," ",IF(ROW()-ROW($A$18)&gt;='Options and results'!$AR$56,AVERAGE(OFFSET(AM79,0,0,COUNTA($BS:$BS)-'Options and results'!$AR$56,1)),NA()))</f>
        <v xml:space="preserve"> </v>
      </c>
      <c r="AO79" s="1393" t="str">
        <f>IF($A79&gt;$C$5," ",VLOOKUP($A79,Plot!$CK$7:$CP$67,6,FALSE))</f>
        <v xml:space="preserve"> </v>
      </c>
      <c r="AP79" s="1411">
        <f>IF($A79&gt;$C$5,0,VLOOKUP($A79,Plot!$V$7:$AH$67,7,FALSE))</f>
        <v>0</v>
      </c>
      <c r="AQ79" s="1393" t="str">
        <f>IF($A79&gt;$C$5," ",VLOOKUP($A79,Plot!$V$7:$AH$67,13,FALSE))</f>
        <v xml:space="preserve"> </v>
      </c>
      <c r="AR79" s="1393" t="str">
        <f>IF($A79&gt;$C$5," ",VLOOKUP($A79,Plot!$V$7:$AI$67,14,FALSE))</f>
        <v xml:space="preserve"> </v>
      </c>
      <c r="AS79" s="1393" t="str">
        <f>IF($A79&gt;$C$5," ",VLOOKUP($A79,Plot!$V$7:$AJ$67,15,FALSE))</f>
        <v xml:space="preserve"> </v>
      </c>
      <c r="AT79" s="1393" t="str">
        <f>IF($A79&gt;$C$5," ",AQ79+SUM($AS$20:AS79)+IF(AP80=0,-AQ79,0))</f>
        <v xml:space="preserve"> </v>
      </c>
      <c r="AU79" s="1393" t="str">
        <f>IF($A79&gt;$C$5," ",VLOOKUP($A79,Plot!$V$7:$AL$67,Plot!$AL$2,FALSE))</f>
        <v xml:space="preserve"> </v>
      </c>
      <c r="AV79" s="1403" t="str">
        <f>IF($A79&gt;$C$5," ",VLOOKUP($A79,Plot!$V$7:$AM$67,Plot!$AM$2,FALSE))</f>
        <v xml:space="preserve"> </v>
      </c>
      <c r="AW79" s="1408">
        <f>IF($A79&gt;$C$5,0,VLOOKUP($A79,Plot!$DF$7:$DS$67,7,FALSE))</f>
        <v>0</v>
      </c>
      <c r="AX79" s="1393" t="str">
        <f>IF($A79&gt;$C$5," ",VLOOKUP($A79,Plot!$DF$7:$DS$67,14,FALSE))</f>
        <v xml:space="preserve"> </v>
      </c>
      <c r="AY79" s="1393" t="str">
        <f>IF($A79&gt;$C$5," ",VLOOKUP($A79,Plot!$DF$7:$DT$67,15,FALSE))</f>
        <v xml:space="preserve"> </v>
      </c>
      <c r="AZ79" s="1393" t="str">
        <f>IF($A79&gt;$C$5," ",VLOOKUP($A79,Plot!$DF$7:$DU$67,16,FALSE))</f>
        <v xml:space="preserve"> </v>
      </c>
      <c r="BA79" s="1393" t="str">
        <f>IF($A79&gt;$C$5," ",AX79+SUM($AZ$20:AZ79)+IF(AW80=0,-AX79,0))</f>
        <v xml:space="preserve"> </v>
      </c>
      <c r="BB79" s="1393" t="str">
        <f>IF($A79&gt;$C$5," ",VLOOKUP($A79,Plot!$DF$7:$DW$67,Plot!$DW$2,FALSE))</f>
        <v xml:space="preserve"> </v>
      </c>
      <c r="BC79" s="1393" t="str">
        <f>IF($A79&gt;$C$5," ",VLOOKUP($A79,Plot!$DF$7:$DX$67,Plot!$DX$2,FALSE))</f>
        <v xml:space="preserve"> </v>
      </c>
      <c r="BD79" s="1404" t="str">
        <f>IF($A79&gt;$C$5," ",VLOOKUP($A79,Plot!$A$7:$N$67,14,FALSE))</f>
        <v xml:space="preserve"> </v>
      </c>
      <c r="BE79" s="1173" t="str">
        <f>IF($A79&gt;$C$5," ",VLOOKUP($A79,Plot!$V$7:$BW$67,Plot!$BW$2,FALSE))</f>
        <v xml:space="preserve"> </v>
      </c>
      <c r="BF79" s="1173" t="str">
        <f>IF($A79&gt;$C$5," ",VLOOKUP($A79,Plot!$CK$7:$CX$67,14,FALSE))</f>
        <v xml:space="preserve"> </v>
      </c>
      <c r="BG79" s="1173" t="str">
        <f>IF($A79&gt;$C$5," ",VLOOKUP($A79,Plot!$DF$7:$FH$67,Plot!$FH$2,FALSE))</f>
        <v xml:space="preserve"> </v>
      </c>
      <c r="BH79" s="1405" t="str">
        <f t="shared" si="24"/>
        <v xml:space="preserve"> </v>
      </c>
      <c r="BI79" s="1173" t="str">
        <f>IF($A79&gt;$C$5," ",VLOOKUP($A79,Plot!$DF$7:$EJ$67,29,FALSE))</f>
        <v xml:space="preserve"> </v>
      </c>
      <c r="BJ79" s="1173" t="str">
        <f>IF($A79&gt;$C$5," ",VLOOKUP($A79,Plot!$DF$7:$FT$67,30,FALSE))</f>
        <v xml:space="preserve"> </v>
      </c>
      <c r="BK79" s="1173" t="str">
        <f>IF($A79&gt;$C$5," ",VLOOKUP($A79,Plot!$DF$7:$FT$67,Plot!$EL$2,FALSE))</f>
        <v xml:space="preserve"> </v>
      </c>
      <c r="BL79" s="1173" t="str">
        <f>IF($A79&gt;$C$5," ",VLOOKUP($A79,Plot!$DF$7:$FT$67,Plot!$EM$2,FALSE))</f>
        <v xml:space="preserve"> </v>
      </c>
      <c r="BM79" s="1173" t="str">
        <f>IF($A79&gt;$C$5," ",VLOOKUP($A79,Plot!$DF$7:$FT$67,Plot!$EN$2,FALSE))</f>
        <v xml:space="preserve"> </v>
      </c>
      <c r="BN79" s="1173" t="str">
        <f>IF($A79&gt;$C$5," ",VLOOKUP($A79,Plot!$DF$7:$FT$67,Plot!$EO$2,FALSE))</f>
        <v xml:space="preserve"> </v>
      </c>
      <c r="BO79" s="1173" t="str">
        <f t="shared" si="19"/>
        <v xml:space="preserve"> </v>
      </c>
      <c r="BP79" s="1173" t="str">
        <f>IF($A79&gt;$C$5," ",VLOOKUP($A79,Plot!$DF$7:$FT$67,Plot!$EQ$2,FALSE))</f>
        <v xml:space="preserve"> </v>
      </c>
      <c r="BQ79" s="1173" t="str">
        <f>IF($A79&gt;$C$5," ",(VLOOKUP($A79,Plot!$DF$7:$FT$67,Plot!$ES$2,FALSE)+VLOOKUP($A79,Plot!$DF$7:$FT$67,Plot!$ET$2,FALSE)))</f>
        <v xml:space="preserve"> </v>
      </c>
      <c r="BR79" s="1173" t="str">
        <f>IF($A79&gt;$C$5," ",(VLOOKUP($A79,Plot!$DF$7:$FT$67,Plot!$EV$2,FALSE)+VLOOKUP($A79,Plot!$DF$7:$FT$67,Plot!$EW$2,FALSE)))</f>
        <v xml:space="preserve"> </v>
      </c>
      <c r="BS79" s="1173" t="str">
        <f>IF($A79&gt;$C$5," ",VLOOKUP($A79,Plot!$DF$7:$FT$67,Plot!$EY$2,FALSE))</f>
        <v xml:space="preserve"> </v>
      </c>
      <c r="BT79" s="1173" t="str">
        <f>IF($A79&gt;$C$5," ",(VLOOKUP($A79,Plot!$DF$7:$FT$67,Plot!$FB$2,FALSE)+VLOOKUP($A79,Plot!$DF$7:$FT$67,Plot!$FC$2,FALSE)))</f>
        <v xml:space="preserve"> </v>
      </c>
      <c r="BU79" s="1173" t="str">
        <f>IF($A79&gt;$C$5," ",(VLOOKUP($A79,Plot!$DF$7:$FT$67,Plot!$FE$2,FALSE)+VLOOKUP($A79,Plot!$DF$7:$FT$67,Plot!$FF$2,FALSE)))</f>
        <v xml:space="preserve"> </v>
      </c>
      <c r="BV79" s="1174" t="str">
        <f>IF($A79&gt;$C$5," ",VLOOKUP($A79,Plot!$FV$7:$GJ$67,2,FALSE))</f>
        <v xml:space="preserve"> </v>
      </c>
      <c r="BW79" s="1175" t="str">
        <f>IF($A79&gt;$C$5," ",VLOOKUP($A79,Plot!$FV$7:$GJ$67,3,FALSE))</f>
        <v xml:space="preserve"> </v>
      </c>
      <c r="BX79" s="1392" t="str">
        <f>IF($A79&gt;$C$5," ",VLOOKUP($A79,Plot!$FV$7:$GJ$67,6,FALSE))</f>
        <v xml:space="preserve"> </v>
      </c>
      <c r="BY79" s="1174" t="str">
        <f>IF($A79&gt;$C$5," ",VLOOKUP($A79,Plot!$GO$7:$GY$67,2,FALSE))</f>
        <v xml:space="preserve"> </v>
      </c>
      <c r="BZ79" s="1175" t="str">
        <f>IF($A79&gt;$C$5," ",VLOOKUP($A79,Plot!$GO$7:$GY$67,3,FALSE))</f>
        <v xml:space="preserve"> </v>
      </c>
      <c r="CA79" s="1392" t="str">
        <f>IF($A79&gt;$C$5," ",VLOOKUP($A79,Plot!$GO$7:$GY$67,6,FALSE))</f>
        <v xml:space="preserve"> </v>
      </c>
      <c r="CB79" s="1175" t="str">
        <f>IF($A79&gt;$C$5," ",-1*VLOOKUP($A79,Plot!$HA$7:$HK$67,2,FALSE))</f>
        <v xml:space="preserve"> </v>
      </c>
      <c r="CC79" s="1175" t="str">
        <f>IF($A79&gt;$C$5," ",-1*VLOOKUP($A79,Plot!$HA$7:$HK$67,3,FALSE))</f>
        <v xml:space="preserve"> </v>
      </c>
      <c r="CD79" s="1190" t="str">
        <f>IF($A79&gt;$C$5," ",-1*VLOOKUP($A79,Plot!$HA$7:$HK$67,6,FALSE))</f>
        <v xml:space="preserve"> </v>
      </c>
      <c r="CE79" s="10"/>
      <c r="CF79" s="57">
        <v>60</v>
      </c>
      <c r="CG79" s="1391" t="str">
        <f>IF($CF79&gt;$C$5," ",VLOOKUP($CF79,Unit!$A$7:$BE$68,22,FALSE))</f>
        <v xml:space="preserve"> </v>
      </c>
      <c r="CH79" s="1175" t="str">
        <f>IF($CF79&gt;$C$5," ",VLOOKUP($CF79,Unit!$A$7:$BE$68,23,FALSE))</f>
        <v xml:space="preserve"> </v>
      </c>
      <c r="CI79" s="1175" t="str">
        <f>IF($CF79&gt;$C$5," ",VLOOKUP($CF79,Unit!$A$7:$BE$68,24,FALSE))</f>
        <v xml:space="preserve"> </v>
      </c>
      <c r="CJ79" s="1190" t="str">
        <f>IF($CF79&gt;$C$5," ",VLOOKUP($CF79,Unit!$A$7:$BE$68,25,FALSE))</f>
        <v xml:space="preserve"> </v>
      </c>
      <c r="CK79" s="1391" t="str">
        <f>IF($CF79&gt;$C$5," ",VLOOKUP($CF79,Unit!$A$7:$BE$68,27,FALSE))</f>
        <v xml:space="preserve"> </v>
      </c>
      <c r="CL79" s="1175" t="str">
        <f>IF($CF79&gt;$C$5," ",VLOOKUP($CF79,Unit!$A$7:$BE$68,28,FALSE))</f>
        <v xml:space="preserve"> </v>
      </c>
      <c r="CM79" s="1175" t="str">
        <f>IF($CF79&gt;$C$5," ",VLOOKUP($CF79,Unit!$A$7:$BE$68,29,FALSE))</f>
        <v xml:space="preserve"> </v>
      </c>
      <c r="CN79" s="1175" t="str">
        <f>IF($CF79&gt;$C$5," ",VLOOKUP($CF79,Unit!$A$7:$BE$68,30,FALSE))</f>
        <v xml:space="preserve"> </v>
      </c>
      <c r="CO79" s="1175" t="str">
        <f>IF($CF79&gt;$C$5," ",VLOOKUP($CF79,Unit!$A$7:$BE$68,31,FALSE))</f>
        <v xml:space="preserve"> </v>
      </c>
      <c r="CP79" s="1175" t="str">
        <f>IF($CF79&gt;$C$5," ",VLOOKUP($CF79,Unit!$A$7:$BE$68,32,FALSE))</f>
        <v xml:space="preserve"> </v>
      </c>
      <c r="CQ79" s="1391" t="str">
        <f>IF($CF79&gt;$C$5," ",VLOOKUP($CF79,Unit!$A$7:$BE$68,33,FALSE))</f>
        <v xml:space="preserve"> </v>
      </c>
      <c r="CR79" s="1175" t="str">
        <f>IF($CF79&gt;$C$5," ",VLOOKUP($CF79,Unit!$A$7:$BE$68,34,FALSE))</f>
        <v xml:space="preserve"> </v>
      </c>
      <c r="CS79" s="1175" t="str">
        <f>IF($CF79&gt;$C$5," ",VLOOKUP($CF79,Unit!$A$7:$BE$68,35,FALSE))</f>
        <v xml:space="preserve"> </v>
      </c>
      <c r="CT79" s="1175" t="str">
        <f>IF($CF79&gt;$C$5," ",VLOOKUP($CF79,Unit!$A$7:$BE$68,36,FALSE))</f>
        <v xml:space="preserve"> </v>
      </c>
      <c r="CU79" s="1190" t="str">
        <f t="shared" si="20"/>
        <v xml:space="preserve"> </v>
      </c>
      <c r="CV79" s="1175" t="str">
        <f>IF($CF79&gt;$C$5," ",VLOOKUP($CF79,Unit!$A$7:$BA$68,43,FALSE))</f>
        <v xml:space="preserve"> </v>
      </c>
      <c r="CW79" s="1175" t="str">
        <f>IF($CF79&gt;$C$5," ",VLOOKUP($CF79,Unit!$A$7:$BB$68,44,FALSE))</f>
        <v xml:space="preserve"> </v>
      </c>
      <c r="CX79" s="1190" t="str">
        <f>IF($CF79&gt;$C$5," ",VLOOKUP($CF79,Unit!$A$7:$BE$68,47,FALSE))</f>
        <v xml:space="preserve"> </v>
      </c>
      <c r="CY79" s="1391" t="str">
        <f>IF($CF79&gt;$C$5," ",VLOOKUP($CF79,Unit!$A$7:$BA$68,53,FALSE))</f>
        <v xml:space="preserve"> </v>
      </c>
      <c r="CZ79" s="1175" t="str">
        <f>IF($CF79&gt;$C$5," ",VLOOKUP($CF79,Unit!$A$7:$BB$68,54,FALSE))</f>
        <v xml:space="preserve"> </v>
      </c>
      <c r="DA79" s="1190" t="str">
        <f>IF($CF79&gt;$C$5," ",VLOOKUP($CF79,Unit!$A$7:$BE$68,57,FALSE))</f>
        <v xml:space="preserve"> </v>
      </c>
    </row>
    <row r="80" spans="1:105" x14ac:dyDescent="0.25">
      <c r="AL80" s="5"/>
      <c r="AT80" s="10"/>
      <c r="CD80" s="10"/>
    </row>
    <row r="149" spans="1:26" x14ac:dyDescent="0.25">
      <c r="Z149" s="33"/>
    </row>
    <row r="155" spans="1:26"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sheetData>
  <mergeCells count="1">
    <mergeCell ref="CF13:DA13"/>
  </mergeCell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autoPageBreaks="0"/>
  </sheetPr>
  <dimension ref="A1:IA104"/>
  <sheetViews>
    <sheetView topLeftCell="BU1" zoomScale="90" zoomScaleNormal="90" workbookViewId="0">
      <selection activeCell="CZ8" sqref="CZ8"/>
    </sheetView>
  </sheetViews>
  <sheetFormatPr defaultColWidth="22" defaultRowHeight="15" x14ac:dyDescent="0.25"/>
  <cols>
    <col min="1" max="1" width="5.7109375" style="1" customWidth="1"/>
    <col min="2" max="2" width="42.85546875" style="1" customWidth="1"/>
    <col min="3" max="3" width="8" style="1" customWidth="1"/>
    <col min="4" max="4" width="7.5703125" style="1" customWidth="1"/>
    <col min="5" max="5" width="8.85546875" style="1" customWidth="1"/>
    <col min="6" max="8" width="5.7109375" style="1" customWidth="1"/>
    <col min="9" max="9" width="8" style="1" customWidth="1"/>
    <col min="10" max="14" width="5.7109375" style="1" customWidth="1"/>
    <col min="15" max="15" width="7" style="1" customWidth="1"/>
    <col min="16" max="16" width="5.7109375" style="1" customWidth="1"/>
    <col min="17" max="17" width="7.140625" style="1" customWidth="1"/>
    <col min="18" max="18" width="6.42578125" style="1" customWidth="1"/>
    <col min="19" max="19" width="7.42578125" style="1" customWidth="1"/>
    <col min="20" max="20" width="8.42578125" style="1" customWidth="1"/>
    <col min="21" max="21" width="4.85546875" style="1" customWidth="1"/>
    <col min="22" max="22" width="5.7109375" style="1" customWidth="1"/>
    <col min="23" max="23" width="42.85546875" style="1" customWidth="1"/>
    <col min="24" max="24" width="6.7109375" style="1" customWidth="1"/>
    <col min="25" max="25" width="5.7109375" style="1" customWidth="1"/>
    <col min="26" max="26" width="10.85546875" style="1" customWidth="1"/>
    <col min="27" max="28" width="10.7109375" style="1" customWidth="1"/>
    <col min="29" max="29" width="9.85546875" style="1" customWidth="1"/>
    <col min="30" max="30" width="10.28515625" style="1" customWidth="1"/>
    <col min="31" max="31" width="9.7109375" style="1" customWidth="1"/>
    <col min="32" max="33" width="5.7109375" style="1" customWidth="1"/>
    <col min="34" max="34" width="8.85546875" style="1" customWidth="1"/>
    <col min="35" max="35" width="7.28515625" style="1" customWidth="1"/>
    <col min="36" max="37" width="7" style="1" customWidth="1"/>
    <col min="38" max="38" width="9.7109375" style="1" customWidth="1"/>
    <col min="39" max="39" width="5.7109375" style="1" customWidth="1"/>
    <col min="40" max="40" width="8.140625" style="1" customWidth="1"/>
    <col min="41" max="41" width="10" style="1" customWidth="1"/>
    <col min="42" max="43" width="7.42578125" style="1" customWidth="1"/>
    <col min="44" max="44" width="8.85546875" style="1" customWidth="1"/>
    <col min="45" max="48" width="5.7109375" style="1" customWidth="1"/>
    <col min="49" max="49" width="27.5703125" style="1" customWidth="1"/>
    <col min="50" max="50" width="6.7109375" style="1" customWidth="1"/>
    <col min="51" max="56" width="5.85546875" style="1" customWidth="1"/>
    <col min="57" max="57" width="5" style="1" customWidth="1"/>
    <col min="58" max="58" width="5.85546875" style="1" customWidth="1"/>
    <col min="59" max="59" width="5" style="1" customWidth="1"/>
    <col min="60" max="60" width="5.85546875" style="1" customWidth="1"/>
    <col min="61" max="61" width="7.7109375" style="1" customWidth="1"/>
    <col min="62" max="62" width="5" style="1" customWidth="1"/>
    <col min="63" max="64" width="5.85546875" style="1" customWidth="1"/>
    <col min="65" max="65" width="5" style="1" customWidth="1"/>
    <col min="66" max="66" width="5.85546875" style="1" customWidth="1"/>
    <col min="67" max="68" width="5" style="1" customWidth="1"/>
    <col min="69" max="70" width="5.85546875" style="1" customWidth="1"/>
    <col min="71" max="71" width="5" style="1" customWidth="1"/>
    <col min="72" max="73" width="5.85546875" style="1" customWidth="1"/>
    <col min="74" max="74" width="5" style="1" customWidth="1"/>
    <col min="75" max="75" width="6.42578125" style="1" customWidth="1"/>
    <col min="76" max="77" width="7.28515625" style="1" customWidth="1"/>
    <col min="78" max="78" width="5" style="1" customWidth="1"/>
    <col min="79" max="83" width="6.7109375" style="1" customWidth="1"/>
    <col min="84" max="86" width="7.28515625" style="1" customWidth="1"/>
    <col min="87" max="87" width="9" style="1" customWidth="1"/>
    <col min="88" max="88" width="6.42578125" style="1" customWidth="1"/>
    <col min="89" max="89" width="5.7109375" style="1" customWidth="1"/>
    <col min="90" max="90" width="51.5703125" style="1" customWidth="1"/>
    <col min="91" max="92" width="5.7109375" style="1" customWidth="1"/>
    <col min="93" max="93" width="6.42578125" style="1" customWidth="1"/>
    <col min="94" max="94" width="5.7109375" style="1" customWidth="1"/>
    <col min="95" max="95" width="10.28515625" style="1" customWidth="1"/>
    <col min="96" max="96" width="8.140625" style="1" customWidth="1"/>
    <col min="97" max="97" width="11.85546875" style="1" customWidth="1"/>
    <col min="98" max="98" width="8.85546875" style="1" customWidth="1"/>
    <col min="99" max="99" width="11.28515625" style="1" customWidth="1"/>
    <col min="100" max="102" width="5.7109375" style="1" customWidth="1"/>
    <col min="103" max="103" width="7.140625" style="1" customWidth="1"/>
    <col min="104" max="107" width="8" style="1" customWidth="1"/>
    <col min="108" max="108" width="10.140625" style="1" customWidth="1"/>
    <col min="109" max="109" width="5.42578125" style="1" customWidth="1"/>
    <col min="110" max="110" width="5.7109375" style="1" customWidth="1"/>
    <col min="111" max="111" width="42.42578125" style="1" customWidth="1"/>
    <col min="112" max="112" width="7.140625" style="1" customWidth="1"/>
    <col min="113" max="113" width="5.7109375" style="1" customWidth="1"/>
    <col min="114" max="116" width="8" style="1" customWidth="1"/>
    <col min="117" max="117" width="11.140625" style="1" customWidth="1"/>
    <col min="118" max="119" width="8" style="1" customWidth="1"/>
    <col min="120" max="120" width="7.5703125" style="1" customWidth="1"/>
    <col min="121" max="122" width="5.7109375" style="1" customWidth="1"/>
    <col min="123" max="123" width="7.42578125" style="1" customWidth="1"/>
    <col min="124" max="124" width="7.7109375" style="1" customWidth="1"/>
    <col min="125" max="127" width="7.42578125" style="1" customWidth="1"/>
    <col min="128" max="128" width="5.7109375" style="1" customWidth="1"/>
    <col min="129" max="129" width="7.7109375" style="1" customWidth="1"/>
    <col min="130" max="130" width="8.85546875" style="1" customWidth="1"/>
    <col min="131" max="132" width="7.7109375" style="1" customWidth="1"/>
    <col min="133" max="133" width="8.85546875" style="1" customWidth="1"/>
    <col min="134" max="137" width="5.7109375" style="1" customWidth="1"/>
    <col min="138" max="138" width="24.140625" style="1" customWidth="1"/>
    <col min="139" max="139" width="7.42578125" style="1" customWidth="1"/>
    <col min="140" max="164" width="5.7109375" style="1" customWidth="1"/>
    <col min="165" max="166" width="7.140625" style="1" customWidth="1"/>
    <col min="167" max="167" width="6.7109375" style="1" customWidth="1"/>
    <col min="168" max="171" width="7.140625" style="1" customWidth="1"/>
    <col min="172" max="172" width="8.140625" style="1" customWidth="1"/>
    <col min="173" max="173" width="7.7109375" style="1" customWidth="1"/>
    <col min="174" max="174" width="7.42578125" style="1" customWidth="1"/>
    <col min="175" max="175" width="8.5703125" style="1" customWidth="1"/>
    <col min="176" max="176" width="10.42578125" style="1" customWidth="1"/>
    <col min="177" max="177" width="5.7109375" style="1" customWidth="1"/>
    <col min="178" max="180" width="8.42578125" style="1" customWidth="1"/>
    <col min="181" max="181" width="8.140625" style="1" customWidth="1"/>
    <col min="182" max="182" width="8" style="1" customWidth="1"/>
    <col min="183" max="187" width="11.85546875" style="1" customWidth="1"/>
    <col min="188" max="188" width="10.28515625" style="1" customWidth="1"/>
    <col min="189" max="189" width="10.42578125" style="1" customWidth="1"/>
    <col min="190" max="190" width="8.5703125" style="1" customWidth="1"/>
    <col min="191" max="191" width="9.7109375" style="1" customWidth="1"/>
    <col min="192" max="195" width="11.5703125" style="1" customWidth="1"/>
    <col min="196" max="196" width="5.7109375" style="1" customWidth="1"/>
    <col min="197" max="197" width="7.5703125" style="1" customWidth="1"/>
    <col min="198" max="202" width="5.7109375" style="1" customWidth="1"/>
    <col min="203" max="203" width="8" style="1" customWidth="1"/>
    <col min="204" max="204" width="5.7109375" style="1" customWidth="1"/>
    <col min="205" max="205" width="7.7109375" style="1" customWidth="1"/>
    <col min="206" max="206" width="5.7109375" style="1" customWidth="1"/>
    <col min="207" max="207" width="8.85546875" style="1" customWidth="1"/>
    <col min="208" max="208" width="5.7109375" style="1" customWidth="1"/>
    <col min="209" max="209" width="7.140625" style="1" customWidth="1"/>
    <col min="210" max="210" width="6.5703125" style="1" customWidth="1"/>
    <col min="211" max="211" width="7" style="1" customWidth="1"/>
    <col min="212" max="212" width="5.7109375" style="1" customWidth="1"/>
    <col min="213" max="213" width="5.85546875" style="1" customWidth="1"/>
    <col min="214" max="214" width="6.140625" style="1" customWidth="1"/>
    <col min="215" max="215" width="8" style="1" customWidth="1"/>
    <col min="216" max="216" width="8.42578125" style="1" customWidth="1"/>
    <col min="217" max="217" width="8" style="1" customWidth="1"/>
    <col min="218" max="218" width="7.140625" style="1" customWidth="1"/>
    <col min="219" max="219" width="9.7109375" style="1" customWidth="1"/>
    <col min="220" max="220" width="5.7109375" style="1" customWidth="1"/>
    <col min="221" max="221" width="7.140625" style="1" customWidth="1"/>
    <col min="222" max="222" width="6.5703125" style="1" customWidth="1"/>
    <col min="223" max="223" width="6.42578125" style="1" customWidth="1"/>
    <col min="224" max="224" width="11.5703125" style="1" customWidth="1"/>
    <col min="225" max="225" width="7.140625" style="1" customWidth="1"/>
    <col min="226" max="226" width="9.5703125" style="1" customWidth="1"/>
    <col min="227" max="228" width="7.140625" style="1" customWidth="1"/>
    <col min="229" max="229" width="8.5703125" style="1" customWidth="1"/>
    <col min="230" max="230" width="9.85546875" style="1" customWidth="1"/>
    <col min="231" max="231" width="7.85546875" style="1" customWidth="1"/>
    <col min="232" max="232" width="10.7109375" style="1" customWidth="1"/>
    <col min="233" max="233" width="10.28515625" style="1" customWidth="1"/>
    <col min="234" max="234" width="7.85546875" style="1" customWidth="1"/>
    <col min="235" max="235" width="14.140625" style="1" customWidth="1"/>
    <col min="236" max="16384" width="22" style="1"/>
  </cols>
  <sheetData>
    <row r="1" spans="1:235" s="54" customFormat="1" ht="15.75" thickBot="1" x14ac:dyDescent="0.3">
      <c r="A1" s="919" t="s">
        <v>350</v>
      </c>
      <c r="B1" s="920"/>
      <c r="C1" s="920"/>
      <c r="D1" s="920"/>
      <c r="E1" s="920"/>
      <c r="F1" s="920"/>
      <c r="G1" s="920"/>
      <c r="H1" s="920"/>
      <c r="I1" s="920"/>
      <c r="J1" s="920"/>
      <c r="K1" s="920"/>
      <c r="L1" s="920"/>
      <c r="M1" s="920"/>
      <c r="N1" s="920"/>
      <c r="O1" s="920"/>
      <c r="P1" s="920"/>
      <c r="Q1" s="920"/>
      <c r="R1" s="920"/>
      <c r="S1" s="920"/>
      <c r="T1" s="921"/>
      <c r="U1" s="396"/>
      <c r="V1" s="922" t="s">
        <v>9</v>
      </c>
      <c r="W1" s="923"/>
      <c r="X1" s="923"/>
      <c r="Y1" s="923"/>
      <c r="Z1" s="923"/>
      <c r="AA1" s="923"/>
      <c r="AB1" s="923"/>
      <c r="AC1" s="923"/>
      <c r="AD1" s="923"/>
      <c r="AE1" s="923"/>
      <c r="AF1" s="923"/>
      <c r="AG1" s="924"/>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1188"/>
      <c r="CH1" s="1188"/>
      <c r="CI1" s="925"/>
      <c r="CJ1" s="926"/>
      <c r="CK1" s="927" t="s">
        <v>9</v>
      </c>
      <c r="CL1" s="928"/>
      <c r="CM1" s="928"/>
      <c r="CN1" s="928"/>
      <c r="CO1" s="928"/>
      <c r="CP1" s="928"/>
      <c r="CQ1" s="928"/>
      <c r="CR1" s="928"/>
      <c r="CS1" s="928"/>
      <c r="CT1" s="928"/>
      <c r="CU1" s="928"/>
      <c r="CV1" s="928"/>
      <c r="CW1" s="928"/>
      <c r="CX1" s="928"/>
      <c r="CY1" s="928"/>
      <c r="CZ1" s="928"/>
      <c r="DA1" s="1295"/>
      <c r="DB1" s="1295"/>
      <c r="DC1" s="1295"/>
      <c r="DD1" s="929"/>
      <c r="DE1" s="930"/>
      <c r="DF1" s="931" t="s">
        <v>9</v>
      </c>
      <c r="DG1" s="932"/>
      <c r="DH1" s="932"/>
      <c r="DI1" s="932"/>
      <c r="DJ1" s="932"/>
      <c r="DK1" s="932"/>
      <c r="DL1" s="932"/>
      <c r="DM1" s="932"/>
      <c r="DN1" s="932"/>
      <c r="DO1" s="932"/>
      <c r="DP1" s="932"/>
      <c r="DQ1" s="933"/>
      <c r="DR1" s="932"/>
      <c r="DS1" s="932"/>
      <c r="DT1" s="932"/>
      <c r="DU1" s="932"/>
      <c r="DV1" s="932"/>
      <c r="DW1" s="932"/>
      <c r="DX1" s="932"/>
      <c r="DY1" s="932"/>
      <c r="DZ1" s="932"/>
      <c r="EA1" s="932"/>
      <c r="EB1" s="932"/>
      <c r="EC1" s="932"/>
      <c r="ED1" s="932"/>
      <c r="EE1" s="932"/>
      <c r="EF1" s="932"/>
      <c r="EG1" s="932"/>
      <c r="EH1" s="932"/>
      <c r="EI1" s="932"/>
      <c r="EJ1" s="932"/>
      <c r="EK1" s="932"/>
      <c r="EL1" s="932"/>
      <c r="EM1" s="932"/>
      <c r="EN1" s="932"/>
      <c r="EO1" s="932"/>
      <c r="EP1" s="932"/>
      <c r="EQ1" s="932"/>
      <c r="ER1" s="932"/>
      <c r="ES1" s="932"/>
      <c r="ET1" s="932"/>
      <c r="EU1" s="932"/>
      <c r="EV1" s="932"/>
      <c r="EW1" s="932"/>
      <c r="EX1" s="932"/>
      <c r="EY1" s="932"/>
      <c r="EZ1" s="932"/>
      <c r="FA1" s="932"/>
      <c r="FB1" s="932"/>
      <c r="FC1" s="932"/>
      <c r="FD1" s="932"/>
      <c r="FE1" s="932"/>
      <c r="FF1" s="932"/>
      <c r="FG1" s="932"/>
      <c r="FH1" s="932"/>
      <c r="FI1" s="932"/>
      <c r="FJ1" s="932"/>
      <c r="FK1" s="932"/>
      <c r="FL1" s="932"/>
      <c r="FM1" s="932"/>
      <c r="FN1" s="932"/>
      <c r="FO1" s="932"/>
      <c r="FP1" s="932"/>
      <c r="FQ1" s="932"/>
      <c r="FR1" s="932"/>
      <c r="FS1" s="932"/>
      <c r="FT1" s="934"/>
      <c r="FU1" s="930"/>
      <c r="FV1" s="935" t="s">
        <v>9</v>
      </c>
      <c r="FW1" s="936"/>
      <c r="FX1" s="936"/>
      <c r="FY1" s="936"/>
      <c r="FZ1" s="936"/>
      <c r="GA1" s="936"/>
      <c r="GB1" s="936"/>
      <c r="GC1" s="936"/>
      <c r="GD1" s="936"/>
      <c r="GE1" s="936"/>
      <c r="GF1" s="936"/>
      <c r="GG1" s="936"/>
      <c r="GH1" s="936"/>
      <c r="GI1" s="936"/>
      <c r="GJ1" s="585"/>
      <c r="GK1" s="431"/>
      <c r="GL1" s="431"/>
      <c r="GM1" s="431"/>
      <c r="GN1" s="930"/>
      <c r="GO1" s="935" t="s">
        <v>9</v>
      </c>
      <c r="GP1" s="936"/>
      <c r="GQ1" s="936"/>
      <c r="GR1" s="936"/>
      <c r="GS1" s="936"/>
      <c r="GT1" s="936"/>
      <c r="GU1" s="936"/>
      <c r="GV1" s="936"/>
      <c r="GW1" s="936"/>
      <c r="GX1" s="936"/>
      <c r="GY1" s="585"/>
      <c r="GZ1" s="930"/>
      <c r="HA1" s="935" t="s">
        <v>9</v>
      </c>
      <c r="HB1" s="936"/>
      <c r="HC1" s="936"/>
      <c r="HD1" s="936"/>
      <c r="HE1" s="936"/>
      <c r="HF1" s="936"/>
      <c r="HG1" s="936"/>
      <c r="HH1" s="936"/>
      <c r="HI1" s="936"/>
      <c r="HJ1" s="936"/>
      <c r="HK1" s="937"/>
      <c r="HL1" s="930"/>
      <c r="HM1" s="935" t="s">
        <v>9</v>
      </c>
      <c r="HN1" s="936"/>
      <c r="HO1" s="936"/>
      <c r="HP1" s="936"/>
      <c r="HQ1" s="936"/>
      <c r="HR1" s="936"/>
      <c r="HS1" s="936"/>
      <c r="HT1" s="936"/>
      <c r="HU1" s="936"/>
      <c r="HV1" s="936"/>
      <c r="HW1" s="936"/>
      <c r="HX1" s="936"/>
      <c r="HY1" s="936"/>
      <c r="HZ1" s="936"/>
      <c r="IA1" s="937"/>
    </row>
    <row r="2" spans="1:235" ht="15.75" thickBot="1" x14ac:dyDescent="0.3">
      <c r="A2" s="938">
        <v>1</v>
      </c>
      <c r="B2" s="939">
        <f>A2+1</f>
        <v>2</v>
      </c>
      <c r="C2" s="939">
        <f>B2+1</f>
        <v>3</v>
      </c>
      <c r="D2" s="939">
        <f t="shared" ref="D2:N2" si="0">C2+1</f>
        <v>4</v>
      </c>
      <c r="E2" s="939">
        <f t="shared" si="0"/>
        <v>5</v>
      </c>
      <c r="F2" s="939">
        <f t="shared" si="0"/>
        <v>6</v>
      </c>
      <c r="G2" s="939">
        <f t="shared" si="0"/>
        <v>7</v>
      </c>
      <c r="H2" s="939">
        <f t="shared" si="0"/>
        <v>8</v>
      </c>
      <c r="I2" s="939">
        <f t="shared" si="0"/>
        <v>9</v>
      </c>
      <c r="J2" s="939">
        <f t="shared" si="0"/>
        <v>10</v>
      </c>
      <c r="K2" s="939">
        <f t="shared" si="0"/>
        <v>11</v>
      </c>
      <c r="L2" s="939">
        <f t="shared" si="0"/>
        <v>12</v>
      </c>
      <c r="M2" s="939">
        <f t="shared" si="0"/>
        <v>13</v>
      </c>
      <c r="N2" s="939">
        <f t="shared" si="0"/>
        <v>14</v>
      </c>
      <c r="O2" s="939">
        <f t="shared" ref="O2" si="1">N2+1</f>
        <v>15</v>
      </c>
      <c r="P2" s="939">
        <f t="shared" ref="P2" si="2">O2+1</f>
        <v>16</v>
      </c>
      <c r="Q2" s="939">
        <f t="shared" ref="Q2" si="3">P2+1</f>
        <v>17</v>
      </c>
      <c r="R2" s="939">
        <f t="shared" ref="R2" si="4">Q2+1</f>
        <v>18</v>
      </c>
      <c r="S2" s="939">
        <f t="shared" ref="S2" si="5">R2+1</f>
        <v>19</v>
      </c>
      <c r="T2" s="939">
        <f t="shared" ref="T2" si="6">S2+1</f>
        <v>20</v>
      </c>
      <c r="U2" s="405"/>
      <c r="V2" s="940">
        <v>1</v>
      </c>
      <c r="W2" s="941">
        <f>V2+1</f>
        <v>2</v>
      </c>
      <c r="X2" s="941">
        <f t="shared" ref="X2:AJ2" si="7">W2+1</f>
        <v>3</v>
      </c>
      <c r="Y2" s="941">
        <f t="shared" si="7"/>
        <v>4</v>
      </c>
      <c r="Z2" s="941">
        <f t="shared" si="7"/>
        <v>5</v>
      </c>
      <c r="AA2" s="941">
        <f t="shared" si="7"/>
        <v>6</v>
      </c>
      <c r="AB2" s="941">
        <f t="shared" si="7"/>
        <v>7</v>
      </c>
      <c r="AC2" s="941">
        <f t="shared" si="7"/>
        <v>8</v>
      </c>
      <c r="AD2" s="941">
        <f t="shared" si="7"/>
        <v>9</v>
      </c>
      <c r="AE2" s="941">
        <f t="shared" si="7"/>
        <v>10</v>
      </c>
      <c r="AF2" s="941">
        <f t="shared" si="7"/>
        <v>11</v>
      </c>
      <c r="AG2" s="941">
        <f t="shared" si="7"/>
        <v>12</v>
      </c>
      <c r="AH2" s="941">
        <f t="shared" si="7"/>
        <v>13</v>
      </c>
      <c r="AI2" s="941">
        <f t="shared" si="7"/>
        <v>14</v>
      </c>
      <c r="AJ2" s="941">
        <f t="shared" si="7"/>
        <v>15</v>
      </c>
      <c r="AK2" s="941">
        <f t="shared" ref="AK2" si="8">AJ2+1</f>
        <v>16</v>
      </c>
      <c r="AL2" s="941">
        <f t="shared" ref="AL2" si="9">AK2+1</f>
        <v>17</v>
      </c>
      <c r="AM2" s="941">
        <f t="shared" ref="AM2" si="10">AL2+1</f>
        <v>18</v>
      </c>
      <c r="AN2" s="941">
        <f t="shared" ref="AN2" si="11">AM2+1</f>
        <v>19</v>
      </c>
      <c r="AO2" s="941">
        <f t="shared" ref="AO2" si="12">AN2+1</f>
        <v>20</v>
      </c>
      <c r="AP2" s="941">
        <f t="shared" ref="AP2" si="13">AO2+1</f>
        <v>21</v>
      </c>
      <c r="AQ2" s="941">
        <f t="shared" ref="AQ2" si="14">AP2+1</f>
        <v>22</v>
      </c>
      <c r="AR2" s="941">
        <f t="shared" ref="AR2" si="15">AQ2+1</f>
        <v>23</v>
      </c>
      <c r="AS2" s="941">
        <f t="shared" ref="AS2" si="16">AR2+1</f>
        <v>24</v>
      </c>
      <c r="AT2" s="941">
        <f t="shared" ref="AT2" si="17">AS2+1</f>
        <v>25</v>
      </c>
      <c r="AU2" s="941">
        <f t="shared" ref="AU2" si="18">AT2+1</f>
        <v>26</v>
      </c>
      <c r="AV2" s="941">
        <f t="shared" ref="AV2" si="19">AU2+1</f>
        <v>27</v>
      </c>
      <c r="AW2" s="941">
        <f t="shared" ref="AW2" si="20">AV2+1</f>
        <v>28</v>
      </c>
      <c r="AX2" s="941">
        <f t="shared" ref="AX2" si="21">AW2+1</f>
        <v>29</v>
      </c>
      <c r="AY2" s="941">
        <f t="shared" ref="AY2" si="22">AX2+1</f>
        <v>30</v>
      </c>
      <c r="AZ2" s="941">
        <f t="shared" ref="AZ2" si="23">AY2+1</f>
        <v>31</v>
      </c>
      <c r="BA2" s="941">
        <f t="shared" ref="BA2" si="24">AZ2+1</f>
        <v>32</v>
      </c>
      <c r="BB2" s="941">
        <f t="shared" ref="BB2" si="25">BA2+1</f>
        <v>33</v>
      </c>
      <c r="BC2" s="941">
        <f t="shared" ref="BC2" si="26">BB2+1</f>
        <v>34</v>
      </c>
      <c r="BD2" s="941">
        <f t="shared" ref="BD2" si="27">BC2+1</f>
        <v>35</v>
      </c>
      <c r="BE2" s="941">
        <f t="shared" ref="BE2" si="28">BD2+1</f>
        <v>36</v>
      </c>
      <c r="BF2" s="941">
        <f t="shared" ref="BF2" si="29">BE2+1</f>
        <v>37</v>
      </c>
      <c r="BG2" s="941">
        <f t="shared" ref="BG2" si="30">BF2+1</f>
        <v>38</v>
      </c>
      <c r="BH2" s="941">
        <f t="shared" ref="BH2" si="31">BG2+1</f>
        <v>39</v>
      </c>
      <c r="BI2" s="941">
        <f t="shared" ref="BI2" si="32">BH2+1</f>
        <v>40</v>
      </c>
      <c r="BJ2" s="941">
        <f t="shared" ref="BJ2" si="33">BI2+1</f>
        <v>41</v>
      </c>
      <c r="BK2" s="941">
        <f t="shared" ref="BK2" si="34">BJ2+1</f>
        <v>42</v>
      </c>
      <c r="BL2" s="941">
        <f t="shared" ref="BL2" si="35">BK2+1</f>
        <v>43</v>
      </c>
      <c r="BM2" s="941">
        <f t="shared" ref="BM2" si="36">BL2+1</f>
        <v>44</v>
      </c>
      <c r="BN2" s="941">
        <f t="shared" ref="BN2" si="37">BM2+1</f>
        <v>45</v>
      </c>
      <c r="BO2" s="941">
        <f t="shared" ref="BO2" si="38">BN2+1</f>
        <v>46</v>
      </c>
      <c r="BP2" s="941">
        <f t="shared" ref="BP2" si="39">BO2+1</f>
        <v>47</v>
      </c>
      <c r="BQ2" s="941">
        <f t="shared" ref="BQ2" si="40">BP2+1</f>
        <v>48</v>
      </c>
      <c r="BR2" s="941">
        <f t="shared" ref="BR2" si="41">BQ2+1</f>
        <v>49</v>
      </c>
      <c r="BS2" s="941">
        <f t="shared" ref="BS2" si="42">BR2+1</f>
        <v>50</v>
      </c>
      <c r="BT2" s="941">
        <f t="shared" ref="BT2" si="43">BS2+1</f>
        <v>51</v>
      </c>
      <c r="BU2" s="941">
        <f t="shared" ref="BU2" si="44">BT2+1</f>
        <v>52</v>
      </c>
      <c r="BV2" s="941">
        <f t="shared" ref="BV2" si="45">BU2+1</f>
        <v>53</v>
      </c>
      <c r="BW2" s="941">
        <f t="shared" ref="BW2" si="46">BV2+1</f>
        <v>54</v>
      </c>
      <c r="BX2" s="941">
        <f t="shared" ref="BX2" si="47">BW2+1</f>
        <v>55</v>
      </c>
      <c r="BY2" s="941">
        <f t="shared" ref="BY2" si="48">BX2+1</f>
        <v>56</v>
      </c>
      <c r="BZ2" s="941">
        <f t="shared" ref="BZ2" si="49">BY2+1</f>
        <v>57</v>
      </c>
      <c r="CA2" s="941">
        <f t="shared" ref="CA2" si="50">BZ2+1</f>
        <v>58</v>
      </c>
      <c r="CB2" s="941">
        <f t="shared" ref="CB2" si="51">CA2+1</f>
        <v>59</v>
      </c>
      <c r="CC2" s="941">
        <f t="shared" ref="CC2" si="52">CB2+1</f>
        <v>60</v>
      </c>
      <c r="CD2" s="941">
        <f t="shared" ref="CD2" si="53">CC2+1</f>
        <v>61</v>
      </c>
      <c r="CE2" s="941">
        <f t="shared" ref="CE2" si="54">CD2+1</f>
        <v>62</v>
      </c>
      <c r="CF2" s="941">
        <f t="shared" ref="CF2" si="55">CE2+1</f>
        <v>63</v>
      </c>
      <c r="CG2" s="941">
        <f t="shared" ref="CG2" si="56">CF2+1</f>
        <v>64</v>
      </c>
      <c r="CH2" s="941">
        <f t="shared" ref="CH2" si="57">CG2+1</f>
        <v>65</v>
      </c>
      <c r="CI2" s="941">
        <f t="shared" ref="CI2" si="58">CH2+1</f>
        <v>66</v>
      </c>
      <c r="CJ2" s="401"/>
      <c r="CK2" s="127">
        <v>1</v>
      </c>
      <c r="CL2" s="129">
        <f>CK2+1</f>
        <v>2</v>
      </c>
      <c r="CM2" s="129">
        <f>CL2+1</f>
        <v>3</v>
      </c>
      <c r="CN2" s="129">
        <f>CM2+1</f>
        <v>4</v>
      </c>
      <c r="CO2" s="129">
        <f t="shared" ref="CO2:CX2" si="59">CN2+1</f>
        <v>5</v>
      </c>
      <c r="CP2" s="129">
        <f t="shared" si="59"/>
        <v>6</v>
      </c>
      <c r="CQ2" s="129">
        <f t="shared" si="59"/>
        <v>7</v>
      </c>
      <c r="CR2" s="129">
        <f t="shared" si="59"/>
        <v>8</v>
      </c>
      <c r="CS2" s="129">
        <f t="shared" si="59"/>
        <v>9</v>
      </c>
      <c r="CT2" s="129">
        <f t="shared" si="59"/>
        <v>10</v>
      </c>
      <c r="CU2" s="129">
        <f t="shared" si="59"/>
        <v>11</v>
      </c>
      <c r="CV2" s="129">
        <f t="shared" si="59"/>
        <v>12</v>
      </c>
      <c r="CW2" s="129">
        <f t="shared" si="59"/>
        <v>13</v>
      </c>
      <c r="CX2" s="129">
        <f t="shared" si="59"/>
        <v>14</v>
      </c>
      <c r="CY2" s="129">
        <f t="shared" ref="CY2" si="60">CX2+1</f>
        <v>15</v>
      </c>
      <c r="CZ2" s="129">
        <f t="shared" ref="CZ2" si="61">CY2+1</f>
        <v>16</v>
      </c>
      <c r="DA2" s="129">
        <f t="shared" ref="DA2" si="62">CZ2+1</f>
        <v>17</v>
      </c>
      <c r="DB2" s="129">
        <f t="shared" ref="DB2" si="63">DA2+1</f>
        <v>18</v>
      </c>
      <c r="DC2" s="129">
        <f t="shared" ref="DC2" si="64">DB2+1</f>
        <v>19</v>
      </c>
      <c r="DD2" s="129">
        <f t="shared" ref="DD2" si="65">DC2+1</f>
        <v>20</v>
      </c>
      <c r="DE2" s="942"/>
      <c r="DF2" s="940">
        <v>1</v>
      </c>
      <c r="DG2" s="941">
        <f>DF2+1</f>
        <v>2</v>
      </c>
      <c r="DH2" s="941">
        <f t="shared" ref="DH2:DU2" si="66">DG2+1</f>
        <v>3</v>
      </c>
      <c r="DI2" s="941">
        <f t="shared" si="66"/>
        <v>4</v>
      </c>
      <c r="DJ2" s="941">
        <f t="shared" si="66"/>
        <v>5</v>
      </c>
      <c r="DK2" s="941">
        <f t="shared" si="66"/>
        <v>6</v>
      </c>
      <c r="DL2" s="941">
        <f t="shared" si="66"/>
        <v>7</v>
      </c>
      <c r="DM2" s="941">
        <f t="shared" si="66"/>
        <v>8</v>
      </c>
      <c r="DN2" s="941">
        <f t="shared" si="66"/>
        <v>9</v>
      </c>
      <c r="DO2" s="941">
        <f t="shared" si="66"/>
        <v>10</v>
      </c>
      <c r="DP2" s="941">
        <f t="shared" si="66"/>
        <v>11</v>
      </c>
      <c r="DQ2" s="941">
        <f t="shared" si="66"/>
        <v>12</v>
      </c>
      <c r="DR2" s="941">
        <f t="shared" si="66"/>
        <v>13</v>
      </c>
      <c r="DS2" s="941">
        <f t="shared" si="66"/>
        <v>14</v>
      </c>
      <c r="DT2" s="941">
        <f t="shared" si="66"/>
        <v>15</v>
      </c>
      <c r="DU2" s="941">
        <f t="shared" si="66"/>
        <v>16</v>
      </c>
      <c r="DV2" s="941">
        <f t="shared" ref="DV2" si="67">DU2+1</f>
        <v>17</v>
      </c>
      <c r="DW2" s="941">
        <f t="shared" ref="DW2" si="68">DV2+1</f>
        <v>18</v>
      </c>
      <c r="DX2" s="941">
        <f t="shared" ref="DX2" si="69">DW2+1</f>
        <v>19</v>
      </c>
      <c r="DY2" s="941">
        <f t="shared" ref="DY2" si="70">DX2+1</f>
        <v>20</v>
      </c>
      <c r="DZ2" s="941">
        <f t="shared" ref="DZ2" si="71">DY2+1</f>
        <v>21</v>
      </c>
      <c r="EA2" s="941">
        <f t="shared" ref="EA2" si="72">DZ2+1</f>
        <v>22</v>
      </c>
      <c r="EB2" s="941">
        <f t="shared" ref="EB2" si="73">EA2+1</f>
        <v>23</v>
      </c>
      <c r="EC2" s="941">
        <f t="shared" ref="EC2" si="74">EB2+1</f>
        <v>24</v>
      </c>
      <c r="ED2" s="941">
        <f t="shared" ref="ED2" si="75">EC2+1</f>
        <v>25</v>
      </c>
      <c r="EE2" s="941">
        <f t="shared" ref="EE2" si="76">ED2+1</f>
        <v>26</v>
      </c>
      <c r="EF2" s="941">
        <f t="shared" ref="EF2" si="77">EE2+1</f>
        <v>27</v>
      </c>
      <c r="EG2" s="941">
        <f t="shared" ref="EG2" si="78">EF2+1</f>
        <v>28</v>
      </c>
      <c r="EH2" s="941">
        <f t="shared" ref="EH2" si="79">EG2+1</f>
        <v>29</v>
      </c>
      <c r="EI2" s="941">
        <f t="shared" ref="EI2" si="80">EH2+1</f>
        <v>30</v>
      </c>
      <c r="EJ2" s="941">
        <f t="shared" ref="EJ2" si="81">EI2+1</f>
        <v>31</v>
      </c>
      <c r="EK2" s="941">
        <f t="shared" ref="EK2" si="82">EJ2+1</f>
        <v>32</v>
      </c>
      <c r="EL2" s="941">
        <f t="shared" ref="EL2" si="83">EK2+1</f>
        <v>33</v>
      </c>
      <c r="EM2" s="941">
        <f t="shared" ref="EM2" si="84">EL2+1</f>
        <v>34</v>
      </c>
      <c r="EN2" s="941">
        <f t="shared" ref="EN2" si="85">EM2+1</f>
        <v>35</v>
      </c>
      <c r="EO2" s="941">
        <f t="shared" ref="EO2" si="86">EN2+1</f>
        <v>36</v>
      </c>
      <c r="EP2" s="941">
        <f t="shared" ref="EP2" si="87">EO2+1</f>
        <v>37</v>
      </c>
      <c r="EQ2" s="941">
        <f t="shared" ref="EQ2" si="88">EP2+1</f>
        <v>38</v>
      </c>
      <c r="ER2" s="941">
        <f t="shared" ref="ER2" si="89">EQ2+1</f>
        <v>39</v>
      </c>
      <c r="ES2" s="941">
        <f t="shared" ref="ES2" si="90">ER2+1</f>
        <v>40</v>
      </c>
      <c r="ET2" s="941">
        <f t="shared" ref="ET2" si="91">ES2+1</f>
        <v>41</v>
      </c>
      <c r="EU2" s="941">
        <f t="shared" ref="EU2" si="92">ET2+1</f>
        <v>42</v>
      </c>
      <c r="EV2" s="941">
        <f t="shared" ref="EV2" si="93">EU2+1</f>
        <v>43</v>
      </c>
      <c r="EW2" s="941">
        <f t="shared" ref="EW2" si="94">EV2+1</f>
        <v>44</v>
      </c>
      <c r="EX2" s="941">
        <f t="shared" ref="EX2" si="95">EW2+1</f>
        <v>45</v>
      </c>
      <c r="EY2" s="941">
        <f t="shared" ref="EY2" si="96">EX2+1</f>
        <v>46</v>
      </c>
      <c r="EZ2" s="941">
        <f t="shared" ref="EZ2" si="97">EY2+1</f>
        <v>47</v>
      </c>
      <c r="FA2" s="941">
        <f t="shared" ref="FA2" si="98">EZ2+1</f>
        <v>48</v>
      </c>
      <c r="FB2" s="941">
        <f t="shared" ref="FB2" si="99">FA2+1</f>
        <v>49</v>
      </c>
      <c r="FC2" s="941">
        <f t="shared" ref="FC2" si="100">FB2+1</f>
        <v>50</v>
      </c>
      <c r="FD2" s="941">
        <f t="shared" ref="FD2" si="101">FC2+1</f>
        <v>51</v>
      </c>
      <c r="FE2" s="941">
        <f t="shared" ref="FE2" si="102">FD2+1</f>
        <v>52</v>
      </c>
      <c r="FF2" s="941">
        <f t="shared" ref="FF2" si="103">FE2+1</f>
        <v>53</v>
      </c>
      <c r="FG2" s="941">
        <f t="shared" ref="FG2" si="104">FF2+1</f>
        <v>54</v>
      </c>
      <c r="FH2" s="941">
        <f t="shared" ref="FH2" si="105">FG2+1</f>
        <v>55</v>
      </c>
      <c r="FI2" s="941">
        <f t="shared" ref="FI2" si="106">FH2+1</f>
        <v>56</v>
      </c>
      <c r="FJ2" s="941">
        <f t="shared" ref="FJ2" si="107">FI2+1</f>
        <v>57</v>
      </c>
      <c r="FK2" s="941">
        <f t="shared" ref="FK2" si="108">FJ2+1</f>
        <v>58</v>
      </c>
      <c r="FL2" s="941">
        <f t="shared" ref="FL2" si="109">FK2+1</f>
        <v>59</v>
      </c>
      <c r="FM2" s="941">
        <f t="shared" ref="FM2" si="110">FL2+1</f>
        <v>60</v>
      </c>
      <c r="FN2" s="941">
        <f t="shared" ref="FN2" si="111">FM2+1</f>
        <v>61</v>
      </c>
      <c r="FO2" s="941">
        <f t="shared" ref="FO2" si="112">FN2+1</f>
        <v>62</v>
      </c>
      <c r="FP2" s="941">
        <f t="shared" ref="FP2" si="113">FO2+1</f>
        <v>63</v>
      </c>
      <c r="FQ2" s="941">
        <f t="shared" ref="FQ2" si="114">FP2+1</f>
        <v>64</v>
      </c>
      <c r="FR2" s="941">
        <f t="shared" ref="FR2" si="115">FQ2+1</f>
        <v>65</v>
      </c>
      <c r="FS2" s="941">
        <f t="shared" ref="FS2" si="116">FR2+1</f>
        <v>66</v>
      </c>
      <c r="FT2" s="941">
        <f t="shared" ref="FT2" si="117">FS2+1</f>
        <v>67</v>
      </c>
      <c r="FU2" s="942"/>
      <c r="FV2" s="940">
        <v>1</v>
      </c>
      <c r="FW2" s="943">
        <f t="shared" ref="FW2:GA2" si="118">FV2+1</f>
        <v>2</v>
      </c>
      <c r="FX2" s="943">
        <f>FW2+1</f>
        <v>3</v>
      </c>
      <c r="FY2" s="943">
        <f t="shared" si="118"/>
        <v>4</v>
      </c>
      <c r="FZ2" s="943">
        <f>FY2+1</f>
        <v>5</v>
      </c>
      <c r="GA2" s="943">
        <f t="shared" si="118"/>
        <v>6</v>
      </c>
      <c r="GB2" s="943">
        <f>GA2+1</f>
        <v>7</v>
      </c>
      <c r="GC2" s="943">
        <f t="shared" ref="GC2:GM2" si="119">GB2+1</f>
        <v>8</v>
      </c>
      <c r="GD2" s="943">
        <f t="shared" si="119"/>
        <v>9</v>
      </c>
      <c r="GE2" s="943">
        <f t="shared" si="119"/>
        <v>10</v>
      </c>
      <c r="GF2" s="943">
        <f t="shared" si="119"/>
        <v>11</v>
      </c>
      <c r="GG2" s="943">
        <f t="shared" si="119"/>
        <v>12</v>
      </c>
      <c r="GH2" s="943">
        <f t="shared" si="119"/>
        <v>13</v>
      </c>
      <c r="GI2" s="943">
        <f t="shared" si="119"/>
        <v>14</v>
      </c>
      <c r="GJ2" s="943">
        <f t="shared" si="119"/>
        <v>15</v>
      </c>
      <c r="GK2" s="943">
        <f t="shared" si="119"/>
        <v>16</v>
      </c>
      <c r="GL2" s="943">
        <f t="shared" si="119"/>
        <v>17</v>
      </c>
      <c r="GM2" s="943">
        <f t="shared" si="119"/>
        <v>18</v>
      </c>
      <c r="GN2" s="942"/>
      <c r="GO2" s="940">
        <v>1</v>
      </c>
      <c r="GP2" s="943">
        <f>GO2+1</f>
        <v>2</v>
      </c>
      <c r="GQ2" s="943">
        <f>GP2+1</f>
        <v>3</v>
      </c>
      <c r="GR2" s="943">
        <f t="shared" ref="GR2:GY2" si="120">GQ2+1</f>
        <v>4</v>
      </c>
      <c r="GS2" s="943">
        <f>GR2+1</f>
        <v>5</v>
      </c>
      <c r="GT2" s="943">
        <f t="shared" si="120"/>
        <v>6</v>
      </c>
      <c r="GU2" s="943">
        <f t="shared" si="120"/>
        <v>7</v>
      </c>
      <c r="GV2" s="943">
        <f>GU2+1</f>
        <v>8</v>
      </c>
      <c r="GW2" s="943">
        <f t="shared" si="120"/>
        <v>9</v>
      </c>
      <c r="GX2" s="943">
        <f>GW2+1</f>
        <v>10</v>
      </c>
      <c r="GY2" s="944">
        <f t="shared" si="120"/>
        <v>11</v>
      </c>
      <c r="GZ2" s="942"/>
      <c r="HA2" s="940">
        <v>1</v>
      </c>
      <c r="HB2" s="943">
        <f t="shared" ref="HB2:HK2" si="121">HA2+1</f>
        <v>2</v>
      </c>
      <c r="HC2" s="943">
        <f>HB2+1</f>
        <v>3</v>
      </c>
      <c r="HD2" s="943">
        <f t="shared" si="121"/>
        <v>4</v>
      </c>
      <c r="HE2" s="943">
        <f>HD2+1</f>
        <v>5</v>
      </c>
      <c r="HF2" s="943">
        <f t="shared" si="121"/>
        <v>6</v>
      </c>
      <c r="HG2" s="943">
        <f t="shared" si="121"/>
        <v>7</v>
      </c>
      <c r="HH2" s="943">
        <f>HG2+1</f>
        <v>8</v>
      </c>
      <c r="HI2" s="943">
        <f t="shared" si="121"/>
        <v>9</v>
      </c>
      <c r="HJ2" s="943">
        <f>HI2+1</f>
        <v>10</v>
      </c>
      <c r="HK2" s="944">
        <f t="shared" si="121"/>
        <v>11</v>
      </c>
      <c r="HL2" s="942"/>
      <c r="HM2" s="940">
        <v>1</v>
      </c>
      <c r="HN2" s="943">
        <f t="shared" ref="HN2:IA2" si="122">HM2+1</f>
        <v>2</v>
      </c>
      <c r="HO2" s="943">
        <f>HN2+1</f>
        <v>3</v>
      </c>
      <c r="HP2" s="943">
        <f t="shared" si="122"/>
        <v>4</v>
      </c>
      <c r="HQ2" s="943">
        <f>HP2+1</f>
        <v>5</v>
      </c>
      <c r="HR2" s="943">
        <f t="shared" ref="HR2:HZ2" si="123">HQ2+1</f>
        <v>6</v>
      </c>
      <c r="HS2" s="943">
        <f t="shared" si="123"/>
        <v>7</v>
      </c>
      <c r="HT2" s="943">
        <f t="shared" si="123"/>
        <v>8</v>
      </c>
      <c r="HU2" s="943">
        <f t="shared" si="123"/>
        <v>9</v>
      </c>
      <c r="HV2" s="943">
        <f t="shared" si="123"/>
        <v>10</v>
      </c>
      <c r="HW2" s="943">
        <f t="shared" si="123"/>
        <v>11</v>
      </c>
      <c r="HX2" s="943">
        <f t="shared" si="123"/>
        <v>12</v>
      </c>
      <c r="HY2" s="943">
        <f t="shared" si="123"/>
        <v>13</v>
      </c>
      <c r="HZ2" s="943">
        <f t="shared" si="123"/>
        <v>14</v>
      </c>
      <c r="IA2" s="944">
        <f t="shared" si="122"/>
        <v>15</v>
      </c>
    </row>
    <row r="3" spans="1:235" ht="15.75" thickBot="1" x14ac:dyDescent="0.3">
      <c r="A3" s="1277" t="s">
        <v>470</v>
      </c>
      <c r="B3" s="1278"/>
      <c r="C3" s="1279"/>
      <c r="D3" s="1280"/>
      <c r="E3" s="1280"/>
      <c r="F3" s="1280"/>
      <c r="G3" s="1280"/>
      <c r="H3" s="1280"/>
      <c r="I3" s="1280"/>
      <c r="J3" s="1280"/>
      <c r="K3" s="1280"/>
      <c r="L3" s="1280"/>
      <c r="M3" s="1280"/>
      <c r="N3" s="1280"/>
      <c r="O3" s="1280"/>
      <c r="P3" s="1280"/>
      <c r="Q3" s="1280"/>
      <c r="R3" s="1280"/>
      <c r="S3" s="1280"/>
      <c r="T3" s="1281"/>
      <c r="U3" s="405"/>
      <c r="V3" s="1282" t="s">
        <v>127</v>
      </c>
      <c r="W3" s="1283"/>
      <c r="X3" s="1283"/>
      <c r="Y3" s="1283"/>
      <c r="Z3" s="1283"/>
      <c r="AA3" s="1283"/>
      <c r="AB3" s="1284"/>
      <c r="AC3" s="1284"/>
      <c r="AD3" s="1284"/>
      <c r="AE3" s="1284"/>
      <c r="AF3" s="1285"/>
      <c r="AG3" s="1285"/>
      <c r="AH3" s="1283"/>
      <c r="AI3" s="1284"/>
      <c r="AJ3" s="1284"/>
      <c r="AK3" s="1284"/>
      <c r="AL3" s="1283"/>
      <c r="AM3" s="1284"/>
      <c r="AN3" s="1284"/>
      <c r="AO3" s="1283"/>
      <c r="AP3" s="1283"/>
      <c r="AQ3" s="1283"/>
      <c r="AR3" s="1283"/>
      <c r="AS3" s="1283"/>
      <c r="AT3" s="1283"/>
      <c r="AU3" s="1286"/>
      <c r="AV3" s="1286"/>
      <c r="AW3" s="1287"/>
      <c r="AX3" s="1288"/>
      <c r="AY3" s="1289"/>
      <c r="AZ3" s="1289"/>
      <c r="BA3" s="1289"/>
      <c r="BB3" s="1289"/>
      <c r="BC3" s="1289"/>
      <c r="BD3" s="1289"/>
      <c r="BE3" s="1283"/>
      <c r="BF3" s="1283"/>
      <c r="BG3" s="1283"/>
      <c r="BH3" s="1290"/>
      <c r="BI3" s="1290"/>
      <c r="BJ3" s="1290"/>
      <c r="BK3" s="1290"/>
      <c r="BL3" s="1290"/>
      <c r="BM3" s="1290"/>
      <c r="BN3" s="1290"/>
      <c r="BO3" s="1290"/>
      <c r="BP3" s="1290"/>
      <c r="BQ3" s="1290"/>
      <c r="BR3" s="1290"/>
      <c r="BS3" s="1289"/>
      <c r="BT3" s="1290"/>
      <c r="BU3" s="1290"/>
      <c r="BV3" s="1283"/>
      <c r="BW3" s="1283"/>
      <c r="BX3" s="1283"/>
      <c r="BY3" s="1283"/>
      <c r="BZ3" s="1290"/>
      <c r="CA3" s="1290"/>
      <c r="CB3" s="1290"/>
      <c r="CC3" s="1290"/>
      <c r="CD3" s="1290"/>
      <c r="CE3" s="1290"/>
      <c r="CF3" s="1290"/>
      <c r="CG3" s="1290"/>
      <c r="CH3" s="1290"/>
      <c r="CI3" s="1291"/>
      <c r="CJ3" s="401"/>
      <c r="CK3" s="1277" t="s">
        <v>471</v>
      </c>
      <c r="CL3" s="1278"/>
      <c r="CM3" s="1279"/>
      <c r="CN3" s="1280"/>
      <c r="CO3" s="1280"/>
      <c r="CP3" s="1280"/>
      <c r="CQ3" s="1280"/>
      <c r="CR3" s="1280"/>
      <c r="CS3" s="1280"/>
      <c r="CT3" s="1280"/>
      <c r="CU3" s="1280"/>
      <c r="CV3" s="1280"/>
      <c r="CW3" s="1280"/>
      <c r="CX3" s="1280"/>
      <c r="CY3" s="1280"/>
      <c r="CZ3" s="1280"/>
      <c r="DA3" s="1280"/>
      <c r="DB3" s="1280"/>
      <c r="DC3" s="1280"/>
      <c r="DD3" s="1281"/>
      <c r="DE3" s="942"/>
      <c r="DF3" s="1298" t="s">
        <v>472</v>
      </c>
      <c r="DG3" s="1299"/>
      <c r="DH3" s="1300"/>
      <c r="DI3" s="1300"/>
      <c r="DJ3" s="1300"/>
      <c r="DK3" s="1300"/>
      <c r="DL3" s="1301"/>
      <c r="DM3" s="1301"/>
      <c r="DN3" s="1301"/>
      <c r="DO3" s="1301"/>
      <c r="DP3" s="1301"/>
      <c r="DQ3" s="1302"/>
      <c r="DR3" s="1303"/>
      <c r="DS3" s="1300"/>
      <c r="DT3" s="1301"/>
      <c r="DU3" s="1301"/>
      <c r="DV3" s="1301"/>
      <c r="DW3" s="1300"/>
      <c r="DX3" s="1301"/>
      <c r="DY3" s="1301"/>
      <c r="DZ3" s="1300"/>
      <c r="EA3" s="1300"/>
      <c r="EB3" s="1300"/>
      <c r="EC3" s="1300"/>
      <c r="ED3" s="1300"/>
      <c r="EE3" s="1300"/>
      <c r="EF3" s="1304"/>
      <c r="EG3" s="1304"/>
      <c r="EH3" s="1305"/>
      <c r="EI3" s="1306"/>
      <c r="EJ3" s="1307"/>
      <c r="EK3" s="1307"/>
      <c r="EL3" s="1307"/>
      <c r="EM3" s="1307"/>
      <c r="EN3" s="1307"/>
      <c r="EO3" s="1307"/>
      <c r="EP3" s="1300"/>
      <c r="EQ3" s="1300"/>
      <c r="ER3" s="1300"/>
      <c r="ES3" s="1308"/>
      <c r="ET3" s="1308"/>
      <c r="EU3" s="1308"/>
      <c r="EV3" s="1308"/>
      <c r="EW3" s="1308"/>
      <c r="EX3" s="1308"/>
      <c r="EY3" s="1308"/>
      <c r="EZ3" s="1308"/>
      <c r="FA3" s="1308"/>
      <c r="FB3" s="1308"/>
      <c r="FC3" s="1308"/>
      <c r="FD3" s="1307"/>
      <c r="FE3" s="1308"/>
      <c r="FF3" s="1308"/>
      <c r="FG3" s="1300"/>
      <c r="FH3" s="1300"/>
      <c r="FI3" s="1300"/>
      <c r="FJ3" s="1300"/>
      <c r="FK3" s="1309"/>
      <c r="FL3" s="1308"/>
      <c r="FM3" s="1308"/>
      <c r="FN3" s="1308"/>
      <c r="FO3" s="1308"/>
      <c r="FP3" s="1308"/>
      <c r="FQ3" s="1308"/>
      <c r="FR3" s="1308"/>
      <c r="FS3" s="1308"/>
      <c r="FT3" s="1310"/>
      <c r="FU3" s="942"/>
      <c r="FV3" s="947" t="s">
        <v>629</v>
      </c>
      <c r="FW3" s="948"/>
      <c r="FX3" s="946"/>
      <c r="FY3" s="946"/>
      <c r="FZ3" s="946"/>
      <c r="GA3" s="946"/>
      <c r="GB3" s="946"/>
      <c r="GC3" s="946"/>
      <c r="GD3" s="946"/>
      <c r="GE3" s="946"/>
      <c r="GF3" s="946"/>
      <c r="GG3" s="949"/>
      <c r="GH3" s="949"/>
      <c r="GI3" s="949"/>
      <c r="GJ3" s="949"/>
      <c r="GK3" s="949"/>
      <c r="GL3" s="945"/>
      <c r="GM3" s="945"/>
      <c r="GN3" s="942"/>
      <c r="GO3" s="947" t="s">
        <v>271</v>
      </c>
      <c r="GP3" s="952"/>
      <c r="GQ3" s="946"/>
      <c r="GR3" s="946"/>
      <c r="GS3" s="946"/>
      <c r="GT3" s="949"/>
      <c r="GU3" s="949"/>
      <c r="GV3" s="949"/>
      <c r="GW3" s="949"/>
      <c r="GX3" s="949"/>
      <c r="GY3" s="951"/>
      <c r="GZ3" s="942"/>
      <c r="HA3" s="947" t="s">
        <v>269</v>
      </c>
      <c r="HB3" s="953"/>
      <c r="HC3" s="946"/>
      <c r="HD3" s="946"/>
      <c r="HE3" s="946"/>
      <c r="HF3" s="949"/>
      <c r="HG3" s="953"/>
      <c r="HH3" s="949"/>
      <c r="HI3" s="949"/>
      <c r="HJ3" s="949"/>
      <c r="HK3" s="951"/>
      <c r="HL3" s="942"/>
      <c r="HM3" s="947" t="s">
        <v>630</v>
      </c>
      <c r="HN3" s="1195"/>
      <c r="HO3" s="946"/>
      <c r="HP3" s="946"/>
      <c r="HQ3" s="946"/>
      <c r="HR3" s="946"/>
      <c r="HS3" s="946"/>
      <c r="HT3" s="949"/>
      <c r="HU3" s="949"/>
      <c r="HV3" s="949"/>
      <c r="HW3" s="949"/>
      <c r="HX3" s="949"/>
      <c r="HY3" s="949"/>
      <c r="HZ3" s="949"/>
      <c r="IA3" s="950"/>
    </row>
    <row r="4" spans="1:235" ht="24" customHeight="1" thickBot="1" x14ac:dyDescent="0.3">
      <c r="A4" s="954" t="s">
        <v>33</v>
      </c>
      <c r="B4" s="955" t="s">
        <v>55</v>
      </c>
      <c r="C4" s="956" t="s">
        <v>268</v>
      </c>
      <c r="D4" s="956"/>
      <c r="E4" s="957"/>
      <c r="F4" s="957"/>
      <c r="G4" s="956" t="s">
        <v>117</v>
      </c>
      <c r="H4" s="957"/>
      <c r="I4" s="957"/>
      <c r="J4" s="957"/>
      <c r="K4" s="957"/>
      <c r="L4" s="957"/>
      <c r="M4" s="957"/>
      <c r="N4" s="957"/>
      <c r="O4" s="957"/>
      <c r="P4" s="957"/>
      <c r="Q4" s="957"/>
      <c r="R4" s="957"/>
      <c r="S4" s="957"/>
      <c r="T4" s="958"/>
      <c r="U4" s="405"/>
      <c r="V4" s="954" t="s">
        <v>33</v>
      </c>
      <c r="W4" s="959" t="s">
        <v>55</v>
      </c>
      <c r="X4" s="956" t="s">
        <v>268</v>
      </c>
      <c r="Y4" s="960"/>
      <c r="Z4" s="960"/>
      <c r="AA4" s="960"/>
      <c r="AB4" s="961"/>
      <c r="AC4" s="961"/>
      <c r="AD4" s="961"/>
      <c r="AE4" s="961"/>
      <c r="AF4" s="961"/>
      <c r="AG4" s="961"/>
      <c r="AH4" s="960"/>
      <c r="AI4" s="961"/>
      <c r="AJ4" s="961"/>
      <c r="AK4" s="961"/>
      <c r="AL4" s="960"/>
      <c r="AM4" s="960"/>
      <c r="AN4" s="962" t="s">
        <v>31</v>
      </c>
      <c r="AO4" s="960"/>
      <c r="AP4" s="960"/>
      <c r="AQ4" s="960"/>
      <c r="AR4" s="960"/>
      <c r="AS4" s="960"/>
      <c r="AT4" s="960"/>
      <c r="AU4" s="963"/>
      <c r="AV4" s="964"/>
      <c r="AW4" s="965" t="s">
        <v>237</v>
      </c>
      <c r="AX4" s="966"/>
      <c r="AY4" s="967" t="s">
        <v>32</v>
      </c>
      <c r="AZ4" s="967"/>
      <c r="BA4" s="967"/>
      <c r="BB4" s="967"/>
      <c r="BC4" s="967"/>
      <c r="BD4" s="967"/>
      <c r="BE4" s="960"/>
      <c r="BF4" s="957"/>
      <c r="BG4" s="960"/>
      <c r="BH4" s="957"/>
      <c r="BI4" s="957"/>
      <c r="BJ4" s="960"/>
      <c r="BK4" s="960"/>
      <c r="BL4" s="960"/>
      <c r="BM4" s="960"/>
      <c r="BN4" s="960"/>
      <c r="BO4" s="960"/>
      <c r="BP4" s="957"/>
      <c r="BQ4" s="957"/>
      <c r="BR4" s="957"/>
      <c r="BS4" s="960"/>
      <c r="BT4" s="957"/>
      <c r="BU4" s="957"/>
      <c r="BV4" s="960"/>
      <c r="BW4" s="962" t="s">
        <v>201</v>
      </c>
      <c r="BX4" s="967"/>
      <c r="BY4" s="967"/>
      <c r="BZ4" s="968"/>
      <c r="CA4" s="967"/>
      <c r="CB4" s="967"/>
      <c r="CC4" s="967"/>
      <c r="CD4" s="967"/>
      <c r="CE4" s="967"/>
      <c r="CF4" s="962" t="s">
        <v>202</v>
      </c>
      <c r="CG4" s="967"/>
      <c r="CH4" s="967"/>
      <c r="CI4" s="958"/>
      <c r="CJ4" s="401"/>
      <c r="CK4" s="954" t="s">
        <v>33</v>
      </c>
      <c r="CL4" s="956" t="s">
        <v>153</v>
      </c>
      <c r="CM4" s="956" t="s">
        <v>268</v>
      </c>
      <c r="CN4" s="956"/>
      <c r="CO4" s="957"/>
      <c r="CP4" s="957"/>
      <c r="CQ4" s="956" t="s">
        <v>117</v>
      </c>
      <c r="CR4" s="957"/>
      <c r="CS4" s="957"/>
      <c r="CT4" s="957"/>
      <c r="CU4" s="957"/>
      <c r="CV4" s="957"/>
      <c r="CW4" s="957"/>
      <c r="CX4" s="957"/>
      <c r="CY4" s="957"/>
      <c r="CZ4" s="957"/>
      <c r="DA4" s="957"/>
      <c r="DB4" s="957"/>
      <c r="DC4" s="957"/>
      <c r="DD4" s="958"/>
      <c r="DE4" s="942"/>
      <c r="DF4" s="954" t="s">
        <v>33</v>
      </c>
      <c r="DG4" s="959" t="s">
        <v>155</v>
      </c>
      <c r="DH4" s="956" t="s">
        <v>156</v>
      </c>
      <c r="DI4" s="960"/>
      <c r="DJ4" s="960"/>
      <c r="DK4" s="960"/>
      <c r="DL4" s="961"/>
      <c r="DM4" s="961"/>
      <c r="DN4" s="961"/>
      <c r="DO4" s="961"/>
      <c r="DP4" s="961"/>
      <c r="DQ4" s="961"/>
      <c r="DR4" s="961"/>
      <c r="DS4" s="960"/>
      <c r="DT4" s="961"/>
      <c r="DU4" s="961"/>
      <c r="DV4" s="961"/>
      <c r="DW4" s="960"/>
      <c r="DX4" s="960"/>
      <c r="DY4" s="962" t="s">
        <v>157</v>
      </c>
      <c r="DZ4" s="960"/>
      <c r="EA4" s="960"/>
      <c r="EB4" s="960"/>
      <c r="EC4" s="960"/>
      <c r="ED4" s="960"/>
      <c r="EE4" s="960"/>
      <c r="EF4" s="963"/>
      <c r="EG4" s="964"/>
      <c r="EH4" s="969" t="s">
        <v>237</v>
      </c>
      <c r="EI4" s="966"/>
      <c r="EJ4" s="970" t="s">
        <v>158</v>
      </c>
      <c r="EK4" s="967"/>
      <c r="EL4" s="967"/>
      <c r="EM4" s="967"/>
      <c r="EN4" s="967"/>
      <c r="EO4" s="967"/>
      <c r="EP4" s="960"/>
      <c r="EQ4" s="957"/>
      <c r="ER4" s="960"/>
      <c r="ES4" s="957"/>
      <c r="ET4" s="957"/>
      <c r="EU4" s="960"/>
      <c r="EV4" s="960"/>
      <c r="EW4" s="960"/>
      <c r="EX4" s="960"/>
      <c r="EY4" s="960"/>
      <c r="EZ4" s="960"/>
      <c r="FA4" s="957"/>
      <c r="FB4" s="957"/>
      <c r="FC4" s="957"/>
      <c r="FD4" s="960"/>
      <c r="FE4" s="957"/>
      <c r="FF4" s="957"/>
      <c r="FG4" s="960"/>
      <c r="FH4" s="962" t="s">
        <v>201</v>
      </c>
      <c r="FI4" s="967"/>
      <c r="FJ4" s="967"/>
      <c r="FK4" s="968"/>
      <c r="FL4" s="967"/>
      <c r="FM4" s="967"/>
      <c r="FN4" s="967"/>
      <c r="FO4" s="967"/>
      <c r="FP4" s="967"/>
      <c r="FQ4" s="962" t="s">
        <v>202</v>
      </c>
      <c r="FR4" s="957"/>
      <c r="FS4" s="957"/>
      <c r="FT4" s="958"/>
      <c r="FU4" s="942"/>
      <c r="FV4" s="954" t="s">
        <v>33</v>
      </c>
      <c r="FW4" s="972" t="s">
        <v>627</v>
      </c>
      <c r="FX4" s="973"/>
      <c r="FY4" s="971"/>
      <c r="FZ4" s="971"/>
      <c r="GA4" s="974"/>
      <c r="GB4" s="956" t="s">
        <v>638</v>
      </c>
      <c r="GC4" s="974"/>
      <c r="GD4" s="974"/>
      <c r="GE4" s="974"/>
      <c r="GF4" s="956" t="s">
        <v>616</v>
      </c>
      <c r="GG4" s="973"/>
      <c r="GH4" s="971"/>
      <c r="GI4" s="971"/>
      <c r="GJ4" s="975"/>
      <c r="GK4" s="1263" t="s">
        <v>617</v>
      </c>
      <c r="GL4" s="1263"/>
      <c r="GM4" s="1263"/>
      <c r="GN4" s="942"/>
      <c r="GO4" s="954" t="s">
        <v>33</v>
      </c>
      <c r="GP4" s="972" t="s">
        <v>272</v>
      </c>
      <c r="GQ4" s="973"/>
      <c r="GR4" s="971"/>
      <c r="GS4" s="971"/>
      <c r="GT4" s="974"/>
      <c r="GU4" s="956" t="s">
        <v>273</v>
      </c>
      <c r="GV4" s="973"/>
      <c r="GW4" s="971"/>
      <c r="GX4" s="971"/>
      <c r="GY4" s="975"/>
      <c r="GZ4" s="942"/>
      <c r="HA4" s="954" t="s">
        <v>33</v>
      </c>
      <c r="HB4" s="976" t="s">
        <v>274</v>
      </c>
      <c r="HC4" s="973"/>
      <c r="HD4" s="973"/>
      <c r="HE4" s="973"/>
      <c r="HF4" s="974"/>
      <c r="HG4" s="956" t="s">
        <v>275</v>
      </c>
      <c r="HH4" s="973"/>
      <c r="HI4" s="973"/>
      <c r="HJ4" s="973"/>
      <c r="HK4" s="958"/>
      <c r="HL4" s="942"/>
      <c r="HM4" s="1196" t="s">
        <v>33</v>
      </c>
      <c r="HN4" s="1197" t="s">
        <v>604</v>
      </c>
      <c r="HO4" s="1198"/>
      <c r="HP4" s="1198"/>
      <c r="HQ4" s="1198"/>
      <c r="HR4" s="1197" t="s">
        <v>639</v>
      </c>
      <c r="HS4" s="1199"/>
      <c r="HT4" s="1197" t="s">
        <v>615</v>
      </c>
      <c r="HU4" s="1198"/>
      <c r="HV4" s="1198"/>
      <c r="HW4" s="1198"/>
      <c r="HX4" s="1198"/>
      <c r="HY4" s="1197" t="s">
        <v>200</v>
      </c>
      <c r="HZ4" s="1198"/>
      <c r="IA4" s="1200"/>
    </row>
    <row r="5" spans="1:235" s="35" customFormat="1" ht="181.5" customHeight="1" x14ac:dyDescent="0.25">
      <c r="A5" s="856" t="s">
        <v>33</v>
      </c>
      <c r="B5" s="857" t="s">
        <v>55</v>
      </c>
      <c r="C5" s="857" t="s">
        <v>337</v>
      </c>
      <c r="D5" s="857" t="s">
        <v>152</v>
      </c>
      <c r="E5" s="863" t="s">
        <v>118</v>
      </c>
      <c r="F5" s="863" t="s">
        <v>283</v>
      </c>
      <c r="G5" s="857" t="s">
        <v>119</v>
      </c>
      <c r="H5" s="863" t="s">
        <v>120</v>
      </c>
      <c r="I5" s="863" t="s">
        <v>121</v>
      </c>
      <c r="J5" s="863" t="s">
        <v>86</v>
      </c>
      <c r="K5" s="863" t="s">
        <v>122</v>
      </c>
      <c r="L5" s="863" t="s">
        <v>652</v>
      </c>
      <c r="M5" s="863" t="s">
        <v>124</v>
      </c>
      <c r="N5" s="1169" t="s">
        <v>125</v>
      </c>
      <c r="O5" s="1349" t="s">
        <v>653</v>
      </c>
      <c r="P5" s="1350" t="s">
        <v>126</v>
      </c>
      <c r="Q5" s="982" t="s">
        <v>649</v>
      </c>
      <c r="R5" s="983" t="s">
        <v>650</v>
      </c>
      <c r="S5" s="983" t="s">
        <v>651</v>
      </c>
      <c r="T5" s="1348" t="s">
        <v>109</v>
      </c>
      <c r="U5" s="618"/>
      <c r="V5" s="856" t="s">
        <v>33</v>
      </c>
      <c r="W5" s="857" t="s">
        <v>55</v>
      </c>
      <c r="X5" s="857" t="s">
        <v>128</v>
      </c>
      <c r="Y5" s="863" t="s">
        <v>129</v>
      </c>
      <c r="Z5" s="863" t="s">
        <v>130</v>
      </c>
      <c r="AA5" s="863" t="s">
        <v>129</v>
      </c>
      <c r="AB5" s="977" t="s">
        <v>293</v>
      </c>
      <c r="AC5" s="977" t="s">
        <v>131</v>
      </c>
      <c r="AD5" s="977" t="s">
        <v>132</v>
      </c>
      <c r="AE5" s="977" t="s">
        <v>133</v>
      </c>
      <c r="AF5" s="977" t="s">
        <v>134</v>
      </c>
      <c r="AG5" s="977" t="s">
        <v>135</v>
      </c>
      <c r="AH5" s="863" t="s">
        <v>136</v>
      </c>
      <c r="AI5" s="977" t="s">
        <v>137</v>
      </c>
      <c r="AJ5" s="977" t="s">
        <v>138</v>
      </c>
      <c r="AK5" s="977" t="s">
        <v>622</v>
      </c>
      <c r="AL5" s="863" t="s">
        <v>346</v>
      </c>
      <c r="AM5" s="863" t="s">
        <v>282</v>
      </c>
      <c r="AN5" s="857" t="s">
        <v>620</v>
      </c>
      <c r="AO5" s="863" t="s">
        <v>618</v>
      </c>
      <c r="AP5" s="863" t="s">
        <v>619</v>
      </c>
      <c r="AQ5" s="863" t="s">
        <v>621</v>
      </c>
      <c r="AR5" s="863" t="s">
        <v>623</v>
      </c>
      <c r="AS5" s="863" t="s">
        <v>284</v>
      </c>
      <c r="AT5" s="863" t="s">
        <v>140</v>
      </c>
      <c r="AU5" s="863" t="s">
        <v>141</v>
      </c>
      <c r="AV5" s="863" t="s">
        <v>297</v>
      </c>
      <c r="AW5" s="856" t="s">
        <v>242</v>
      </c>
      <c r="AX5" s="858" t="s">
        <v>49</v>
      </c>
      <c r="AY5" s="863" t="s">
        <v>160</v>
      </c>
      <c r="AZ5" s="863" t="s">
        <v>244</v>
      </c>
      <c r="BA5" s="863" t="s">
        <v>209</v>
      </c>
      <c r="BB5" s="863" t="s">
        <v>250</v>
      </c>
      <c r="BC5" s="863" t="s">
        <v>251</v>
      </c>
      <c r="BD5" s="863" t="s">
        <v>252</v>
      </c>
      <c r="BE5" s="978" t="s">
        <v>142</v>
      </c>
      <c r="BF5" s="863" t="s">
        <v>147</v>
      </c>
      <c r="BG5" s="978" t="s">
        <v>143</v>
      </c>
      <c r="BH5" s="863" t="s">
        <v>148</v>
      </c>
      <c r="BI5" s="1169" t="s">
        <v>95</v>
      </c>
      <c r="BJ5" s="863" t="s">
        <v>144</v>
      </c>
      <c r="BK5" s="857" t="s">
        <v>253</v>
      </c>
      <c r="BL5" s="979" t="s">
        <v>255</v>
      </c>
      <c r="BM5" s="863" t="s">
        <v>223</v>
      </c>
      <c r="BN5" s="857" t="s">
        <v>226</v>
      </c>
      <c r="BO5" s="863" t="s">
        <v>227</v>
      </c>
      <c r="BP5" s="857" t="s">
        <v>198</v>
      </c>
      <c r="BQ5" s="857" t="s">
        <v>301</v>
      </c>
      <c r="BR5" s="863" t="s">
        <v>311</v>
      </c>
      <c r="BS5" s="863" t="s">
        <v>145</v>
      </c>
      <c r="BT5" s="857" t="s">
        <v>149</v>
      </c>
      <c r="BU5" s="863" t="s">
        <v>310</v>
      </c>
      <c r="BV5" s="863" t="s">
        <v>146</v>
      </c>
      <c r="BW5" s="857" t="s">
        <v>150</v>
      </c>
      <c r="BX5" s="863" t="s">
        <v>656</v>
      </c>
      <c r="BY5" s="863" t="s">
        <v>657</v>
      </c>
      <c r="BZ5" s="980" t="s">
        <v>654</v>
      </c>
      <c r="CA5" s="980" t="s">
        <v>655</v>
      </c>
      <c r="CB5" s="1355" t="s">
        <v>658</v>
      </c>
      <c r="CC5" s="980" t="s">
        <v>650</v>
      </c>
      <c r="CD5" s="980" t="s">
        <v>651</v>
      </c>
      <c r="CE5" s="863" t="s">
        <v>109</v>
      </c>
      <c r="CF5" s="857" t="s">
        <v>603</v>
      </c>
      <c r="CG5" s="863" t="s">
        <v>600</v>
      </c>
      <c r="CH5" s="863" t="s">
        <v>602</v>
      </c>
      <c r="CI5" s="864" t="s">
        <v>601</v>
      </c>
      <c r="CJ5" s="981"/>
      <c r="CK5" s="856" t="s">
        <v>33</v>
      </c>
      <c r="CL5" s="857" t="s">
        <v>55</v>
      </c>
      <c r="CM5" s="857" t="s">
        <v>337</v>
      </c>
      <c r="CN5" s="857" t="s">
        <v>152</v>
      </c>
      <c r="CO5" s="863" t="s">
        <v>287</v>
      </c>
      <c r="CP5" s="863" t="s">
        <v>294</v>
      </c>
      <c r="CQ5" s="857" t="s">
        <v>119</v>
      </c>
      <c r="CR5" s="863" t="s">
        <v>120</v>
      </c>
      <c r="CS5" s="863" t="s">
        <v>121</v>
      </c>
      <c r="CT5" s="863" t="s">
        <v>86</v>
      </c>
      <c r="CU5" s="863" t="s">
        <v>122</v>
      </c>
      <c r="CV5" s="863" t="s">
        <v>123</v>
      </c>
      <c r="CW5" s="863" t="s">
        <v>124</v>
      </c>
      <c r="CX5" s="1169" t="s">
        <v>125</v>
      </c>
      <c r="CY5" s="1349" t="s">
        <v>653</v>
      </c>
      <c r="CZ5" s="1350" t="s">
        <v>126</v>
      </c>
      <c r="DA5" s="1296" t="s">
        <v>660</v>
      </c>
      <c r="DB5" s="979" t="s">
        <v>659</v>
      </c>
      <c r="DC5" s="979" t="s">
        <v>651</v>
      </c>
      <c r="DD5" s="1297" t="s">
        <v>109</v>
      </c>
      <c r="DE5" s="942"/>
      <c r="DF5" s="856" t="s">
        <v>33</v>
      </c>
      <c r="DG5" s="857" t="s">
        <v>55</v>
      </c>
      <c r="DH5" s="857" t="s">
        <v>128</v>
      </c>
      <c r="DI5" s="863" t="s">
        <v>129</v>
      </c>
      <c r="DJ5" s="863" t="s">
        <v>130</v>
      </c>
      <c r="DK5" s="863" t="s">
        <v>129</v>
      </c>
      <c r="DL5" s="977" t="s">
        <v>293</v>
      </c>
      <c r="DM5" s="977" t="s">
        <v>296</v>
      </c>
      <c r="DN5" s="977" t="s">
        <v>131</v>
      </c>
      <c r="DO5" s="977" t="s">
        <v>132</v>
      </c>
      <c r="DP5" s="977" t="s">
        <v>133</v>
      </c>
      <c r="DQ5" s="977" t="s">
        <v>134</v>
      </c>
      <c r="DR5" s="977" t="s">
        <v>135</v>
      </c>
      <c r="DS5" s="863" t="s">
        <v>136</v>
      </c>
      <c r="DT5" s="977" t="s">
        <v>137</v>
      </c>
      <c r="DU5" s="977" t="s">
        <v>138</v>
      </c>
      <c r="DV5" s="977" t="s">
        <v>622</v>
      </c>
      <c r="DW5" s="863" t="s">
        <v>346</v>
      </c>
      <c r="DX5" s="863" t="s">
        <v>282</v>
      </c>
      <c r="DY5" s="857" t="s">
        <v>626</v>
      </c>
      <c r="DZ5" s="863" t="s">
        <v>624</v>
      </c>
      <c r="EA5" s="863" t="s">
        <v>619</v>
      </c>
      <c r="EB5" s="863" t="s">
        <v>625</v>
      </c>
      <c r="EC5" s="863" t="s">
        <v>199</v>
      </c>
      <c r="ED5" s="863" t="s">
        <v>284</v>
      </c>
      <c r="EE5" s="863" t="s">
        <v>140</v>
      </c>
      <c r="EF5" s="863" t="s">
        <v>141</v>
      </c>
      <c r="EG5" s="863" t="s">
        <v>297</v>
      </c>
      <c r="EH5" s="856" t="s">
        <v>242</v>
      </c>
      <c r="EI5" s="858" t="s">
        <v>49</v>
      </c>
      <c r="EJ5" s="863" t="s">
        <v>160</v>
      </c>
      <c r="EK5" s="863" t="s">
        <v>244</v>
      </c>
      <c r="EL5" s="863" t="s">
        <v>209</v>
      </c>
      <c r="EM5" s="863" t="s">
        <v>250</v>
      </c>
      <c r="EN5" s="863" t="s">
        <v>251</v>
      </c>
      <c r="EO5" s="863" t="s">
        <v>252</v>
      </c>
      <c r="EP5" s="978" t="s">
        <v>142</v>
      </c>
      <c r="EQ5" s="863" t="s">
        <v>147</v>
      </c>
      <c r="ER5" s="978" t="s">
        <v>143</v>
      </c>
      <c r="ES5" s="863" t="s">
        <v>148</v>
      </c>
      <c r="ET5" s="1169" t="s">
        <v>95</v>
      </c>
      <c r="EU5" s="863" t="s">
        <v>144</v>
      </c>
      <c r="EV5" s="857" t="s">
        <v>253</v>
      </c>
      <c r="EW5" s="863" t="s">
        <v>255</v>
      </c>
      <c r="EX5" s="863" t="s">
        <v>223</v>
      </c>
      <c r="EY5" s="857" t="s">
        <v>226</v>
      </c>
      <c r="EZ5" s="863" t="s">
        <v>227</v>
      </c>
      <c r="FA5" s="857" t="s">
        <v>218</v>
      </c>
      <c r="FB5" s="857" t="s">
        <v>301</v>
      </c>
      <c r="FC5" s="863" t="s">
        <v>311</v>
      </c>
      <c r="FD5" s="863" t="s">
        <v>145</v>
      </c>
      <c r="FE5" s="857" t="s">
        <v>149</v>
      </c>
      <c r="FF5" s="863" t="s">
        <v>310</v>
      </c>
      <c r="FG5" s="863" t="s">
        <v>146</v>
      </c>
      <c r="FH5" s="857" t="s">
        <v>150</v>
      </c>
      <c r="FI5" s="863" t="s">
        <v>194</v>
      </c>
      <c r="FJ5" s="863" t="s">
        <v>661</v>
      </c>
      <c r="FK5" s="980" t="s">
        <v>151</v>
      </c>
      <c r="FL5" s="980" t="s">
        <v>126</v>
      </c>
      <c r="FM5" s="980" t="s">
        <v>662</v>
      </c>
      <c r="FN5" s="980" t="s">
        <v>650</v>
      </c>
      <c r="FO5" s="980" t="s">
        <v>651</v>
      </c>
      <c r="FP5" s="863" t="s">
        <v>109</v>
      </c>
      <c r="FQ5" s="857" t="s">
        <v>603</v>
      </c>
      <c r="FR5" s="863" t="s">
        <v>600</v>
      </c>
      <c r="FS5" s="863" t="s">
        <v>602</v>
      </c>
      <c r="FT5" s="864" t="s">
        <v>601</v>
      </c>
      <c r="FU5" s="942"/>
      <c r="FV5" s="856"/>
      <c r="FW5" s="982" t="s">
        <v>50</v>
      </c>
      <c r="FX5" s="983" t="s">
        <v>41</v>
      </c>
      <c r="FY5" s="983" t="s">
        <v>42</v>
      </c>
      <c r="FZ5" s="983" t="s">
        <v>43</v>
      </c>
      <c r="GA5" s="1350" t="s">
        <v>270</v>
      </c>
      <c r="GB5" s="982" t="s">
        <v>634</v>
      </c>
      <c r="GC5" s="983" t="s">
        <v>635</v>
      </c>
      <c r="GD5" s="983" t="s">
        <v>636</v>
      </c>
      <c r="GE5" s="1350" t="s">
        <v>637</v>
      </c>
      <c r="GF5" s="982" t="s">
        <v>50</v>
      </c>
      <c r="GG5" s="983" t="s">
        <v>41</v>
      </c>
      <c r="GH5" s="983" t="s">
        <v>42</v>
      </c>
      <c r="GI5" s="983" t="s">
        <v>43</v>
      </c>
      <c r="GJ5" s="1350" t="s">
        <v>270</v>
      </c>
      <c r="GK5" s="857" t="s">
        <v>41</v>
      </c>
      <c r="GL5" s="863" t="s">
        <v>43</v>
      </c>
      <c r="GM5" s="863" t="s">
        <v>44</v>
      </c>
      <c r="GN5" s="942"/>
      <c r="GO5" s="856"/>
      <c r="GP5" s="982" t="s">
        <v>50</v>
      </c>
      <c r="GQ5" s="983" t="s">
        <v>41</v>
      </c>
      <c r="GR5" s="983" t="s">
        <v>42</v>
      </c>
      <c r="GS5" s="983" t="s">
        <v>43</v>
      </c>
      <c r="GT5" s="1350" t="s">
        <v>270</v>
      </c>
      <c r="GU5" s="982" t="s">
        <v>50</v>
      </c>
      <c r="GV5" s="983" t="s">
        <v>41</v>
      </c>
      <c r="GW5" s="983" t="s">
        <v>42</v>
      </c>
      <c r="GX5" s="983" t="s">
        <v>43</v>
      </c>
      <c r="GY5" s="1348" t="s">
        <v>270</v>
      </c>
      <c r="GZ5" s="942"/>
      <c r="HA5" s="856"/>
      <c r="HB5" s="982" t="s">
        <v>50</v>
      </c>
      <c r="HC5" s="983" t="s">
        <v>41</v>
      </c>
      <c r="HD5" s="983" t="s">
        <v>42</v>
      </c>
      <c r="HE5" s="983" t="s">
        <v>43</v>
      </c>
      <c r="HF5" s="1350" t="s">
        <v>270</v>
      </c>
      <c r="HG5" s="982" t="s">
        <v>50</v>
      </c>
      <c r="HH5" s="983" t="s">
        <v>41</v>
      </c>
      <c r="HI5" s="983" t="s">
        <v>42</v>
      </c>
      <c r="HJ5" s="979" t="s">
        <v>43</v>
      </c>
      <c r="HK5" s="1297" t="s">
        <v>270</v>
      </c>
      <c r="HL5" s="942"/>
      <c r="HM5" s="856"/>
      <c r="HN5" s="982" t="s">
        <v>50</v>
      </c>
      <c r="HO5" s="983" t="s">
        <v>41</v>
      </c>
      <c r="HP5" s="983" t="s">
        <v>42</v>
      </c>
      <c r="HQ5" s="983" t="s">
        <v>43</v>
      </c>
      <c r="HR5" s="983" t="s">
        <v>41</v>
      </c>
      <c r="HS5" s="1350" t="s">
        <v>43</v>
      </c>
      <c r="HT5" s="982" t="s">
        <v>50</v>
      </c>
      <c r="HU5" s="983" t="s">
        <v>41</v>
      </c>
      <c r="HV5" s="983" t="s">
        <v>42</v>
      </c>
      <c r="HW5" s="983" t="s">
        <v>43</v>
      </c>
      <c r="HX5" s="983" t="s">
        <v>44</v>
      </c>
      <c r="HY5" s="983" t="s">
        <v>41</v>
      </c>
      <c r="HZ5" s="983" t="s">
        <v>43</v>
      </c>
      <c r="IA5" s="1348" t="s">
        <v>44</v>
      </c>
    </row>
    <row r="6" spans="1:235" ht="18" thickBot="1" x14ac:dyDescent="0.3">
      <c r="A6" s="867" t="s">
        <v>333</v>
      </c>
      <c r="B6" s="165" t="s">
        <v>349</v>
      </c>
      <c r="C6" s="165" t="s">
        <v>344</v>
      </c>
      <c r="D6" s="165" t="s">
        <v>37</v>
      </c>
      <c r="E6" s="166" t="s">
        <v>35</v>
      </c>
      <c r="F6" s="166" t="s">
        <v>35</v>
      </c>
      <c r="G6" s="167" t="s">
        <v>460</v>
      </c>
      <c r="H6" s="168" t="s">
        <v>460</v>
      </c>
      <c r="I6" s="168" t="s">
        <v>460</v>
      </c>
      <c r="J6" s="168" t="s">
        <v>460</v>
      </c>
      <c r="K6" s="168" t="s">
        <v>460</v>
      </c>
      <c r="L6" s="168" t="s">
        <v>460</v>
      </c>
      <c r="M6" s="168" t="s">
        <v>476</v>
      </c>
      <c r="N6" s="1170" t="s">
        <v>27</v>
      </c>
      <c r="O6" s="165" t="s">
        <v>460</v>
      </c>
      <c r="P6" s="1351" t="s">
        <v>460</v>
      </c>
      <c r="Q6" s="165" t="s">
        <v>460</v>
      </c>
      <c r="R6" s="166" t="s">
        <v>460</v>
      </c>
      <c r="S6" s="166" t="s">
        <v>460</v>
      </c>
      <c r="T6" s="873" t="s">
        <v>460</v>
      </c>
      <c r="U6" s="405"/>
      <c r="V6" s="867" t="s">
        <v>333</v>
      </c>
      <c r="W6" s="164" t="s">
        <v>351</v>
      </c>
      <c r="X6" s="1184" t="s">
        <v>36</v>
      </c>
      <c r="Y6" s="1185" t="s">
        <v>37</v>
      </c>
      <c r="Z6" s="1185" t="s">
        <v>38</v>
      </c>
      <c r="AA6" s="1185" t="s">
        <v>38</v>
      </c>
      <c r="AB6" s="1185" t="s">
        <v>38</v>
      </c>
      <c r="AC6" s="1185" t="s">
        <v>38</v>
      </c>
      <c r="AD6" s="1185" t="s">
        <v>38</v>
      </c>
      <c r="AE6" s="1185" t="s">
        <v>39</v>
      </c>
      <c r="AF6" s="1185" t="s">
        <v>39</v>
      </c>
      <c r="AG6" s="1185" t="s">
        <v>39</v>
      </c>
      <c r="AH6" s="1185" t="s">
        <v>462</v>
      </c>
      <c r="AI6" s="1185" t="s">
        <v>463</v>
      </c>
      <c r="AJ6" s="1185" t="s">
        <v>462</v>
      </c>
      <c r="AK6" s="1185" t="s">
        <v>462</v>
      </c>
      <c r="AL6" s="1185" t="s">
        <v>462</v>
      </c>
      <c r="AM6" s="1185" t="s">
        <v>35</v>
      </c>
      <c r="AN6" s="167" t="s">
        <v>477</v>
      </c>
      <c r="AO6" s="168" t="s">
        <v>460</v>
      </c>
      <c r="AP6" s="168" t="s">
        <v>460</v>
      </c>
      <c r="AQ6" s="168" t="s">
        <v>460</v>
      </c>
      <c r="AR6" s="168" t="s">
        <v>460</v>
      </c>
      <c r="AS6" s="168" t="s">
        <v>460</v>
      </c>
      <c r="AT6" s="168" t="s">
        <v>460</v>
      </c>
      <c r="AU6" s="168" t="s">
        <v>460</v>
      </c>
      <c r="AV6" s="168" t="s">
        <v>460</v>
      </c>
      <c r="AW6" s="986" t="s">
        <v>334</v>
      </c>
      <c r="AX6" s="987" t="s">
        <v>476</v>
      </c>
      <c r="AY6" s="168" t="s">
        <v>27</v>
      </c>
      <c r="AZ6" s="168" t="s">
        <v>27</v>
      </c>
      <c r="BA6" s="168" t="s">
        <v>27</v>
      </c>
      <c r="BB6" s="168" t="s">
        <v>27</v>
      </c>
      <c r="BC6" s="168" t="s">
        <v>27</v>
      </c>
      <c r="BD6" s="168" t="s">
        <v>27</v>
      </c>
      <c r="BE6" s="988" t="s">
        <v>460</v>
      </c>
      <c r="BF6" s="168" t="s">
        <v>27</v>
      </c>
      <c r="BG6" s="988" t="s">
        <v>460</v>
      </c>
      <c r="BH6" s="168" t="s">
        <v>27</v>
      </c>
      <c r="BI6" s="1170" t="s">
        <v>27</v>
      </c>
      <c r="BJ6" s="168" t="s">
        <v>460</v>
      </c>
      <c r="BK6" s="167" t="s">
        <v>27</v>
      </c>
      <c r="BL6" s="989" t="s">
        <v>27</v>
      </c>
      <c r="BM6" s="168" t="s">
        <v>460</v>
      </c>
      <c r="BN6" s="167" t="s">
        <v>27</v>
      </c>
      <c r="BO6" s="168" t="s">
        <v>460</v>
      </c>
      <c r="BP6" s="167" t="s">
        <v>460</v>
      </c>
      <c r="BQ6" s="167" t="s">
        <v>27</v>
      </c>
      <c r="BR6" s="168" t="s">
        <v>27</v>
      </c>
      <c r="BS6" s="168" t="s">
        <v>460</v>
      </c>
      <c r="BT6" s="167" t="s">
        <v>27</v>
      </c>
      <c r="BU6" s="167" t="s">
        <v>27</v>
      </c>
      <c r="BV6" s="168" t="s">
        <v>460</v>
      </c>
      <c r="BW6" s="164" t="s">
        <v>27</v>
      </c>
      <c r="BX6" s="168" t="s">
        <v>460</v>
      </c>
      <c r="BY6" s="168" t="s">
        <v>460</v>
      </c>
      <c r="BZ6" s="168" t="s">
        <v>460</v>
      </c>
      <c r="CA6" s="168" t="s">
        <v>460</v>
      </c>
      <c r="CB6" s="167" t="s">
        <v>460</v>
      </c>
      <c r="CC6" s="168" t="s">
        <v>460</v>
      </c>
      <c r="CD6" s="168" t="s">
        <v>460</v>
      </c>
      <c r="CE6" s="168" t="s">
        <v>460</v>
      </c>
      <c r="CF6" s="167" t="s">
        <v>460</v>
      </c>
      <c r="CG6" s="168" t="s">
        <v>460</v>
      </c>
      <c r="CH6" s="168" t="s">
        <v>460</v>
      </c>
      <c r="CI6" s="990" t="s">
        <v>460</v>
      </c>
      <c r="CJ6" s="401"/>
      <c r="CK6" s="867" t="s">
        <v>333</v>
      </c>
      <c r="CL6" s="165" t="s">
        <v>349</v>
      </c>
      <c r="CM6" s="165" t="s">
        <v>344</v>
      </c>
      <c r="CN6" s="165" t="s">
        <v>37</v>
      </c>
      <c r="CO6" s="166" t="s">
        <v>35</v>
      </c>
      <c r="CP6" s="166" t="s">
        <v>35</v>
      </c>
      <c r="CQ6" s="167" t="s">
        <v>460</v>
      </c>
      <c r="CR6" s="168" t="s">
        <v>460</v>
      </c>
      <c r="CS6" s="168" t="s">
        <v>460</v>
      </c>
      <c r="CT6" s="168" t="s">
        <v>460</v>
      </c>
      <c r="CU6" s="168" t="s">
        <v>460</v>
      </c>
      <c r="CV6" s="168" t="s">
        <v>460</v>
      </c>
      <c r="CW6" s="168" t="s">
        <v>476</v>
      </c>
      <c r="CX6" s="1170" t="s">
        <v>27</v>
      </c>
      <c r="CY6" s="164" t="s">
        <v>460</v>
      </c>
      <c r="CZ6" s="1356" t="s">
        <v>460</v>
      </c>
      <c r="DA6" s="164" t="s">
        <v>460</v>
      </c>
      <c r="DB6" s="164" t="s">
        <v>460</v>
      </c>
      <c r="DC6" s="164" t="s">
        <v>460</v>
      </c>
      <c r="DD6" s="169" t="s">
        <v>460</v>
      </c>
      <c r="DE6" s="991"/>
      <c r="DF6" s="867" t="s">
        <v>333</v>
      </c>
      <c r="DG6" s="164" t="s">
        <v>332</v>
      </c>
      <c r="DH6" s="984" t="s">
        <v>36</v>
      </c>
      <c r="DI6" s="985" t="s">
        <v>37</v>
      </c>
      <c r="DJ6" s="985" t="s">
        <v>38</v>
      </c>
      <c r="DK6" s="985" t="s">
        <v>38</v>
      </c>
      <c r="DL6" s="985" t="s">
        <v>38</v>
      </c>
      <c r="DM6" s="985" t="s">
        <v>37</v>
      </c>
      <c r="DN6" s="985" t="s">
        <v>38</v>
      </c>
      <c r="DO6" s="985" t="s">
        <v>38</v>
      </c>
      <c r="DP6" s="985" t="s">
        <v>39</v>
      </c>
      <c r="DQ6" s="985" t="s">
        <v>39</v>
      </c>
      <c r="DR6" s="985" t="s">
        <v>39</v>
      </c>
      <c r="DS6" s="985" t="s">
        <v>462</v>
      </c>
      <c r="DT6" s="985" t="s">
        <v>463</v>
      </c>
      <c r="DU6" s="985" t="s">
        <v>462</v>
      </c>
      <c r="DV6" s="985" t="s">
        <v>462</v>
      </c>
      <c r="DW6" s="985" t="s">
        <v>462</v>
      </c>
      <c r="DX6" s="985" t="s">
        <v>35</v>
      </c>
      <c r="DY6" s="167" t="s">
        <v>567</v>
      </c>
      <c r="DZ6" s="168" t="s">
        <v>460</v>
      </c>
      <c r="EA6" s="168" t="s">
        <v>460</v>
      </c>
      <c r="EB6" s="168" t="s">
        <v>460</v>
      </c>
      <c r="EC6" s="168" t="s">
        <v>460</v>
      </c>
      <c r="ED6" s="168" t="s">
        <v>460</v>
      </c>
      <c r="EE6" s="168" t="s">
        <v>460</v>
      </c>
      <c r="EF6" s="168" t="s">
        <v>460</v>
      </c>
      <c r="EG6" s="168" t="s">
        <v>460</v>
      </c>
      <c r="EH6" s="986" t="s">
        <v>334</v>
      </c>
      <c r="EI6" s="987" t="s">
        <v>476</v>
      </c>
      <c r="EJ6" s="168" t="s">
        <v>27</v>
      </c>
      <c r="EK6" s="168" t="s">
        <v>27</v>
      </c>
      <c r="EL6" s="168" t="s">
        <v>27</v>
      </c>
      <c r="EM6" s="168" t="s">
        <v>27</v>
      </c>
      <c r="EN6" s="168" t="s">
        <v>27</v>
      </c>
      <c r="EO6" s="168" t="s">
        <v>27</v>
      </c>
      <c r="EP6" s="988" t="s">
        <v>460</v>
      </c>
      <c r="EQ6" s="168" t="s">
        <v>27</v>
      </c>
      <c r="ER6" s="988" t="s">
        <v>460</v>
      </c>
      <c r="ES6" s="168" t="s">
        <v>27</v>
      </c>
      <c r="ET6" s="1170" t="s">
        <v>27</v>
      </c>
      <c r="EU6" s="168" t="s">
        <v>460</v>
      </c>
      <c r="EV6" s="167" t="s">
        <v>27</v>
      </c>
      <c r="EW6" s="168" t="s">
        <v>27</v>
      </c>
      <c r="EX6" s="168" t="s">
        <v>460</v>
      </c>
      <c r="EY6" s="167" t="s">
        <v>27</v>
      </c>
      <c r="EZ6" s="168" t="s">
        <v>460</v>
      </c>
      <c r="FA6" s="167" t="s">
        <v>460</v>
      </c>
      <c r="FB6" s="167" t="s">
        <v>27</v>
      </c>
      <c r="FC6" s="168" t="s">
        <v>27</v>
      </c>
      <c r="FD6" s="168" t="s">
        <v>460</v>
      </c>
      <c r="FE6" s="167" t="s">
        <v>27</v>
      </c>
      <c r="FF6" s="168" t="s">
        <v>27</v>
      </c>
      <c r="FG6" s="168" t="s">
        <v>460</v>
      </c>
      <c r="FH6" s="164" t="s">
        <v>40</v>
      </c>
      <c r="FI6" s="168" t="s">
        <v>460</v>
      </c>
      <c r="FJ6" s="168" t="s">
        <v>460</v>
      </c>
      <c r="FK6" s="168" t="s">
        <v>460</v>
      </c>
      <c r="FL6" s="168" t="s">
        <v>460</v>
      </c>
      <c r="FM6" s="168" t="s">
        <v>460</v>
      </c>
      <c r="FN6" s="168" t="s">
        <v>460</v>
      </c>
      <c r="FO6" s="168" t="s">
        <v>460</v>
      </c>
      <c r="FP6" s="168" t="s">
        <v>460</v>
      </c>
      <c r="FQ6" s="167" t="s">
        <v>460</v>
      </c>
      <c r="FR6" s="168" t="s">
        <v>460</v>
      </c>
      <c r="FS6" s="168" t="s">
        <v>460</v>
      </c>
      <c r="FT6" s="990" t="s">
        <v>460</v>
      </c>
      <c r="FU6" s="991"/>
      <c r="FV6" s="867" t="s">
        <v>333</v>
      </c>
      <c r="FW6" s="992" t="s">
        <v>628</v>
      </c>
      <c r="FX6" s="1194" t="s">
        <v>628</v>
      </c>
      <c r="FY6" s="1194" t="s">
        <v>628</v>
      </c>
      <c r="FZ6" s="1194" t="s">
        <v>628</v>
      </c>
      <c r="GA6" s="993" t="s">
        <v>628</v>
      </c>
      <c r="GB6" s="992" t="s">
        <v>460</v>
      </c>
      <c r="GC6" s="1194" t="s">
        <v>628</v>
      </c>
      <c r="GD6" s="1194" t="s">
        <v>460</v>
      </c>
      <c r="GE6" s="993" t="s">
        <v>460</v>
      </c>
      <c r="GF6" s="992" t="s">
        <v>460</v>
      </c>
      <c r="GG6" s="1194" t="s">
        <v>460</v>
      </c>
      <c r="GH6" s="1194" t="s">
        <v>460</v>
      </c>
      <c r="GI6" s="166" t="s">
        <v>460</v>
      </c>
      <c r="GJ6" s="1351" t="s">
        <v>460</v>
      </c>
      <c r="GK6" s="1194" t="s">
        <v>460</v>
      </c>
      <c r="GL6" s="166" t="s">
        <v>460</v>
      </c>
      <c r="GM6" s="1351" t="s">
        <v>460</v>
      </c>
      <c r="GN6" s="991"/>
      <c r="GO6" s="867" t="s">
        <v>333</v>
      </c>
      <c r="GP6" s="992" t="s">
        <v>460</v>
      </c>
      <c r="GQ6" s="1194" t="s">
        <v>460</v>
      </c>
      <c r="GR6" s="1194" t="s">
        <v>460</v>
      </c>
      <c r="GS6" s="166" t="s">
        <v>460</v>
      </c>
      <c r="GT6" s="993" t="s">
        <v>460</v>
      </c>
      <c r="GU6" s="992" t="s">
        <v>460</v>
      </c>
      <c r="GV6" s="1194" t="s">
        <v>460</v>
      </c>
      <c r="GW6" s="1194" t="s">
        <v>460</v>
      </c>
      <c r="GX6" s="166" t="s">
        <v>460</v>
      </c>
      <c r="GY6" s="873" t="s">
        <v>460</v>
      </c>
      <c r="GZ6" s="991"/>
      <c r="HA6" s="867" t="s">
        <v>333</v>
      </c>
      <c r="HB6" s="992" t="s">
        <v>460</v>
      </c>
      <c r="HC6" s="1194" t="s">
        <v>460</v>
      </c>
      <c r="HD6" s="1194" t="s">
        <v>460</v>
      </c>
      <c r="HE6" s="1194" t="s">
        <v>460</v>
      </c>
      <c r="HF6" s="993" t="s">
        <v>460</v>
      </c>
      <c r="HG6" s="992" t="s">
        <v>460</v>
      </c>
      <c r="HH6" s="1194" t="s">
        <v>460</v>
      </c>
      <c r="HI6" s="1194" t="s">
        <v>460</v>
      </c>
      <c r="HJ6" s="1357" t="s">
        <v>460</v>
      </c>
      <c r="HK6" s="1358" t="s">
        <v>460</v>
      </c>
      <c r="HL6" s="991"/>
      <c r="HM6" s="1193" t="s">
        <v>333</v>
      </c>
      <c r="HN6" s="992" t="s">
        <v>460</v>
      </c>
      <c r="HO6" s="1194" t="s">
        <v>460</v>
      </c>
      <c r="HP6" s="1194" t="s">
        <v>460</v>
      </c>
      <c r="HQ6" s="1194" t="s">
        <v>460</v>
      </c>
      <c r="HR6" s="1194" t="s">
        <v>460</v>
      </c>
      <c r="HS6" s="993" t="s">
        <v>460</v>
      </c>
      <c r="HT6" s="992" t="s">
        <v>460</v>
      </c>
      <c r="HU6" s="1194" t="s">
        <v>460</v>
      </c>
      <c r="HV6" s="1194" t="s">
        <v>460</v>
      </c>
      <c r="HW6" s="1194" t="s">
        <v>460</v>
      </c>
      <c r="HX6" s="1194" t="s">
        <v>460</v>
      </c>
      <c r="HY6" s="1194" t="s">
        <v>460</v>
      </c>
      <c r="HZ6" s="1194" t="s">
        <v>460</v>
      </c>
      <c r="IA6" s="1359" t="s">
        <v>460</v>
      </c>
    </row>
    <row r="7" spans="1:235" ht="15.75" thickBot="1" x14ac:dyDescent="0.3">
      <c r="A7" s="131"/>
      <c r="B7" s="175"/>
      <c r="C7" s="175"/>
      <c r="D7" s="175"/>
      <c r="E7" s="177"/>
      <c r="F7" s="177"/>
      <c r="G7" s="174"/>
      <c r="H7" s="217"/>
      <c r="I7" s="217"/>
      <c r="J7" s="217"/>
      <c r="K7" s="217"/>
      <c r="L7" s="132"/>
      <c r="M7" s="994"/>
      <c r="N7" s="177"/>
      <c r="O7" s="175"/>
      <c r="P7" s="1352"/>
      <c r="Q7" s="174"/>
      <c r="R7" s="132"/>
      <c r="S7" s="132"/>
      <c r="T7" s="133"/>
      <c r="U7" s="405"/>
      <c r="V7" s="995"/>
      <c r="W7" s="876"/>
      <c r="X7" s="1002"/>
      <c r="Y7" s="1006"/>
      <c r="Z7" s="1006"/>
      <c r="AA7" s="1006"/>
      <c r="AB7" s="1006"/>
      <c r="AC7" s="1006"/>
      <c r="AD7" s="1006"/>
      <c r="AE7" s="1006"/>
      <c r="AF7" s="1006"/>
      <c r="AG7" s="875"/>
      <c r="AH7" s="1006"/>
      <c r="AI7" s="1006"/>
      <c r="AJ7" s="1006"/>
      <c r="AK7" s="1006"/>
      <c r="AL7" s="1006"/>
      <c r="AM7" s="1003"/>
      <c r="AN7" s="1186"/>
      <c r="AO7" s="1008"/>
      <c r="AP7" s="1008"/>
      <c r="AQ7" s="1008"/>
      <c r="AR7" s="1008"/>
      <c r="AS7" s="1008"/>
      <c r="AT7" s="1008"/>
      <c r="AU7" s="1008"/>
      <c r="AV7" s="1187"/>
      <c r="AW7" s="999"/>
      <c r="AX7" s="1000"/>
      <c r="AY7" s="998"/>
      <c r="AZ7" s="998"/>
      <c r="BA7" s="998"/>
      <c r="BB7" s="998"/>
      <c r="BC7" s="998"/>
      <c r="BD7" s="998"/>
      <c r="BE7" s="1001"/>
      <c r="BF7" s="998"/>
      <c r="BG7" s="998"/>
      <c r="BH7" s="1002"/>
      <c r="BI7" s="998"/>
      <c r="BJ7" s="1003"/>
      <c r="BK7" s="997"/>
      <c r="BL7" s="997"/>
      <c r="BM7" s="997"/>
      <c r="BN7" s="996"/>
      <c r="BO7" s="997"/>
      <c r="BP7" s="996"/>
      <c r="BQ7" s="876"/>
      <c r="BR7" s="217"/>
      <c r="BS7" s="217"/>
      <c r="BT7" s="876"/>
      <c r="BU7" s="217"/>
      <c r="BV7" s="217"/>
      <c r="BW7" s="131"/>
      <c r="BX7" s="132"/>
      <c r="BY7" s="132"/>
      <c r="BZ7" s="132"/>
      <c r="CA7" s="132"/>
      <c r="CB7" s="174"/>
      <c r="CC7" s="132"/>
      <c r="CD7" s="132"/>
      <c r="CE7" s="133"/>
      <c r="CF7" s="131"/>
      <c r="CG7" s="132"/>
      <c r="CH7" s="132"/>
      <c r="CI7" s="1191"/>
      <c r="CJ7" s="401"/>
      <c r="CK7" s="131"/>
      <c r="CL7" s="175"/>
      <c r="CM7" s="175"/>
      <c r="CN7" s="176"/>
      <c r="CO7" s="177"/>
      <c r="CP7" s="177"/>
      <c r="CQ7" s="177"/>
      <c r="CR7" s="178"/>
      <c r="CS7" s="179"/>
      <c r="CT7" s="177"/>
      <c r="CU7" s="177"/>
      <c r="CV7" s="177"/>
      <c r="CW7" s="177"/>
      <c r="CX7" s="175"/>
      <c r="CY7" s="175"/>
      <c r="CZ7" s="1352"/>
      <c r="DA7" s="174"/>
      <c r="DB7" s="132"/>
      <c r="DC7" s="132"/>
      <c r="DD7" s="133"/>
      <c r="DE7" s="1004"/>
      <c r="DF7" s="131"/>
      <c r="DG7" s="174"/>
      <c r="DH7" s="1005"/>
      <c r="DI7" s="1006"/>
      <c r="DJ7" s="1006"/>
      <c r="DK7" s="1006"/>
      <c r="DL7" s="1006"/>
      <c r="DM7" s="1006"/>
      <c r="DN7" s="1006"/>
      <c r="DO7" s="1006"/>
      <c r="DP7" s="1006"/>
      <c r="DQ7" s="1006"/>
      <c r="DR7" s="875"/>
      <c r="DS7" s="1006"/>
      <c r="DT7" s="1006"/>
      <c r="DU7" s="1006"/>
      <c r="DV7" s="1006"/>
      <c r="DW7" s="1006"/>
      <c r="DX7" s="1006"/>
      <c r="DY7" s="1186"/>
      <c r="DZ7" s="1008"/>
      <c r="EA7" s="1008"/>
      <c r="EB7" s="1008"/>
      <c r="EC7" s="1008"/>
      <c r="ED7" s="1008"/>
      <c r="EE7" s="1008"/>
      <c r="EF7" s="1008"/>
      <c r="EG7" s="1187"/>
      <c r="EH7" s="999"/>
      <c r="EI7" s="1007"/>
      <c r="EJ7" s="1008"/>
      <c r="EK7" s="1008"/>
      <c r="EL7" s="1008"/>
      <c r="EM7" s="1008"/>
      <c r="EN7" s="1008"/>
      <c r="EO7" s="1008"/>
      <c r="EP7" s="1009"/>
      <c r="EQ7" s="1008"/>
      <c r="ER7" s="1008"/>
      <c r="ES7" s="1002"/>
      <c r="ET7" s="997"/>
      <c r="EU7" s="1003"/>
      <c r="EV7" s="1006"/>
      <c r="EW7" s="997"/>
      <c r="EX7" s="1006"/>
      <c r="EY7" s="1005"/>
      <c r="EZ7" s="1006"/>
      <c r="FA7" s="1005"/>
      <c r="FB7" s="174"/>
      <c r="FC7" s="217"/>
      <c r="FD7" s="132"/>
      <c r="FE7" s="174"/>
      <c r="FF7" s="217"/>
      <c r="FG7" s="132"/>
      <c r="FH7" s="174"/>
      <c r="FI7" s="132"/>
      <c r="FJ7" s="132"/>
      <c r="FK7" s="994"/>
      <c r="FL7" s="132"/>
      <c r="FM7" s="132"/>
      <c r="FN7" s="132"/>
      <c r="FO7" s="132"/>
      <c r="FP7" s="132"/>
      <c r="FQ7" s="131"/>
      <c r="FR7" s="132"/>
      <c r="FS7" s="132"/>
      <c r="FT7" s="1191"/>
      <c r="FU7" s="1004"/>
      <c r="FV7" s="131"/>
      <c r="FW7" s="174"/>
      <c r="FX7" s="132"/>
      <c r="FY7" s="132"/>
      <c r="FZ7" s="132"/>
      <c r="GA7" s="1352"/>
      <c r="GB7" s="174"/>
      <c r="GC7" s="132"/>
      <c r="GD7" s="132"/>
      <c r="GE7" s="1352"/>
      <c r="GF7" s="174"/>
      <c r="GG7" s="132"/>
      <c r="GH7" s="132"/>
      <c r="GI7" s="132"/>
      <c r="GJ7" s="132"/>
      <c r="GK7" s="131"/>
      <c r="GL7" s="132"/>
      <c r="GM7" s="133"/>
      <c r="GN7" s="1004"/>
      <c r="GO7" s="131"/>
      <c r="GP7" s="174"/>
      <c r="GQ7" s="132"/>
      <c r="GR7" s="132"/>
      <c r="GS7" s="132"/>
      <c r="GT7" s="1352"/>
      <c r="GU7" s="174"/>
      <c r="GV7" s="132"/>
      <c r="GW7" s="132"/>
      <c r="GX7" s="132"/>
      <c r="GY7" s="133"/>
      <c r="GZ7" s="1004"/>
      <c r="HA7" s="131"/>
      <c r="HB7" s="174"/>
      <c r="HC7" s="132"/>
      <c r="HD7" s="132"/>
      <c r="HE7" s="132"/>
      <c r="HF7" s="1352"/>
      <c r="HG7" s="174"/>
      <c r="HH7" s="132"/>
      <c r="HI7" s="132"/>
      <c r="HJ7" s="132"/>
      <c r="HK7" s="133"/>
      <c r="HL7" s="1004"/>
      <c r="HM7" s="1375"/>
      <c r="HN7" s="1413"/>
      <c r="HO7" s="1413"/>
      <c r="HP7" s="1413"/>
      <c r="HQ7" s="1413"/>
      <c r="HR7" s="1413"/>
      <c r="HS7" s="1414"/>
      <c r="HT7" s="1415"/>
      <c r="HU7" s="1413"/>
      <c r="HV7" s="1413"/>
      <c r="HW7" s="1413"/>
      <c r="HX7" s="1413"/>
      <c r="HY7" s="1413"/>
      <c r="HZ7" s="1413"/>
      <c r="IA7" s="1416"/>
    </row>
    <row r="8" spans="1:235" ht="15.75" thickBot="1" x14ac:dyDescent="0.3">
      <c r="A8" s="1014">
        <v>1</v>
      </c>
      <c r="B8" s="1015" t="str">
        <f>IF('Options and results'!$C$17="None",0,CONCATENATE('Options and results'!$C$23," ",(HLOOKUP(CONCATENATE('Options and results'!$C$17," ",Arablesystem!$B$11),Arablesystem!$B$10:$ER$72,$A8+3,FALSE))))</f>
        <v>UK - Agriculture (BPS: from 2015) Wheat</v>
      </c>
      <c r="C8" s="1434">
        <f>IF(HLOOKUP(CONCATENATE('Options and results'!$C$17," ",Arablesystem!$C$11),Arablesystem!$B$10:$ER$72,$A8+3,FALSE)="T",(VLOOKUP(B8,Arablefinance!$Z$6:$AB$105,Arablefinance!$AB$2,FALSE)*E8+VLOOKUP(B8,Arablefinance!$Z$6:$AC$105,Arablefinance!$AC$2,FALSE)*F8)/VLOOKUP(B8,Arablefinance!$Z$6:$AA$105,Arablefinance!$AA$2,FALSE),0)</f>
        <v>0</v>
      </c>
      <c r="D8" s="1434">
        <f>IF(B8=0,0,HLOOKUP(CONCATENATE('Options and results'!$C$17," ",Arablesystem!$D$11),Arablesystem!$B$10:$ER$72,$A8+3,FALSE))</f>
        <v>1</v>
      </c>
      <c r="E8" s="1435">
        <f>IF(B8=0,0,HLOOKUP(CONCATENATE('Options and results'!$C$17," ",Arablesystem!$E$11),Arablesystem!$B$10:$ER$72,$A8+3,FALSE)*IF(A8&gt;='Options and results'!$H$19,'Options and results'!$H$18,1))</f>
        <v>9.9183094992989567</v>
      </c>
      <c r="F8" s="1435">
        <f>IF(B8=0,0,HLOOKUP(CONCATENATE('Options and results'!$C$17," ",Arablesystem!$F$11),Arablesystem!$B$10:$ER$72,$A8+3,FALSE)*IF(A8&gt;='Options and results'!$H$19,'Options and results'!$H$18,1))</f>
        <v>3.9673237997195829</v>
      </c>
      <c r="G8" s="1436">
        <f>IF(D8&lt;=0,0,IF(A8&lt;='Options and results'!$W$20,IF(C8&gt;0,VLOOKUP(B8,Arablefinance!$Z$6:$AE$105,Arablefinance!$AD$2,FALSE)*C8*D8,((VLOOKUP(B8,Arablefinance!$E$6:$G$126,Arablefinance!$F$2,FALSE)*(E8*D8)+VLOOKUP(B8,Arablefinance!$E$6:$G$126,Arablefinance!$G$2,FALSE)*(F8*D8)))),0)*IF(A8&gt;='Options and results'!$H$21,'Options and results'!$H$20,1))*IF(1+'Options and results'!$O$20*(A8-1)&gt;0,1+'Options and results'!$O$20*(A8-1),0)</f>
        <v>1870.7033750066644</v>
      </c>
      <c r="H8" s="1437">
        <f>IF(D8&lt;=0,0,IF(A8&lt;='Options and results'!$W$20,IF(AND(C8&gt;0,VLOOKUP(B8,Arablefinance!$Z$6:$AI$105,Arablefinance!$AI$2,FALSE)=2),VLOOKUP(B8,Arablefinance!$Z$6:$AE$105,Arablefinance!$AE$2,FALSE)*C8*D8,(VLOOKUP(B8,Arablefinance!$E$6:$H$126,Arablefinance!$H$2,FALSE)*D8))*IF(A8&gt;='Options and results'!$H$23,'Options and results'!$H$22,1),0)*IF(AND(1+'Options and results'!$O$23*(A8-1)&gt;0,1+'Options and results'!$O$23*(A8-1)&gt;'Options and results'!$S$24),1+'Options and results'!$O$23*(A8-1),'Options and results'!$S$24))</f>
        <v>235.2</v>
      </c>
      <c r="I8" s="1437">
        <f>H8+G8</f>
        <v>2105.9033750066642</v>
      </c>
      <c r="J8" s="1437">
        <f>IF(D8&lt;=0,0,IF(A8&lt;='Options and results'!$W$20,IF(C8&gt;0,VLOOKUP(B8,Arablefinance!$Z$6:$AF$105,Arablefinance!$AF$2,FALSE)*C8*D8,(VLOOKUP(B8,Arablefinance!$E$6:$X$126,Arablefinance!$R$2,FALSE))*D8),0)*IF(A8&gt;='Options and results'!$H$27,'Options and results'!$H$26,1))*IF(1+'Options and results'!$O$22*(A8-1)&gt;0,1+'Options and results'!$O$22*(A8-1),0)</f>
        <v>653.12499999999989</v>
      </c>
      <c r="K8" s="1437">
        <f>I8-J8</f>
        <v>1452.7783750066642</v>
      </c>
      <c r="L8" s="1437">
        <f>IF(D8&lt;=0,0,IF(A8&lt;='Options and results'!$W$20,IF(C8&gt;0,VLOOKUP(B8,Arablefinance!$Z$6:$AG$105,Arablefinance!$AG$2,FALSE)*C8*D8,VLOOKUP(B8,Arablefinance!$E$6:$X$126,Arablefinance!$X$2,FALSE)*D8),0)*IF(A8&gt;='Options and results'!$H$27,'Options and results'!$H$26,1))*IF(1+'Options and results'!$O$22*(A8-1)&gt;0,1+'Options and results'!$O$22*(A8-1),0)</f>
        <v>444.44444444444446</v>
      </c>
      <c r="M8" s="1438">
        <f>IF(D8&lt;=0,0,IF(A8&lt;='Options and results'!$W$20,'Options and results'!$C$27,0)*IF(A8&gt;='Options and results'!$H$27,'Options and results'!$H$26,1))*IF(1+'Options and results'!$O$21*(A8-1)&gt;0,1+'Options and results'!$O$21*(A8-1),0)</f>
        <v>14.6</v>
      </c>
      <c r="N8" s="1442">
        <f>IF(D8&lt;=0,0,IF(A8&lt;='Options and results'!$W$20,IF(C8&gt;0,VLOOKUP(B8,Arablefinance!$Z$6:$AH$105,Arablefinance!$AH$2,FALSE)*C8*D8,VLOOKUP(B8,Arablefinance!$E$6:$W$126,Arablefinance!$V$2,FALSE)*D8),0)*IF(A8&gt;='Options and results'!$H$25,'Options and results'!$H$24,1))</f>
        <v>11.632834596849463</v>
      </c>
      <c r="O8" s="1436">
        <f>J8+L8+M8*N8</f>
        <v>1267.4088295584465</v>
      </c>
      <c r="P8" s="1439">
        <f>K8-L8-(M8*N8)</f>
        <v>838.49454544821754</v>
      </c>
      <c r="Q8" s="1436">
        <f>IF($A8&lt;='Options and results'!$W$20,SUM(G$8:$G8),0)</f>
        <v>1870.7033750066644</v>
      </c>
      <c r="R8" s="1437">
        <f>IF($A8&lt;='Options and results'!$W$20,SUM($H$8:H8),0)</f>
        <v>235.2</v>
      </c>
      <c r="S8" s="1437">
        <f>IF($A8&lt;='Options and results'!$W$20,SUM($O$8:O8),0)</f>
        <v>1267.4088295584465</v>
      </c>
      <c r="T8" s="1451">
        <f>IF(A8&lt;='Options and results'!$W$20,Q8+R8-S8,0)</f>
        <v>838.49454544821765</v>
      </c>
      <c r="U8" s="405"/>
      <c r="V8" s="1014">
        <v>1</v>
      </c>
      <c r="W8" s="1015" t="str">
        <f>IF('Options and results'!$C$32="None",0,'Options and results'!$C$38)</f>
        <v>UK Poplar Forestry England standard EU</v>
      </c>
      <c r="X8" s="1436">
        <f>IF($W$8=0,0,HLOOKUP(CONCATENATE('Options and results'!$C$32," ",Forestrysystem!$B$8),Forestrysystem!$A$7:$IG$70,V8+3,FALSE))</f>
        <v>156</v>
      </c>
      <c r="Y8" s="1443">
        <f>IF(V8&lt;='Options and results'!$M$34,'Options and results'!$M$33,0)</f>
        <v>0.1</v>
      </c>
      <c r="Z8" s="1437">
        <f>INT(Y7*(X7+AA7))</f>
        <v>0</v>
      </c>
      <c r="AA8" s="1437">
        <f>INT(Y7*(X7+AA7))</f>
        <v>0</v>
      </c>
      <c r="AB8" s="1016">
        <f>ROUND(AB7-AC7-AD7+X8-Z8+AA8,0)</f>
        <v>156</v>
      </c>
      <c r="AC8" s="1437">
        <f>IF($W$8=0,0,IF(HLOOKUP(CONCATENATE('Options and results'!$C$32," ",Forestrysystem!$C$8),Forestrysystem!$A$7:$IH$70,V8+4,FALSE)&lt;AB8,HLOOKUP(CONCATENATE('Options and results'!$C$32," ",Forestrysystem!$C$8),Forestrysystem!$A$7:$IH$70,V8+4,FALSE),0))</f>
        <v>0</v>
      </c>
      <c r="AD8" s="1444">
        <f>IF($W$8=0,0,IF(HLOOKUP(CONCATENATE('Options and results'!$C$32," ",Forestrysystem!$C$8),Forestrysystem!$A$7:$IH$70,V8+4,FALSE)&gt;=AB8,AB8,0))</f>
        <v>0</v>
      </c>
      <c r="AE8" s="1445">
        <f>IF($W$8=0,0,HLOOKUP(CONCATENATE('Options and results'!$C$32," ",Forestrysystem!$D$8),Forestrysystem!$A$7:$IH$70,$V8+4,FALSE))</f>
        <v>1.4592373029457841</v>
      </c>
      <c r="AF8" s="1446">
        <f>IF($W$8=0,0,HLOOKUP('Options and results'!$C$32,Forestrysystem!$B$2:$IG$6,5,FALSE))</f>
        <v>8</v>
      </c>
      <c r="AG8" s="1435">
        <f>IF($W$8=0,0,IF(V8=1,'Options and results'!$M$36,0)+IF('Options and results'!$M$39="yes",IF(AND(AG7+'Options and results'!$M$37&lt;=$AF$8,AG7+'Options and results'!$M$37+IF(V8=1,'Options and results'!$M$36,0)&lt;='Options and results'!$M$38*AE8),AG7+'Options and results'!$M$37,AG7),(HLOOKUP(CONCATENATE('Options and results'!$C$32," ",Forestrysystem!$E$8),Forestrysystem!$A$7:$IH$70,V8+4,FALSE))-IF(V8=1,'Options and results'!$M$36,0)))</f>
        <v>0</v>
      </c>
      <c r="AH8" s="1446">
        <f>IF(OR($W$8=0,AB8&lt;=0),0,(HLOOKUP(CONCATENATE('Options and results'!$C$32," ",Forestrysystem!$F$8),Forestrysystem!$A$7:$IH$70,$V8+4,FALSE)) * IF(V8&gt;='Options and results'!$I$19,'Options and results'!$I$18,1) )</f>
        <v>2.8267045991225252E-2</v>
      </c>
      <c r="AI8" s="1447">
        <f>IF(AB8&lt;=0,0,AH8/(AB8-AC8))</f>
        <v>1.8119901276426444E-4</v>
      </c>
      <c r="AJ8" s="1438">
        <f>(AC8*AI8)+(AD8*AI8)</f>
        <v>0</v>
      </c>
      <c r="AK8" s="1448">
        <f>IF(OR($W$8=0,AE8&lt;=0),0,(HLOOKUP(CONCATENATE('Options and results'!$C$32," ",Forestrysystem!$G$8),Forestrysystem!$A$7:$IH$70,$V8+4,FALSE)) * IF(Y8&gt;='Options and results'!$I$19,'Options and results'!$I$18,1) )</f>
        <v>1.2464282740101161E-2</v>
      </c>
      <c r="AL8" s="1448">
        <f>IF($W$8=0,0,HLOOKUP(CONCATENATE('Options and results'!$C$32," ",Forestrysystem!$H$8),Forestrysystem!$A$7:$IH$70,$V8+4,FALSE)*IF(V8&gt;='Options and results'!$I$19,'Options and results'!$I$18,1))</f>
        <v>0</v>
      </c>
      <c r="AM8" s="1448">
        <f>IF($W$8=0,0,HLOOKUP(CONCATENATE('Options and results'!$C$32," ",Forestrysystem!$I$8),Forestrysystem!$A$7:$IH$70,$V8+4,FALSE)*IF(V8&gt;='Options and results'!$I$19,'Options and results'!$I$18,1))</f>
        <v>0</v>
      </c>
      <c r="AN8" s="1449">
        <f>IF(AI8&gt;0,HLOOKUP(AI8,Treevalue!$I$4:$BC$34,'Options and results'!$C$39+1),0)*IF(V8&gt;='Options and results'!$I$21,'Options and results'!$I$20,1)*IF(1+'Options and results'!$Q$20*(V8-1)&gt;0,1+'Options and results'!$Q$20*(V8-1),0)</f>
        <v>0</v>
      </c>
      <c r="AO8" s="1450">
        <f>AI8*AN8*(AB8-(AC8+AD8))</f>
        <v>0</v>
      </c>
      <c r="AP8" s="1450">
        <f>(AC8+AD8)*AI8*AN8</f>
        <v>0</v>
      </c>
      <c r="AQ8" s="1450">
        <f>(IF('Options and results'!$C$39&gt;0,IF(V8&lt;='Options and results'!$W$20,VLOOKUP('Options and results'!$C$39,Treevalue!$A$4:$F$34,5,FALSE),0),0)*AK8)*IF(V8&gt;='Options and results'!$I$21,'Options and results'!$I$20,1)*IF(1+'Options and results'!$Q$20*(V8-1)&gt;0,1+'Options and results'!$Q$20*(V8-1),0)-AR8</f>
        <v>0.31160706850252901</v>
      </c>
      <c r="AR8" s="1437">
        <f>(IF('Options and results'!$C$39&gt;0,IF(V8&lt;='Options and results'!$W$20,VLOOKUP('Options and results'!$C$39,Treevalue!$A$4:$F$34,5,FALSE),0),0)*AL8)*IF(V8&gt;='Options and results'!$I$21,'Options and results'!$I$20,1)*IF(1+'Options and results'!$Q$20*(V8-1)&gt;0,1+'Options and results'!$Q$20*(V8-1),0)</f>
        <v>0</v>
      </c>
      <c r="AS8" s="1437">
        <f>(IF('Options and results'!$C$39&gt;0,IF(V8&lt;='Options and results'!$W$20,VLOOKUP('Options and results'!$C$39,Treevalue!$A$4:$F$34,6,FALSE),0),0)*AM8)*IF(V8&gt;='Options and results'!$I$21,'Options and results'!$I$20,1)*IF(1+'Options and results'!$Q$20*(V8-1)&gt;0,1+'Options and results'!$Q$20*(V8-1),0)</f>
        <v>0</v>
      </c>
      <c r="AT8" s="1437">
        <f>IF(V8&lt;='Options and results'!$W$20,(IF(AB8&lt;=0,0,IF('Options and results'!$C$43="cost",(IF(V8&lt;='Options and results'!$C$44,BZ8*SUM('Options and results'!$C$45:$C$46),0)),IF('Options and results'!$C$41&gt;0,(IF(VLOOKUP('Options and results'!$C$42,Treegrant!$B$6:$L$42,Treegrant!$C$2,FALSE)=V8,VLOOKUP('Options and results'!$C$42,Treegrant!$B$6:$L$42,Treegrant!$D$2,FALSE),0)+IF(VLOOKUP('Options and results'!$C$42,Treegrant!$B$6:$L$42,Treegrant!$E$2,FALSE)=V8,VLOOKUP('Options and results'!$C$42,Treegrant!$B$6:$L$42,Treegrant!$F$2,FALSE),0)+IF(VLOOKUP('Options and results'!$C$42,Treegrant!$B$6:$L$42,Treegrant!$G$2,FALSE)=V8,VLOOKUP('Options and results'!$C$42,Treegrant!$B$6:$L$42,Treegrant!$H$2,FALSE)))*IF('Options and results'!$C$43="area",1,'Options and results'!$C$43),0)))*IF(V8&gt;='Options and results'!$I$23,'Options and results'!$I$22,1)),0)*IF(1+'Options and results'!$Q$23*(V8-1)&gt;0,1+'Options and results'!$Q$23*(V8-1),0)</f>
        <v>0</v>
      </c>
      <c r="AU8" s="1437">
        <f>IF($W$8=0,0,IF(V8&lt;='Options and results'!$W$20,IF(AB8&lt;=0,0,IF('Options and results'!$C$41&gt;0,IF(AND(VLOOKUP('Options and results'!$C$42,Treegrant!$B$6:$L$42,Treegrant!$J$2,FALSE)&lt;=V8,VLOOKUP('Options and results'!$C$42,Treegrant!$B$6:$L$42,Treegrant!$K$2,FALSE)&gt;=V8),(VLOOKUP('Options and results'!$C$42,Treegrant!$B$6:$L$42,Treegrant!$L$2,FALSE)),0)*IF('Options and results'!$C$47="full",1,'Options and results'!$C$47))*IF(V8&gt;='Options and results'!$I$23,'Options and results'!$I$22,1)),0))*IF(1+'Options and results'!$Q$23*(V8-1)&gt;0,1+'Options and results'!$Q$23*(V8-1),0)</f>
        <v>0</v>
      </c>
      <c r="AV8" s="1451">
        <f>IF($W$8=0,0,IF(V8&lt;='Options and results'!$W$20,IF(AB8&lt;=0,0,(IF('Options and results'!$C$41&gt;0,(IF(AND(VLOOKUP('Options and results'!$C$42,Treegrant!$B$6:$O$42,Treegrant!$M$2,FALSE)&lt;=V8,VLOOKUP('Options and results'!$C$42,Treegrant!$B$6:$O$42,Treegrant!$N$2,FALSE)&gt;=V8),(VLOOKUP('Options and results'!$C$42,Treegrant!$B$6:$O$42,Treegrant!$O$2,FALSE)),0)*IF('Options and results'!$C$48="full",1,'Options and results'!$C$48))+(IF(AND(VLOOKUP('Options and results'!$C$42,Treegrant!$B$6:$R$42,Treegrant!$P$2,FALSE)&lt;=V8,VLOOKUP('Options and results'!$C$42,Treegrant!$B$6:$R$42,Treegrant!$Q$2,FALSE)&gt;=V8),(VLOOKUP('Options and results'!$C$42,Treegrant!$B$6:$R$42,Treegrant!$R$2,FALSE)),0))*IF('Options and results'!$C$49="full",1,'Options and results'!$C$49)))*IF(V8&gt;='Options and results'!$I$23,'Options and results'!$I$22,1)),0))*IF(1+'Options and results'!$Q$23*(V8-1)&gt;0,1+'Options and results'!$Q$23*(V8-1),0)</f>
        <v>0</v>
      </c>
      <c r="AW8" s="1017" t="s">
        <v>238</v>
      </c>
      <c r="AX8" s="1018">
        <f>'Options and results'!S32</f>
        <v>14.6</v>
      </c>
      <c r="AY8" s="1418">
        <f>IF($W$8=0,0,IF(V8=1,VLOOKUP($W$8,Treecost!$B$6:$AH$49,Treecost!$E$2,FALSE),0)*IF(V8&gt;='Options and results'!$I$25,'Options and results'!$I$24,1))</f>
        <v>3.3454545454545452</v>
      </c>
      <c r="AZ8" s="890">
        <f>IF($W$8=0,0,IF(V8=1,VLOOKUP($W$8,Treecost!$B$6:$AH$49,Treecost!$F$2,FALSE),0)*IF(V8&gt;='Options and results'!$I$25,'Options and results'!$I$24,1))</f>
        <v>1.4</v>
      </c>
      <c r="BA8" s="890">
        <f>IF($W$8=0,0,IF(V8=1,VLOOKUP($W$8,Treecost!$B$6:$AH$49,Treecost!$G$2,FALSE),0)*IF(V8&gt;='Options and results'!$I$25,'Options and results'!$I$24,1))</f>
        <v>0</v>
      </c>
      <c r="BB8" s="890">
        <f>IF($W$8=0,0,IF(V8&lt;='Options and results'!$W$20,((VLOOKUP($W$8,Treecost!$B$6:$AH$49,Treecost!$H$2,FALSE)*(X8+AA8))/60)*IF(V8&gt;='Options and results'!$I$25,'Options and results'!$I$24,1),0))</f>
        <v>0</v>
      </c>
      <c r="BC8" s="890">
        <f>IF($W$8=0,0,IF(V8&lt;='Options and results'!$W$20,(((VLOOKUP($W$8,Treecost!$B$6:$AH$49,Treecost!$I$2,FALSE))*(X8+AA8))/60)*IF(V8&gt;='Options and results'!$I$25,'Options and results'!$I$24,1),0))</f>
        <v>0</v>
      </c>
      <c r="BD8" s="890">
        <f>IF($W$8=0,0,IF(V8&lt;='Options and results'!$W$20,(((VLOOKUP($W$8,Treecost!$B$6:$AH$49,Treecost!$J$2,FALSE))/60)*(X8+AA8))*IF(V8&gt;='Options and results'!$I$25,'Options and results'!$I$24,1),0))</f>
        <v>0</v>
      </c>
      <c r="BE8" s="1020">
        <f>IF($W$8=0,0,IF(V8&lt;='Options and results'!$W$20,(((VLOOKUP($W$8,Treecost!$B$6:$AH$49,Treecost!$C$2,FALSE)+VLOOKUP($W$8,Treecost!$B$6:$AH$49,Treecost!$D$2,FALSE))*(X8+AA8)*IF(1+'Options and results'!$Q$22*(V8-1)&gt;0,1+'Options and results'!$Q$22*(V8-1),0))+((AY8*$AX$8+AZ8*$AX$9+BA8*$AX$10+BB8*$AX$11+BC8*$AX$12+BD8*$AX$13)*IF(1+'Options and results'!$Q$21*(V8-1)&gt;0,1+'Options and results'!$Q$21*(V8-1),0)))*IF(V8&gt;='Options and results'!$I$27,'Options and results'!$I$26,1),0))</f>
        <v>693.28363636363633</v>
      </c>
      <c r="BF8" s="890">
        <f>IF($W$8=0,0,IF(V8&lt;='Options and results'!$W$20,IF(AND(VLOOKUP($W$8,Treecost!$B$6:$AH$49,Treecost!$K$2,FALSE)&lt;=V8,V8&lt;=(VLOOKUP($W$8,Treecost!$B$6:$AH$49,Treecost!$L$2,FALSE))),VLOOKUP($W$8,Treecost!$B$6:$AH$49,Treecost!$M$2,FALSE)*AB8/60,0)*IF(V8&gt;='Options and results'!$I$25,'Options and results'!$I$24,1),0))</f>
        <v>0.52</v>
      </c>
      <c r="BG8" s="1020">
        <f>IF(BF8&gt;0,(VLOOKUP($W$8,Treecost!$B$6:$AH$49,Treecost!$N$2,FALSE)*AB8*IF(1+'Options and results'!$Q$22*(V8-1)&gt;0,1+'Options and results'!$Q$22*(V8-1),0)+BF8*$AX$14*IF(1+'Options and results'!$Q$21*(V8-1)&gt;0,1+'Options and results'!$Q$21*(V8-1),0)),0)*IF(V8&gt;='Options and results'!$I$27,'Options and results'!$I$26,1)</f>
        <v>10.399999999999999</v>
      </c>
      <c r="BH8" s="890">
        <f>IF(V8&lt;='Options and results'!$W$20,IF(AND(AG8-AG7&gt;0,AG8&gt;'Options and results'!$M$36),(AB8-AC8)*(VLOOKUP($W$8,Treecost!$B$6:$AH$49,Treecost!$Y$2,FALSE)+(VLOOKUP($W$8,Treecost!$B$6:$AH$49,Treecost!$AA$2,FALSE)-VLOOKUP($W$8,Treecost!$B$6:$AH$49,Treecost!$Y$2,FALSE))/(VLOOKUP($W$8,Treecost!$B$6:$AH$49,Treecost!$Z$2,FALSE)-VLOOKUP($W$8,Treecost!$B$6:$AH$49,Treecost!$X$2,FALSE))*(AG8-VLOOKUP($W$8,Treecost!$B$6:$AH$49,Treecost!$X$2,FALSE)))/60,0)*IF(V8&gt;='Options and results'!$I$25,'Options and results'!$I$24,1),0)</f>
        <v>0</v>
      </c>
      <c r="BI8" s="55">
        <f>IF(V8&lt;='Options and results'!$W$20,IF(BH8&gt;0,VLOOKUP($W$8,Treecost!$B$6:$AH$49,Treecost!$AB$2,FALSE)/60*AB8,0)*IF(V8&gt;='Options and results'!$I$25,'Options and results'!$I$24,1),0)*((BH8-(MIN($BH$8:$BH$67)))/((MAX($BH$8:$BH$67))-(MIN($BH$8:$BH$67))))</f>
        <v>0</v>
      </c>
      <c r="BJ8" s="893">
        <f>IF(BH8&gt;0,(BH8*$AX$15+BI8*$AX$19)*IF(1+'Options and results'!$Q$21*(V8-1)&gt;0,1+'Options and results'!$Q$21*(V8-1),0),0)*IF(V8&gt;='Options and results'!$I$27,'Options and results'!$I$26,1)</f>
        <v>0</v>
      </c>
      <c r="BK8" s="1021">
        <f>IF($W$8=0,0,IF(V8&lt;='Options and results'!$W$20,IF(VLOOKUP($W$8,Treecost!$B$2:$AH$49,Treecost!$O$2,FALSE)=V8,VLOOKUP($W$8,Treecost!$B$2:$AH$49,Treecost!$P$2,FALSE),0)*IF(V8&gt;='Options and results'!$I$25,'Options and results'!$I$24,1),0))</f>
        <v>0</v>
      </c>
      <c r="BL8" s="890">
        <f>IF($W$8=0,0,IF(V8&lt;='Options and results'!$W$20,IF(AND(V8&gt;VLOOKUP($W$8,Treecost!$B$2:$AH$49,Treecost!$O$2,FALSE),V8&lt;=VLOOKUP($W$8,Treecost!$B$2:$AH$49,Treecost!$R$2,FALSE)),VLOOKUP($W$8,Treecost!$B$2:$AH$49,Treecost!$S$2,FALSE),0)*IF(V8&gt;='Options and results'!$I$25,'Options and results'!$I$24,1),0))</f>
        <v>0</v>
      </c>
      <c r="BM8" s="893">
        <f>IF($W$8=0,0,IF(V8&lt;='Options and results'!$W$20,((IF(VLOOKUP($W$8,Treecost!$B$2:$AH$49,Treecost!$O$2,FALSE)=V8,VLOOKUP($W$8,Treecost!$B$2:$AH$49,Treecost!$Q$2,FALSE),0)+IF(AND(V8&gt;VLOOKUP($W$8,Treecost!$B$2:$AH$49,Treecost!$O$2,FALSE),V8&lt;=VLOOKUP($W$8,Treecost!$B$2:$AH$49,Treecost!$R$2,FALSE)),VLOOKUP($W$8,Treecost!$B$2:$AH$49,Treecost!$T$2,FALSE),0)*IF(1+'Options and results'!$Q$22*(V8-1)&gt;0,1+'Options and results'!$Q$22*(V8-1),0))+(BK8*$AX$16+BL8*$AX$17)*IF(1+'Options and results'!$Q$21*(V8-1)&gt;0,1+'Options and results'!$Q$21*(V8-1),0))*IF(V8&gt;='Options and results'!$I$27,'Options and results'!$I$26,1),0))</f>
        <v>0</v>
      </c>
      <c r="BN8" s="892">
        <f>IF($W$8=0,0,IF(V8&lt;='Options and results'!$W$20,IF(AND(V8&gt;=VLOOKUP($W$8,Treecost!$B$2:$W$49,Treecost!$U$2,FALSE),V8&lt;=VLOOKUP($W$8,Treecost!$B$2:$W$49,Treecost!$V$2,FALSE)),(AB8*VLOOKUP($W$8,Treecost!$B$2:$W$49,Treecost!$W$2,FALSE)/60),0)*IF(V8&gt;='Options and results'!$I$25,'Options and results'!$I$24,1),0))</f>
        <v>0</v>
      </c>
      <c r="BO8" s="893">
        <f>BN8*$AX$18*IF(V8&gt;='Options and results'!$I$27,'Options and results'!$I$26,1)*IF(1+'Options and results'!$Q$21*(V8-1)&gt;0,1+'Options and results'!$Q$21*(V8-1),0)</f>
        <v>0</v>
      </c>
      <c r="BP8" s="892">
        <f>IF(V8&lt;='Options and results'!$W$20,IF(AB8&lt;=0,0,VLOOKUP($W$8,Treecost!$B$6:$AH$49,Treecost!$AC$2,FALSE)+VLOOKUP($W$8,Treecost!$B$6:$AH$49,Treecost!$AD$2,FALSE)+IF(AND(V8&gt;=VLOOKUP($W$8,Treecost!$B$2:$AK$49,Treecost!$AI$2,FALSE),V8&lt;=VLOOKUP($W$8,Treecost!$B$2:$AK$49,Treecost!$AJ$2,FALSE)),(VLOOKUP($W$8,Treecost!$B$2:$AK$49,Treecost!$AK$2,FALSE)),0))*IF(V8&gt;='Options and results'!$I$27,'Options and results'!$I$26,1),0)*IF(1+'Options and results'!$Q$22*(V8-1)&gt;0,1+'Options and results'!$Q$22*(V8-1),0)</f>
        <v>3</v>
      </c>
      <c r="BQ8" s="892">
        <f>IF(V8&lt;='Options and results'!$W$20,IF(AC8&gt;0,VLOOKUP($W$8,Treecost!$B$6:$AH$49,Treecost!$AE$2,FALSE)/60*AC8,0)*IF(V8&gt;='Options and results'!$I$25,'Options and results'!$I$24,1),0)</f>
        <v>0</v>
      </c>
      <c r="BR8" s="893">
        <f>IF(V8&lt;='Options and results'!$W$20,IF(AC8&gt;0,VLOOKUP($W$8,Treecost!$B$6:$AH$49,Treecost!$AF$2,FALSE)/60*AC8,0)*IF(V8&gt;='Options and results'!$I$25,'Options and results'!$I$24,1),0)</f>
        <v>0</v>
      </c>
      <c r="BS8" s="893">
        <f>(BQ8*$AX$20+BR8*$AX$21)*IF(V8&gt;='Options and results'!$I$27,'Options and results'!$I$26,1)*IF(1+'Options and results'!$Q$21*(V8-1)&gt;0,1+'Options and results'!$Q$21*(V8-1),0)</f>
        <v>0</v>
      </c>
      <c r="BT8" s="892">
        <f>IF(V8&lt;='Options and results'!$W$20,IF(AD8&gt;0,(VLOOKUP($W$8,Treecost!$B$6:$AH$49,Treecost!$AG$2,FALSE)/60*AD8)*IF(V8&gt;='Options and results'!$I$25,'Options and results'!$I$24,1),0),0)</f>
        <v>0</v>
      </c>
      <c r="BU8" s="893">
        <f>IF(V8&lt;='Options and results'!$W$20,IF(AD8&gt;0,(VLOOKUP($W$8,Treecost!$B$6:$AH$49,Treecost!$AH$2,FALSE)/60*AD8)*IF(V8&gt;='Options and results'!$I$25,'Options and results'!$I$24,1),0),0)</f>
        <v>0</v>
      </c>
      <c r="BV8" s="893">
        <f>(BT8*$AX$22+BU8*$AX$23)*IF(V8&gt;='Options and results'!$I$27,'Options and results'!$I$26,1)*IF(1+'Options and results'!$Q$21*(V8-1)&gt;0,1+'Options and results'!$Q$21*(V8-1),0)</f>
        <v>0</v>
      </c>
      <c r="BW8" s="1017">
        <f>SUM(AY8:BD8)+BF8+BH8+BI8+BQ8+BR8+BT8+BU8+BK8+BL8+BN8</f>
        <v>5.2654545454545456</v>
      </c>
      <c r="BX8" s="1377">
        <f>SUM(AP8,AR8,AS8)</f>
        <v>0</v>
      </c>
      <c r="BY8" s="1377">
        <f>SUM(AT8:AV8)</f>
        <v>0</v>
      </c>
      <c r="BZ8" s="893">
        <f t="shared" ref="BZ8:BZ39" si="124">BV8+BS8+BP8+BJ8+BG8+BE8+BM8+BO8</f>
        <v>706.68363636363631</v>
      </c>
      <c r="CA8" s="893">
        <f>BX8-BZ8</f>
        <v>-706.68363636363631</v>
      </c>
      <c r="CB8" s="892">
        <f>IF($V8&lt;='Options and results'!$W$20,SUM(BX$8:$BX8),0)</f>
        <v>0</v>
      </c>
      <c r="CC8" s="893">
        <f>IF($V8&lt;='Options and results'!$W$20,SUM($BY$8:BY8),0)</f>
        <v>0</v>
      </c>
      <c r="CD8" s="893">
        <f>IF($V8&lt;='Options and results'!$W$20,SUM($BZ$8:BZ8),0)</f>
        <v>706.68363636363631</v>
      </c>
      <c r="CE8" s="893">
        <f>IF(V8&lt;='Options and results'!$W$20,CB8+CC8-CD8,0)</f>
        <v>-706.68363636363631</v>
      </c>
      <c r="CF8" s="1387">
        <f>BX8+(AO8-AO7)+(AQ8-AQ7)</f>
        <v>0.31160706850252901</v>
      </c>
      <c r="CG8" s="1377">
        <f>CF8-BZ8</f>
        <v>-706.37202929513376</v>
      </c>
      <c r="CH8" s="1377">
        <f>BV8</f>
        <v>0</v>
      </c>
      <c r="CI8" s="1380">
        <f>IF(V8&lt;='Options and results'!$W$20,CE8+AO8,0)</f>
        <v>-706.68363636363631</v>
      </c>
      <c r="CJ8" s="1023"/>
      <c r="CK8" s="877">
        <v>1</v>
      </c>
      <c r="CL8" s="1015" t="str">
        <f>IF('Options and results'!$C$54="None",0,IF(AND(CK8&gt;='Options and results'!$K$57,CK7&lt;'Options and results'!$W$20),'Options and results'!$K$56,IF(Optimisation!$B$3="No",CONCATENATE('Options and results'!$C$60," ",(HLOOKUP(CONCATENATE('Options and results'!$C$54," ",Agroforestrysystem!$B$12),Agroforestrysystem!$B$11:$IM$74,$CK8+4,FALSE))),Optimisation!AA28)))</f>
        <v>UK - Agriculture (BPS: from 2015) Wheat</v>
      </c>
      <c r="CM8" s="1434">
        <f>IF(HLOOKUP(CONCATENATE('Options and results'!$C$54," ",Agroforestrysystem!$C$12),Agroforestrysystem!$B$11:$IM$74,$CK8+4,FALSE)="T",(VLOOKUP(CL8,Arablefinance!$Z$6:$AB$105,Arablefinance!$AB$2,FALSE)*CO8+VLOOKUP(CL8,Arablefinance!$Z$6:$AC$105,Arablefinance!$AC$2,FALSE)*CP8)/VLOOKUP(CL8,Arablefinance!$Z$6:$AA$105,Arablefinance!$AA$2,FALSE),0)</f>
        <v>0</v>
      </c>
      <c r="CN8" s="1434">
        <f>IF(CL8=0,0,HLOOKUP(CONCATENATE('Options and results'!$C$54," ",Agroforestrysystem!$D$12),Agroforestrysystem!$B$11:$IM$74,$CK8+4,FALSE))</f>
        <v>0.99</v>
      </c>
      <c r="CO8" s="1435">
        <f ca="1">IF(CL8=0,0,IF(AND(Optimisation!$B$3="yes",Optimisation!$B$4=1,CK8&gt;Optimisation!$B$9),0,HLOOKUP(CONCATENATE('Options and results'!$C$54," ",Agroforestrysystem!$E$12),Agroforestrysystem!$B$11:$IM$74,$CK8+4,FALSE)*IF(CK8&gt;='Options and results'!$J$19,'Options and results'!$J$18,1)))</f>
        <v>10.19</v>
      </c>
      <c r="CP8" s="1435">
        <f ca="1">IF(CL8=0,0,IF(AND(Optimisation!$B$3="yes",Optimisation!$B$4=1,CK8&gt;Optimisation!$B$9),0,HLOOKUP(CONCATENATE('Options and results'!$C$54," ",Agroforestrysystem!$F$12),Agroforestrysystem!$B$11:$IM$74,$CK8+4,FALSE)*IF(CK8&gt;='Options and results'!$J$19,'Options and results'!$J$18,1)))</f>
        <v>4.0759999999999996</v>
      </c>
      <c r="CQ8" s="1436">
        <f ca="1">IF(CN8&lt;=0,0,IF(CK8&lt;='Options and results'!$W$20,IF(CM8&gt;0,VLOOKUP(CL8,Arablefinance!$Z$6:$AE$105,Arablefinance!$AD$2,FALSE)*CM8*CN8,((VLOOKUP(CL8,Arablefinance!$E$6:$H$126,2,FALSE)*CO8+VLOOKUP(CL8,Arablefinance!$E$6:$H$126,3,FALSE)*CP8)*CN8)),0)*IF(CK8&gt;='Options and results'!$J$21,'Options and results'!$J$20,1))*IF(1+'Options and results'!$O$20*(CK8-1)&gt;0,1+'Options and results'!$O$20*(CK8-1),0)</f>
        <v>1902.7277499999998</v>
      </c>
      <c r="CR8" s="1437">
        <f>IF(CN8&lt;=0,0,IF(AND(CM8&gt;0,VLOOKUP(CL8,Arablefinance!$Z$6:$AI$105,Arablefinance!$AI$2,FALSE)=2),VLOOKUP(CL8,Arablefinance!$Z$6:$AE$105,Arablefinance!$AE$2,FALSE)*CM8*CN8,IF('Options and results'!$C$62&gt;0,IF(VLOOKUP(CL8,Arablefinance!$E$6:$W$126,Arablefinance!$H$2,FALSE)*(1-Plot!DM8*'Options and results'!$C$62)&gt;0,VLOOKUP(CL8,Arablefinance!$E$6:$W$126,Arablefinance!$H$2,FALSE)*(1-Plot!DM8*'Options and results'!$C$62),0),IF(CK8&lt;='Options and results'!$W$20,(VLOOKUP(CL8,Arablefinance!$E$6:$W$126,Arablefinance!$H$2,FALSE)*IF('Options and results'!$C$61="area",CN8,'Options and results'!$C$61)),0)))*IF(CK8&gt;='Options and results'!$J$23,'Options and results'!$J$22,1))*IF(AND(1+'Options and results'!$O$23*(CK8-1)&gt;0,1+'Options and results'!$O$23*(CK8-1)&gt;'Options and results'!$S$24),1+'Options and results'!$O$23*(CK8-1),'Options and results'!$S$24)</f>
        <v>0</v>
      </c>
      <c r="CS8" s="1437">
        <f ca="1">CR8+CQ8</f>
        <v>1902.7277499999998</v>
      </c>
      <c r="CT8" s="1437">
        <f>IF(CN8&lt;=0,0,IF(CK8&lt;='Options and results'!$W$20,IF(CM8&gt;0,VLOOKUP(CL8,Arablefinance!$Z$6:$AF$105,Arablefinance!$AF$2,FALSE)*CM8*CN8,VLOOKUP(CL8,Arablefinance!$E$6:$X$126,Arablefinance!$R$2,FALSE)*CN8),0)*IF(CK8&gt;='Options and results'!$J$27,'Options and results'!$J$26,1))*IF(1+'Options and results'!$O$22*(CK8-1)&gt;0,1+'Options and results'!$O$22*(CK8-1),0)</f>
        <v>646.59374999999989</v>
      </c>
      <c r="CU8" s="1437">
        <f ca="1">CS8-CT8</f>
        <v>1256.134</v>
      </c>
      <c r="CV8" s="1437">
        <f>IF(CN8&lt;=0,0,IF(CK8&lt;='Options and results'!$W$20,IF(CM8&gt;0,VLOOKUP(CL8,Arablefinance!$Z$6:$AG$105,Arablefinance!$AG$2,FALSE)*CM8*CN8,VLOOKUP(CL8,Arablefinance!$E$6:$X$126,Arablefinance!$X$2,FALSE)*CN8),0)*IF(CK8&gt;='Options and results'!$J$27,'Options and results'!$J$26,1))*IF(1+'Options and results'!$O$22*(CK8-1)&gt;0,1+'Options and results'!$O$22*(CK8-1),0)</f>
        <v>440</v>
      </c>
      <c r="CW8" s="1438">
        <f>IF(CN8&lt;=0,0,IF(CK8&lt;='Options and results'!$W$20,'Options and results'!$C$27*IF(CK8&gt;='Options and results'!$J$27,'Options and results'!$J$26,1),0))*IF(1+'Options and results'!$O$21*(CK8-1)&gt;0,1+'Options and results'!$O$21*(CK8-1),0)</f>
        <v>14.6</v>
      </c>
      <c r="CX8" s="1438">
        <f>IF(CN8&lt;=0,0,IF(CK8&lt;='Options and results'!$W$20,IF(CM8&gt;0,VLOOKUP(CL8,Arablefinance!$Z$6:$AH$105,Arablefinance!$AH$2,FALSE)*CM8*CN8,VLOOKUP(CL8,Arablefinance!$E$6:$W$126,Arablefinance!$V$2,FALSE)*CN8),0)*IF(CK8&gt;='Options and results'!$J$25,'Options and results'!$J$24,1))</f>
        <v>11.516506250880969</v>
      </c>
      <c r="CY8" s="1436">
        <f>CT8+CV8+CW8*CX8</f>
        <v>1254.7347412628621</v>
      </c>
      <c r="CZ8" s="1439">
        <f ca="1">CQ8+CR8-CY8</f>
        <v>647.99300873713764</v>
      </c>
      <c r="DA8" s="1436">
        <f ca="1">IF($CK8&lt;='Options and results'!$W$20,SUM($CQ$8:CQ8),0)</f>
        <v>1902.7277499999998</v>
      </c>
      <c r="DB8" s="1437">
        <f>IF($CK8&lt;='Options and results'!$W$20,SUM($CR$8:CR8),0)</f>
        <v>0</v>
      </c>
      <c r="DC8" s="1437">
        <f>IF($CK8&lt;='Options and results'!$W$20,SUM($CY$8:CY8),0)</f>
        <v>1254.7347412628621</v>
      </c>
      <c r="DD8" s="1380">
        <f ca="1">IF(CK8&lt;='Options and results'!$W$20,DA8+DB8-DC8,0)</f>
        <v>647.99300873713764</v>
      </c>
      <c r="DE8" s="401"/>
      <c r="DF8" s="877">
        <v>1</v>
      </c>
      <c r="DG8" s="1015" t="str">
        <f>IF('Options and results'!$C$54="None",0,'Options and results'!$C$65)</f>
        <v>UK Poplar Agroforestry England standard EU</v>
      </c>
      <c r="DH8" s="892">
        <f>IF($DG$8=0,0,HLOOKUP(CONCATENATE('Options and results'!$C$54," ",Agroforestrysystem!$G$12),Agroforestrysystem!$11:$74,DF8+3,FALSE))</f>
        <v>100</v>
      </c>
      <c r="DI8" s="1424">
        <f>IF(DF8&lt;='Options and results'!$M$61,'Options and results'!$M$60,0)</f>
        <v>0.1</v>
      </c>
      <c r="DJ8" s="893">
        <f>INT(DI7*(DH7+DK7))</f>
        <v>0</v>
      </c>
      <c r="DK8" s="893">
        <f>INT(DI7*(DH7+DK7))</f>
        <v>0</v>
      </c>
      <c r="DL8" s="1016">
        <f>ROUND(DL7-DN7-DO7+DH8-DJ8+DK8,0)</f>
        <v>100</v>
      </c>
      <c r="DM8" s="1425">
        <f>IF($DG$8=0,0,HLOOKUP(CONCATENATE('Options and results'!$C$54," ",Agroforestrysystem!$J$12),Agroforestrysystem!$11:$74,DF8+3,FALSE))/100</f>
        <v>0</v>
      </c>
      <c r="DN8" s="893">
        <f>IF($DG$8=0,0,IF(HLOOKUP(CONCATENATE('Options and results'!$C$54," ",Agroforestrysystem!$H$12),Agroforestrysystem!$11:$74,DF8+4,FALSE)&lt;DL8,HLOOKUP(CONCATENATE('Options and results'!$C$54," ",Agroforestrysystem!$H$12),Agroforestrysystem!$11:$74,DF8+4,FALSE),0))</f>
        <v>0</v>
      </c>
      <c r="DO8" s="52">
        <f>IF($DG$8=0,0,IF(HLOOKUP(CONCATENATE('Options and results'!$C$54," ",Agroforestrysystem!$H$12),Agroforestrysystem!$11:$74,DF8+4,FALSE)&gt;=DL8,DL8,0))</f>
        <v>0</v>
      </c>
      <c r="DP8" s="53">
        <f>IF($DG$8=0,0,HLOOKUP(CONCATENATE('Options and results'!$C$54," ",Agroforestrysystem!$I$12),Agroforestrysystem!$11:$74,DF8+4,FALSE))</f>
        <v>1.4592525036169861</v>
      </c>
      <c r="DQ8" s="893">
        <f>IF($DG$8=0,0,HLOOKUP('Options and results'!$C$54,Agroforestrysystem!$B$2:$IM$10,9,FALSE))</f>
        <v>8</v>
      </c>
      <c r="DR8" s="1389">
        <f>IF($DG$8=0,0,IF(DF8&gt;'Options and results'!$W$20,0,)+IF(DF8=1,'Options and results'!$M$64)+IF('Options and results'!$M$67="yes",IF(AND(DR7+'Options and results'!$M$65&lt;=$DQ$8,DR7+'Options and results'!$M$65+IF(DF8=1,'Options and results'!$M$64,0)&lt;='Options and results'!$M$66*DP8),DR7+'Options and results'!$M$65,DR7),(HLOOKUP(CONCATENATE('Options and results'!$C$54," ",Agroforestrysystem!$K$12),Agroforestrysystem!$11:$74,DF8+4,FALSE)-IF(DF8=1,'Options and results'!$M$64))))</f>
        <v>0</v>
      </c>
      <c r="DS8" s="893">
        <f>IF(OR($DG$8=0,DL8=0),0,HLOOKUP(CONCATENATE('Options and results'!$C$54," ",Agroforestrysystem!$L$12),Agroforestrysystem!$11:$74,DF8+4,FALSE)*IF(DF8&gt;='Options and results'!$K$19,'Options and results'!$K$18,1))</f>
        <v>1.8120467539768537E-2</v>
      </c>
      <c r="DT8" s="1412">
        <f>IF(DL8&lt;=0,0,(DS8)/(DL8-DN8))</f>
        <v>1.8120467539768537E-4</v>
      </c>
      <c r="DU8" s="890">
        <f>(DN8*DT8)+(DO8*DT8)</f>
        <v>0</v>
      </c>
      <c r="DV8" s="893">
        <f>IF($DG$8=0,0,(HLOOKUP(CONCATENATE('Options and results'!$C$54," ",Agroforestrysystem!$M$12),Agroforestrysystem!$11:$74,DF8+4,FALSE))*IF(DF8&gt;='Options and results'!$K$19,'Options and results'!$K$18,1))-DW8</f>
        <v>7.9901745257927592E-3</v>
      </c>
      <c r="DW8" s="890">
        <f>IF($DG$8=0,0,(HLOOKUP(CONCATENATE('Options and results'!$C$54," ",Agroforestrysystem!$N$12),Agroforestrysystem!$11:$74,DF8+4,FALSE))*IF(DF8&gt;='Options and results'!$K$19,'Options and results'!$K$18,1))</f>
        <v>0</v>
      </c>
      <c r="DX8" s="890">
        <f>IF($DG$8=0,0,HLOOKUP(CONCATENATE('Options and results'!$C$54," ",Agroforestrysystem!$O$12),Agroforestrysystem!$11:$74,DF8+4,FALSE)*IF(DF8&gt;='Options and results'!$K$19,'Options and results'!$K$18,1))</f>
        <v>0</v>
      </c>
      <c r="DY8" s="1426">
        <f>IF(DT8&gt;0,HLOOKUP(DT8,Treevalue!$I$4:$BC$34,'Options and results'!$C$66+1),0)*IF(DF8&gt;='Options and results'!$K$21,'Options and results'!$K$20,1)*IF(1+'Options and results'!$Q$20*(DF8-1)&gt;0,1+'Options and results'!$Q$20*(DF8-1),0)</f>
        <v>0</v>
      </c>
      <c r="DZ8" s="1377">
        <f>DT8*DY8*(DL8-(DN8+DO8))</f>
        <v>0</v>
      </c>
      <c r="EA8" s="1377">
        <f t="shared" ref="EA8:EA67" si="125">(DN8+DO8)*DT8*DY8</f>
        <v>0</v>
      </c>
      <c r="EB8" s="1377">
        <f>(IF('Options and results'!$C$66&gt;0,IF(DF8&lt;='Options and results'!$W$20,VLOOKUP('Options and results'!$C$66,Treevalue!$A$4:$F$34,5,FALSE),0),0)*DV8)*IF(DF8&gt;='Options and results'!$K$21,'Options and results'!$K$20,1)*IF(1+'Options and results'!$Q$20*(DF8-1)&gt;0,1+'Options and results'!$Q$20*(DF8-1),0)</f>
        <v>0.19975436314481898</v>
      </c>
      <c r="EC8" s="893">
        <f>(IF('Options and results'!$C$66&gt;0,IF(DF8&lt;='Options and results'!$W$20,VLOOKUP('Options and results'!$C$66,Treevalue!$A$4:$F$34,5,FALSE),0),0)*DW8)*IF(DF8&gt;='Options and results'!$K$21,'Options and results'!$K$20,1)*IF(1+'Options and results'!$Q$20*(DF8-1)&gt;0,1+'Options and results'!$Q$20*(DF8-1),0)</f>
        <v>0</v>
      </c>
      <c r="ED8" s="890">
        <f>(IF('Options and results'!$C$66&gt;0,IF(DF8&lt;='Options and results'!$W$20,VLOOKUP('Options and results'!$C$66,Treevalue!$A$4:$F$34,6,FALSE),0),0)*DX8)*IF(DF8&gt;='Options and results'!$K$21,'Options and results'!$K$20,1)*IF(1+'Options and results'!$Q$20*(DF8-1)&gt;0,1+'Options and results'!$Q$20*(DF8-1),0)</f>
        <v>0</v>
      </c>
      <c r="EE8" s="893">
        <f>IF(DF8&lt;='Options and results'!$W$20,IF(DL8&lt;=0,0,IF('Options and results'!$C$70="cost",(IF(DF8&lt;='Options and results'!$C$71,FK8*SUM('Options and results'!$C$72:$C$73),0)),IF('Options and results'!$C$68&gt;0,(IF(VLOOKUP('Options and results'!$C$69,Treegrant!$B$6:$L$42,Treegrant!$C$2,FALSE)=DF8,VLOOKUP('Options and results'!$C$69,Treegrant!$B$6:$L$42,Treegrant!$D$2,FALSE),0)+IF(VLOOKUP('Options and results'!$C$69,Treegrant!$B$6:$L$42,Treegrant!$E$2,FALSE)=DF8,VLOOKUP('Options and results'!$C$69,Treegrant!$B$6:$L$42,Treegrant!$F$2,FALSE),0)+IF(VLOOKUP('Options and results'!$C$69,Treegrant!$B$6:$L$42,Treegrant!$G$2,FALSE)=DF8,VLOOKUP('Options and results'!$C$69,Treegrant!$B$6:$L$42,Treegrant!$H$2,FALSE)))*IF('Options and results'!$C$70="area",Unit!C9,'Options and results'!$C$70),0))*IF(DF8&gt;='Options and results'!$K$23,'Options and results'!$K$22,1)),0)*IF(1+'Options and results'!$Q$23*(DF8-1)&gt;0,1+'Options and results'!$Q$23*(DF8-1),0)</f>
        <v>0</v>
      </c>
      <c r="EF8" s="893">
        <f>IF($DG$8=0,0,IF(DF8&lt;='Options and results'!$W$20,IF(DL8&lt;=0,0,IF('Options and results'!$C$68&gt;0,IF(AND(VLOOKUP('Options and results'!$C$69,Treegrant!$B$6:$L$42,Treegrant!$J$2,FALSE)&lt;=DF8,VLOOKUP('Options and results'!$C$69,Treegrant!$B$6:$L$42,Treegrant!$K$2,FALSE)&gt;=DF8),(VLOOKUP('Options and results'!$C$69,Treegrant!$B$6:$L$42,Treegrant!$L$2,FALSE)),0)*IF('Options and results'!$C$74="area",Unit!C9,'Options and results'!$C$74))*IF(DF8&gt;='Options and results'!$K$23,'Options and results'!$K$22,1)),0))*IF(1+'Options and results'!$Q$23*(DF8-1)&gt;0,1+'Options and results'!$Q$23*(DF8-1),0)</f>
        <v>0</v>
      </c>
      <c r="EG8" s="1022">
        <f>IF($DG$8=0,0,IF(DF8&lt;='Options and results'!$W$20,IF(DL8&lt;=0,0,IF('Options and results'!$C$68&gt;0,((IF(AND(VLOOKUP('Options and results'!$C$69,Treegrant!$B$6:$O$42,Treegrant!$M$2,FALSE)&lt;=DF8,VLOOKUP('Options and results'!$C$69,Treegrant!$B$6:$O$42,Treegrant!$N$2,FALSE)&gt;=DF8),(VLOOKUP('Options and results'!$C$69,Treegrant!$B$6:$O$42,Treegrant!$O$2,FALSE)),0)*IF('Options and results'!$C$75="area",Unit!C9,'Options and results'!$C$75))+(IF(AND(VLOOKUP('Options and results'!$C$69,Treegrant!$B$6:$R$42,Treegrant!$P$2,FALSE)&lt;=DF8,VLOOKUP('Options and results'!$C$69,Treegrant!$B$6:$R$42,Treegrant!$Q$2,FALSE)&gt;=DF8),(VLOOKUP('Options and results'!$C$69,Treegrant!$B$6:$R$42,Treegrant!$R$2,FALSE)),0))*IF('Options and results'!$C$76="area",Unit!C9,'Options and results'!$C$76)))*IF(DF8&gt;='Options and results'!$K$23,'Options and results'!$K$22,1)),0))*IF(1+'Options and results'!$Q$23*(DF8-1)&gt;0,1+'Options and results'!$Q$23*(DF8-1),0)</f>
        <v>0</v>
      </c>
      <c r="EH8" s="1017" t="s">
        <v>238</v>
      </c>
      <c r="EI8" s="1024">
        <f>'Options and results'!$S32</f>
        <v>14.6</v>
      </c>
      <c r="EJ8" s="1418">
        <f>IF($DH$8+DK8&lt;1,0,IF(DF8=1,VLOOKUP($DG$8,Treecost!$B$6:$AH$49,Treecost!$E$2,FALSE),0)*IF(DF8&gt;='Options and results'!$K$25,'Options and results'!$K$24,1))</f>
        <v>3.3454545454545452</v>
      </c>
      <c r="EK8" s="890">
        <f>IF($DH$8+DK8&lt;1,0,IF(DF8=1,VLOOKUP($DG$8,Treecost!$B$6:$AH$49,Treecost!$F$2,FALSE),0)*IF(DF8&gt;='Options and results'!$K$25,'Options and results'!$K$24,1))</f>
        <v>1.4</v>
      </c>
      <c r="EL8" s="890">
        <f>IF($DH$8+DK8&lt;1,0,IF(DF8=1,VLOOKUP($DG$8,Treecost!$B$6:$AH$49,Treecost!$G$2,FALSE),0)*IF(DF8&gt;='Options and results'!$K$25,'Options and results'!$K$24,1))</f>
        <v>0</v>
      </c>
      <c r="EM8" s="890">
        <f>IF($DG$8=0,0,IF(DF8&lt;='Options and results'!$W$20,((VLOOKUP($DG$8,Treecost!$B$6:$AH$49,Treecost!$H$2,FALSE)*(DH8+DK8))/60)*IF(DF8&gt;='Options and results'!$K$25,'Options and results'!$K$24,1),0))</f>
        <v>0</v>
      </c>
      <c r="EN8" s="890">
        <f>IF($DG$8=0,0,IF(DF8&lt;='Options and results'!$W$20,(((VLOOKUP($DG$8,Treecost!$B$6:$AH$49,Treecost!$I$2,FALSE))*(DH8+DK8))/60)*IF(DF8&gt;='Options and results'!$K$25,'Options and results'!$K$24,1),0))</f>
        <v>0</v>
      </c>
      <c r="EO8" s="890">
        <f>IF($DG$8=0,0,IF(DF8&lt;='Options and results'!$W$20,(((VLOOKUP($DG$8,Treecost!$B$6:$AH$49,Treecost!$J$2,FALSE))/60)*(DH8+DK8))*IF(DF8&gt;='Options and results'!$K$25,'Options and results'!$K$24,1),0))</f>
        <v>0</v>
      </c>
      <c r="EP8" s="1020">
        <f>IF($DG$8=0,0,IF(DF8&lt;='Options and results'!$W$20,(((VLOOKUP($DG$8,Treecost!$B$6:$AH$49,Treecost!$C$2,FALSE)+VLOOKUP($DG$8,Treecost!$B$6:$AH$49,Treecost!$D$2,FALSE))*(DH8+DK8)*IF(1+'Options and results'!$Q$22*(DF8-1)&gt;0,1+'Options and results'!$Q$22*(DF8-1),0))+(EJ8*$EI$8+EK8*$EI$9+EL8*$EI$10+EM8*$EI$11+EN8*$EI$12+EO8*$EI$13)*IF(1+'Options and results'!$Q$21*(DF8-1)&gt;0,1+'Options and results'!$Q$21*(DF8-1),0))*IF(DF8&gt;='Options and results'!$K$27,'Options and results'!$K$26,1),0))</f>
        <v>469.28363636363633</v>
      </c>
      <c r="EQ8" s="890">
        <f>IF($DG$8=0,0,IF(DF8&lt;='Options and results'!$W$20,IF(AND(VLOOKUP($DG$8,Treecost!$B$6:$AH$49,Treecost!$K$2,FALSE)&lt;=DF8,DF8&lt;=(VLOOKUP($DG$8,Treecost!$B$6:$AH$49,Treecost!$L$2,FALSE))),VLOOKUP($DG$8,Treecost!$B$6:$AH$49,Treecost!$M$2,FALSE)*DL8/60,0)*IF(DF8&gt;='Options and results'!$K$25,'Options and results'!$K$24,1),0))</f>
        <v>0.8833333333333333</v>
      </c>
      <c r="ER8" s="1020">
        <f>IF(EQ8&gt;0,(VLOOKUP($DG$8,Treecost!$B$6:$AH$49,Treecost!$N$2,FALSE)*DL8*IF(1+'Options and results'!$Q$22*(DF8-1)&gt;0,1+'Options and results'!$Q$22*(DF8-1),0)+EQ8*$EI$14*IF(1+'Options and results'!$Q$21*(DF8-1)&gt;0,1+'Options and results'!$Q$21*(DF8-1),0)),0)*IF(DF8&gt;='Options and results'!$K$27,'Options and results'!$K$26,1)</f>
        <v>14.696666666666665</v>
      </c>
      <c r="ES8" s="890">
        <f>IF(DF8&lt;='Options and results'!$W$20,IF(AND(DR8-DR7&gt;0,DR8&gt;'Options and results'!$M$64),(DL8-DN8)*(VLOOKUP($DG$8,Treecost!$B$6:$AH$49,Treecost!$Y$2,FALSE)+(VLOOKUP($DG$8,Treecost!$B$6:$AH$49,Treecost!$AA$2,FALSE)-VLOOKUP($DG$8,Treecost!$B$6:$AH$49,Treecost!$Y$2,FALSE))/(VLOOKUP($DG$8,Treecost!$B$6:$AH$49,Treecost!$Z$2,FALSE)-VLOOKUP($DG$8,Treecost!$B$6:$AH$49,Treecost!$X$2,FALSE))*(DR8-VLOOKUP($DG$8,Treecost!$B$6:$AH$49,Treecost!$X$2,FALSE)))/60,0)*IF(DF8&gt;='Options and results'!$K$25,'Options and results'!$K$24,1),0)</f>
        <v>0</v>
      </c>
      <c r="ET8" s="55">
        <f>IF(DF8&lt;='Options and results'!$W$20,IF(ES8&gt;0,VLOOKUP($DG$8,Treecost!$B$6:$AH$49,Treecost!$AB$2,FALSE)/60*DL8,0)*IF(DF8&gt;='Options and results'!$K$25,'Options and results'!$K$24,1),0)*((ES8-(MIN($ES$8:$ES$67)))/((MAX($ES$8:$ES$67))-(MIN($ES$8:$ES$67))))</f>
        <v>0</v>
      </c>
      <c r="EU8" s="893">
        <f>IF(ES8&gt;0,(ES8*$EI$15+ET8*$EI$19)*IF(1+'Options and results'!$Q$21*(DF8-1)&gt;0,1+'Options and results'!$Q$21*(DF8-1),0),0)*IF(DF8&gt;='Options and results'!$K$27,'Options and results'!$K$26,1)</f>
        <v>0</v>
      </c>
      <c r="EV8" s="1021">
        <f>IF($DG$8=0,0,IF(DF8&lt;='Options and results'!$W$20,IF(AND(VLOOKUP($DG$8,Treecost!$B$2:$AH$49,Treecost!$O$2,FALSE)=DF8,DF8&lt;=IF(AND(Optimisation!$B$3="Yes",Optimisation!$B$4=1),Optimisation!$B$9)),VLOOKUP($DG$8,Treecost!$B$2:$AH$49,Treecost!$P$2,FALSE)*(1-CN8),0)*IF(DF8&gt;='Options and results'!$K$25,'Options and results'!$K$24,1),0))</f>
        <v>0</v>
      </c>
      <c r="EW8" s="890">
        <f>IF($DG$8=0,0,IF(DF8&lt;='Options and results'!$W$20,IF(AND(DF8&gt;VLOOKUP($DG$8,Treecost!$B$2:$AH$49,Treecost!$O$2,FALSE),DF8&lt;=IF(AND(Optimisation!$B$3="Yes",Optimisation!$B$4=1),Optimisation!$B$9,VLOOKUP($DG$8,Treecost!$B$2:$AH$49,Treecost!$R$2,FALSE))),VLOOKUP($DG$8,Treecost!$B$2:$AH$49,Treecost!$S$2,FALSE)*(1-CN8),0)*IF(DF8&gt;='Options and results'!$K$25,'Options and results'!$K$24,1),0))</f>
        <v>0</v>
      </c>
      <c r="EX8" s="893">
        <f>IF($DG$8=0,0,IF(DF8&lt;='Options and results'!$W$20,(IF(AND(VLOOKUP($DG$8,Treecost!$B$2:$AH$49,Treecost!$O$2,FALSE)=DF8,DF8&lt;=IF(AND(Optimisation!$B$3="Yes",Optimisation!$B$4=1),Optimisation!$B$9)),VLOOKUP($DG$8,Treecost!$B$2:$AH$49,Treecost!$Q$2,FALSE),0)*(1-CN8)+IF(AND(DF8&gt;VLOOKUP($DG$8,Treecost!$B$2:$AH$49,Treecost!$O$2,FALSE),DF8&lt;=IF(AND(Optimisation!$B$3="Yes",Optimisation!$B$4=1),Optimisation!$B$9,VLOOKUP($DG$8,Treecost!$B$2:$AH$49,Treecost!$R$2,FALSE))),VLOOKUP($DG$8,Treecost!$B$2:$AH$49,Treecost!$T$2,FALSE),0)*(1-CN8)+(EV8*$EI$16+EW8*$EI$17))*IF(DF8&gt;='Options and results'!$K$27,'Options and results'!$K$26,1),0))*IF(1+'Options and results'!$Q$21*(DF8-1)&gt;0,1+'Options and results'!$Q$21*(DF8-1),0)</f>
        <v>0</v>
      </c>
      <c r="EY8" s="892">
        <f>IF($DG$8=0,0,IF(DF8&lt;='Options and results'!$W$20,IF(AND(DF8&gt;=VLOOKUP($DG$8,Treecost!$B$2:$W$49,Treecost!$U$2,FALSE),DF8&lt;=VLOOKUP($DG$8,Treecost!$B$2:$W$49,Treecost!$V$2,FALSE)),(DL8*VLOOKUP($DG$8,Treecost!$B$2:$W$49,Treecost!$W$2,FALSE)/60),0)*IF(DF8&gt;='Options and results'!$K$25,'Options and results'!$K$24,1),0))</f>
        <v>0</v>
      </c>
      <c r="EZ8" s="893">
        <f>EY8*$EI$18*IF(DF8&gt;='Options and results'!$K$27,'Options and results'!$K$26,1)*IF(1+'Options and results'!$Q$21*(DF8-1)&gt;0,1+'Options and results'!$Q$21*(DF8-1),0)</f>
        <v>0</v>
      </c>
      <c r="FA8" s="892">
        <f>IF(DF8&lt;='Options and results'!$W$20,IF(DL8&lt;=0,0,VLOOKUP($DG$8,Treecost!$B$6:$AH$49,Treecost!$AC$2,FALSE)+VLOOKUP($DG$8,Treecost!$B$6:$AH$49,Treecost!$AD$2,FALSE)+IF(AND(DF8&gt;=VLOOKUP($DG$8,Treecost!$B$2:$AK$49,Treecost!$AI$2,FALSE),DF8&lt;=VLOOKUP($DG$8,Treecost!$B$2:$AK$49,Treecost!$AJ$2,FALSE)),VLOOKUP($DG$8,Treecost!$B$2:$AK$49,Treecost!$AK$2,FALSE)*(1-CN8),0))*IF(DF8&gt;='Options and results'!$K$27,'Options and results'!$K$26,1),0)*IF(1+'Options and results'!$Q$22*(DF8-1)&gt;0,1+'Options and results'!$Q$22*(DF8-1),0)</f>
        <v>3</v>
      </c>
      <c r="FB8" s="892">
        <f>IF(DF8&lt;='Options and results'!$W$20,IF(DN8&gt;0,VLOOKUP($DG$8,Treecost!$B$6:$AH$49,Treecost!$AE$2,FALSE)/60*DN8,0)*IF(DF8&gt;='Options and results'!$K$25,'Options and results'!$K$24,1),0)</f>
        <v>0</v>
      </c>
      <c r="FC8" s="893">
        <f>IF(DF8&lt;='Options and results'!$W$20,IF(DN8&gt;0,VLOOKUP($DG$8,Treecost!$B$6:$AH$49,Treecost!$AF$2,FALSE)/60*DN8,0)*IF(DF8&gt;='Options and results'!$K$25,'Options and results'!$K$24,1),0)</f>
        <v>0</v>
      </c>
      <c r="FD8" s="893">
        <f>(FB8*$EI$20+FC8*$EI$21)*IF(DF8&gt;='Options and results'!$K$27,'Options and results'!$K$26,1)*IF(1+'Options and results'!$Q$21*(DF8-1)&gt;0,1+'Options and results'!$Q$21*(DF8-1),0)</f>
        <v>0</v>
      </c>
      <c r="FE8" s="892">
        <f>IF(DF8&lt;='Options and results'!$W$20,IF(DO8&gt;0,(VLOOKUP($DG$8,Treecost!$B$6:$AH$49,Treecost!$AG$2,FALSE)/60*DO8)*IF(DF8&gt;='Options and results'!$K$25,'Options and results'!$K$24,1),0),0)</f>
        <v>0</v>
      </c>
      <c r="FF8" s="893">
        <f>IF(DF8&lt;='Options and results'!$W$20,IF(DO8&gt;0,(VLOOKUP($DG$8,Treecost!$B$6:$AH$49,Treecost!$AH$2,FALSE)/60*DO8)*IF(DF8&gt;='Options and results'!$K$25,'Options and results'!$K$24,1),0),0)</f>
        <v>0</v>
      </c>
      <c r="FG8" s="893">
        <f>(FE8*$EI$22+FF8*$EI$23)*IF(DF8&gt;='Options and results'!$K$27,'Options and results'!$K$26,1)*IF(1+'Options and results'!$Q$21*(DF8-1)&gt;0,1+'Options and results'!$Q$21*(DF8-1),0)</f>
        <v>0</v>
      </c>
      <c r="FH8" s="892">
        <f>SUM(EJ8:EO8)+EQ8+ES8+ET8+FB8+FC8+FE8+FF8+EV8+EW8+EY8</f>
        <v>5.6287878787878789</v>
      </c>
      <c r="FI8" s="1377">
        <f>EA8+EC8+ED8</f>
        <v>0</v>
      </c>
      <c r="FJ8" s="1377">
        <f>EE8+EF8+EG8</f>
        <v>0</v>
      </c>
      <c r="FK8" s="1377">
        <f>FG8+FD8+FA8+EU8+ER8+EP8+EX8+EZ8</f>
        <v>486.98030303030299</v>
      </c>
      <c r="FL8" s="1377">
        <f>FI8-FK8</f>
        <v>-486.98030303030299</v>
      </c>
      <c r="FM8" s="1377">
        <f>IF($DF8&lt;='Options and results'!$W$20,SUM(FI$8:$FI8),0)</f>
        <v>0</v>
      </c>
      <c r="FN8" s="1377">
        <f>IF($DF8&lt;='Options and results'!$W$20,SUM($FJ$8:FJ8),0)</f>
        <v>0</v>
      </c>
      <c r="FO8" s="1377">
        <f>IF($DF8&lt;='Options and results'!$W$20,SUM($FK$8:FK8),0)</f>
        <v>486.98030303030299</v>
      </c>
      <c r="FP8" s="1377">
        <f>IF($DF8&lt;='Options and results'!$W$20,FM8+FN8-FO8,0)</f>
        <v>-486.98030303030299</v>
      </c>
      <c r="FQ8" s="1377">
        <f>FI8+(DZ8-DZ7)+(EB8-EB7)</f>
        <v>0.19975436314481898</v>
      </c>
      <c r="FR8" s="1377">
        <f>FQ8-FK8</f>
        <v>-486.7805486671582</v>
      </c>
      <c r="FS8" s="1377">
        <f>FG8</f>
        <v>0</v>
      </c>
      <c r="FT8" s="1380">
        <f>IF(DF8&lt;='Options and results'!$W$20,FP8+DZ8,0)</f>
        <v>-486.98030303030299</v>
      </c>
      <c r="FU8" s="401"/>
      <c r="FV8" s="877">
        <v>1</v>
      </c>
      <c r="FW8" s="892">
        <f>G8/(1+'Options and results'!$W$33)^(FV8-1)</f>
        <v>1870.7033750066644</v>
      </c>
      <c r="FX8" s="893">
        <f>(AP8+AR8+AS8)/(1+'Options and results'!$W$33)^(FV8-1)</f>
        <v>0</v>
      </c>
      <c r="FY8" s="893">
        <f ca="1">CQ8/(1+'Options and results'!$W$33)^(FV8-1)</f>
        <v>1902.7277499999998</v>
      </c>
      <c r="FZ8" s="893">
        <f>(EA8+EC8+ED8)/(1+'Options and results'!$W$33)^(FV8-1)</f>
        <v>0</v>
      </c>
      <c r="GA8" s="1020">
        <f ca="1">FY8+FZ8</f>
        <v>1902.7277499999998</v>
      </c>
      <c r="GB8" s="1376">
        <f>(AO8+AQ8)/(1+'Options and results'!$W$33)^(FV8-1)+FX8</f>
        <v>0.31160706850252901</v>
      </c>
      <c r="GC8" s="1377">
        <f>IF(FV8&gt;'Options and results'!$W$27,0,GB8-GB7)</f>
        <v>0.31160706850252901</v>
      </c>
      <c r="GD8" s="1377">
        <f>(DZ8+EB8)/(1+'Options and results'!$W$33)^(FV8-1)+FZ8</f>
        <v>0.19975436314481898</v>
      </c>
      <c r="GE8" s="1378">
        <f>IF(FV8&gt;'Options and results'!$W$27,0,GD8-GD7)</f>
        <v>0.19975436314481898</v>
      </c>
      <c r="GF8" s="892">
        <f>IF(FV8&lt;='Options and results'!$W$20,SUM(FW$8:FW8),0)</f>
        <v>1870.7033750066644</v>
      </c>
      <c r="GG8" s="893">
        <f>IF(FV8&lt;='Options and results'!$W$20,SUM(FX$8:FX8), 0)</f>
        <v>0</v>
      </c>
      <c r="GH8" s="893">
        <f ca="1">IF(FV8&lt;='Options and results'!$W$20,SUM(FY$8:FY8),0)</f>
        <v>1902.7277499999998</v>
      </c>
      <c r="GI8" s="893">
        <f>IF(FV8&lt;='Options and results'!$W$20,SUM(FZ$8:FZ8),0)</f>
        <v>0</v>
      </c>
      <c r="GJ8" s="1020">
        <f ca="1">GH8+GI8</f>
        <v>1902.7277499999998</v>
      </c>
      <c r="GK8" s="892">
        <f>IF(FV8&gt;'Options and results'!$W$27,0,GG8+SUM(GC$8:GC8)-FX8)</f>
        <v>0.31160706850252901</v>
      </c>
      <c r="GL8" s="893">
        <f>IF(FV8&lt;='Options and results'!$W$20,SUM(GD$8:GD8),0)</f>
        <v>0.19975436314481898</v>
      </c>
      <c r="GM8" s="1022">
        <f ca="1">GL8+GH8</f>
        <v>1902.9275043631446</v>
      </c>
      <c r="GN8" s="401"/>
      <c r="GO8" s="877">
        <v>1</v>
      </c>
      <c r="GP8" s="892">
        <f>H8/(1+'Options and results'!$W$33)^(GO8-1)</f>
        <v>235.2</v>
      </c>
      <c r="GQ8" s="893">
        <f>SUM(AT8:AV8)/(1+'Options and results'!$W$33)^(GO8-1)</f>
        <v>0</v>
      </c>
      <c r="GR8" s="893">
        <f>CR8/(1+'Options and results'!$W$33)^(GO8-1)</f>
        <v>0</v>
      </c>
      <c r="GS8" s="893">
        <f>SUM(EE8:EG8)/(1+'Options and results'!$W$33)^(GO8-1)</f>
        <v>0</v>
      </c>
      <c r="GT8" s="1020">
        <f>GR8+GS8</f>
        <v>0</v>
      </c>
      <c r="GU8" s="892">
        <f>IF(GO8&lt;='Options and results'!$W$20,SUM(GP$8:GP8),0)</f>
        <v>235.2</v>
      </c>
      <c r="GV8" s="893">
        <f>IF(GO8&lt;='Options and results'!$W$20,SUM(GQ$8:GQ8),0)</f>
        <v>0</v>
      </c>
      <c r="GW8" s="893">
        <f>IF(GO8&lt;='Options and results'!$W$20,SUM(GR$8:GR8),0)</f>
        <v>0</v>
      </c>
      <c r="GX8" s="893">
        <f>IF(GO8&lt;='Options and results'!$W$20,SUM(GS$8:GS8),0)</f>
        <v>0</v>
      </c>
      <c r="GY8" s="1022">
        <f>IF(GO8&lt;='Options and results'!$W$20,SUM(GT$8:GT8),0)</f>
        <v>0</v>
      </c>
      <c r="GZ8" s="401"/>
      <c r="HA8" s="877">
        <v>1</v>
      </c>
      <c r="HB8" s="1376">
        <f>(J8+L8+(M8*N8))/(1+'Options and results'!$W$33)^(HA8-1)</f>
        <v>1267.4088295584465</v>
      </c>
      <c r="HC8" s="893">
        <f>BZ8/(1+'Options and results'!$W$33)^(HA8-1)</f>
        <v>706.68363636363631</v>
      </c>
      <c r="HD8" s="1377">
        <f>(CT8+CV8+(CW8*CX8))/(1+'Options and results'!$W$33)^(HA8-1)</f>
        <v>1254.7347412628621</v>
      </c>
      <c r="HE8" s="893">
        <f>FK8/(1+'Options and results'!$W$33)^(HA8-1)</f>
        <v>486.98030303030299</v>
      </c>
      <c r="HF8" s="1020">
        <f>HD8+HE8</f>
        <v>1741.7150442931652</v>
      </c>
      <c r="HG8" s="892">
        <f>IF(HA8&lt;='Options and results'!$W$20,SUM(HB$8:HB8),0)</f>
        <v>1267.4088295584465</v>
      </c>
      <c r="HH8" s="893">
        <f>IF(HA8&lt;='Options and results'!$W$20,SUM(HC$8:HC8),0)</f>
        <v>706.68363636363631</v>
      </c>
      <c r="HI8" s="893">
        <f>IF(HA8&lt;='Options and results'!$W$20,SUM(HD$8:HD8),0)</f>
        <v>1254.7347412628621</v>
      </c>
      <c r="HJ8" s="893">
        <f>IF(HA8&lt;='Options and results'!$W$20,SUM(HE$8:HE8),0)</f>
        <v>486.98030303030299</v>
      </c>
      <c r="HK8" s="1022">
        <f>IF(HA8&lt;='Options and results'!$W$20,SUM(HF$8:HF8),0)</f>
        <v>1741.7150442931652</v>
      </c>
      <c r="HL8" s="405"/>
      <c r="HM8" s="1417">
        <v>1</v>
      </c>
      <c r="HN8" s="1376">
        <f>FW8+GP8-HB8</f>
        <v>838.49454544821765</v>
      </c>
      <c r="HO8" s="1377">
        <f>FX8+GQ8-HC8</f>
        <v>-706.68363636363631</v>
      </c>
      <c r="HP8" s="1377">
        <f ca="1">FY8+GR8-HD8</f>
        <v>647.99300873713764</v>
      </c>
      <c r="HQ8" s="1377">
        <f>FZ8+GS8-HE8</f>
        <v>-486.98030303030299</v>
      </c>
      <c r="HR8" s="1377">
        <f>GC8-GQ8-HC8</f>
        <v>-706.37202929513376</v>
      </c>
      <c r="HS8" s="1378">
        <f>GE8+GS8-HE8</f>
        <v>-486.7805486671582</v>
      </c>
      <c r="HT8" s="1376">
        <f>IF($HM8&lt;='Options and results'!$W$20,SUM(HN$8:HN8),0)</f>
        <v>838.49454544821765</v>
      </c>
      <c r="HU8" s="1377">
        <f>IF($HM8&lt;='Options and results'!$W$20,SUM(HO$8:HO8),0)</f>
        <v>-706.68363636363631</v>
      </c>
      <c r="HV8" s="1377">
        <f ca="1">IF($HM8&lt;='Options and results'!$W$20,SUM(HP$8:HP8),0)</f>
        <v>647.99300873713764</v>
      </c>
      <c r="HW8" s="1377">
        <f>IF($HM8&lt;='Options and results'!$W$20,SUM(HQ$8:HQ8),0)</f>
        <v>-486.98030303030299</v>
      </c>
      <c r="HX8" s="1377">
        <f ca="1">HV8+HW8</f>
        <v>161.01270570683465</v>
      </c>
      <c r="HY8" s="1377">
        <f>IF($HM8&lt;='Options and results'!$W$20,SUM(HR$8:HR8),0)</f>
        <v>-706.37202929513376</v>
      </c>
      <c r="HZ8" s="1377">
        <f>IF($HM8&lt;='Options and results'!$W$20,SUM(HS$8:HS8),0)</f>
        <v>-486.7805486671582</v>
      </c>
      <c r="IA8" s="1380">
        <f ca="1">HZ8+HV8</f>
        <v>161.21246006997944</v>
      </c>
    </row>
    <row r="9" spans="1:235" ht="15.75" thickTop="1" x14ac:dyDescent="0.25">
      <c r="A9" s="1010">
        <f t="shared" ref="A9:A67" si="126">1+A8</f>
        <v>2</v>
      </c>
      <c r="B9" s="1011" t="str">
        <f>IF('Options and results'!$C$17="None",0,CONCATENATE('Options and results'!$C$23," ",(HLOOKUP(CONCATENATE('Options and results'!$C$17," ",Arablesystem!$B$11),Arablesystem!$B$10:$ER$72,$A9+3,FALSE))))</f>
        <v>UK - Agriculture (BPS: from 2015) Wheat</v>
      </c>
      <c r="C9" s="1012">
        <f>IF(HLOOKUP(CONCATENATE('Options and results'!$C$17," ",Arablesystem!$C$11),Arablesystem!$B$10:$ER$72,$A9+3,FALSE)="T",(VLOOKUP(B9,Arablefinance!$Z$6:$AB$105,Arablefinance!$AB$2,FALSE)*E9+VLOOKUP(B9,Arablefinance!$Z$6:$AC$105,Arablefinance!$AC$2,FALSE)*F9)/VLOOKUP(B9,Arablefinance!$Z$6:$AA$105,Arablefinance!$AA$2,FALSE),0)</f>
        <v>0</v>
      </c>
      <c r="D9" s="1012">
        <f>IF(B9=0,0,HLOOKUP(CONCATENATE('Options and results'!$C$17," ",Arablesystem!$D$11),Arablesystem!$B$10:$ER$72,$A9+3,FALSE))</f>
        <v>1</v>
      </c>
      <c r="E9" s="1440">
        <f>IF(B9=0,0,HLOOKUP(CONCATENATE('Options and results'!$C$17," ",Arablesystem!$E$11),Arablesystem!$B$10:$ER$72,$A9+3,FALSE)*IF(A9&gt;='Options and results'!$H$19,'Options and results'!$H$18,1))</f>
        <v>8.0775971559440496</v>
      </c>
      <c r="F9" s="1440">
        <f>IF(B9=0,0,HLOOKUP(CONCATENATE('Options and results'!$C$17," ",Arablesystem!$F$11),Arablesystem!$B$10:$ER$72,$A9+3,FALSE)*IF(A9&gt;='Options and results'!$H$19,'Options and results'!$H$18,1))</f>
        <v>3.2310388623776198</v>
      </c>
      <c r="G9" s="1013">
        <f>IF(D9&lt;=0,0,IF(A9&lt;='Options and results'!$W$20,IF(C9&gt;0,VLOOKUP(B9,Arablefinance!$Z$6:$AE$105,Arablefinance!$AD$2,FALSE)*C9*D9,((VLOOKUP(B9,Arablefinance!$E$6:$G$126,Arablefinance!$F$2,FALSE)*(E9*D9)+VLOOKUP(B9,Arablefinance!$E$6:$G$126,Arablefinance!$G$2,FALSE)*(F9*D9)))),0)*IF(A9&gt;='Options and results'!$H$21,'Options and results'!$H$20,1))*IF(1+'Options and results'!$O$20*(A9-1)&gt;0,1+'Options and results'!$O$20*(A9-1),0)</f>
        <v>1523.5245746905582</v>
      </c>
      <c r="H9" s="1441">
        <f>IF(D9&lt;=0,0,IF(A9&lt;='Options and results'!$W$20,IF(AND(C9&gt;0,VLOOKUP(B9,Arablefinance!$Z$6:$AI$105,Arablefinance!$AI$2,FALSE)=2),VLOOKUP(B9,Arablefinance!$Z$6:$AE$105,Arablefinance!$AE$2,FALSE)*C9*D9,(VLOOKUP(B9,Arablefinance!$E$6:$H$126,Arablefinance!$H$2,FALSE)*D9))*IF(A9&gt;='Options and results'!$H$23,'Options and results'!$H$22,1),0)*IF(AND(1+'Options and results'!$O$23*(A9-1)&gt;0,1+'Options and results'!$O$23*(A9-1)&gt;'Options and results'!$S$24),1+'Options and results'!$O$23*(A9-1),'Options and results'!$S$24))</f>
        <v>235.2</v>
      </c>
      <c r="I9" s="1441">
        <f t="shared" ref="I9:I67" si="127">H9+G9</f>
        <v>1758.7245746905583</v>
      </c>
      <c r="J9" s="1441">
        <f>IF(D9&lt;=0,0,IF(A9&lt;='Options and results'!$W$20,IF(C9&gt;0,VLOOKUP(B9,Arablefinance!$Z$6:$AF$105,Arablefinance!$AF$2,FALSE)*C9*D9,(VLOOKUP(B9,Arablefinance!$E$6:$X$126,Arablefinance!$R$2,FALSE))*D9),0)*IF(A9&gt;='Options and results'!$H$27,'Options and results'!$H$26,1))*IF(1+'Options and results'!$O$22*(A9-1)&gt;0,1+'Options and results'!$O$22*(A9-1),0)</f>
        <v>653.12499999999989</v>
      </c>
      <c r="K9" s="1441">
        <f t="shared" ref="K9:K67" si="128">I9-J9</f>
        <v>1105.5995746905583</v>
      </c>
      <c r="L9" s="1441">
        <f>IF(D9&lt;=0,0,IF(A9&lt;='Options and results'!$W$20,IF(C9&gt;0,VLOOKUP(B9,Arablefinance!$Z$6:$AG$105,Arablefinance!$AG$2,FALSE)*C9*D9,VLOOKUP(B9,Arablefinance!$E$6:$X$126,Arablefinance!$X$2,FALSE)*D9),0)*IF(A9&gt;='Options and results'!$H$27,'Options and results'!$H$26,1))*IF(1+'Options and results'!$O$22*(A9-1)&gt;0,1+'Options and results'!$O$22*(A9-1),0)</f>
        <v>444.44444444444446</v>
      </c>
      <c r="M9" s="1442">
        <f>IF(D9&lt;=0,0,IF(A9&lt;='Options and results'!$W$20,'Options and results'!$C$27,0)*IF(A9&gt;='Options and results'!$H$27,'Options and results'!$H$26,1))*IF(1+'Options and results'!$O$21*(A9-1)&gt;0,1+'Options and results'!$O$21*(A9-1),0)</f>
        <v>14.6</v>
      </c>
      <c r="N9" s="1442">
        <f>IF(D9&lt;=0,0,IF(A9&lt;='Options and results'!$W$20,IF(C9&gt;0,VLOOKUP(B9,Arablefinance!$Z$6:$AH$105,Arablefinance!$AH$2,FALSE)*C9*D9,VLOOKUP(B9,Arablefinance!$E$6:$W$126,Arablefinance!$V$2,FALSE)*D9),0)*IF(A9&gt;='Options and results'!$H$25,'Options and results'!$H$24,1))</f>
        <v>11.632834596849463</v>
      </c>
      <c r="O9" s="1013">
        <f t="shared" ref="O9:O67" si="129">J9+L9+M9*N9</f>
        <v>1267.4088295584465</v>
      </c>
      <c r="P9" s="1353">
        <f t="shared" ref="P9:P67" si="130">K9-L9-(M9*N9)</f>
        <v>491.3157451321116</v>
      </c>
      <c r="Q9" s="1013">
        <f>IF(A9&lt;='Options and results'!$W$20,SUM(G$8:$G9),0)</f>
        <v>3394.2279496972224</v>
      </c>
      <c r="R9" s="1441">
        <f>IF($A9&lt;='Options and results'!$W$20,SUM($H$8:H9),0)</f>
        <v>470.4</v>
      </c>
      <c r="S9" s="1441">
        <f>IF($A9&lt;='Options and results'!$W$20,SUM($O$8:O9),0)</f>
        <v>2534.8176591168931</v>
      </c>
      <c r="T9" s="1032">
        <f>IF(A9&lt;='Options and results'!$W$20,Q9+R9-S9,0)</f>
        <v>1329.8102905803294</v>
      </c>
      <c r="U9" s="405"/>
      <c r="V9" s="1010">
        <f t="shared" ref="V9:V67" si="131">V8+1</f>
        <v>2</v>
      </c>
      <c r="W9" s="1028"/>
      <c r="X9" s="1029"/>
      <c r="Y9" s="1030">
        <f>IF(V9&lt;='Options and results'!$M$34,'Options and results'!$M$33,0)</f>
        <v>0</v>
      </c>
      <c r="Z9" s="1441">
        <f t="shared" ref="Z9:Z67" si="132">INT(Y8*(X8+AA8))</f>
        <v>15</v>
      </c>
      <c r="AA9" s="1441">
        <f t="shared" ref="AA9:AA67" si="133">INT(Y8*(X8+AA8))</f>
        <v>15</v>
      </c>
      <c r="AB9" s="1428">
        <f t="shared" ref="AB9:AB67" si="134">ROUND(AB8-AC8-AD8+X9-Z9+AA9,0)</f>
        <v>156</v>
      </c>
      <c r="AC9" s="1441">
        <f>IF($W$8=0,0,IF(HLOOKUP(CONCATENATE('Options and results'!$C$32," ",Forestrysystem!$C$8),Forestrysystem!$A$7:$IH$70,V9+4,FALSE)&lt;AB9,HLOOKUP(CONCATENATE('Options and results'!$C$32," ",Forestrysystem!$C$8),Forestrysystem!$A$7:$IH$70,V9+4,FALSE),0))</f>
        <v>0</v>
      </c>
      <c r="AD9" s="1441">
        <f>IF($W$8=0,0,IF(HLOOKUP(CONCATENATE('Options and results'!$C$32," ",Forestrysystem!$C$8),Forestrysystem!$A$7:$IH$70,V9+4,FALSE)&gt;=AB9,AB9,0))</f>
        <v>0</v>
      </c>
      <c r="AE9" s="1440">
        <f>IF($W$8=0,0,HLOOKUP(CONCATENATE('Options and results'!$C$32," ",Forestrysystem!$D$8),Forestrysystem!$A$7:$IH$70,$V9+4,FALSE))</f>
        <v>1.8299207624268055</v>
      </c>
      <c r="AF9" s="1031"/>
      <c r="AG9" s="1440">
        <f>IF($W$8=0,0,IF(V9=1,'Options and results'!$M$36,0)+IF('Options and results'!$M$39="yes",IF(AND(AG8+'Options and results'!$M$37&lt;=$AF$8,AG8+'Options and results'!$M$37+IF(V9=1,'Options and results'!$M$36,0)&lt;='Options and results'!$M$38*AE9),AG8+'Options and results'!$M$37,AG8),(HLOOKUP(CONCATENATE('Options and results'!$C$32," ",Forestrysystem!$E$8),Forestrysystem!$A$7:$IH$70,V9+4,FALSE))-IF(V9=1,'Options and results'!$M$36,0)))</f>
        <v>0</v>
      </c>
      <c r="AH9" s="1442">
        <f>IF(OR($W$8=0,AB9&lt;=0),0,(HLOOKUP(CONCATENATE('Options and results'!$C$32," ",Forestrysystem!$F$8),Forestrysystem!$A$7:$IH$70,$V9+4,FALSE)) * IF(V9&gt;='Options and results'!$I$19,'Options and results'!$I$18,1) )</f>
        <v>5.5744177291407571E-2</v>
      </c>
      <c r="AI9" s="1452">
        <f>IF(AB9&lt;=0,0,AH9/(AB9-AC9))</f>
        <v>3.5733446981671521E-4</v>
      </c>
      <c r="AJ9" s="1442">
        <f t="shared" ref="AJ9:AJ67" si="135">(AC9*AI9)+(AD9*AI9)</f>
        <v>0</v>
      </c>
      <c r="AK9" s="1453">
        <f>IF(OR($W$8=0,AE9&lt;=0),0,(HLOOKUP(CONCATENATE('Options and results'!$C$32," ",Forestrysystem!$G$8),Forestrysystem!$A$7:$IH$70,$V9+4,FALSE)) * IF(Y9&gt;='Options and results'!$I$19,'Options and results'!$I$18,1) )</f>
        <v>2.4580254586564015E-2</v>
      </c>
      <c r="AL9" s="1453">
        <f>IF($W$8=0,0,HLOOKUP(CONCATENATE('Options and results'!$C$32," ",Forestrysystem!$H$8),Forestrysystem!$A$7:$IH$70,$V9+4,FALSE)*IF(V9&gt;='Options and results'!$I$19,'Options and results'!$I$18,1))</f>
        <v>0</v>
      </c>
      <c r="AM9" s="1383">
        <f>IF($W$8=0,0,HLOOKUP(CONCATENATE('Options and results'!$C$32," ",Forestrysystem!$I$8),Forestrysystem!$A$7:$IH$70,$V9+4,FALSE)*IF(V9&gt;='Options and results'!$I$19,'Options and results'!$I$18,1))</f>
        <v>0</v>
      </c>
      <c r="AN9" s="1382">
        <f>IF(AI9&gt;0,HLOOKUP(AI9,Treevalue!$I$4:$BC$34,'Options and results'!$C$39+1),0)*IF(V9&gt;='Options and results'!$I$21,'Options and results'!$I$20,1)*IF(1+'Options and results'!$Q$20*(V9-1)&gt;0,1+'Options and results'!$Q$20*(V9-1),0)</f>
        <v>0</v>
      </c>
      <c r="AO9" s="1454">
        <f t="shared" ref="AO9:AO67" si="136">AI9*AN9*(AB9-(AC9+AD9))</f>
        <v>0</v>
      </c>
      <c r="AP9" s="1454">
        <f t="shared" ref="AP9:AP39" si="137">(AC9+AD9)*AI9*AN9</f>
        <v>0</v>
      </c>
      <c r="AQ9" s="1454">
        <f>(IF('Options and results'!$C$39&gt;0,IF(V9&lt;='Options and results'!$W$20,VLOOKUP('Options and results'!$C$39,Treevalue!$A$4:$F$34,5,FALSE),0),0)*AK9)*IF(V9&gt;='Options and results'!$I$21,'Options and results'!$I$20,1)*IF(1+'Options and results'!$Q$20*(V9-1)&gt;0,1+'Options and results'!$Q$20*(V9-1),0)-AR9</f>
        <v>0.61450636466410036</v>
      </c>
      <c r="AR9" s="1441">
        <f>(IF('Options and results'!$C$39&gt;0,IF(V9&lt;='Options and results'!$W$20,VLOOKUP('Options and results'!$C$39,Treevalue!$A$4:$F$34,5,FALSE),0),0)*AL9)*IF(V9&gt;='Options and results'!$I$21,'Options and results'!$I$20,1)*IF(1+'Options and results'!$Q$20*(V9-1)&gt;0,1+'Options and results'!$Q$20*(V9-1),0)</f>
        <v>0</v>
      </c>
      <c r="AS9" s="1441">
        <f>(IF('Options and results'!$C$39&gt;0,IF(V9&lt;='Options and results'!$W$20,VLOOKUP('Options and results'!$C$39,Treevalue!$A$4:$F$34,6,FALSE),0),0)*AM9)*IF(V9&gt;='Options and results'!$I$21,'Options and results'!$I$20,1)*IF(1+'Options and results'!$Q$20*(V9-1)&gt;0,1+'Options and results'!$Q$20*(V9-1),0)</f>
        <v>0</v>
      </c>
      <c r="AT9" s="1441">
        <f>IF(V9&lt;='Options and results'!$W$20,(IF(AB9&lt;=0,0,IF('Options and results'!$C$43="cost",(IF(V9&lt;='Options and results'!$C$44,BZ9*SUM('Options and results'!$C$45:$C$46),0)),IF('Options and results'!$C$41&gt;0,(IF(VLOOKUP('Options and results'!$C$42,Treegrant!$B$6:$L$42,Treegrant!$C$2,FALSE)=V9,VLOOKUP('Options and results'!$C$42,Treegrant!$B$6:$L$42,Treegrant!$D$2,FALSE),0)+IF(VLOOKUP('Options and results'!$C$42,Treegrant!$B$6:$L$42,Treegrant!$E$2,FALSE)=V9,VLOOKUP('Options and results'!$C$42,Treegrant!$B$6:$L$42,Treegrant!$F$2,FALSE),0)+IF(VLOOKUP('Options and results'!$C$42,Treegrant!$B$6:$L$42,Treegrant!$G$2,FALSE)=V9,VLOOKUP('Options and results'!$C$42,Treegrant!$B$6:$L$42,Treegrant!$H$2,FALSE)))*IF('Options and results'!$C$43="area",1,'Options and results'!$C$43),0)))*IF(V9&gt;='Options and results'!$I$23,'Options and results'!$I$22,1)),0)*IF(1+'Options and results'!$Q$23*(V9-1)&gt;0,1+'Options and results'!$Q$23*(V9-1),0)</f>
        <v>0</v>
      </c>
      <c r="AU9" s="1441">
        <f>IF($W$8=0,0,IF(V9&lt;='Options and results'!$W$20,IF(AB9&lt;=0,0,IF('Options and results'!$C$41&gt;0,IF(AND(VLOOKUP('Options and results'!$C$42,Treegrant!$B$6:$L$42,Treegrant!$J$2,FALSE)&lt;=V9,VLOOKUP('Options and results'!$C$42,Treegrant!$B$6:$L$42,Treegrant!$K$2,FALSE)&gt;=V9),(VLOOKUP('Options and results'!$C$42,Treegrant!$B$6:$L$42,Treegrant!$L$2,FALSE)),0)*IF('Options and results'!$C$47="full",1,'Options and results'!$C$47))*IF(V9&gt;='Options and results'!$I$23,'Options and results'!$I$22,1)),0))*IF(1+'Options and results'!$Q$23*(V9-1)&gt;0,1+'Options and results'!$Q$23*(V9-1),0)</f>
        <v>0</v>
      </c>
      <c r="AV9" s="1032">
        <f>IF($W$8=0,0,IF(V9&lt;='Options and results'!$W$20,IF(AB9&lt;=0,0,(IF('Options and results'!$C$41&gt;0,(IF(AND(VLOOKUP('Options and results'!$C$42,Treegrant!$B$6:$O$42,Treegrant!$M$2,FALSE)&lt;=V9,VLOOKUP('Options and results'!$C$42,Treegrant!$B$6:$O$42,Treegrant!$N$2,FALSE)&gt;=V9),(VLOOKUP('Options and results'!$C$42,Treegrant!$B$6:$O$42,Treegrant!$O$2,FALSE)),0)*IF('Options and results'!$C$48="full",1,'Options and results'!$C$48))+(IF(AND(VLOOKUP('Options and results'!$C$42,Treegrant!$B$6:$R$42,Treegrant!$P$2,FALSE)&lt;=V9,VLOOKUP('Options and results'!$C$42,Treegrant!$B$6:$R$42,Treegrant!$Q$2,FALSE)&gt;=V9),(VLOOKUP('Options and results'!$C$42,Treegrant!$B$6:$R$42,Treegrant!$R$2,FALSE)),0))*IF('Options and results'!$C$49="full",1,'Options and results'!$C$49)))*IF(V9&gt;='Options and results'!$I$23,'Options and results'!$I$22,1)),0))*IF(1+'Options and results'!$Q$23*(V9-1)&gt;0,1+'Options and results'!$Q$23*(V9-1),0)</f>
        <v>0</v>
      </c>
      <c r="AW9" s="1033" t="s">
        <v>239</v>
      </c>
      <c r="AX9" s="1018">
        <f>'Options and results'!S33</f>
        <v>14.6</v>
      </c>
      <c r="AY9" s="1419">
        <f>IF($W$8=0,0,IF(V9=1,VLOOKUP($W$8,Treecost!$B$6:$AH$49,Treecost!$E$2,FALSE),0)*IF(V9&gt;='Options and results'!$I$25,'Options and results'!$I$24,1))</f>
        <v>0</v>
      </c>
      <c r="AZ9" s="889">
        <f>IF($W$8=0,0,IF(V9=1,VLOOKUP($W$8,Treecost!$B$6:$AH$49,Treecost!$F$2,FALSE),0)*IF(V9&gt;='Options and results'!$I$25,'Options and results'!$I$24,1))</f>
        <v>0</v>
      </c>
      <c r="BA9" s="889">
        <f>IF($W$8=0,0,IF(V9=1,VLOOKUP($W$8,Treecost!$B$6:$AH$49,Treecost!$G$2,FALSE),0)*IF(V9&gt;='Options and results'!$I$25,'Options and results'!$I$24,1))</f>
        <v>0</v>
      </c>
      <c r="BB9" s="889">
        <f>IF($W$8=0,0,IF(V9&lt;='Options and results'!$W$20,((VLOOKUP($W$8,Treecost!$B$6:$AH$49,Treecost!$H$2,FALSE)*(X9+AA9))/60)*IF(V9&gt;='Options and results'!$I$25,'Options and results'!$I$24,1),0))</f>
        <v>0</v>
      </c>
      <c r="BC9" s="889">
        <f>IF($W$8=0,0,IF(V9&lt;='Options and results'!$W$20,(((VLOOKUP($W$8,Treecost!$B$6:$AH$49,Treecost!$I$2,FALSE))*(X9+AA9))/60)*IF(V9&gt;='Options and results'!$I$25,'Options and results'!$I$24,1),0))</f>
        <v>0</v>
      </c>
      <c r="BD9" s="889">
        <f>IF($W$8=0,0,IF(V9&lt;='Options and results'!$W$20,(((VLOOKUP($W$8,Treecost!$B$6:$AH$49,Treecost!$J$2,FALSE))/60)*(X9+AA9))*IF(V9&gt;='Options and results'!$I$25,'Options and results'!$I$24,1),0))</f>
        <v>0</v>
      </c>
      <c r="BE9" s="1019">
        <f>IF($W$8=0,0,IF(V9&lt;='Options and results'!$W$20,(((VLOOKUP($W$8,Treecost!$B$6:$AH$49,Treecost!$C$2,FALSE)+VLOOKUP($W$8,Treecost!$B$6:$AH$49,Treecost!$D$2,FALSE))*(X9+AA9)*IF(1+'Options and results'!$Q$22*(V9-1)&gt;0,1+'Options and results'!$Q$22*(V9-1),0))+((AY9*$AX$8+AZ9*$AX$9+BA9*$AX$10+BB9*$AX$11+BC9*$AX$12+BD9*$AX$13)*IF(1+'Options and results'!$Q$21*(V9-1)&gt;0,1+'Options and results'!$Q$21*(V9-1),0)))*IF(V9&gt;='Options and results'!$I$27,'Options and results'!$I$26,1),0))</f>
        <v>60</v>
      </c>
      <c r="BF9" s="889">
        <f>IF($W$8=0,0,IF(V9&lt;='Options and results'!$W$20,IF(AND(VLOOKUP($W$8,Treecost!$B$6:$AH$49,Treecost!$K$2,FALSE)&lt;=V9,V9&lt;=(VLOOKUP($W$8,Treecost!$B$6:$AH$49,Treecost!$L$2,FALSE))),VLOOKUP($W$8,Treecost!$B$6:$AH$49,Treecost!$M$2,FALSE)*AB9/60,0)*IF(V9&gt;='Options and results'!$I$25,'Options and results'!$I$24,1),0))</f>
        <v>0</v>
      </c>
      <c r="BG9" s="1019">
        <f>IF(BF9&gt;0,(VLOOKUP($W$8,Treecost!$B$6:$AH$49,Treecost!$N$2,FALSE)*AB9*IF(1+'Options and results'!$Q$22*(V9-1)&gt;0,1+'Options and results'!$Q$22*(V9-1),0)+BF9*$AX$14*IF(1+'Options and results'!$Q$21*(V9-1)&gt;0,1+'Options and results'!$Q$21*(V9-1),0)),0)*IF(V9&gt;='Options and results'!$I$27,'Options and results'!$I$26,1)</f>
        <v>0</v>
      </c>
      <c r="BH9" s="889">
        <f>IF(V9&lt;='Options and results'!$W$20,IF(AND(AG9-AG8&gt;0,AG9&gt;'Options and results'!$M$36),(AB9-AC9)*(VLOOKUP($W$8,Treecost!$B$6:$AH$49,Treecost!$Y$2,FALSE)+(VLOOKUP($W$8,Treecost!$B$6:$AH$49,Treecost!$AA$2,FALSE)-VLOOKUP($W$8,Treecost!$B$6:$AH$49,Treecost!$Y$2,FALSE))/(VLOOKUP($W$8,Treecost!$B$6:$AH$49,Treecost!$Z$2,FALSE)-VLOOKUP($W$8,Treecost!$B$6:$AH$49,Treecost!$X$2,FALSE))*(AG9-VLOOKUP($W$8,Treecost!$B$6:$AH$49,Treecost!$X$2,FALSE)))/60,0)*IF(V9&gt;='Options and results'!$I$25,'Options and results'!$I$24,1),0)</f>
        <v>0</v>
      </c>
      <c r="BI9" s="303">
        <f>IF(V9&lt;='Options and results'!$W$20,IF(BH9&gt;0,VLOOKUP($W$8,Treecost!$B$6:$AH$49,Treecost!$AB$2,FALSE)/60*AB9,0)*IF(V9&gt;='Options and results'!$I$25,'Options and results'!$I$24,1),0)*((BH9-(MIN($BH$8:$BH$67)))/((MAX($BH$8:$BH$67))-(MIN($BH$8:$BH$67))))</f>
        <v>0</v>
      </c>
      <c r="BJ9" s="740">
        <f>IF(BH9&gt;0,(BH9*$AX$15+BI9*$AX$19)*IF(1+'Options and results'!$Q$21*(V9-1)&gt;0,1+'Options and results'!$Q$21*(V9-1),0),0)*IF(V9&gt;='Options and results'!$I$27,'Options and results'!$I$26,1)</f>
        <v>0</v>
      </c>
      <c r="BK9" s="891">
        <f>IF($W$8=0,0,IF(V9&lt;='Options and results'!$W$20,IF(VLOOKUP($W$8,Treecost!$B$2:$AH$49,Treecost!$O$2,FALSE)=V9,VLOOKUP($W$8,Treecost!$B$2:$AH$49,Treecost!$P$2,FALSE),0)*IF(V9&gt;='Options and results'!$I$25,'Options and results'!$I$24,1),0))</f>
        <v>0</v>
      </c>
      <c r="BL9" s="889">
        <f>IF($W$8=0,0,IF(V9&lt;='Options and results'!$W$20,IF(AND(V9&gt;VLOOKUP($W$8,Treecost!$B$2:$AH$49,Treecost!$O$2,FALSE),V9&lt;=VLOOKUP($W$8,Treecost!$B$2:$AH$49,Treecost!$R$2,FALSE)),VLOOKUP($W$8,Treecost!$B$2:$AH$49,Treecost!$S$2,FALSE),0)*IF(V9&gt;='Options and results'!$I$25,'Options and results'!$I$24,1),0))</f>
        <v>0</v>
      </c>
      <c r="BM9" s="740">
        <f>IF($W$8=0,0,IF(V9&lt;='Options and results'!$W$20,((IF(VLOOKUP($W$8,Treecost!$B$2:$AH$49,Treecost!$O$2,FALSE)=V9,VLOOKUP($W$8,Treecost!$B$2:$AH$49,Treecost!$Q$2,FALSE),0)+IF(AND(V9&gt;VLOOKUP($W$8,Treecost!$B$2:$AH$49,Treecost!$O$2,FALSE),V9&lt;=VLOOKUP($W$8,Treecost!$B$2:$AH$49,Treecost!$R$2,FALSE)),VLOOKUP($W$8,Treecost!$B$2:$AH$49,Treecost!$T$2,FALSE),0)*IF(1+'Options and results'!$Q$22*(V9-1)&gt;0,1+'Options and results'!$Q$22*(V9-1),0))+(BK9*$AX$16+BL9*$AX$17)*IF(1+'Options and results'!$Q$21*(V9-1)&gt;0,1+'Options and results'!$Q$21*(V9-1),0))*IF(V9&gt;='Options and results'!$I$27,'Options and results'!$I$26,1),0))</f>
        <v>0</v>
      </c>
      <c r="BN9" s="894">
        <f>IF($W$8=0,0,IF(V9&lt;='Options and results'!$W$20,IF(AND(V9&gt;=VLOOKUP($W$8,Treecost!$B$2:$W$49,Treecost!$U$2,FALSE),V9&lt;=VLOOKUP($W$8,Treecost!$B$2:$W$49,Treecost!$V$2,FALSE)),(AB9*VLOOKUP($W$8,Treecost!$B$2:$W$49,Treecost!$W$2,FALSE)/60),0)*IF(V9&gt;='Options and results'!$I$25,'Options and results'!$I$24,1),0))</f>
        <v>0</v>
      </c>
      <c r="BO9" s="740">
        <f>BN9*$AX$18*IF(V9&gt;='Options and results'!$I$27,'Options and results'!$I$26,1)*IF(1+'Options and results'!$Q$21*(V9-1)&gt;0,1+'Options and results'!$Q$21*(V9-1),0)</f>
        <v>0</v>
      </c>
      <c r="BP9" s="894">
        <f>IF(V9&lt;='Options and results'!$W$20,IF(AB9&lt;=0,0,VLOOKUP($W$8,Treecost!$B$6:$AH$49,Treecost!$AC$2,FALSE)+VLOOKUP($W$8,Treecost!$B$6:$AH$49,Treecost!$AD$2,FALSE)+IF(AND(V9&gt;=VLOOKUP($W$8,Treecost!$B$2:$AK$49,Treecost!$AI$2,FALSE),V9&lt;=VLOOKUP($W$8,Treecost!$B$2:$AK$49,Treecost!$AJ$2,FALSE)),(VLOOKUP($W$8,Treecost!$B$2:$AK$49,Treecost!$AK$2,FALSE)),0))*IF(V9&gt;='Options and results'!$I$27,'Options and results'!$I$26,1),0)*IF(1+'Options and results'!$Q$22*(V9-1)&gt;0,1+'Options and results'!$Q$22*(V9-1),0)</f>
        <v>3</v>
      </c>
      <c r="BQ9" s="894">
        <f>IF(V9&lt;='Options and results'!$W$20,IF(AC9&gt;0,VLOOKUP($W$8,Treecost!$B$6:$AH$49,Treecost!$AE$2,FALSE)/60*AC9,0)*IF(V9&gt;='Options and results'!$I$25,'Options and results'!$I$24,1),0)</f>
        <v>0</v>
      </c>
      <c r="BR9" s="740">
        <f>IF(V9&lt;='Options and results'!$W$20,IF(AC9&gt;0,VLOOKUP($W$8,Treecost!$B$6:$AH$49,Treecost!$AF$2,FALSE)/60*AC9,0)*IF(V9&gt;='Options and results'!$I$25,'Options and results'!$I$24,1),0)</f>
        <v>0</v>
      </c>
      <c r="BS9" s="740">
        <f>(BQ9*$AX$20+BR9*$AX$21)*IF(V9&gt;='Options and results'!$I$27,'Options and results'!$I$26,1)*IF(1+'Options and results'!$Q$21*(V9-1)&gt;0,1+'Options and results'!$Q$21*(V9-1),0)</f>
        <v>0</v>
      </c>
      <c r="BT9" s="894">
        <f>IF(V9&lt;='Options and results'!$W$20,IF(AD9&gt;0,(VLOOKUP($W$8,Treecost!$B$6:$AH$49,Treecost!$AG$2,FALSE)/60*AD9)*IF(V9&gt;='Options and results'!$I$25,'Options and results'!$I$24,1),0),0)</f>
        <v>0</v>
      </c>
      <c r="BU9" s="740">
        <f>IF(V9&lt;='Options and results'!$W$20,IF(AD9&gt;0,(VLOOKUP($W$8,Treecost!$B$6:$AH$49,Treecost!$AH$2,FALSE)/60*AD9)*IF(V9&gt;='Options and results'!$I$25,'Options and results'!$I$24,1),0),0)</f>
        <v>0</v>
      </c>
      <c r="BV9" s="740">
        <f>(BT9*$AX$22+BU9*$AX$23)*IF(V9&gt;='Options and results'!$I$27,'Options and results'!$I$26,1)*IF(1+'Options and results'!$Q$21*(V9-1)&gt;0,1+'Options and results'!$Q$21*(V9-1),0)</f>
        <v>0</v>
      </c>
      <c r="BW9" s="1033">
        <f t="shared" ref="BW9:BW67" si="138">SUM(AY9:BD9)+BF9+BH9+BI9+BQ9+BR9+BT9+BU9+BK9+BL9+BN9</f>
        <v>0</v>
      </c>
      <c r="BX9" s="1027">
        <f t="shared" ref="BX9:BX67" si="139">SUM(AP9,AR9,AS9)</f>
        <v>0</v>
      </c>
      <c r="BY9" s="1027">
        <f t="shared" ref="BY9:BY67" si="140">SUM(AT9:AV9)</f>
        <v>0</v>
      </c>
      <c r="BZ9" s="740">
        <f t="shared" si="124"/>
        <v>63</v>
      </c>
      <c r="CA9" s="740">
        <f t="shared" ref="CA9:CA67" si="141">BX9-BZ9</f>
        <v>-63</v>
      </c>
      <c r="CB9" s="894">
        <f>IF($V9&lt;='Options and results'!$W$20,SUM(BX$8:$BX9),0)</f>
        <v>0</v>
      </c>
      <c r="CC9" s="740">
        <f>IF($V9&lt;='Options and results'!$W$20,SUM($BY$8:BY9),0)</f>
        <v>0</v>
      </c>
      <c r="CD9" s="740">
        <f>IF($V9&lt;='Options and results'!$W$20,SUM($BZ$8:BZ9),0)</f>
        <v>769.68363636363631</v>
      </c>
      <c r="CE9" s="740">
        <f>IF(V9&lt;='Options and results'!$W$20,CB9+CC9-CD9,0)</f>
        <v>-769.68363636363631</v>
      </c>
      <c r="CF9" s="1381">
        <f t="shared" ref="CF9:CF67" si="142">BX9+(AO9-AO8)+(AQ9-AQ8)</f>
        <v>0.30289929616157135</v>
      </c>
      <c r="CG9" s="1027">
        <f t="shared" ref="CG9:CG67" si="143">CF9-BZ9</f>
        <v>-62.69710070383843</v>
      </c>
      <c r="CH9" s="1027">
        <f t="shared" ref="CH9:CH67" si="144">BV9</f>
        <v>0</v>
      </c>
      <c r="CI9" s="1189">
        <f>IF(V9&lt;='Options and results'!$W$20,CE9+AO9,0)</f>
        <v>-769.68363636363631</v>
      </c>
      <c r="CJ9" s="1023"/>
      <c r="CK9" s="895">
        <f t="shared" ref="CK9:CK67" si="145">CK8+1</f>
        <v>2</v>
      </c>
      <c r="CL9" s="1011" t="str">
        <f>IF('Options and results'!$C$54="None",0,IF(AND(CK9&gt;='Options and results'!$K$57,CK8&lt;'Options and results'!$W$20),'Options and results'!$K$56,IF(Optimisation!$B$3="No",CONCATENATE('Options and results'!$C$60," ",(HLOOKUP(CONCATENATE('Options and results'!$C$54," ",Agroforestrysystem!$B$12),Agroforestrysystem!$B$11:$IM$74,$CK9+4,FALSE))),Optimisation!AA29)))</f>
        <v>UK - Agriculture (BPS: from 2015) Wheat</v>
      </c>
      <c r="CM9" s="1012">
        <f>IF(HLOOKUP(CONCATENATE('Options and results'!$C$54," ",Agroforestrysystem!$C$12),Agroforestrysystem!$B$11:$IM$74,$CK9+4,FALSE)="T",(VLOOKUP(CL9,Arablefinance!$Z$6:$AB$105,Arablefinance!$AB$2,FALSE)*CO9+VLOOKUP(CL9,Arablefinance!$Z$6:$AC$105,Arablefinance!$AC$2,FALSE)*CP9)/VLOOKUP(CL9,Arablefinance!$Z$6:$AA$105,Arablefinance!$AA$2,FALSE),0)</f>
        <v>0</v>
      </c>
      <c r="CN9" s="1012">
        <f>IF(CL9=0,0,HLOOKUP(CONCATENATE('Options and results'!$C$54," ",Agroforestrysystem!$D$12),Agroforestrysystem!$B$11:$IM$74,$CK9+4,FALSE))</f>
        <v>0.99</v>
      </c>
      <c r="CO9" s="1440">
        <f ca="1">IF(CL9=0,0,IF(AND(Optimisation!$B$3="yes",Optimisation!$B$4=1,CK9&gt;Optimisation!$B$9),0,HLOOKUP(CONCATENATE('Options and results'!$C$54," ",Agroforestrysystem!$E$12),Agroforestrysystem!$B$11:$IM$74,$CK9+4,FALSE)*IF(CK9&gt;='Options and results'!$J$19,'Options and results'!$J$18,1)))</f>
        <v>8.3000000000000007</v>
      </c>
      <c r="CP9" s="1440">
        <f ca="1">IF(CL9=0,0,IF(AND(Optimisation!$B$3="yes",Optimisation!$B$4=1,CK9&gt;Optimisation!$B$9),0,HLOOKUP(CONCATENATE('Options and results'!$C$54," ",Agroforestrysystem!$F$12),Agroforestrysystem!$B$11:$IM$74,$CK9+4,FALSE)*IF(CK9&gt;='Options and results'!$J$19,'Options and results'!$J$18,1)))</f>
        <v>3.3200000000000003</v>
      </c>
      <c r="CQ9" s="1013">
        <f ca="1">IF(CN9&lt;=0,0,IF(CK9&lt;='Options and results'!$W$20,IF(CM9&gt;0,VLOOKUP(CL9,Arablefinance!$Z$6:$AE$105,Arablefinance!$AD$2,FALSE)*CM9*CN9,((VLOOKUP(CL9,Arablefinance!$E$6:$H$126,2,FALSE)*CO9+VLOOKUP(CL9,Arablefinance!$E$6:$H$126,3,FALSE)*CP9)*CN9)),0)*IF(CK9&gt;='Options and results'!$J$21,'Options and results'!$J$20,1))*IF(1+'Options and results'!$O$20*(CK9-1)&gt;0,1+'Options and results'!$O$20*(CK9-1),0)</f>
        <v>1549.8175000000001</v>
      </c>
      <c r="CR9" s="1441">
        <f>IF(CN9&lt;=0,0,IF(AND(CM9&gt;0,VLOOKUP(CL9,Arablefinance!$Z$6:$AI$105,Arablefinance!$AI$2,FALSE)=2),VLOOKUP(CL9,Arablefinance!$Z$6:$AE$105,Arablefinance!$AE$2,FALSE)*CM9*CN9,IF('Options and results'!$C$62&gt;0,IF(VLOOKUP(CL9,Arablefinance!$E$6:$W$126,Arablefinance!$H$2,FALSE)*(1-Plot!DM9*'Options and results'!$C$62)&gt;0,VLOOKUP(CL9,Arablefinance!$E$6:$W$126,Arablefinance!$H$2,FALSE)*(1-Plot!DM9*'Options and results'!$C$62),0),IF(CK9&lt;='Options and results'!$W$20,(VLOOKUP(CL9,Arablefinance!$E$6:$W$126,Arablefinance!$H$2,FALSE)*IF('Options and results'!$C$61="area",CN9,'Options and results'!$C$61)),0)))*IF(CK9&gt;='Options and results'!$J$23,'Options and results'!$J$22,1))*IF(AND(1+'Options and results'!$O$23*(CK9-1)&gt;0,1+'Options and results'!$O$23*(CK9-1)&gt;'Options and results'!$S$24),1+'Options and results'!$O$23*(CK9-1),'Options and results'!$S$24)</f>
        <v>0</v>
      </c>
      <c r="CS9" s="1441">
        <f t="shared" ref="CS9:CS37" ca="1" si="146">CR9+CQ9</f>
        <v>1549.8175000000001</v>
      </c>
      <c r="CT9" s="1441">
        <f>IF(CN9&lt;=0,0,IF(CK9&lt;='Options and results'!$W$20,IF(CM9&gt;0,VLOOKUP(CL9,Arablefinance!$Z$6:$AF$105,Arablefinance!$AF$2,FALSE)*CM9*CN9,VLOOKUP(CL9,Arablefinance!$E$6:$X$126,Arablefinance!$R$2,FALSE)*CN9),0)*IF(CK9&gt;='Options and results'!$J$27,'Options and results'!$J$26,1))*IF(1+'Options and results'!$O$22*(CK9-1)&gt;0,1+'Options and results'!$O$22*(CK9-1),0)</f>
        <v>646.59374999999989</v>
      </c>
      <c r="CU9" s="1441">
        <f t="shared" ref="CU9:CU37" ca="1" si="147">CS9-CT9</f>
        <v>903.22375000000022</v>
      </c>
      <c r="CV9" s="1441">
        <f>IF(CN9&lt;=0,0,IF(CK9&lt;='Options and results'!$W$20,IF(CM9&gt;0,VLOOKUP(CL9,Arablefinance!$Z$6:$AG$105,Arablefinance!$AG$2,FALSE)*CM9*CN9,VLOOKUP(CL9,Arablefinance!$E$6:$X$126,Arablefinance!$X$2,FALSE)*CN9),0)*IF(CK9&gt;='Options and results'!$J$27,'Options and results'!$J$26,1))*IF(1+'Options and results'!$O$22*(CK9-1)&gt;0,1+'Options and results'!$O$22*(CK9-1),0)</f>
        <v>440</v>
      </c>
      <c r="CW9" s="1442">
        <f>IF(CN9&lt;=0,0,IF(CK9&lt;='Options and results'!$W$20,'Options and results'!$C$27*IF(CK9&gt;='Options and results'!$J$27,'Options and results'!$J$26,1),0))*IF(1+'Options and results'!$O$21*(CK9-1)&gt;0,1+'Options and results'!$O$21*(CK9-1),0)</f>
        <v>14.6</v>
      </c>
      <c r="CX9" s="1442">
        <f>IF(CN9&lt;=0,0,IF(CK9&lt;='Options and results'!$W$20,IF(CM9&gt;0,VLOOKUP(CL9,Arablefinance!$Z$6:$AH$105,Arablefinance!$AH$2,FALSE)*CM9*CN9,VLOOKUP(CL9,Arablefinance!$E$6:$W$126,Arablefinance!$V$2,FALSE)*CN9),0)*IF(CK9&gt;='Options and results'!$J$25,'Options and results'!$J$24,1))</f>
        <v>11.516506250880969</v>
      </c>
      <c r="CY9" s="1013">
        <f t="shared" ref="CY9:CY67" si="148">CT9+CV9+CW9*CX9</f>
        <v>1254.7347412628621</v>
      </c>
      <c r="CZ9" s="1353">
        <f t="shared" ref="CZ9:CZ67" ca="1" si="149">CQ9+CR9-CY9</f>
        <v>295.08275873713796</v>
      </c>
      <c r="DA9" s="1013">
        <f ca="1">IF($CK9&lt;='Options and results'!$W$20,SUM($CQ$8:CQ9),0)</f>
        <v>3452.5452500000001</v>
      </c>
      <c r="DB9" s="1441">
        <f>IF($CK9&lt;='Options and results'!$W$20,SUM($CR$8:CR9),0)</f>
        <v>0</v>
      </c>
      <c r="DC9" s="1441">
        <f>IF($CK9&lt;='Options and results'!$W$20,SUM($CY$8:CY9),0)</f>
        <v>2509.4694825257243</v>
      </c>
      <c r="DD9" s="1189">
        <f ca="1">IF(CK9&lt;='Options and results'!$W$20,DA9+DB9-DC9,0)</f>
        <v>943.07576747427584</v>
      </c>
      <c r="DE9" s="401"/>
      <c r="DF9" s="895">
        <f t="shared" ref="DF9:DF67" si="150">DF8+1</f>
        <v>2</v>
      </c>
      <c r="DG9" s="1028"/>
      <c r="DH9" s="1421"/>
      <c r="DI9" s="1427">
        <f>IF(DF9&lt;='Options and results'!$M$61,'Options and results'!$M$60,0)</f>
        <v>0</v>
      </c>
      <c r="DJ9" s="740">
        <f t="shared" ref="DJ9:DJ67" si="151">INT(DI8*(DH8+DK8))</f>
        <v>10</v>
      </c>
      <c r="DK9" s="740">
        <f t="shared" ref="DK9:DK67" si="152">INT(DI8*(DH8+DK8))</f>
        <v>10</v>
      </c>
      <c r="DL9" s="1428">
        <f t="shared" ref="DL9:DL67" si="153">ROUND(DL8-DN8-DO8+DH9-DJ9+DK9,0)</f>
        <v>100</v>
      </c>
      <c r="DM9" s="1429">
        <f>IF($DG$8=0,0,HLOOKUP(CONCATENATE('Options and results'!$C$54," ",Agroforestrysystem!$J$12),Agroforestrysystem!$11:$74,DF9+3,FALSE))/100</f>
        <v>5.7999999999999996E-2</v>
      </c>
      <c r="DN9" s="740">
        <f>IF($DG$8=0,0,IF(HLOOKUP(CONCATENATE('Options and results'!$C$54," ",Agroforestrysystem!$H$12),Agroforestrysystem!$11:$74,DF9+4,FALSE)&lt;DL9,HLOOKUP(CONCATENATE('Options and results'!$C$54," ",Agroforestrysystem!$H$12),Agroforestrysystem!$11:$74,DF9+4,FALSE),0))</f>
        <v>0</v>
      </c>
      <c r="DO9" s="1027">
        <f>IF($DG$8=0,0,IF(HLOOKUP(CONCATENATE('Options and results'!$C$54," ",Agroforestrysystem!$H$12),Agroforestrysystem!$11:$74,DF9+4,FALSE)&gt;=DL9,DL9,0))</f>
        <v>0</v>
      </c>
      <c r="DP9" s="1430">
        <f>IF($DG$8=0,0,HLOOKUP(CONCATENATE('Options and results'!$C$54," ",Agroforestrysystem!$I$12),Agroforestrysystem!$11:$74,DF9+4,FALSE))</f>
        <v>1.8299774974366299</v>
      </c>
      <c r="DQ9" s="1035"/>
      <c r="DR9" s="1390">
        <f>IF($DG$8=0,0,IF(DF9&gt;'Options and results'!$W$20,0,)+IF(DF9=1,'Options and results'!$M$64)+IF('Options and results'!$M$67="yes",IF(AND(DR8+'Options and results'!$M$65&lt;=$DQ$8,DR8+'Options and results'!$M$65+IF(DF9=1,'Options and results'!$M$64,0)&lt;='Options and results'!$M$66*DP9),DR8+'Options and results'!$M$65,DR8),(HLOOKUP(CONCATENATE('Options and results'!$C$54," ",Agroforestrysystem!$K$12),Agroforestrysystem!$11:$74,DF9+4,FALSE)-IF(DF9=1,'Options and results'!$M$64))))</f>
        <v>0</v>
      </c>
      <c r="DS9" s="1027">
        <f>IF(OR($DG$8=0,DL9=0),0,HLOOKUP(CONCATENATE('Options and results'!$C$54," ",Agroforestrysystem!$L$12),Agroforestrysystem!$11:$74,DF9+4,FALSE)*IF(DF9&gt;='Options and results'!$K$19,'Options and results'!$K$18,1))</f>
        <v>3.5736770732672521E-2</v>
      </c>
      <c r="DT9" s="1431">
        <f t="shared" ref="DT9:DT67" si="154">IF(DL9&lt;=0,0,(DS9)/(DL9-DN9))</f>
        <v>3.5736770732672522E-4</v>
      </c>
      <c r="DU9" s="889">
        <f t="shared" ref="DU9:DU67" si="155">(DN9*DT9)+(DO9*DT9)</f>
        <v>0</v>
      </c>
      <c r="DV9" s="1027">
        <f>IF($DG$8=0,0,(HLOOKUP(CONCATENATE('Options and results'!$C$54," ",Agroforestrysystem!$M$12),Agroforestrysystem!$11:$74,DF9+4,FALSE))*IF(DF9&gt;='Options and results'!$K$19,'Options and results'!$K$18,1))-DW9</f>
        <v>1.5758039052558771E-2</v>
      </c>
      <c r="DW9" s="303">
        <f>IF($DG$8=0,0,(HLOOKUP(CONCATENATE('Options and results'!$C$54," ",Agroforestrysystem!$N$12),Agroforestrysystem!$11:$74,DF9+4,FALSE))*IF(DF9&gt;='Options and results'!$K$19,'Options and results'!$K$18,1))</f>
        <v>0</v>
      </c>
      <c r="DX9" s="303">
        <f>IF($DG$8=0,0,HLOOKUP(CONCATENATE('Options and results'!$C$54," ",Agroforestrysystem!$O$12),Agroforestrysystem!$11:$74,DF9+4,FALSE)*IF(DF9&gt;='Options and results'!$K$19,'Options and results'!$K$18,1))</f>
        <v>0</v>
      </c>
      <c r="DY9" s="1192">
        <f>IF(DT9&gt;0,HLOOKUP(DT9,Treevalue!$I$4:$BC$34,'Options and results'!$C$66+1),0)*IF(DF9&gt;='Options and results'!$K$21,'Options and results'!$K$20,1)*IF(1+'Options and results'!$Q$20*(DF9-1)&gt;0,1+'Options and results'!$Q$20*(DF9-1),0)</f>
        <v>0</v>
      </c>
      <c r="DZ9" s="1027">
        <f t="shared" ref="DZ9:DZ67" si="156">DT9*DY9*(DL9-(DN9+DO9))</f>
        <v>0</v>
      </c>
      <c r="EA9" s="1027">
        <f t="shared" si="125"/>
        <v>0</v>
      </c>
      <c r="EB9" s="1027">
        <f>(IF('Options and results'!$C$66&gt;0,IF(DF9&lt;='Options and results'!$W$20,VLOOKUP('Options and results'!$C$66,Treevalue!$A$4:$F$34,5,FALSE),0),0)*DV9)*IF(DF9&gt;='Options and results'!$K$21,'Options and results'!$K$20,1)*IF(1+'Options and results'!$Q$20*(DF9-1)&gt;0,1+'Options and results'!$Q$20*(DF9-1),0)</f>
        <v>0.3939509763139693</v>
      </c>
      <c r="EC9" s="740">
        <f>(IF('Options and results'!$C$66&gt;0,IF(DF9&lt;='Options and results'!$W$20,VLOOKUP('Options and results'!$C$66,Treevalue!$A$4:$F$34,5,FALSE),0),0)*DW9)*IF(DF9&gt;='Options and results'!$K$21,'Options and results'!$K$20,1)*IF(1+'Options and results'!$Q$20*(DF9-1)&gt;0,1+'Options and results'!$Q$20*(DF9-1),0)</f>
        <v>0</v>
      </c>
      <c r="ED9" s="889">
        <f>(IF('Options and results'!$C$66&gt;0,IF(DF9&lt;='Options and results'!$W$20,VLOOKUP('Options and results'!$C$66,Treevalue!$A$4:$F$34,6,FALSE),0),0)*DX9)*IF(DF9&gt;='Options and results'!$K$21,'Options and results'!$K$20,1)*IF(1+'Options and results'!$Q$20*(DF9-1)&gt;0,1+'Options and results'!$Q$20*(DF9-1),0)</f>
        <v>0</v>
      </c>
      <c r="EE9" s="740">
        <f>IF(DF9&lt;='Options and results'!$W$20,IF(DL9&lt;=0,0,IF('Options and results'!$C$70="cost",(IF(DF9&lt;='Options and results'!$C$71,FK9*SUM('Options and results'!$C$72:$C$73),0)),IF('Options and results'!$C$68&gt;0,(IF(VLOOKUP('Options and results'!$C$69,Treegrant!$B$6:$L$42,Treegrant!$C$2,FALSE)=DF9,VLOOKUP('Options and results'!$C$69,Treegrant!$B$6:$L$42,Treegrant!$D$2,FALSE),0)+IF(VLOOKUP('Options and results'!$C$69,Treegrant!$B$6:$L$42,Treegrant!$E$2,FALSE)=DF9,VLOOKUP('Options and results'!$C$69,Treegrant!$B$6:$L$42,Treegrant!$F$2,FALSE),0)+IF(VLOOKUP('Options and results'!$C$69,Treegrant!$B$6:$L$42,Treegrant!$G$2,FALSE)=DF9,VLOOKUP('Options and results'!$C$69,Treegrant!$B$6:$L$42,Treegrant!$H$2,FALSE)))*IF('Options and results'!$C$70="area",Unit!C10,'Options and results'!$C$70),0))*IF(DF9&gt;='Options and results'!$K$23,'Options and results'!$K$22,1)),0)*IF(1+'Options and results'!$Q$23*(DF9-1)&gt;0,1+'Options and results'!$Q$23*(DF9-1),0)</f>
        <v>0</v>
      </c>
      <c r="EF9" s="740">
        <f>IF($DG$8=0,0,IF(DF9&lt;='Options and results'!$W$20,IF(DL9&lt;=0,0,IF('Options and results'!$C$68&gt;0,IF(AND(VLOOKUP('Options and results'!$C$69,Treegrant!$B$6:$L$42,Treegrant!$J$2,FALSE)&lt;=DF9,VLOOKUP('Options and results'!$C$69,Treegrant!$B$6:$L$42,Treegrant!$K$2,FALSE)&gt;=DF9),(VLOOKUP('Options and results'!$C$69,Treegrant!$B$6:$L$42,Treegrant!$L$2,FALSE)),0)*IF('Options and results'!$C$74="area",Unit!C10,'Options and results'!$C$74))*IF(DF9&gt;='Options and results'!$K$23,'Options and results'!$K$22,1)),0))*IF(1+'Options and results'!$Q$23*(DF9-1)&gt;0,1+'Options and results'!$Q$23*(DF9-1),0)</f>
        <v>0</v>
      </c>
      <c r="EG9" s="1034">
        <f>IF($DG$8=0,0,IF(DF9&lt;='Options and results'!$W$20,IF(DL9&lt;=0,0,IF('Options and results'!$C$68&gt;0,((IF(AND(VLOOKUP('Options and results'!$C$69,Treegrant!$B$6:$O$42,Treegrant!$M$2,FALSE)&lt;=DF9,VLOOKUP('Options and results'!$C$69,Treegrant!$B$6:$O$42,Treegrant!$N$2,FALSE)&gt;=DF9),(VLOOKUP('Options and results'!$C$69,Treegrant!$B$6:$O$42,Treegrant!$O$2,FALSE)),0)*IF('Options and results'!$C$75="area",Unit!C10,'Options and results'!$C$75))+(IF(AND(VLOOKUP('Options and results'!$C$69,Treegrant!$B$6:$R$42,Treegrant!$P$2,FALSE)&lt;=DF9,VLOOKUP('Options and results'!$C$69,Treegrant!$B$6:$R$42,Treegrant!$Q$2,FALSE)&gt;=DF9),(VLOOKUP('Options and results'!$C$69,Treegrant!$B$6:$R$42,Treegrant!$R$2,FALSE)),0))*IF('Options and results'!$C$76="area",Unit!C10,'Options and results'!$C$76)))*IF(DF9&gt;='Options and results'!$K$23,'Options and results'!$K$22,1)),0))*IF(1+'Options and results'!$Q$23*(DF9-1)&gt;0,1+'Options and results'!$Q$23*(DF9-1),0)</f>
        <v>0</v>
      </c>
      <c r="EH9" s="1033" t="s">
        <v>239</v>
      </c>
      <c r="EI9" s="1018">
        <f>'Options and results'!$S33</f>
        <v>14.6</v>
      </c>
      <c r="EJ9" s="1419">
        <f>IF($DH$8+DK9&lt;1,0,IF(DF9=1,VLOOKUP($DG$8,Treecost!$B$6:$AH$49,Treecost!$E$2,FALSE),0)*IF(DF9&gt;='Options and results'!$K$25,'Options and results'!$K$24,1))</f>
        <v>0</v>
      </c>
      <c r="EK9" s="889">
        <f>IF($DH$8+DK9&lt;1,0,IF(DF9=1,VLOOKUP($DG$8,Treecost!$B$6:$AH$49,Treecost!$F$2,FALSE),0)*IF(DF9&gt;='Options and results'!$K$25,'Options and results'!$K$24,1))</f>
        <v>0</v>
      </c>
      <c r="EL9" s="889">
        <f>IF($DH$8+DK9&lt;1,0,IF(DF9=1,VLOOKUP($DG$8,Treecost!$B$6:$AH$49,Treecost!$G$2,FALSE),0)*IF(DF9&gt;='Options and results'!$K$25,'Options and results'!$K$24,1))</f>
        <v>0</v>
      </c>
      <c r="EM9" s="889">
        <f>IF($DG$8=0,0,IF(DF9&lt;='Options and results'!$W$20,((VLOOKUP($DG$8,Treecost!$B$6:$AH$49,Treecost!$H$2,FALSE)*(DH9+DK9))/60)*IF(DF9&gt;='Options and results'!$K$25,'Options and results'!$K$24,1),0))</f>
        <v>0</v>
      </c>
      <c r="EN9" s="889">
        <f>IF($DG$8=0,0,IF(DF9&lt;='Options and results'!$W$20,(((VLOOKUP($DG$8,Treecost!$B$6:$AH$49,Treecost!$I$2,FALSE))*(DH9+DK9))/60)*IF(DF9&gt;='Options and results'!$K$25,'Options and results'!$K$24,1),0))</f>
        <v>0</v>
      </c>
      <c r="EO9" s="889">
        <f>IF($DG$8=0,0,IF(DF9&lt;='Options and results'!$W$20,(((VLOOKUP($DG$8,Treecost!$B$6:$AH$49,Treecost!$J$2,FALSE))/60)*(DH9+DK9))*IF(DF9&gt;='Options and results'!$K$25,'Options and results'!$K$24,1),0))</f>
        <v>0</v>
      </c>
      <c r="EP9" s="1019">
        <f>IF($DG$8=0,0,IF(DF9&lt;='Options and results'!$W$20,(((VLOOKUP($DG$8,Treecost!$B$6:$AH$49,Treecost!$C$2,FALSE)+VLOOKUP($DG$8,Treecost!$B$6:$AH$49,Treecost!$D$2,FALSE))*(DH9+DK9)*IF(1+'Options and results'!$Q$22*(DF9-1)&gt;0,1+'Options and results'!$Q$22*(DF9-1),0))+(EJ9*$EI$8+EK9*$EI$9+EL9*$EI$10+EM9*$EI$11+EN9*$EI$12+EO9*$EI$13)*IF(1+'Options and results'!$Q$21*(DF9-1)&gt;0,1+'Options and results'!$Q$21*(DF9-1),0))*IF(DF9&gt;='Options and results'!$K$27,'Options and results'!$K$26,1),0))</f>
        <v>40</v>
      </c>
      <c r="EQ9" s="889">
        <f>IF($DG$8=0,0,IF(DF9&lt;='Options and results'!$W$20,IF(AND(VLOOKUP($DG$8,Treecost!$B$6:$AH$49,Treecost!$K$2,FALSE)&lt;=DF9,DF9&lt;=(VLOOKUP($DG$8,Treecost!$B$6:$AH$49,Treecost!$L$2,FALSE))),VLOOKUP($DG$8,Treecost!$B$6:$AH$49,Treecost!$M$2,FALSE)*DL9/60,0)*IF(DF9&gt;='Options and results'!$K$25,'Options and results'!$K$24,1),0))</f>
        <v>0</v>
      </c>
      <c r="ER9" s="1019">
        <f>IF(EQ9&gt;0,(VLOOKUP($DG$8,Treecost!$B$6:$AH$49,Treecost!$N$2,FALSE)*DL9*IF(1+'Options and results'!$Q$22*(DF9-1)&gt;0,1+'Options and results'!$Q$22*(DF9-1),0)+EQ9*$EI$14*IF(1+'Options and results'!$Q$21*(DF9-1)&gt;0,1+'Options and results'!$Q$21*(DF9-1),0)),0)*IF(DF9&gt;='Options and results'!$K$27,'Options and results'!$K$26,1)</f>
        <v>0</v>
      </c>
      <c r="ES9" s="889">
        <f>IF(DF9&lt;='Options and results'!$W$20,IF(AND(DR9-DR8&gt;0,DR9&gt;'Options and results'!$M$64),(DL9-DN9)*(VLOOKUP($DG$8,Treecost!$B$6:$AH$49,Treecost!$Y$2,FALSE)+(VLOOKUP($DG$8,Treecost!$B$6:$AH$49,Treecost!$AA$2,FALSE)-VLOOKUP($DG$8,Treecost!$B$6:$AH$49,Treecost!$Y$2,FALSE))/(VLOOKUP($DG$8,Treecost!$B$6:$AH$49,Treecost!$Z$2,FALSE)-VLOOKUP($DG$8,Treecost!$B$6:$AH$49,Treecost!$X$2,FALSE))*(DR9-VLOOKUP($DG$8,Treecost!$B$6:$AH$49,Treecost!$X$2,FALSE)))/60,0)*IF(DF9&gt;='Options and results'!$K$25,'Options and results'!$K$24,1),0)</f>
        <v>0</v>
      </c>
      <c r="ET9" s="889">
        <f>IF(DF9&lt;='Options and results'!$W$20,IF(ES9&gt;0,VLOOKUP($DG$8,Treecost!$B$6:$AH$49,Treecost!$AB$2,FALSE)/60*DL9,0)*IF(DF9&gt;='Options and results'!$K$25,'Options and results'!$K$24,1),0)*((ES9-(MIN($ES$8:$ES$67)))/((MAX($ES$8:$ES$67))-(MIN($ES$8:$ES$67))))</f>
        <v>0</v>
      </c>
      <c r="EU9" s="740">
        <f>IF(ES9&gt;0,(ES9*$EI$15+ET9*$EI$19)*IF(1+'Options and results'!$Q$21*(DF9-1)&gt;0,1+'Options and results'!$Q$21*(DF9-1),0),0)*IF(DF9&gt;='Options and results'!$K$27,'Options and results'!$K$26,1)</f>
        <v>0</v>
      </c>
      <c r="EV9" s="891">
        <f>IF($DG$8=0,0,IF(DF9&lt;='Options and results'!$W$20,IF(AND(VLOOKUP($DG$8,Treecost!$B$2:$AH$49,Treecost!$O$2,FALSE)=DF9,DF9&lt;=IF(AND(Optimisation!$B$3="Yes",Optimisation!$B$4=1),Optimisation!$B$9)),VLOOKUP($DG$8,Treecost!$B$2:$AH$49,Treecost!$P$2,FALSE)*(1-CN9),0)*IF(DF9&gt;='Options and results'!$K$25,'Options and results'!$K$24,1),0))</f>
        <v>0</v>
      </c>
      <c r="EW9" s="889">
        <f>IF($DG$8=0,0,IF(DF9&lt;='Options and results'!$W$20,IF(AND(DF9&gt;VLOOKUP($DG$8,Treecost!$B$2:$AH$49,Treecost!$O$2,FALSE),DF9&lt;=IF(AND(Optimisation!$B$3="Yes",Optimisation!$B$4=1),Optimisation!$B$9,VLOOKUP($DG$8,Treecost!$B$2:$AH$49,Treecost!$R$2,FALSE))),VLOOKUP($DG$8,Treecost!$B$2:$AH$49,Treecost!$S$2,FALSE)*(1-CN9),0)*IF(DF9&gt;='Options and results'!$K$25,'Options and results'!$K$24,1),0))</f>
        <v>0</v>
      </c>
      <c r="EX9" s="740">
        <f>IF($DG$8=0,0,IF(DF9&lt;='Options and results'!$W$20,(IF(AND(VLOOKUP($DG$8,Treecost!$B$2:$AH$49,Treecost!$O$2,FALSE)=DF9,DF9&lt;=IF(AND(Optimisation!$B$3="Yes",Optimisation!$B$4=1),Optimisation!$B$9)),VLOOKUP($DG$8,Treecost!$B$2:$AH$49,Treecost!$Q$2,FALSE),0)*(1-CN9)+IF(AND(DF9&gt;VLOOKUP($DG$8,Treecost!$B$2:$AH$49,Treecost!$O$2,FALSE),DF9&lt;=IF(AND(Optimisation!$B$3="Yes",Optimisation!$B$4=1),Optimisation!$B$9,VLOOKUP($DG$8,Treecost!$B$2:$AH$49,Treecost!$R$2,FALSE))),VLOOKUP($DG$8,Treecost!$B$2:$AH$49,Treecost!$T$2,FALSE),0)*(1-CN9)+(EV9*$EI$16+EW9*$EI$17))*IF(DF9&gt;='Options and results'!$K$27,'Options and results'!$K$26,1),0))*IF(1+'Options and results'!$Q$21*(DF9-1)&gt;0,1+'Options and results'!$Q$21*(DF9-1),0)</f>
        <v>0</v>
      </c>
      <c r="EY9" s="894">
        <f>IF($DG$8=0,0,IF(DF9&lt;='Options and results'!$W$20,IF(AND(DF9&gt;=VLOOKUP($DG$8,Treecost!$B$2:$W$49,Treecost!$U$2,FALSE),DF9&lt;=VLOOKUP($DG$8,Treecost!$B$2:$W$49,Treecost!$V$2,FALSE)),(DL9*VLOOKUP($DG$8,Treecost!$B$2:$W$49,Treecost!$W$2,FALSE)/60),0)*IF(DF9&gt;='Options and results'!$K$25,'Options and results'!$K$24,1),0))</f>
        <v>0</v>
      </c>
      <c r="EZ9" s="740">
        <f>EY9*$EI$18*IF(DF9&gt;='Options and results'!$K$27,'Options and results'!$K$26,1)*IF(1+'Options and results'!$Q$21*(DF9-1)&gt;0,1+'Options and results'!$Q$21*(DF9-1),0)</f>
        <v>0</v>
      </c>
      <c r="FA9" s="1025">
        <f>IF(DF9&lt;='Options and results'!$W$20,IF(DL9&lt;=0,0,VLOOKUP($DG$8,Treecost!$B$6:$AH$49,Treecost!$AC$2,FALSE)+VLOOKUP($DG$8,Treecost!$B$6:$AH$49,Treecost!$AD$2,FALSE)+IF(AND(DF9&gt;=VLOOKUP($DG$8,Treecost!$B$2:$AK$49,Treecost!$AI$2,FALSE),DF9&lt;=VLOOKUP($DG$8,Treecost!$B$2:$AK$49,Treecost!$AJ$2,FALSE)),VLOOKUP($DG$8,Treecost!$B$2:$AK$49,Treecost!$AK$2,FALSE)*(1-CN9),0))*IF(DF9&gt;='Options and results'!$K$27,'Options and results'!$K$26,1),0)*IF(1+'Options and results'!$Q$22*(DF9-1)&gt;0,1+'Options and results'!$Q$22*(DF9-1),0)</f>
        <v>3</v>
      </c>
      <c r="FB9" s="894">
        <f>IF(DF9&lt;='Options and results'!$W$20,IF(DN9&gt;0,VLOOKUP($DG$8,Treecost!$B$6:$AH$49,Treecost!$AE$2,FALSE)/60*DN9,0)*IF(DF9&gt;='Options and results'!$K$25,'Options and results'!$K$24,1),0)</f>
        <v>0</v>
      </c>
      <c r="FC9" s="740">
        <f>IF(DF9&lt;='Options and results'!$W$20,IF(DN9&gt;0,VLOOKUP($DG$8,Treecost!$B$6:$AH$49,Treecost!$AF$2,FALSE)/60*DN9,0)*IF(DF9&gt;='Options and results'!$K$25,'Options and results'!$K$24,1),0)</f>
        <v>0</v>
      </c>
      <c r="FD9" s="740">
        <f>(FB9*$EI$20+FC9*$EI$21)*IF(DF9&gt;='Options and results'!$K$27,'Options and results'!$K$26,1)*IF(1+'Options and results'!$Q$21*(DF9-1)&gt;0,1+'Options and results'!$Q$21*(DF9-1),0)</f>
        <v>0</v>
      </c>
      <c r="FE9" s="894">
        <f>IF(DF9&lt;='Options and results'!$W$20,IF(DO9&gt;0,(VLOOKUP($DG$8,Treecost!$B$6:$AH$49,Treecost!$AG$2,FALSE)/60*DO9)*IF(DF9&gt;='Options and results'!$K$25,'Options and results'!$K$24,1),0),0)</f>
        <v>0</v>
      </c>
      <c r="FF9" s="740">
        <f>IF(DF9&lt;='Options and results'!$W$20,IF(DO9&gt;0,(VLOOKUP($DG$8,Treecost!$B$6:$AH$49,Treecost!$AH$2,FALSE)/60*DO9)*IF(DF9&gt;='Options and results'!$K$25,'Options and results'!$K$24,1),0),0)</f>
        <v>0</v>
      </c>
      <c r="FG9" s="740">
        <f>(FE9*$EI$22+FF9*$EI$23)*IF(DF9&gt;='Options and results'!$K$27,'Options and results'!$K$26,1)*IF(1+'Options and results'!$Q$21*(DF9-1)&gt;0,1+'Options and results'!$Q$21*(DF9-1),0)</f>
        <v>0</v>
      </c>
      <c r="FH9" s="894">
        <f t="shared" ref="FH9:FH67" si="157">SUM(EJ9:EO9)+EQ9+ES9+ET9+FB9+FC9+FE9+FF9+EV9+EW9+EY9</f>
        <v>0</v>
      </c>
      <c r="FI9" s="1027">
        <f t="shared" ref="FI9:FI67" si="158">EA9+EC9+ED9</f>
        <v>0</v>
      </c>
      <c r="FJ9" s="1027">
        <f t="shared" ref="FJ9:FJ67" si="159">EE9+EF9+EG9</f>
        <v>0</v>
      </c>
      <c r="FK9" s="1027">
        <f t="shared" ref="FK9:FK67" si="160">FG9+FD9+FA9+EU9+ER9+EP9+EX9+EZ9</f>
        <v>43</v>
      </c>
      <c r="FL9" s="1027">
        <f t="shared" ref="FL9:FL14" si="161">FI9-FK9</f>
        <v>-43</v>
      </c>
      <c r="FM9" s="1027">
        <f>IF($DF9&lt;='Options and results'!$W$20,SUM(FI$8:$FI9),0)</f>
        <v>0</v>
      </c>
      <c r="FN9" s="1027">
        <f>IF($DF9&lt;='Options and results'!$W$20,SUM($FJ$8:FJ9),0)</f>
        <v>0</v>
      </c>
      <c r="FO9" s="1027">
        <f>IF($DF9&lt;='Options and results'!$W$20,SUM($FK$8:FK9),0)</f>
        <v>529.98030303030305</v>
      </c>
      <c r="FP9" s="1027">
        <f>IF($DF9&lt;='Options and results'!$W$20,FM9+FN9-FO9,0)</f>
        <v>-529.98030303030305</v>
      </c>
      <c r="FQ9" s="1027">
        <f t="shared" ref="FQ9:FQ67" si="162">FI9+(DZ9-DZ8)+(EB9-EB8)</f>
        <v>0.19419661316915032</v>
      </c>
      <c r="FR9" s="1027">
        <f t="shared" ref="FR9:FR67" si="163">FQ9-FK9</f>
        <v>-42.805803386830853</v>
      </c>
      <c r="FS9" s="1027">
        <f t="shared" ref="FS9:FS67" si="164">FG9</f>
        <v>0</v>
      </c>
      <c r="FT9" s="1189">
        <f>IF(DF9&lt;='Options and results'!$W$20,FP9+DZ9,0)</f>
        <v>-529.98030303030305</v>
      </c>
      <c r="FU9" s="401"/>
      <c r="FV9" s="895">
        <f t="shared" ref="FV9:FV67" si="165">FV8+1</f>
        <v>2</v>
      </c>
      <c r="FW9" s="894">
        <f>G9/(1+'Options and results'!$W$33)^(FV9-1)</f>
        <v>1464.9274756639982</v>
      </c>
      <c r="FX9" s="740">
        <f>(AP9+AR9+AS9)/(1+'Options and results'!$W$33)^(FV9-1)</f>
        <v>0</v>
      </c>
      <c r="FY9" s="740">
        <f ca="1">CQ9/(1+'Options and results'!$W$33)^(FV9-1)</f>
        <v>1490.2091346153848</v>
      </c>
      <c r="FZ9" s="740">
        <f>(EA9+EC9+ED9)/(1+'Options and results'!$W$33)^(FV9-1)</f>
        <v>0</v>
      </c>
      <c r="GA9" s="1019">
        <f ca="1">FY9+FZ9</f>
        <v>1490.2091346153848</v>
      </c>
      <c r="GB9" s="1026">
        <f>(AO9+AQ9)/(1+'Options and results'!$W$33)^(FV9-1)+FX9</f>
        <v>0.59087150448471182</v>
      </c>
      <c r="GC9" s="1027">
        <f>IF(FV9&gt;'Options and results'!$W$27,0,GB9-GB8)</f>
        <v>0.27926443598218281</v>
      </c>
      <c r="GD9" s="1027">
        <f>(DZ9+EB9)/(1+'Options and results'!$W$33)^(FV9-1)+FZ9</f>
        <v>0.37879901568650892</v>
      </c>
      <c r="GE9" s="1379">
        <f>IF(FV9&gt;'Options and results'!$W$27,0,GD9-GD8)</f>
        <v>0.17904465254168994</v>
      </c>
      <c r="GF9" s="894">
        <f>IF(FV9&lt;='Options and results'!$W$20,SUM(FW$8:FW9),0)</f>
        <v>3335.6308506706628</v>
      </c>
      <c r="GG9" s="740">
        <f>IF(FV9&lt;='Options and results'!$W$20,SUM(FX$8:FX9), 0)</f>
        <v>0</v>
      </c>
      <c r="GH9" s="740">
        <f ca="1">IF(FV9&lt;='Options and results'!$W$20,SUM(FY$8:FY9),0)</f>
        <v>3392.9368846153848</v>
      </c>
      <c r="GI9" s="740">
        <f>IF(FV9&lt;='Options and results'!$W$20,SUM(FZ$8:FZ9),0)</f>
        <v>0</v>
      </c>
      <c r="GJ9" s="1019">
        <f t="shared" ref="GJ9:GJ67" ca="1" si="166">GH9+GI9</f>
        <v>3392.9368846153848</v>
      </c>
      <c r="GK9" s="894">
        <f>IF(FV9&gt;'Options and results'!$W$27,0,GG9+SUM(GC$8:GC9)-FX9)</f>
        <v>0.59087150448471182</v>
      </c>
      <c r="GL9" s="740">
        <f>IF(FV9&lt;='Options and results'!$W$20,SUM(GD$8:GD9),0)</f>
        <v>0.57855337883132796</v>
      </c>
      <c r="GM9" s="1034">
        <f t="shared" ref="GM9:GM67" ca="1" si="167">GL9+GH9</f>
        <v>3393.515437994216</v>
      </c>
      <c r="GN9" s="401"/>
      <c r="GO9" s="895">
        <f t="shared" ref="GO9:GO67" si="168">GO8+1</f>
        <v>2</v>
      </c>
      <c r="GP9" s="894">
        <f>H9/(1+'Options and results'!$W$33)^(GO9-1)</f>
        <v>226.15384615384613</v>
      </c>
      <c r="GQ9" s="740">
        <f>SUM(AT9:AV9)/(1+'Options and results'!$W$33)^(GO9-1)</f>
        <v>0</v>
      </c>
      <c r="GR9" s="740">
        <f>CR9/(1+'Options and results'!$W$33)^(GO9-1)</f>
        <v>0</v>
      </c>
      <c r="GS9" s="740">
        <f>SUM(EE9:EG9)/(1+'Options and results'!$W$33)^(GO9-1)</f>
        <v>0</v>
      </c>
      <c r="GT9" s="1019">
        <f>GR9+GS9</f>
        <v>0</v>
      </c>
      <c r="GU9" s="894">
        <f>IF(GO9&lt;='Options and results'!$W$20,SUM(GP$8:GP9),0)</f>
        <v>461.35384615384612</v>
      </c>
      <c r="GV9" s="740">
        <f>IF(GO9&lt;='Options and results'!$W$20,SUM(GQ$8:GQ9),0)</f>
        <v>0</v>
      </c>
      <c r="GW9" s="740">
        <f>IF(GO9&lt;='Options and results'!$W$20,SUM(GR$8:GR9),0)</f>
        <v>0</v>
      </c>
      <c r="GX9" s="740">
        <f>IF(GO9&lt;='Options and results'!$W$20,SUM(GS$8:GS9),0)</f>
        <v>0</v>
      </c>
      <c r="GY9" s="1034">
        <f>IF(GO9&lt;='Options and results'!$W$20,SUM(GT$8:GT9),0)</f>
        <v>0</v>
      </c>
      <c r="GZ9" s="401"/>
      <c r="HA9" s="895">
        <f t="shared" ref="HA9:HA67" si="169">HA8+1</f>
        <v>2</v>
      </c>
      <c r="HB9" s="1026">
        <f>(J9+L9+(M9*N9))/(1+'Options and results'!$W$33)^(HA9-1)</f>
        <v>1218.6623361138909</v>
      </c>
      <c r="HC9" s="740">
        <f>BZ9/(1+'Options and results'!$W$33)^(HA9-1)</f>
        <v>60.576923076923073</v>
      </c>
      <c r="HD9" s="1027">
        <f>(CT9+CV9+(CW9*CX9))/(1+'Options and results'!$W$33)^(HA9-1)</f>
        <v>1206.4757127527521</v>
      </c>
      <c r="HE9" s="740">
        <f>FK9/(1+'Options and results'!$W$33)^(HA9-1)</f>
        <v>41.346153846153847</v>
      </c>
      <c r="HF9" s="1019">
        <f>HD9+HE9</f>
        <v>1247.8218665989059</v>
      </c>
      <c r="HG9" s="894">
        <f>IF(HA9&lt;='Options and results'!$W$20,SUM(HB$8:HB9),0)</f>
        <v>2486.0711656723374</v>
      </c>
      <c r="HH9" s="740">
        <f>IF(HA9&lt;='Options and results'!$W$20,SUM(HC$8:HC9),0)</f>
        <v>767.2605594405594</v>
      </c>
      <c r="HI9" s="740">
        <f>IF(HA9&lt;='Options and results'!$W$20,SUM(HD$8:HD9),0)</f>
        <v>2461.2104540156142</v>
      </c>
      <c r="HJ9" s="740">
        <f>IF(HA9&lt;='Options and results'!$W$20,SUM(HE$8:HE9),0)</f>
        <v>528.32645687645686</v>
      </c>
      <c r="HK9" s="1034">
        <f>IF(HA9&lt;='Options and results'!$W$20,SUM(HF$8:HF9),0)</f>
        <v>2989.5369108920713</v>
      </c>
      <c r="HL9" s="405"/>
      <c r="HM9" s="895">
        <f t="shared" ref="HM9:HM40" si="170">HM8+1</f>
        <v>2</v>
      </c>
      <c r="HN9" s="1026">
        <f t="shared" ref="HN9:HN67" si="171">FW9+GP9-HB9</f>
        <v>472.41898570395347</v>
      </c>
      <c r="HO9" s="1027">
        <f t="shared" ref="HO9:HO67" si="172">FX9+GQ9-HC9</f>
        <v>-60.576923076923073</v>
      </c>
      <c r="HP9" s="1027">
        <f t="shared" ref="HP9:HP67" ca="1" si="173">FY9+GR9-HD9</f>
        <v>283.73342186263267</v>
      </c>
      <c r="HQ9" s="1027">
        <f t="shared" ref="HQ9:HQ67" si="174">FZ9+GS9-HE9</f>
        <v>-41.346153846153847</v>
      </c>
      <c r="HR9" s="1027">
        <f t="shared" ref="HR9:HR67" si="175">GC9-GQ9-HC9</f>
        <v>-60.297658640940888</v>
      </c>
      <c r="HS9" s="1379">
        <f t="shared" ref="HS9:HS67" si="176">GE9+GS9-HE9</f>
        <v>-41.167109193612156</v>
      </c>
      <c r="HT9" s="1026">
        <f>IF($HM9&lt;='Options and results'!$W$20,SUM(HN$8:HN9),0)</f>
        <v>1310.9135311521711</v>
      </c>
      <c r="HU9" s="1027">
        <f>IF($HM9&lt;='Options and results'!$W$20,SUM(HO$8:HO9),0)</f>
        <v>-767.2605594405594</v>
      </c>
      <c r="HV9" s="1027">
        <f ca="1">IF($HM9&lt;='Options and results'!$W$20,SUM(HP$8:HP9),0)</f>
        <v>931.72643059977031</v>
      </c>
      <c r="HW9" s="1027">
        <f>IF($HM9&lt;='Options and results'!$W$20,SUM(HQ$8:HQ9),0)</f>
        <v>-528.32645687645686</v>
      </c>
      <c r="HX9" s="1027">
        <f t="shared" ref="HX9:HX67" ca="1" si="177">HV9+HW9</f>
        <v>403.39997372331345</v>
      </c>
      <c r="HY9" s="1027">
        <f>IF($HM9&lt;='Options and results'!$W$20,SUM(HR$8:HR9),0)</f>
        <v>-766.66968793607464</v>
      </c>
      <c r="HZ9" s="1027">
        <f>IF($HM9&lt;='Options and results'!$W$20,SUM(HS$8:HS9),0)</f>
        <v>-527.94765786077039</v>
      </c>
      <c r="IA9" s="1189">
        <f t="shared" ref="IA9:IA67" ca="1" si="178">HZ9+HV9</f>
        <v>403.77877273899992</v>
      </c>
    </row>
    <row r="10" spans="1:235" x14ac:dyDescent="0.25">
      <c r="A10" s="1010">
        <f t="shared" si="126"/>
        <v>3</v>
      </c>
      <c r="B10" s="1011" t="str">
        <f>IF('Options and results'!$C$17="None",0,CONCATENATE('Options and results'!$C$23," ",(HLOOKUP(CONCATENATE('Options and results'!$C$17," ",Arablesystem!$B$11),Arablesystem!$B$10:$ER$72,$A10+3,FALSE))))</f>
        <v>UK - Agriculture (BPS: from 2015) Barley</v>
      </c>
      <c r="C10" s="1012">
        <f>IF(HLOOKUP(CONCATENATE('Options and results'!$C$17," ",Arablesystem!$C$11),Arablesystem!$B$10:$ER$72,$A10+3,FALSE)="T",(VLOOKUP(B10,Arablefinance!$Z$6:$AB$105,Arablefinance!$AB$2,FALSE)*E10+VLOOKUP(B10,Arablefinance!$Z$6:$AC$105,Arablefinance!$AC$2,FALSE)*F10)/VLOOKUP(B10,Arablefinance!$Z$6:$AA$105,Arablefinance!$AA$2,FALSE),0)</f>
        <v>0</v>
      </c>
      <c r="D10" s="1012">
        <f>IF(B10=0,0,HLOOKUP(CONCATENATE('Options and results'!$C$17," ",Arablesystem!$D$11),Arablesystem!$B$10:$ER$72,$A10+3,FALSE))</f>
        <v>1</v>
      </c>
      <c r="E10" s="1440">
        <f>IF(B10=0,0,HLOOKUP(CONCATENATE('Options and results'!$C$17," ",Arablesystem!$E$11),Arablesystem!$B$10:$ER$72,$A10+3,FALSE)*IF(A10&gt;='Options and results'!$H$19,'Options and results'!$H$18,1))</f>
        <v>8.1997959365738353</v>
      </c>
      <c r="F10" s="1440">
        <f>IF(B10=0,0,HLOOKUP(CONCATENATE('Options and results'!$C$17," ",Arablesystem!$F$11),Arablesystem!$B$10:$ER$72,$A10+3,FALSE)*IF(A10&gt;='Options and results'!$H$19,'Options and results'!$H$18,1))</f>
        <v>4.9198775619443014</v>
      </c>
      <c r="G10" s="1013">
        <f>IF(D10&lt;=0,0,IF(A10&lt;='Options and results'!$W$20,IF(C10&gt;0,VLOOKUP(B10,Arablefinance!$Z$6:$AE$105,Arablefinance!$AD$2,FALSE)*C10*D10,((VLOOKUP(B10,Arablefinance!$E$6:$G$126,Arablefinance!$F$2,FALSE)*(E10*D10)+VLOOKUP(B10,Arablefinance!$E$6:$G$126,Arablefinance!$G$2,FALSE)*(F10*D10)))),0)*IF(A10&gt;='Options and results'!$H$21,'Options and results'!$H$20,1))*IF(1+'Options and results'!$O$20*(A10-1)&gt;0,1+'Options and results'!$O$20*(A10-1),0)</f>
        <v>1580.2828946652576</v>
      </c>
      <c r="H10" s="1441">
        <f>IF(D10&lt;=0,0,IF(A10&lt;='Options and results'!$W$20,IF(AND(C10&gt;0,VLOOKUP(B10,Arablefinance!$Z$6:$AI$105,Arablefinance!$AI$2,FALSE)=2),VLOOKUP(B10,Arablefinance!$Z$6:$AE$105,Arablefinance!$AE$2,FALSE)*C10*D10,(VLOOKUP(B10,Arablefinance!$E$6:$H$126,Arablefinance!$H$2,FALSE)*D10))*IF(A10&gt;='Options and results'!$H$23,'Options and results'!$H$22,1),0)*IF(AND(1+'Options and results'!$O$23*(A10-1)&gt;0,1+'Options and results'!$O$23*(A10-1)&gt;'Options and results'!$S$24),1+'Options and results'!$O$23*(A10-1),'Options and results'!$S$24))</f>
        <v>235.2</v>
      </c>
      <c r="I10" s="1441">
        <f t="shared" si="127"/>
        <v>1815.4828946652576</v>
      </c>
      <c r="J10" s="1441">
        <f>IF(D10&lt;=0,0,IF(A10&lt;='Options and results'!$W$20,IF(C10&gt;0,VLOOKUP(B10,Arablefinance!$Z$6:$AF$105,Arablefinance!$AF$2,FALSE)*C10*D10,(VLOOKUP(B10,Arablefinance!$E$6:$X$126,Arablefinance!$R$2,FALSE))*D10),0)*IF(A10&gt;='Options and results'!$H$27,'Options and results'!$H$26,1))*IF(1+'Options and results'!$O$22*(A10-1)&gt;0,1+'Options and results'!$O$22*(A10-1),0)</f>
        <v>535.20833333333326</v>
      </c>
      <c r="K10" s="1441">
        <f t="shared" si="128"/>
        <v>1280.2745613319244</v>
      </c>
      <c r="L10" s="1441">
        <f>IF(D10&lt;=0,0,IF(A10&lt;='Options and results'!$W$20,IF(C10&gt;0,VLOOKUP(B10,Arablefinance!$Z$6:$AG$105,Arablefinance!$AG$2,FALSE)*C10*D10,VLOOKUP(B10,Arablefinance!$E$6:$X$126,Arablefinance!$X$2,FALSE)*D10),0)*IF(A10&gt;='Options and results'!$H$27,'Options and results'!$H$26,1))*IF(1+'Options and results'!$O$22*(A10-1)&gt;0,1+'Options and results'!$O$22*(A10-1),0)</f>
        <v>444.44444444444446</v>
      </c>
      <c r="M10" s="1442">
        <f>IF(D10&lt;=0,0,IF(A10&lt;='Options and results'!$W$20,'Options and results'!$C$27,0)*IF(A10&gt;='Options and results'!$H$27,'Options and results'!$H$26,1))*IF(1+'Options and results'!$O$21*(A10-1)&gt;0,1+'Options and results'!$O$21*(A10-1),0)</f>
        <v>14.6</v>
      </c>
      <c r="N10" s="1442">
        <f>IF(D10&lt;=0,0,IF(A10&lt;='Options and results'!$W$20,IF(C10&gt;0,VLOOKUP(B10,Arablefinance!$Z$6:$AH$105,Arablefinance!$AH$2,FALSE)*C10*D10,VLOOKUP(B10,Arablefinance!$E$6:$W$126,Arablefinance!$V$2,FALSE)*D10),0)*IF(A10&gt;='Options and results'!$H$25,'Options and results'!$H$24,1))</f>
        <v>10.833689569810836</v>
      </c>
      <c r="O10" s="1013">
        <f t="shared" si="129"/>
        <v>1137.8246454970158</v>
      </c>
      <c r="P10" s="1353">
        <f t="shared" si="130"/>
        <v>677.6582491682417</v>
      </c>
      <c r="Q10" s="1013">
        <f>IF(A10&lt;='Options and results'!$W$20,SUM(G$8:$G10),0)</f>
        <v>4974.5108443624795</v>
      </c>
      <c r="R10" s="1441">
        <f>IF($A10&lt;='Options and results'!$W$20,SUM($H$8:H10),0)</f>
        <v>705.59999999999991</v>
      </c>
      <c r="S10" s="1441">
        <f>IF($A10&lt;='Options and results'!$W$20,SUM($O$8:O10),0)</f>
        <v>3672.6423046139089</v>
      </c>
      <c r="T10" s="1032">
        <f>IF(A10&lt;='Options and results'!$W$20,Q10+R10-S10,0)</f>
        <v>2007.4685397485709</v>
      </c>
      <c r="U10" s="405"/>
      <c r="V10" s="1010">
        <f t="shared" si="131"/>
        <v>3</v>
      </c>
      <c r="W10" s="173"/>
      <c r="X10" s="1036"/>
      <c r="Y10" s="1030">
        <f>IF(V10&lt;='Options and results'!$M$34,'Options and results'!$M$33,0)</f>
        <v>0</v>
      </c>
      <c r="Z10" s="1441">
        <f t="shared" si="132"/>
        <v>0</v>
      </c>
      <c r="AA10" s="1441">
        <f t="shared" si="133"/>
        <v>0</v>
      </c>
      <c r="AB10" s="1428">
        <f t="shared" si="134"/>
        <v>156</v>
      </c>
      <c r="AC10" s="1441">
        <f>IF($W$8=0,0,IF(HLOOKUP(CONCATENATE('Options and results'!$C$32," ",Forestrysystem!$C$8),Forestrysystem!$A$7:$IH$70,V10+4,FALSE)&lt;AB10,HLOOKUP(CONCATENATE('Options and results'!$C$32," ",Forestrysystem!$C$8),Forestrysystem!$A$7:$IH$70,V10+4,FALSE),0))</f>
        <v>0</v>
      </c>
      <c r="AD10" s="1441">
        <f>IF($W$8=0,0,IF(HLOOKUP(CONCATENATE('Options and results'!$C$32," ",Forestrysystem!$C$8),Forestrysystem!$A$7:$IH$70,V10+4,FALSE)&gt;=AB10,AB10,0))</f>
        <v>0</v>
      </c>
      <c r="AE10" s="1440">
        <f>IF($W$8=0,0,HLOOKUP(CONCATENATE('Options and results'!$C$32," ",Forestrysystem!$D$8),Forestrysystem!$A$7:$IH$70,$V10+4,FALSE))</f>
        <v>2.3398691363728927</v>
      </c>
      <c r="AF10" s="1037"/>
      <c r="AG10" s="1440">
        <f>IF($W$8=0,0,IF(V10=1,'Options and results'!$M$36,0)+IF('Options and results'!$M$39="yes",IF(AND(AG9+'Options and results'!$M$37&lt;=$AF$8,AG9+'Options and results'!$M$37+IF(V10=1,'Options and results'!$M$36,0)&lt;='Options and results'!$M$38*AE10),AG9+'Options and results'!$M$37,AG9),(HLOOKUP(CONCATENATE('Options and results'!$C$32," ",Forestrysystem!$E$8),Forestrysystem!$A$7:$IH$70,V10+4,FALSE))-IF(V10=1,'Options and results'!$M$36,0)))</f>
        <v>1.5</v>
      </c>
      <c r="AH10" s="1442">
        <f>IF(OR($W$8=0,AB10&lt;=0),0,(HLOOKUP(CONCATENATE('Options and results'!$C$32," ",Forestrysystem!$F$8),Forestrysystem!$A$7:$IH$70,$V10+4,FALSE)) * IF(V10&gt;='Options and results'!$I$19,'Options and results'!$I$18,1) )</f>
        <v>0.11654063041516</v>
      </c>
      <c r="AI10" s="1452">
        <f t="shared" ref="AI10:AI67" si="179">IF(AB10&lt;=0,0,AH10/(AB10-AC10))</f>
        <v>7.4705532317410255E-4</v>
      </c>
      <c r="AJ10" s="1442">
        <f t="shared" si="135"/>
        <v>0</v>
      </c>
      <c r="AK10" s="1453">
        <f>IF(OR($W$8=0,AE10&lt;=0),0,(HLOOKUP(CONCATENATE('Options and results'!$C$32," ",Forestrysystem!$G$8),Forestrysystem!$A$7:$IH$70,$V10+4,FALSE)) * IF(Y10&gt;='Options and results'!$I$19,'Options and results'!$I$18,1) )</f>
        <v>5.1388297477391397E-2</v>
      </c>
      <c r="AL10" s="1453">
        <f>IF($W$8=0,0,HLOOKUP(CONCATENATE('Options and results'!$C$32," ",Forestrysystem!$H$8),Forestrysystem!$A$7:$IH$70,$V10+4,FALSE)*IF(V10&gt;='Options and results'!$I$19,'Options and results'!$I$18,1))</f>
        <v>0</v>
      </c>
      <c r="AM10" s="1383">
        <f>IF($W$8=0,0,HLOOKUP(CONCATENATE('Options and results'!$C$32," ",Forestrysystem!$I$8),Forestrysystem!$A$7:$IH$70,$V10+4,FALSE)*IF(V10&gt;='Options and results'!$I$19,'Options and results'!$I$18,1))</f>
        <v>0</v>
      </c>
      <c r="AN10" s="1382">
        <f>IF(AI10&gt;0,HLOOKUP(AI10,Treevalue!$I$4:$BC$34,'Options and results'!$C$39+1),0)*IF(V10&gt;='Options and results'!$I$21,'Options and results'!$I$20,1)*IF(1+'Options and results'!$Q$20*(V10-1)&gt;0,1+'Options and results'!$Q$20*(V10-1),0)</f>
        <v>0</v>
      </c>
      <c r="AO10" s="1454">
        <f t="shared" si="136"/>
        <v>0</v>
      </c>
      <c r="AP10" s="1454">
        <f t="shared" si="137"/>
        <v>0</v>
      </c>
      <c r="AQ10" s="1454">
        <f>(IF('Options and results'!$C$39&gt;0,IF(V10&lt;='Options and results'!$W$20,VLOOKUP('Options and results'!$C$39,Treevalue!$A$4:$F$34,5,FALSE),0),0)*AK10)*IF(V10&gt;='Options and results'!$I$21,'Options and results'!$I$20,1)*IF(1+'Options and results'!$Q$20*(V10-1)&gt;0,1+'Options and results'!$Q$20*(V10-1),0)-AR10</f>
        <v>1.2847074369347848</v>
      </c>
      <c r="AR10" s="1441">
        <f>(IF('Options and results'!$C$39&gt;0,IF(V10&lt;='Options and results'!$W$20,VLOOKUP('Options and results'!$C$39,Treevalue!$A$4:$F$34,5,FALSE),0),0)*AL10)*IF(V10&gt;='Options and results'!$I$21,'Options and results'!$I$20,1)*IF(1+'Options and results'!$Q$20*(V10-1)&gt;0,1+'Options and results'!$Q$20*(V10-1),0)</f>
        <v>0</v>
      </c>
      <c r="AS10" s="1441">
        <f>(IF('Options and results'!$C$39&gt;0,IF(V10&lt;='Options and results'!$W$20,VLOOKUP('Options and results'!$C$39,Treevalue!$A$4:$F$34,6,FALSE),0),0)*AM10)*IF(V10&gt;='Options and results'!$I$21,'Options and results'!$I$20,1)*IF(1+'Options and results'!$Q$20*(V10-1)&gt;0,1+'Options and results'!$Q$20*(V10-1),0)</f>
        <v>0</v>
      </c>
      <c r="AT10" s="1441">
        <f>IF(V10&lt;='Options and results'!$W$20,(IF(AB10&lt;=0,0,IF('Options and results'!$C$43="cost",(IF(V10&lt;='Options and results'!$C$44,BZ10*SUM('Options and results'!$C$45:$C$46),0)),IF('Options and results'!$C$41&gt;0,(IF(VLOOKUP('Options and results'!$C$42,Treegrant!$B$6:$L$42,Treegrant!$C$2,FALSE)=V10,VLOOKUP('Options and results'!$C$42,Treegrant!$B$6:$L$42,Treegrant!$D$2,FALSE),0)+IF(VLOOKUP('Options and results'!$C$42,Treegrant!$B$6:$L$42,Treegrant!$E$2,FALSE)=V10,VLOOKUP('Options and results'!$C$42,Treegrant!$B$6:$L$42,Treegrant!$F$2,FALSE),0)+IF(VLOOKUP('Options and results'!$C$42,Treegrant!$B$6:$L$42,Treegrant!$G$2,FALSE)=V10,VLOOKUP('Options and results'!$C$42,Treegrant!$B$6:$L$42,Treegrant!$H$2,FALSE)))*IF('Options and results'!$C$43="area",1,'Options and results'!$C$43),0)))*IF(V10&gt;='Options and results'!$I$23,'Options and results'!$I$22,1)),0)*IF(1+'Options and results'!$Q$23*(V10-1)&gt;0,1+'Options and results'!$Q$23*(V10-1),0)</f>
        <v>0</v>
      </c>
      <c r="AU10" s="1441">
        <f>IF($W$8=0,0,IF(V10&lt;='Options and results'!$W$20,IF(AB10&lt;=0,0,IF('Options and results'!$C$41&gt;0,IF(AND(VLOOKUP('Options and results'!$C$42,Treegrant!$B$6:$L$42,Treegrant!$J$2,FALSE)&lt;=V10,VLOOKUP('Options and results'!$C$42,Treegrant!$B$6:$L$42,Treegrant!$K$2,FALSE)&gt;=V10),(VLOOKUP('Options and results'!$C$42,Treegrant!$B$6:$L$42,Treegrant!$L$2,FALSE)),0)*IF('Options and results'!$C$47="full",1,'Options and results'!$C$47))*IF(V10&gt;='Options and results'!$I$23,'Options and results'!$I$22,1)),0))*IF(1+'Options and results'!$Q$23*(V10-1)&gt;0,1+'Options and results'!$Q$23*(V10-1),0)</f>
        <v>0</v>
      </c>
      <c r="AV10" s="1032">
        <f>IF($W$8=0,0,IF(V10&lt;='Options and results'!$W$20,IF(AB10&lt;=0,0,(IF('Options and results'!$C$41&gt;0,(IF(AND(VLOOKUP('Options and results'!$C$42,Treegrant!$B$6:$O$42,Treegrant!$M$2,FALSE)&lt;=V10,VLOOKUP('Options and results'!$C$42,Treegrant!$B$6:$O$42,Treegrant!$N$2,FALSE)&gt;=V10),(VLOOKUP('Options and results'!$C$42,Treegrant!$B$6:$O$42,Treegrant!$O$2,FALSE)),0)*IF('Options and results'!$C$48="full",1,'Options and results'!$C$48))+(IF(AND(VLOOKUP('Options and results'!$C$42,Treegrant!$B$6:$R$42,Treegrant!$P$2,FALSE)&lt;=V10,VLOOKUP('Options and results'!$C$42,Treegrant!$B$6:$R$42,Treegrant!$Q$2,FALSE)&gt;=V10),(VLOOKUP('Options and results'!$C$42,Treegrant!$B$6:$R$42,Treegrant!$R$2,FALSE)),0))*IF('Options and results'!$C$49="full",1,'Options and results'!$C$49)))*IF(V10&gt;='Options and results'!$I$23,'Options and results'!$I$22,1)),0))*IF(1+'Options and results'!$Q$23*(V10-1)&gt;0,1+'Options and results'!$Q$23*(V10-1),0)</f>
        <v>0</v>
      </c>
      <c r="AW10" s="1033" t="s">
        <v>302</v>
      </c>
      <c r="AX10" s="1018">
        <f>'Options and results'!S34</f>
        <v>14.6</v>
      </c>
      <c r="AY10" s="1419">
        <f>IF($W$8=0,0,IF(V10=1,VLOOKUP($W$8,Treecost!$B$6:$AH$49,Treecost!$E$2,FALSE),0)*IF(V10&gt;='Options and results'!$I$25,'Options and results'!$I$24,1))</f>
        <v>0</v>
      </c>
      <c r="AZ10" s="889">
        <f>IF($W$8=0,0,IF(V10=1,VLOOKUP($W$8,Treecost!$B$6:$AH$49,Treecost!$F$2,FALSE),0)*IF(V10&gt;='Options and results'!$I$25,'Options and results'!$I$24,1))</f>
        <v>0</v>
      </c>
      <c r="BA10" s="889">
        <f>IF($W$8=0,0,IF(V10=1,VLOOKUP($W$8,Treecost!$B$6:$AH$49,Treecost!$G$2,FALSE),0)*IF(V10&gt;='Options and results'!$I$25,'Options and results'!$I$24,1))</f>
        <v>0</v>
      </c>
      <c r="BB10" s="889">
        <f>IF($W$8=0,0,IF(V10&lt;='Options and results'!$W$20,((VLOOKUP($W$8,Treecost!$B$6:$AH$49,Treecost!$H$2,FALSE)*(X10+AA10))/60)*IF(V10&gt;='Options and results'!$I$25,'Options and results'!$I$24,1),0))</f>
        <v>0</v>
      </c>
      <c r="BC10" s="889">
        <f>IF($W$8=0,0,IF(V10&lt;='Options and results'!$W$20,(((VLOOKUP($W$8,Treecost!$B$6:$AH$49,Treecost!$I$2,FALSE))*(X10+AA10))/60)*IF(V10&gt;='Options and results'!$I$25,'Options and results'!$I$24,1),0))</f>
        <v>0</v>
      </c>
      <c r="BD10" s="889">
        <f>IF($W$8=0,0,IF(V10&lt;='Options and results'!$W$20,(((VLOOKUP($W$8,Treecost!$B$6:$AH$49,Treecost!$J$2,FALSE))/60)*(X10+AA10))*IF(V10&gt;='Options and results'!$I$25,'Options and results'!$I$24,1),0))</f>
        <v>0</v>
      </c>
      <c r="BE10" s="1019">
        <f>IF($W$8=0,0,IF(V10&lt;='Options and results'!$W$20,(((VLOOKUP($W$8,Treecost!$B$6:$AH$49,Treecost!$C$2,FALSE)+VLOOKUP($W$8,Treecost!$B$6:$AH$49,Treecost!$D$2,FALSE))*(X10+AA10)*IF(1+'Options and results'!$Q$22*(V10-1)&gt;0,1+'Options and results'!$Q$22*(V10-1),0))+((AY10*$AX$8+AZ10*$AX$9+BA10*$AX$10+BB10*$AX$11+BC10*$AX$12+BD10*$AX$13)*IF(1+'Options and results'!$Q$21*(V10-1)&gt;0,1+'Options and results'!$Q$21*(V10-1),0)))*IF(V10&gt;='Options and results'!$I$27,'Options and results'!$I$26,1),0))</f>
        <v>0</v>
      </c>
      <c r="BF10" s="889">
        <f>IF($W$8=0,0,IF(V10&lt;='Options and results'!$W$20,IF(AND(VLOOKUP($W$8,Treecost!$B$6:$AH$49,Treecost!$K$2,FALSE)&lt;=V10,V10&lt;=(VLOOKUP($W$8,Treecost!$B$6:$AH$49,Treecost!$L$2,FALSE))),VLOOKUP($W$8,Treecost!$B$6:$AH$49,Treecost!$M$2,FALSE)*AB10/60,0)*IF(V10&gt;='Options and results'!$I$25,'Options and results'!$I$24,1),0))</f>
        <v>0</v>
      </c>
      <c r="BG10" s="1019">
        <f>IF(BF10&gt;0,(VLOOKUP($W$8,Treecost!$B$6:$AH$49,Treecost!$N$2,FALSE)*AB10*IF(1+'Options and results'!$Q$22*(V10-1)&gt;0,1+'Options and results'!$Q$22*(V10-1),0)+BF10*$AX$14*IF(1+'Options and results'!$Q$21*(V10-1)&gt;0,1+'Options and results'!$Q$21*(V10-1),0)),0)*IF(V10&gt;='Options and results'!$I$27,'Options and results'!$I$26,1)</f>
        <v>0</v>
      </c>
      <c r="BH10" s="889">
        <f>IF(V10&lt;='Options and results'!$W$20,IF(AND(AG10-AG9&gt;0,AG10&gt;'Options and results'!$M$36),(AB10-AC10)*(VLOOKUP($W$8,Treecost!$B$6:$AH$49,Treecost!$Y$2,FALSE)+(VLOOKUP($W$8,Treecost!$B$6:$AH$49,Treecost!$AA$2,FALSE)-VLOOKUP($W$8,Treecost!$B$6:$AH$49,Treecost!$Y$2,FALSE))/(VLOOKUP($W$8,Treecost!$B$6:$AH$49,Treecost!$Z$2,FALSE)-VLOOKUP($W$8,Treecost!$B$6:$AH$49,Treecost!$X$2,FALSE))*(AG10-VLOOKUP($W$8,Treecost!$B$6:$AH$49,Treecost!$X$2,FALSE)))/60,0)*IF(V10&gt;='Options and results'!$I$25,'Options and results'!$I$24,1),0)</f>
        <v>1.6064285714285715</v>
      </c>
      <c r="BI10" s="303">
        <f>IF(V10&lt;='Options and results'!$W$20,IF(BH10&gt;0,VLOOKUP($W$8,Treecost!$B$6:$AH$49,Treecost!$AB$2,FALSE)/60*AB10,0)*IF(V10&gt;='Options and results'!$I$25,'Options and results'!$I$24,1),0)*((BH10-(MIN($BH$8:$BH$67)))/((MAX($BH$8:$BH$67))-(MIN($BH$8:$BH$67))))</f>
        <v>8.6458433445458935E-2</v>
      </c>
      <c r="BJ10" s="740">
        <f>IF(BH10&gt;0,(BH10*$AX$15+BI10*$AX$19)*IF(1+'Options and results'!$Q$21*(V10-1)&gt;0,1+'Options and results'!$Q$21*(V10-1),0),0)*IF(V10&gt;='Options and results'!$I$27,'Options and results'!$I$26,1)</f>
        <v>24.716150271160842</v>
      </c>
      <c r="BK10" s="891">
        <f>IF($W$8=0,0,IF(V10&lt;='Options and results'!$W$20,IF(VLOOKUP($W$8,Treecost!$B$2:$AH$49,Treecost!$O$2,FALSE)=V10,VLOOKUP($W$8,Treecost!$B$2:$AH$49,Treecost!$P$2,FALSE),0)*IF(V10&gt;='Options and results'!$I$25,'Options and results'!$I$24,1),0))</f>
        <v>0</v>
      </c>
      <c r="BL10" s="889">
        <f>IF($W$8=0,0,IF(V10&lt;='Options and results'!$W$20,IF(AND(V10&gt;VLOOKUP($W$8,Treecost!$B$2:$AH$49,Treecost!$O$2,FALSE),V10&lt;=VLOOKUP($W$8,Treecost!$B$2:$AH$49,Treecost!$R$2,FALSE)),VLOOKUP($W$8,Treecost!$B$2:$AH$49,Treecost!$S$2,FALSE),0)*IF(V10&gt;='Options and results'!$I$25,'Options and results'!$I$24,1),0))</f>
        <v>0</v>
      </c>
      <c r="BM10" s="740">
        <f>IF($W$8=0,0,IF(V10&lt;='Options and results'!$W$20,((IF(VLOOKUP($W$8,Treecost!$B$2:$AH$49,Treecost!$O$2,FALSE)=V10,VLOOKUP($W$8,Treecost!$B$2:$AH$49,Treecost!$Q$2,FALSE),0)+IF(AND(V10&gt;VLOOKUP($W$8,Treecost!$B$2:$AH$49,Treecost!$O$2,FALSE),V10&lt;=VLOOKUP($W$8,Treecost!$B$2:$AH$49,Treecost!$R$2,FALSE)),VLOOKUP($W$8,Treecost!$B$2:$AH$49,Treecost!$T$2,FALSE),0)*IF(1+'Options and results'!$Q$22*(V10-1)&gt;0,1+'Options and results'!$Q$22*(V10-1),0))+(BK10*$AX$16+BL10*$AX$17)*IF(1+'Options and results'!$Q$21*(V10-1)&gt;0,1+'Options and results'!$Q$21*(V10-1),0))*IF(V10&gt;='Options and results'!$I$27,'Options and results'!$I$26,1),0))</f>
        <v>0</v>
      </c>
      <c r="BN10" s="894">
        <f>IF($W$8=0,0,IF(V10&lt;='Options and results'!$W$20,IF(AND(V10&gt;=VLOOKUP($W$8,Treecost!$B$2:$W$49,Treecost!$U$2,FALSE),V10&lt;=VLOOKUP($W$8,Treecost!$B$2:$W$49,Treecost!$V$2,FALSE)),(AB10*VLOOKUP($W$8,Treecost!$B$2:$W$49,Treecost!$W$2,FALSE)/60),0)*IF(V10&gt;='Options and results'!$I$25,'Options and results'!$I$24,1),0))</f>
        <v>0</v>
      </c>
      <c r="BO10" s="740">
        <f>BN10*$AX$18*IF(V10&gt;='Options and results'!$I$27,'Options and results'!$I$26,1)*IF(1+'Options and results'!$Q$21*(V10-1)&gt;0,1+'Options and results'!$Q$21*(V10-1),0)</f>
        <v>0</v>
      </c>
      <c r="BP10" s="894">
        <f>IF(V10&lt;='Options and results'!$W$20,IF(AB10&lt;=0,0,VLOOKUP($W$8,Treecost!$B$6:$AH$49,Treecost!$AC$2,FALSE)+VLOOKUP($W$8,Treecost!$B$6:$AH$49,Treecost!$AD$2,FALSE)+IF(AND(V10&gt;=VLOOKUP($W$8,Treecost!$B$2:$AK$49,Treecost!$AI$2,FALSE),V10&lt;=VLOOKUP($W$8,Treecost!$B$2:$AK$49,Treecost!$AJ$2,FALSE)),(VLOOKUP($W$8,Treecost!$B$2:$AK$49,Treecost!$AK$2,FALSE)),0))*IF(V10&gt;='Options and results'!$I$27,'Options and results'!$I$26,1),0)*IF(1+'Options and results'!$Q$22*(V10-1)&gt;0,1+'Options and results'!$Q$22*(V10-1),0)</f>
        <v>3</v>
      </c>
      <c r="BQ10" s="894">
        <f>IF(V10&lt;='Options and results'!$W$20,IF(AC10&gt;0,VLOOKUP($W$8,Treecost!$B$6:$AH$49,Treecost!$AE$2,FALSE)/60*AC10,0)*IF(V10&gt;='Options and results'!$I$25,'Options and results'!$I$24,1),0)</f>
        <v>0</v>
      </c>
      <c r="BR10" s="740">
        <f>IF(V10&lt;='Options and results'!$W$20,IF(AC10&gt;0,VLOOKUP($W$8,Treecost!$B$6:$AH$49,Treecost!$AF$2,FALSE)/60*AC10,0)*IF(V10&gt;='Options and results'!$I$25,'Options and results'!$I$24,1),0)</f>
        <v>0</v>
      </c>
      <c r="BS10" s="740">
        <f>(BQ10*$AX$20+BR10*$AX$21)*IF(V10&gt;='Options and results'!$I$27,'Options and results'!$I$26,1)*IF(1+'Options and results'!$Q$21*(V10-1)&gt;0,1+'Options and results'!$Q$21*(V10-1),0)</f>
        <v>0</v>
      </c>
      <c r="BT10" s="894">
        <f>IF(V10&lt;='Options and results'!$W$20,IF(AD10&gt;0,(VLOOKUP($W$8,Treecost!$B$6:$AH$49,Treecost!$AG$2,FALSE)/60*AD10)*IF(V10&gt;='Options and results'!$I$25,'Options and results'!$I$24,1),0),0)</f>
        <v>0</v>
      </c>
      <c r="BU10" s="740">
        <f>IF(V10&lt;='Options and results'!$W$20,IF(AD10&gt;0,(VLOOKUP($W$8,Treecost!$B$6:$AH$49,Treecost!$AH$2,FALSE)/60*AD10)*IF(V10&gt;='Options and results'!$I$25,'Options and results'!$I$24,1),0),0)</f>
        <v>0</v>
      </c>
      <c r="BV10" s="740">
        <f>(BT10*$AX$22+BU10*$AX$23)*IF(V10&gt;='Options and results'!$I$27,'Options and results'!$I$26,1)*IF(1+'Options and results'!$Q$21*(V10-1)&gt;0,1+'Options and results'!$Q$21*(V10-1),0)</f>
        <v>0</v>
      </c>
      <c r="BW10" s="1033">
        <f t="shared" si="138"/>
        <v>1.6928870048740305</v>
      </c>
      <c r="BX10" s="1027">
        <f t="shared" si="139"/>
        <v>0</v>
      </c>
      <c r="BY10" s="1027">
        <f t="shared" si="140"/>
        <v>0</v>
      </c>
      <c r="BZ10" s="740">
        <f t="shared" si="124"/>
        <v>27.716150271160842</v>
      </c>
      <c r="CA10" s="740">
        <f t="shared" si="141"/>
        <v>-27.716150271160842</v>
      </c>
      <c r="CB10" s="894">
        <f>IF($V10&lt;='Options and results'!$W$20,SUM(BX$8:$BX10),0)</f>
        <v>0</v>
      </c>
      <c r="CC10" s="740">
        <f>IF($V10&lt;='Options and results'!$W$20,SUM($BY$8:BY10),0)</f>
        <v>0</v>
      </c>
      <c r="CD10" s="740">
        <f>IF($V10&lt;='Options and results'!$W$20,SUM($BZ$8:BZ10),0)</f>
        <v>797.39978663479712</v>
      </c>
      <c r="CE10" s="740">
        <f>IF(V10&lt;='Options and results'!$W$20,CB10+CC10-CD10,0)</f>
        <v>-797.39978663479712</v>
      </c>
      <c r="CF10" s="1381">
        <f t="shared" si="142"/>
        <v>0.67020107227068448</v>
      </c>
      <c r="CG10" s="1027">
        <f t="shared" si="143"/>
        <v>-27.045949198890156</v>
      </c>
      <c r="CH10" s="1027">
        <f t="shared" si="144"/>
        <v>0</v>
      </c>
      <c r="CI10" s="1189">
        <f>IF(V10&lt;='Options and results'!$W$20,CE10+AO10,0)</f>
        <v>-797.39978663479712</v>
      </c>
      <c r="CJ10" s="1023"/>
      <c r="CK10" s="895">
        <f t="shared" si="145"/>
        <v>3</v>
      </c>
      <c r="CL10" s="1011" t="str">
        <f>IF('Options and results'!$C$54="None",0,IF(AND(CK10&gt;='Options and results'!$K$57,CK9&lt;'Options and results'!$W$20),'Options and results'!$K$56,IF(Optimisation!$B$3="No",CONCATENATE('Options and results'!$C$60," ",(HLOOKUP(CONCATENATE('Options and results'!$C$54," ",Agroforestrysystem!$B$12),Agroforestrysystem!$B$11:$IM$74,$CK10+4,FALSE))),Optimisation!AA30)))</f>
        <v>UK - Agriculture (BPS: from 2015) Barley</v>
      </c>
      <c r="CM10" s="1012">
        <f>IF(HLOOKUP(CONCATENATE('Options and results'!$C$54," ",Agroforestrysystem!$C$12),Agroforestrysystem!$B$11:$IM$74,$CK10+4,FALSE)="T",(VLOOKUP(CL10,Arablefinance!$Z$6:$AB$105,Arablefinance!$AB$2,FALSE)*CO10+VLOOKUP(CL10,Arablefinance!$Z$6:$AC$105,Arablefinance!$AC$2,FALSE)*CP10)/VLOOKUP(CL10,Arablefinance!$Z$6:$AA$105,Arablefinance!$AA$2,FALSE),0)</f>
        <v>0</v>
      </c>
      <c r="CN10" s="1012">
        <f>IF(CL10=0,0,HLOOKUP(CONCATENATE('Options and results'!$C$54," ",Agroforestrysystem!$D$12),Agroforestrysystem!$B$11:$IM$74,$CK10+4,FALSE))</f>
        <v>0.99</v>
      </c>
      <c r="CO10" s="1440">
        <f ca="1">IF(CL10=0,0,IF(AND(Optimisation!$B$3="yes",Optimisation!$B$4=1,CK10&gt;Optimisation!$B$9),0,HLOOKUP(CONCATENATE('Options and results'!$C$54," ",Agroforestrysystem!$E$12),Agroforestrysystem!$B$11:$IM$74,$CK10+4,FALSE)*IF(CK10&gt;='Options and results'!$J$19,'Options and results'!$J$18,1)))</f>
        <v>7.5</v>
      </c>
      <c r="CP10" s="1440">
        <f ca="1">IF(CL10=0,0,IF(AND(Optimisation!$B$3="yes",Optimisation!$B$4=1,CK10&gt;Optimisation!$B$9),0,HLOOKUP(CONCATENATE('Options and results'!$C$54," ",Agroforestrysystem!$F$12),Agroforestrysystem!$B$11:$IM$74,$CK10+4,FALSE)*IF(CK10&gt;='Options and results'!$J$19,'Options and results'!$J$18,1)))</f>
        <v>4.7459999999999996</v>
      </c>
      <c r="CQ10" s="1013">
        <f ca="1">IF(CN10&lt;=0,0,IF(CK10&lt;='Options and results'!$W$20,IF(CM10&gt;0,VLOOKUP(CL10,Arablefinance!$Z$6:$AE$105,Arablefinance!$AD$2,FALSE)*CM10*CN10,((VLOOKUP(CL10,Arablefinance!$E$6:$H$126,2,FALSE)*CO10+VLOOKUP(CL10,Arablefinance!$E$6:$H$126,3,FALSE)*CP10)*CN10)),0)*IF(CK10&gt;='Options and results'!$J$21,'Options and results'!$J$20,1))*IF(1+'Options and results'!$O$20*(CK10-1)&gt;0,1+'Options and results'!$O$20*(CK10-1),0)</f>
        <v>1444.3572000000001</v>
      </c>
      <c r="CR10" s="1441">
        <f>IF(CN10&lt;=0,0,IF(AND(CM10&gt;0,VLOOKUP(CL10,Arablefinance!$Z$6:$AI$105,Arablefinance!$AI$2,FALSE)=2),VLOOKUP(CL10,Arablefinance!$Z$6:$AE$105,Arablefinance!$AE$2,FALSE)*CM10*CN10,IF('Options and results'!$C$62&gt;0,IF(VLOOKUP(CL10,Arablefinance!$E$6:$W$126,Arablefinance!$H$2,FALSE)*(1-Plot!DM10*'Options and results'!$C$62)&gt;0,VLOOKUP(CL10,Arablefinance!$E$6:$W$126,Arablefinance!$H$2,FALSE)*(1-Plot!DM10*'Options and results'!$C$62),0),IF(CK10&lt;='Options and results'!$W$20,(VLOOKUP(CL10,Arablefinance!$E$6:$W$126,Arablefinance!$H$2,FALSE)*IF('Options and results'!$C$61="area",CN10,'Options and results'!$C$61)),0)))*IF(CK10&gt;='Options and results'!$J$23,'Options and results'!$J$22,1))*IF(AND(1+'Options and results'!$O$23*(CK10-1)&gt;0,1+'Options and results'!$O$23*(CK10-1)&gt;'Options and results'!$S$24),1+'Options and results'!$O$23*(CK10-1),'Options and results'!$S$24)</f>
        <v>0</v>
      </c>
      <c r="CS10" s="1441">
        <f t="shared" ca="1" si="146"/>
        <v>1444.3572000000001</v>
      </c>
      <c r="CT10" s="1441">
        <f>IF(CN10&lt;=0,0,IF(CK10&lt;='Options and results'!$W$20,IF(CM10&gt;0,VLOOKUP(CL10,Arablefinance!$Z$6:$AF$105,Arablefinance!$AF$2,FALSE)*CM10*CN10,VLOOKUP(CL10,Arablefinance!$E$6:$X$126,Arablefinance!$R$2,FALSE)*CN10),0)*IF(CK10&gt;='Options and results'!$J$27,'Options and results'!$J$26,1))*IF(1+'Options and results'!$O$22*(CK10-1)&gt;0,1+'Options and results'!$O$22*(CK10-1),0)</f>
        <v>529.85624999999993</v>
      </c>
      <c r="CU10" s="1441">
        <f t="shared" ca="1" si="147"/>
        <v>914.50095000000022</v>
      </c>
      <c r="CV10" s="1441">
        <f>IF(CN10&lt;=0,0,IF(CK10&lt;='Options and results'!$W$20,IF(CM10&gt;0,VLOOKUP(CL10,Arablefinance!$Z$6:$AG$105,Arablefinance!$AG$2,FALSE)*CM10*CN10,VLOOKUP(CL10,Arablefinance!$E$6:$X$126,Arablefinance!$X$2,FALSE)*CN10),0)*IF(CK10&gt;='Options and results'!$J$27,'Options and results'!$J$26,1))*IF(1+'Options and results'!$O$22*(CK10-1)&gt;0,1+'Options and results'!$O$22*(CK10-1),0)</f>
        <v>440</v>
      </c>
      <c r="CW10" s="1442">
        <f>IF(CN10&lt;=0,0,IF(CK10&lt;='Options and results'!$W$20,'Options and results'!$C$27*IF(CK10&gt;='Options and results'!$J$27,'Options and results'!$J$26,1),0))*IF(1+'Options and results'!$O$21*(CK10-1)&gt;0,1+'Options and results'!$O$21*(CK10-1),0)</f>
        <v>14.6</v>
      </c>
      <c r="CX10" s="1442">
        <f>IF(CN10&lt;=0,0,IF(CK10&lt;='Options and results'!$W$20,IF(CM10&gt;0,VLOOKUP(CL10,Arablefinance!$Z$6:$AH$105,Arablefinance!$AH$2,FALSE)*CM10*CN10,VLOOKUP(CL10,Arablefinance!$E$6:$W$126,Arablefinance!$V$2,FALSE)*CN10),0)*IF(CK10&gt;='Options and results'!$J$25,'Options and results'!$J$24,1))</f>
        <v>10.725352674112727</v>
      </c>
      <c r="CY10" s="1013">
        <f t="shared" si="148"/>
        <v>1126.4463990420459</v>
      </c>
      <c r="CZ10" s="1353">
        <f t="shared" ca="1" si="149"/>
        <v>317.91080095795428</v>
      </c>
      <c r="DA10" s="1013">
        <f ca="1">IF($CK10&lt;='Options and results'!$W$20,SUM($CQ$8:CQ10),0)</f>
        <v>4896.9024500000005</v>
      </c>
      <c r="DB10" s="1441">
        <f>IF($CK10&lt;='Options and results'!$W$20,SUM($CR$8:CR10),0)</f>
        <v>0</v>
      </c>
      <c r="DC10" s="1441">
        <f>IF($CK10&lt;='Options and results'!$W$20,SUM($CY$8:CY10),0)</f>
        <v>3635.9158815677702</v>
      </c>
      <c r="DD10" s="1189">
        <f ca="1">IF(CK10&lt;='Options and results'!$W$20,DA10+DB10-DC10,0)</f>
        <v>1260.9865684322303</v>
      </c>
      <c r="DE10" s="401"/>
      <c r="DF10" s="895">
        <f t="shared" si="150"/>
        <v>3</v>
      </c>
      <c r="DG10" s="173"/>
      <c r="DH10" s="1422"/>
      <c r="DI10" s="1427">
        <f>IF(DF10&lt;='Options and results'!$M$61,'Options and results'!$M$60,0)</f>
        <v>0</v>
      </c>
      <c r="DJ10" s="740">
        <f t="shared" si="151"/>
        <v>0</v>
      </c>
      <c r="DK10" s="740">
        <f t="shared" si="152"/>
        <v>0</v>
      </c>
      <c r="DL10" s="1428">
        <f t="shared" si="153"/>
        <v>100</v>
      </c>
      <c r="DM10" s="1429">
        <f>IF($DG$8=0,0,HLOOKUP(CONCATENATE('Options and results'!$C$54," ",Agroforestrysystem!$J$12),Agroforestrysystem!$11:$74,DF10+3,FALSE))/100</f>
        <v>6.2E-2</v>
      </c>
      <c r="DN10" s="740">
        <f>IF($DG$8=0,0,IF(HLOOKUP(CONCATENATE('Options and results'!$C$54," ",Agroforestrysystem!$H$12),Agroforestrysystem!$11:$74,DF10+4,FALSE)&lt;DL10,HLOOKUP(CONCATENATE('Options and results'!$C$54," ",Agroforestrysystem!$H$12),Agroforestrysystem!$11:$74,DF10+4,FALSE),0))</f>
        <v>0</v>
      </c>
      <c r="DO10" s="1027">
        <f>IF($DG$8=0,0,IF(HLOOKUP(CONCATENATE('Options and results'!$C$54," ",Agroforestrysystem!$H$12),Agroforestrysystem!$11:$74,DF10+4,FALSE)&gt;=DL10,DL10,0))</f>
        <v>0</v>
      </c>
      <c r="DP10" s="1430">
        <f>IF($DG$8=0,0,HLOOKUP(CONCATENATE('Options and results'!$C$54," ",Agroforestrysystem!$I$12),Agroforestrysystem!$11:$74,DF10+4,FALSE))</f>
        <v>2.3400475234040528</v>
      </c>
      <c r="DQ10" s="1038"/>
      <c r="DR10" s="1390">
        <f>IF($DG$8=0,0,IF(DF10&gt;'Options and results'!$W$20,0,)+IF(DF10=1,'Options and results'!$M$64)+IF('Options and results'!$M$67="yes",IF(AND(DR9+'Options and results'!$M$65&lt;=$DQ$8,DR9+'Options and results'!$M$65+IF(DF10=1,'Options and results'!$M$64,0)&lt;='Options and results'!$M$66*DP10),DR9+'Options and results'!$M$65,DR9),(HLOOKUP(CONCATENATE('Options and results'!$C$54," ",Agroforestrysystem!$K$12),Agroforestrysystem!$11:$74,DF10+4,FALSE)-IF(DF10=1,'Options and results'!$M$64))))</f>
        <v>1.5</v>
      </c>
      <c r="DS10" s="1027">
        <f>IF(OR($DG$8=0,DL10=0),0,HLOOKUP(CONCATENATE('Options and results'!$C$54," ",Agroforestrysystem!$L$12),Agroforestrysystem!$11:$74,DF10+4,FALSE)*IF(DF10&gt;='Options and results'!$K$19,'Options and results'!$K$18,1))</f>
        <v>7.4722619829604042E-2</v>
      </c>
      <c r="DT10" s="1431">
        <f t="shared" si="154"/>
        <v>7.4722619829604043E-4</v>
      </c>
      <c r="DU10" s="889">
        <f t="shared" si="155"/>
        <v>0</v>
      </c>
      <c r="DV10" s="1027">
        <f>IF($DG$8=0,0,(HLOOKUP(CONCATENATE('Options and results'!$C$54," ",Agroforestrysystem!$M$12),Agroforestrysystem!$11:$74,DF10+4,FALSE))*IF(DF10&gt;='Options and results'!$K$19,'Options and results'!$K$18,1))-DW10</f>
        <v>3.2948751027128596E-2</v>
      </c>
      <c r="DW10" s="303">
        <f>IF($DG$8=0,0,(HLOOKUP(CONCATENATE('Options and results'!$C$54," ",Agroforestrysystem!$N$12),Agroforestrysystem!$11:$74,DF10+4,FALSE))*IF(DF10&gt;='Options and results'!$K$19,'Options and results'!$K$18,1))</f>
        <v>0</v>
      </c>
      <c r="DX10" s="303">
        <f>IF($DG$8=0,0,HLOOKUP(CONCATENATE('Options and results'!$C$54," ",Agroforestrysystem!$O$12),Agroforestrysystem!$11:$74,DF10+4,FALSE)*IF(DF10&gt;='Options and results'!$K$19,'Options and results'!$K$18,1))</f>
        <v>0</v>
      </c>
      <c r="DY10" s="1192">
        <f>IF(DT10&gt;0,HLOOKUP(DT10,Treevalue!$I$4:$BC$34,'Options and results'!$C$66+1),0)*IF(DF10&gt;='Options and results'!$K$21,'Options and results'!$K$20,1)*IF(1+'Options and results'!$Q$20*(DF10-1)&gt;0,1+'Options and results'!$Q$20*(DF10-1),0)</f>
        <v>0</v>
      </c>
      <c r="DZ10" s="1027">
        <f t="shared" si="156"/>
        <v>0</v>
      </c>
      <c r="EA10" s="1027">
        <f t="shared" si="125"/>
        <v>0</v>
      </c>
      <c r="EB10" s="1027">
        <f>(IF('Options and results'!$C$66&gt;0,IF(DF10&lt;='Options and results'!$W$20,VLOOKUP('Options and results'!$C$66,Treevalue!$A$4:$F$34,5,FALSE),0),0)*DV10)*IF(DF10&gt;='Options and results'!$K$21,'Options and results'!$K$20,1)*IF(1+'Options and results'!$Q$20*(DF10-1)&gt;0,1+'Options and results'!$Q$20*(DF10-1),0)</f>
        <v>0.82371877567821494</v>
      </c>
      <c r="EC10" s="740">
        <f>(IF('Options and results'!$C$66&gt;0,IF(DF10&lt;='Options and results'!$W$20,VLOOKUP('Options and results'!$C$66,Treevalue!$A$4:$F$34,5,FALSE),0),0)*DW10)*IF(DF10&gt;='Options and results'!$K$21,'Options and results'!$K$20,1)*IF(1+'Options and results'!$Q$20*(DF10-1)&gt;0,1+'Options and results'!$Q$20*(DF10-1),0)</f>
        <v>0</v>
      </c>
      <c r="ED10" s="889">
        <f>(IF('Options and results'!$C$66&gt;0,IF(DF10&lt;='Options and results'!$W$20,VLOOKUP('Options and results'!$C$66,Treevalue!$A$4:$F$34,6,FALSE),0),0)*DX10)*IF(DF10&gt;='Options and results'!$K$21,'Options and results'!$K$20,1)*IF(1+'Options and results'!$Q$20*(DF10-1)&gt;0,1+'Options and results'!$Q$20*(DF10-1),0)</f>
        <v>0</v>
      </c>
      <c r="EE10" s="740">
        <f>IF(DF10&lt;='Options and results'!$W$20,IF(DL10&lt;=0,0,IF('Options and results'!$C$70="cost",(IF(DF10&lt;='Options and results'!$C$71,FK10*SUM('Options and results'!$C$72:$C$73),0)),IF('Options and results'!$C$68&gt;0,(IF(VLOOKUP('Options and results'!$C$69,Treegrant!$B$6:$L$42,Treegrant!$C$2,FALSE)=DF10,VLOOKUP('Options and results'!$C$69,Treegrant!$B$6:$L$42,Treegrant!$D$2,FALSE),0)+IF(VLOOKUP('Options and results'!$C$69,Treegrant!$B$6:$L$42,Treegrant!$E$2,FALSE)=DF10,VLOOKUP('Options and results'!$C$69,Treegrant!$B$6:$L$42,Treegrant!$F$2,FALSE),0)+IF(VLOOKUP('Options and results'!$C$69,Treegrant!$B$6:$L$42,Treegrant!$G$2,FALSE)=DF10,VLOOKUP('Options and results'!$C$69,Treegrant!$B$6:$L$42,Treegrant!$H$2,FALSE)))*IF('Options and results'!$C$70="area",Unit!C11,'Options and results'!$C$70),0))*IF(DF10&gt;='Options and results'!$K$23,'Options and results'!$K$22,1)),0)*IF(1+'Options and results'!$Q$23*(DF10-1)&gt;0,1+'Options and results'!$Q$23*(DF10-1),0)</f>
        <v>0</v>
      </c>
      <c r="EF10" s="740">
        <f>IF($DG$8=0,0,IF(DF10&lt;='Options and results'!$W$20,IF(DL10&lt;=0,0,IF('Options and results'!$C$68&gt;0,IF(AND(VLOOKUP('Options and results'!$C$69,Treegrant!$B$6:$L$42,Treegrant!$J$2,FALSE)&lt;=DF10,VLOOKUP('Options and results'!$C$69,Treegrant!$B$6:$L$42,Treegrant!$K$2,FALSE)&gt;=DF10),(VLOOKUP('Options and results'!$C$69,Treegrant!$B$6:$L$42,Treegrant!$L$2,FALSE)),0)*IF('Options and results'!$C$74="area",Unit!C11,'Options and results'!$C$74))*IF(DF10&gt;='Options and results'!$K$23,'Options and results'!$K$22,1)),0))*IF(1+'Options and results'!$Q$23*(DF10-1)&gt;0,1+'Options and results'!$Q$23*(DF10-1),0)</f>
        <v>0</v>
      </c>
      <c r="EG10" s="1034">
        <f>IF($DG$8=0,0,IF(DF10&lt;='Options and results'!$W$20,IF(DL10&lt;=0,0,IF('Options and results'!$C$68&gt;0,((IF(AND(VLOOKUP('Options and results'!$C$69,Treegrant!$B$6:$O$42,Treegrant!$M$2,FALSE)&lt;=DF10,VLOOKUP('Options and results'!$C$69,Treegrant!$B$6:$O$42,Treegrant!$N$2,FALSE)&gt;=DF10),(VLOOKUP('Options and results'!$C$69,Treegrant!$B$6:$O$42,Treegrant!$O$2,FALSE)),0)*IF('Options and results'!$C$75="area",Unit!C11,'Options and results'!$C$75))+(IF(AND(VLOOKUP('Options and results'!$C$69,Treegrant!$B$6:$R$42,Treegrant!$P$2,FALSE)&lt;=DF10,VLOOKUP('Options and results'!$C$69,Treegrant!$B$6:$R$42,Treegrant!$Q$2,FALSE)&gt;=DF10),(VLOOKUP('Options and results'!$C$69,Treegrant!$B$6:$R$42,Treegrant!$R$2,FALSE)),0))*IF('Options and results'!$C$76="area",Unit!C11,'Options and results'!$C$76)))*IF(DF10&gt;='Options and results'!$K$23,'Options and results'!$K$22,1)),0))*IF(1+'Options and results'!$Q$23*(DF10-1)&gt;0,1+'Options and results'!$Q$23*(DF10-1),0)</f>
        <v>0</v>
      </c>
      <c r="EH10" s="1033" t="s">
        <v>302</v>
      </c>
      <c r="EI10" s="1018">
        <f>'Options and results'!$S34</f>
        <v>14.6</v>
      </c>
      <c r="EJ10" s="1419">
        <f>IF($DH$8+DK10&lt;1,0,IF(DF10=1,VLOOKUP($DG$8,Treecost!$B$6:$AH$49,Treecost!$E$2,FALSE),0)*IF(DF10&gt;='Options and results'!$K$25,'Options and results'!$K$24,1))</f>
        <v>0</v>
      </c>
      <c r="EK10" s="889">
        <f>IF($DH$8+DK10&lt;1,0,IF(DF10=1,VLOOKUP($DG$8,Treecost!$B$6:$AH$49,Treecost!$F$2,FALSE),0)*IF(DF10&gt;='Options and results'!$K$25,'Options and results'!$K$24,1))</f>
        <v>0</v>
      </c>
      <c r="EL10" s="889">
        <f>IF($DH$8+DK10&lt;1,0,IF(DF10=1,VLOOKUP($DG$8,Treecost!$B$6:$AH$49,Treecost!$G$2,FALSE),0)*IF(DF10&gt;='Options and results'!$K$25,'Options and results'!$K$24,1))</f>
        <v>0</v>
      </c>
      <c r="EM10" s="889">
        <f>IF($DG$8=0,0,IF(DF10&lt;='Options and results'!$W$20,((VLOOKUP($DG$8,Treecost!$B$6:$AH$49,Treecost!$H$2,FALSE)*(DH10+DK10))/60)*IF(DF10&gt;='Options and results'!$K$25,'Options and results'!$K$24,1),0))</f>
        <v>0</v>
      </c>
      <c r="EN10" s="889">
        <f>IF($DG$8=0,0,IF(DF10&lt;='Options and results'!$W$20,(((VLOOKUP($DG$8,Treecost!$B$6:$AH$49,Treecost!$I$2,FALSE))*(DH10+DK10))/60)*IF(DF10&gt;='Options and results'!$K$25,'Options and results'!$K$24,1),0))</f>
        <v>0</v>
      </c>
      <c r="EO10" s="889">
        <f>IF($DG$8=0,0,IF(DF10&lt;='Options and results'!$W$20,(((VLOOKUP($DG$8,Treecost!$B$6:$AH$49,Treecost!$J$2,FALSE))/60)*(DH10+DK10))*IF(DF10&gt;='Options and results'!$K$25,'Options and results'!$K$24,1),0))</f>
        <v>0</v>
      </c>
      <c r="EP10" s="1019">
        <f>IF($DG$8=0,0,IF(DF10&lt;='Options and results'!$W$20,(((VLOOKUP($DG$8,Treecost!$B$6:$AH$49,Treecost!$C$2,FALSE)+VLOOKUP($DG$8,Treecost!$B$6:$AH$49,Treecost!$D$2,FALSE))*(DH10+DK10)*IF(1+'Options and results'!$Q$22*(DF10-1)&gt;0,1+'Options and results'!$Q$22*(DF10-1),0))+(EJ10*$EI$8+EK10*$EI$9+EL10*$EI$10+EM10*$EI$11+EN10*$EI$12+EO10*$EI$13)*IF(1+'Options and results'!$Q$21*(DF10-1)&gt;0,1+'Options and results'!$Q$21*(DF10-1),0))*IF(DF10&gt;='Options and results'!$K$27,'Options and results'!$K$26,1),0))</f>
        <v>0</v>
      </c>
      <c r="EQ10" s="889">
        <f>IF($DG$8=0,0,IF(DF10&lt;='Options and results'!$W$20,IF(AND(VLOOKUP($DG$8,Treecost!$B$6:$AH$49,Treecost!$K$2,FALSE)&lt;=DF10,DF10&lt;=(VLOOKUP($DG$8,Treecost!$B$6:$AH$49,Treecost!$L$2,FALSE))),VLOOKUP($DG$8,Treecost!$B$6:$AH$49,Treecost!$M$2,FALSE)*DL10/60,0)*IF(DF10&gt;='Options and results'!$K$25,'Options and results'!$K$24,1),0))</f>
        <v>0</v>
      </c>
      <c r="ER10" s="1019">
        <f>IF(EQ10&gt;0,(VLOOKUP($DG$8,Treecost!$B$6:$AH$49,Treecost!$N$2,FALSE)*DL10*IF(1+'Options and results'!$Q$22*(DF10-1)&gt;0,1+'Options and results'!$Q$22*(DF10-1),0)+EQ10*$EI$14*IF(1+'Options and results'!$Q$21*(DF10-1)&gt;0,1+'Options and results'!$Q$21*(DF10-1),0)),0)*IF(DF10&gt;='Options and results'!$K$27,'Options and results'!$K$26,1)</f>
        <v>0</v>
      </c>
      <c r="ES10" s="889">
        <f>IF(DF10&lt;='Options and results'!$W$20,IF(AND(DR10-DR9&gt;0,DR10&gt;'Options and results'!$M$64),(DL10-DN10)*(VLOOKUP($DG$8,Treecost!$B$6:$AH$49,Treecost!$Y$2,FALSE)+(VLOOKUP($DG$8,Treecost!$B$6:$AH$49,Treecost!$AA$2,FALSE)-VLOOKUP($DG$8,Treecost!$B$6:$AH$49,Treecost!$Y$2,FALSE))/(VLOOKUP($DG$8,Treecost!$B$6:$AH$49,Treecost!$Z$2,FALSE)-VLOOKUP($DG$8,Treecost!$B$6:$AH$49,Treecost!$X$2,FALSE))*(DR10-VLOOKUP($DG$8,Treecost!$B$6:$AH$49,Treecost!$X$2,FALSE)))/60,0)*IF(DF10&gt;='Options and results'!$K$25,'Options and results'!$K$24,1),0)</f>
        <v>1.0297619047619049</v>
      </c>
      <c r="ET10" s="889">
        <f>IF(DF10&lt;='Options and results'!$W$20,IF(ES10&gt;0,VLOOKUP($DG$8,Treecost!$B$6:$AH$49,Treecost!$AB$2,FALSE)/60*DL10,0)*IF(DF10&gt;='Options and results'!$K$25,'Options and results'!$K$24,1),0)*((ES10-(MIN($ES$8:$ES$67)))/((MAX($ES$8:$ES$67))-(MIN($ES$8:$ES$67))))</f>
        <v>5.5422072721448036E-2</v>
      </c>
      <c r="EU10" s="740">
        <f>IF(ES10&gt;0,(ES10*$EI$15+ET10*$EI$19)*IF(1+'Options and results'!$Q$21*(DF10-1)&gt;0,1+'Options and results'!$Q$21*(DF10-1),0),0)*IF(DF10&gt;='Options and results'!$K$27,'Options and results'!$K$26,1)</f>
        <v>15.843686071256952</v>
      </c>
      <c r="EV10" s="891">
        <f>IF($DG$8=0,0,IF(DF10&lt;='Options and results'!$W$20,IF(AND(VLOOKUP($DG$8,Treecost!$B$2:$AH$49,Treecost!$O$2,FALSE)=DF10,DF10&lt;=IF(AND(Optimisation!$B$3="Yes",Optimisation!$B$4=1),Optimisation!$B$9)),VLOOKUP($DG$8,Treecost!$B$2:$AH$49,Treecost!$P$2,FALSE)*(1-CN10),0)*IF(DF10&gt;='Options and results'!$K$25,'Options and results'!$K$24,1),0))</f>
        <v>0</v>
      </c>
      <c r="EW10" s="889">
        <f>IF($DG$8=0,0,IF(DF10&lt;='Options and results'!$W$20,IF(AND(DF10&gt;VLOOKUP($DG$8,Treecost!$B$2:$AH$49,Treecost!$O$2,FALSE),DF10&lt;=IF(AND(Optimisation!$B$3="Yes",Optimisation!$B$4=1),Optimisation!$B$9,VLOOKUP($DG$8,Treecost!$B$2:$AH$49,Treecost!$R$2,FALSE))),VLOOKUP($DG$8,Treecost!$B$2:$AH$49,Treecost!$S$2,FALSE)*(1-CN10),0)*IF(DF10&gt;='Options and results'!$K$25,'Options and results'!$K$24,1),0))</f>
        <v>0</v>
      </c>
      <c r="EX10" s="740">
        <f>IF($DG$8=0,0,IF(DF10&lt;='Options and results'!$W$20,(IF(AND(VLOOKUP($DG$8,Treecost!$B$2:$AH$49,Treecost!$O$2,FALSE)=DF10,DF10&lt;=IF(AND(Optimisation!$B$3="Yes",Optimisation!$B$4=1),Optimisation!$B$9)),VLOOKUP($DG$8,Treecost!$B$2:$AH$49,Treecost!$Q$2,FALSE),0)*(1-CN10)+IF(AND(DF10&gt;VLOOKUP($DG$8,Treecost!$B$2:$AH$49,Treecost!$O$2,FALSE),DF10&lt;=IF(AND(Optimisation!$B$3="Yes",Optimisation!$B$4=1),Optimisation!$B$9,VLOOKUP($DG$8,Treecost!$B$2:$AH$49,Treecost!$R$2,FALSE))),VLOOKUP($DG$8,Treecost!$B$2:$AH$49,Treecost!$T$2,FALSE),0)*(1-CN10)+(EV10*$EI$16+EW10*$EI$17))*IF(DF10&gt;='Options and results'!$K$27,'Options and results'!$K$26,1),0))*IF(1+'Options and results'!$Q$21*(DF10-1)&gt;0,1+'Options and results'!$Q$21*(DF10-1),0)</f>
        <v>0</v>
      </c>
      <c r="EY10" s="894">
        <f>IF($DG$8=0,0,IF(DF10&lt;='Options and results'!$W$20,IF(AND(DF10&gt;=VLOOKUP($DG$8,Treecost!$B$2:$W$49,Treecost!$U$2,FALSE),DF10&lt;=VLOOKUP($DG$8,Treecost!$B$2:$W$49,Treecost!$V$2,FALSE)),(DL10*VLOOKUP($DG$8,Treecost!$B$2:$W$49,Treecost!$W$2,FALSE)/60),0)*IF(DF10&gt;='Options and results'!$K$25,'Options and results'!$K$24,1),0))</f>
        <v>0</v>
      </c>
      <c r="EZ10" s="740">
        <f>EY10*$EI$18*IF(DF10&gt;='Options and results'!$K$27,'Options and results'!$K$26,1)*IF(1+'Options and results'!$Q$21*(DF10-1)&gt;0,1+'Options and results'!$Q$21*(DF10-1),0)</f>
        <v>0</v>
      </c>
      <c r="FA10" s="1025">
        <f>IF(DF10&lt;='Options and results'!$W$20,IF(DL10&lt;=0,0,VLOOKUP($DG$8,Treecost!$B$6:$AH$49,Treecost!$AC$2,FALSE)+VLOOKUP($DG$8,Treecost!$B$6:$AH$49,Treecost!$AD$2,FALSE)+IF(AND(DF10&gt;=VLOOKUP($DG$8,Treecost!$B$2:$AK$49,Treecost!$AI$2,FALSE),DF10&lt;=VLOOKUP($DG$8,Treecost!$B$2:$AK$49,Treecost!$AJ$2,FALSE)),VLOOKUP($DG$8,Treecost!$B$2:$AK$49,Treecost!$AK$2,FALSE)*(1-CN10),0))*IF(DF10&gt;='Options and results'!$K$27,'Options and results'!$K$26,1),0)*IF(1+'Options and results'!$Q$22*(DF10-1)&gt;0,1+'Options and results'!$Q$22*(DF10-1),0)</f>
        <v>3</v>
      </c>
      <c r="FB10" s="894">
        <f>IF(DF10&lt;='Options and results'!$W$20,IF(DN10&gt;0,VLOOKUP($DG$8,Treecost!$B$6:$AH$49,Treecost!$AE$2,FALSE)/60*DN10,0)*IF(DF10&gt;='Options and results'!$K$25,'Options and results'!$K$24,1),0)</f>
        <v>0</v>
      </c>
      <c r="FC10" s="740">
        <f>IF(DF10&lt;='Options and results'!$W$20,IF(DN10&gt;0,VLOOKUP($DG$8,Treecost!$B$6:$AH$49,Treecost!$AF$2,FALSE)/60*DN10,0)*IF(DF10&gt;='Options and results'!$K$25,'Options and results'!$K$24,1),0)</f>
        <v>0</v>
      </c>
      <c r="FD10" s="740">
        <f>(FB10*$EI$20+FC10*$EI$21)*IF(DF10&gt;='Options and results'!$K$27,'Options and results'!$K$26,1)*IF(1+'Options and results'!$Q$21*(DF10-1)&gt;0,1+'Options and results'!$Q$21*(DF10-1),0)</f>
        <v>0</v>
      </c>
      <c r="FE10" s="894">
        <f>IF(DF10&lt;='Options and results'!$W$20,IF(DO10&gt;0,(VLOOKUP($DG$8,Treecost!$B$6:$AH$49,Treecost!$AG$2,FALSE)/60*DO10)*IF(DF10&gt;='Options and results'!$K$25,'Options and results'!$K$24,1),0),0)</f>
        <v>0</v>
      </c>
      <c r="FF10" s="740">
        <f>IF(DF10&lt;='Options and results'!$W$20,IF(DO10&gt;0,(VLOOKUP($DG$8,Treecost!$B$6:$AH$49,Treecost!$AH$2,FALSE)/60*DO10)*IF(DF10&gt;='Options and results'!$K$25,'Options and results'!$K$24,1),0),0)</f>
        <v>0</v>
      </c>
      <c r="FG10" s="740">
        <f>(FE10*$EI$22+FF10*$EI$23)*IF(DF10&gt;='Options and results'!$K$27,'Options and results'!$K$26,1)*IF(1+'Options and results'!$Q$21*(DF10-1)&gt;0,1+'Options and results'!$Q$21*(DF10-1),0)</f>
        <v>0</v>
      </c>
      <c r="FH10" s="894">
        <f t="shared" si="157"/>
        <v>1.0851839774833529</v>
      </c>
      <c r="FI10" s="1027">
        <f t="shared" si="158"/>
        <v>0</v>
      </c>
      <c r="FJ10" s="1027">
        <f t="shared" si="159"/>
        <v>0</v>
      </c>
      <c r="FK10" s="1027">
        <f t="shared" si="160"/>
        <v>18.843686071256954</v>
      </c>
      <c r="FL10" s="1027">
        <f t="shared" si="161"/>
        <v>-18.843686071256954</v>
      </c>
      <c r="FM10" s="1027">
        <f>IF($DF10&lt;='Options and results'!$W$20,SUM(FI$8:$FI10),0)</f>
        <v>0</v>
      </c>
      <c r="FN10" s="1027">
        <f>IF($DF10&lt;='Options and results'!$W$20,SUM($FJ$8:FJ10),0)</f>
        <v>0</v>
      </c>
      <c r="FO10" s="1027">
        <f>IF($DF10&lt;='Options and results'!$W$20,SUM($FK$8:FK10),0)</f>
        <v>548.82398910155996</v>
      </c>
      <c r="FP10" s="1027">
        <f>IF($DF10&lt;='Options and results'!$W$20,FM10+FN10-FO10,0)</f>
        <v>-548.82398910155996</v>
      </c>
      <c r="FQ10" s="1027">
        <f t="shared" si="162"/>
        <v>0.42976779936424564</v>
      </c>
      <c r="FR10" s="1027">
        <f t="shared" si="163"/>
        <v>-18.413918271892708</v>
      </c>
      <c r="FS10" s="1027">
        <f t="shared" si="164"/>
        <v>0</v>
      </c>
      <c r="FT10" s="1189">
        <f>IF(DF10&lt;='Options and results'!$W$20,FP10+DZ10,0)</f>
        <v>-548.82398910155996</v>
      </c>
      <c r="FU10" s="401"/>
      <c r="FV10" s="895">
        <f t="shared" si="165"/>
        <v>3</v>
      </c>
      <c r="FW10" s="894">
        <f>G10/(1+'Options and results'!$W$33)^(FV10-1)</f>
        <v>1461.0603685884407</v>
      </c>
      <c r="FX10" s="740">
        <f>(AP10+AR10+AS10)/(1+'Options and results'!$W$33)^(FV10-1)</f>
        <v>0</v>
      </c>
      <c r="FY10" s="740">
        <f ca="1">CQ10/(1+'Options and results'!$W$33)^(FV10-1)</f>
        <v>1335.3894230769231</v>
      </c>
      <c r="FZ10" s="740">
        <f>(EA10+EC10+ED10)/(1+'Options and results'!$W$33)^(FV10-1)</f>
        <v>0</v>
      </c>
      <c r="GA10" s="1019">
        <f t="shared" ref="GA10:GA67" ca="1" si="180">FY10+FZ10</f>
        <v>1335.3894230769231</v>
      </c>
      <c r="GB10" s="1026">
        <f>(AO10+AQ10)/(1+'Options and results'!$W$33)^(FV10-1)+FX10</f>
        <v>1.1877842427281664</v>
      </c>
      <c r="GC10" s="1027">
        <f>IF(FV10&gt;'Options and results'!$W$27,0,GB10-GB9)</f>
        <v>0.59691273824345459</v>
      </c>
      <c r="GD10" s="1027">
        <f>(DZ10+EB10)/(1+'Options and results'!$W$33)^(FV10-1)+FZ10</f>
        <v>0.7615743118326691</v>
      </c>
      <c r="GE10" s="1379">
        <f>IF(FV10&gt;'Options and results'!$W$27,0,GD10-GD9)</f>
        <v>0.38277529614616018</v>
      </c>
      <c r="GF10" s="894">
        <f>IF(FV10&lt;='Options and results'!$W$20,SUM(FW$8:FW10),0)</f>
        <v>4796.6912192591035</v>
      </c>
      <c r="GG10" s="740">
        <f>IF(FV10&lt;='Options and results'!$W$20,SUM(FX$8:FX10), 0)</f>
        <v>0</v>
      </c>
      <c r="GH10" s="740">
        <f ca="1">IF(FV10&lt;='Options and results'!$W$20,SUM(FY$8:FY10),0)</f>
        <v>4728.3263076923076</v>
      </c>
      <c r="GI10" s="740">
        <f>IF(FV10&lt;='Options and results'!$W$20,SUM(FZ$8:FZ10),0)</f>
        <v>0</v>
      </c>
      <c r="GJ10" s="1019">
        <f t="shared" ca="1" si="166"/>
        <v>4728.3263076923076</v>
      </c>
      <c r="GK10" s="894">
        <f>IF(FV10&gt;'Options and results'!$W$27,0,GG10+SUM(GC$8:GC10)-FX10)</f>
        <v>1.1877842427281664</v>
      </c>
      <c r="GL10" s="740">
        <f>IF(FV10&lt;='Options and results'!$W$20,SUM(GD$8:GD10),0)</f>
        <v>1.340127690663997</v>
      </c>
      <c r="GM10" s="1034">
        <f t="shared" ca="1" si="167"/>
        <v>4729.6664353829719</v>
      </c>
      <c r="GN10" s="401"/>
      <c r="GO10" s="895">
        <f t="shared" si="168"/>
        <v>3</v>
      </c>
      <c r="GP10" s="894">
        <f>H10/(1+'Options and results'!$W$33)^(GO10-1)</f>
        <v>217.45562130177512</v>
      </c>
      <c r="GQ10" s="740">
        <f>SUM(AT10:AV10)/(1+'Options and results'!$W$33)^(GO10-1)</f>
        <v>0</v>
      </c>
      <c r="GR10" s="740">
        <f>CR10/(1+'Options and results'!$W$33)^(GO10-1)</f>
        <v>0</v>
      </c>
      <c r="GS10" s="740">
        <f>SUM(EE10:EG10)/(1+'Options and results'!$W$33)^(GO10-1)</f>
        <v>0</v>
      </c>
      <c r="GT10" s="1019">
        <f t="shared" ref="GT10:GT67" si="181">GR10+GS10</f>
        <v>0</v>
      </c>
      <c r="GU10" s="894">
        <f>IF(GO10&lt;='Options and results'!$W$20,SUM(GP$8:GP10),0)</f>
        <v>678.80946745562119</v>
      </c>
      <c r="GV10" s="740">
        <f>IF(GO10&lt;='Options and results'!$W$20,SUM(GQ$8:GQ10),0)</f>
        <v>0</v>
      </c>
      <c r="GW10" s="740">
        <f>IF(GO10&lt;='Options and results'!$W$20,SUM(GR$8:GR10),0)</f>
        <v>0</v>
      </c>
      <c r="GX10" s="740">
        <f>IF(GO10&lt;='Options and results'!$W$20,SUM(GS$8:GS10),0)</f>
        <v>0</v>
      </c>
      <c r="GY10" s="1034">
        <f>IF(GO10&lt;='Options and results'!$W$20,SUM(GT$8:GT10),0)</f>
        <v>0</v>
      </c>
      <c r="GZ10" s="401"/>
      <c r="HA10" s="895">
        <f t="shared" si="169"/>
        <v>3</v>
      </c>
      <c r="HB10" s="1026">
        <f>(J10+L10+(M10*N10))/(1+'Options and results'!$W$33)^(HA10-1)</f>
        <v>1051.9828453189864</v>
      </c>
      <c r="HC10" s="740">
        <f>BZ10/(1+'Options and results'!$W$33)^(HA10-1)</f>
        <v>25.625138934135393</v>
      </c>
      <c r="HD10" s="1027">
        <f>(CT10+CV10+(CW10*CX10))/(1+'Options and results'!$W$33)^(HA10-1)</f>
        <v>1041.4630168657968</v>
      </c>
      <c r="HE10" s="740">
        <f>FK10/(1+'Options and results'!$W$33)^(HA10-1)</f>
        <v>17.422047033336678</v>
      </c>
      <c r="HF10" s="1019">
        <f t="shared" ref="HF10:HF67" si="182">HD10+HE10</f>
        <v>1058.8850638991335</v>
      </c>
      <c r="HG10" s="894">
        <f>IF(HA10&lt;='Options and results'!$W$20,SUM(HB$8:HB10),0)</f>
        <v>3538.0540109913236</v>
      </c>
      <c r="HH10" s="740">
        <f>IF(HA10&lt;='Options and results'!$W$20,SUM(HC$8:HC10),0)</f>
        <v>792.88569837469481</v>
      </c>
      <c r="HI10" s="740">
        <f>IF(HA10&lt;='Options and results'!$W$20,SUM(HD$8:HD10),0)</f>
        <v>3502.673470881411</v>
      </c>
      <c r="HJ10" s="740">
        <f>IF(HA10&lt;='Options and results'!$W$20,SUM(HE$8:HE10),0)</f>
        <v>545.7485039097935</v>
      </c>
      <c r="HK10" s="1034">
        <f>IF(HA10&lt;='Options and results'!$W$20,SUM(HF$8:HF10),0)</f>
        <v>4048.4219747912048</v>
      </c>
      <c r="HL10" s="405"/>
      <c r="HM10" s="895">
        <f t="shared" si="170"/>
        <v>3</v>
      </c>
      <c r="HN10" s="1026">
        <f t="shared" si="171"/>
        <v>626.53314457122951</v>
      </c>
      <c r="HO10" s="1027">
        <f t="shared" si="172"/>
        <v>-25.625138934135393</v>
      </c>
      <c r="HP10" s="1027">
        <f t="shared" ca="1" si="173"/>
        <v>293.92640621112628</v>
      </c>
      <c r="HQ10" s="1027">
        <f t="shared" si="174"/>
        <v>-17.422047033336678</v>
      </c>
      <c r="HR10" s="1027">
        <f t="shared" si="175"/>
        <v>-25.028226195891939</v>
      </c>
      <c r="HS10" s="1379">
        <f t="shared" si="176"/>
        <v>-17.039271737190518</v>
      </c>
      <c r="HT10" s="1026">
        <f>IF($HM10&lt;='Options and results'!$W$20,SUM(HN$8:HN10),0)</f>
        <v>1937.4466757234006</v>
      </c>
      <c r="HU10" s="1027">
        <f>IF($HM10&lt;='Options and results'!$W$20,SUM(HO$8:HO10),0)</f>
        <v>-792.88569837469481</v>
      </c>
      <c r="HV10" s="1027">
        <f ca="1">IF($HM10&lt;='Options and results'!$W$20,SUM(HP$8:HP10),0)</f>
        <v>1225.6528368108966</v>
      </c>
      <c r="HW10" s="1027">
        <f>IF($HM10&lt;='Options and results'!$W$20,SUM(HQ$8:HQ10),0)</f>
        <v>-545.7485039097935</v>
      </c>
      <c r="HX10" s="1027">
        <f t="shared" ca="1" si="177"/>
        <v>679.90433290110309</v>
      </c>
      <c r="HY10" s="1027">
        <f>IF($HM10&lt;='Options and results'!$W$20,SUM(HR$8:HR10),0)</f>
        <v>-791.69791413196663</v>
      </c>
      <c r="HZ10" s="1027">
        <f>IF($HM10&lt;='Options and results'!$W$20,SUM(HS$8:HS10),0)</f>
        <v>-544.98692959796085</v>
      </c>
      <c r="IA10" s="1189">
        <f t="shared" ca="1" si="178"/>
        <v>680.66590721293574</v>
      </c>
    </row>
    <row r="11" spans="1:235" x14ac:dyDescent="0.25">
      <c r="A11" s="1010">
        <f t="shared" si="126"/>
        <v>4</v>
      </c>
      <c r="B11" s="1011" t="str">
        <f>IF('Options and results'!$C$17="None",0,CONCATENATE('Options and results'!$C$23," ",(HLOOKUP(CONCATENATE('Options and results'!$C$17," ",Arablesystem!$B$11),Arablesystem!$B$10:$ER$72,$A11+3,FALSE))))</f>
        <v>UK - Agriculture (BPS: from 2015) Oilseed</v>
      </c>
      <c r="C11" s="1012">
        <f>IF(HLOOKUP(CONCATENATE('Options and results'!$C$17," ",Arablesystem!$C$11),Arablesystem!$B$10:$ER$72,$A11+3,FALSE)="T",(VLOOKUP(B11,Arablefinance!$Z$6:$AB$105,Arablefinance!$AB$2,FALSE)*E11+VLOOKUP(B11,Arablefinance!$Z$6:$AC$105,Arablefinance!$AC$2,FALSE)*F11)/VLOOKUP(B11,Arablefinance!$Z$6:$AA$105,Arablefinance!$AA$2,FALSE),0)</f>
        <v>0</v>
      </c>
      <c r="D11" s="1012">
        <f>IF(B11=0,0,HLOOKUP(CONCATENATE('Options and results'!$C$17," ",Arablesystem!$D$11),Arablesystem!$B$10:$ER$72,$A11+3,FALSE))</f>
        <v>1</v>
      </c>
      <c r="E11" s="1440">
        <f>IF(B11=0,0,HLOOKUP(CONCATENATE('Options and results'!$C$17," ",Arablesystem!$E$11),Arablesystem!$B$10:$ER$72,$A11+3,FALSE)*IF(A11&gt;='Options and results'!$H$19,'Options and results'!$H$18,1))</f>
        <v>3.3662036102330277</v>
      </c>
      <c r="F11" s="1440">
        <f>IF(B11=0,0,HLOOKUP(CONCATENATE('Options and results'!$C$17," ",Arablesystem!$F$11),Arablesystem!$B$10:$ER$72,$A11+3,FALSE)*IF(A11&gt;='Options and results'!$H$19,'Options and results'!$H$18,1))</f>
        <v>1.6831018051165139</v>
      </c>
      <c r="G11" s="1013">
        <f>IF(D11&lt;=0,0,IF(A11&lt;='Options and results'!$W$20,IF(C11&gt;0,VLOOKUP(B11,Arablefinance!$Z$6:$AE$105,Arablefinance!$AD$2,FALSE)*C11*D11,((VLOOKUP(B11,Arablefinance!$E$6:$G$126,Arablefinance!$F$2,FALSE)*(E11*D11)+VLOOKUP(B11,Arablefinance!$E$6:$G$126,Arablefinance!$G$2,FALSE)*(F11*D11)))),0)*IF(A11&gt;='Options and results'!$H$21,'Options and results'!$H$20,1))*IF(1+'Options and results'!$O$20*(A11-1)&gt;0,1+'Options and results'!$O$20*(A11-1),0)</f>
        <v>1215.5735259174821</v>
      </c>
      <c r="H11" s="1441">
        <f>IF(D11&lt;=0,0,IF(A11&lt;='Options and results'!$W$20,IF(AND(C11&gt;0,VLOOKUP(B11,Arablefinance!$Z$6:$AI$105,Arablefinance!$AI$2,FALSE)=2),VLOOKUP(B11,Arablefinance!$Z$6:$AE$105,Arablefinance!$AE$2,FALSE)*C11*D11,(VLOOKUP(B11,Arablefinance!$E$6:$H$126,Arablefinance!$H$2,FALSE)*D11))*IF(A11&gt;='Options and results'!$H$23,'Options and results'!$H$22,1),0)*IF(AND(1+'Options and results'!$O$23*(A11-1)&gt;0,1+'Options and results'!$O$23*(A11-1)&gt;'Options and results'!$S$24),1+'Options and results'!$O$23*(A11-1),'Options and results'!$S$24))</f>
        <v>235.2</v>
      </c>
      <c r="I11" s="1441">
        <f t="shared" si="127"/>
        <v>1450.7735259174822</v>
      </c>
      <c r="J11" s="1441">
        <f>IF(D11&lt;=0,0,IF(A11&lt;='Options and results'!$W$20,IF(C11&gt;0,VLOOKUP(B11,Arablefinance!$Z$6:$AF$105,Arablefinance!$AF$2,FALSE)*C11*D11,(VLOOKUP(B11,Arablefinance!$E$6:$X$126,Arablefinance!$R$2,FALSE))*D11),0)*IF(A11&gt;='Options and results'!$H$27,'Options and results'!$H$26,1))*IF(1+'Options and results'!$O$22*(A11-1)&gt;0,1+'Options and results'!$O$22*(A11-1),0)</f>
        <v>633.88888888888891</v>
      </c>
      <c r="K11" s="1441">
        <f t="shared" si="128"/>
        <v>816.88463702859326</v>
      </c>
      <c r="L11" s="1441">
        <f>IF(D11&lt;=0,0,IF(A11&lt;='Options and results'!$W$20,IF(C11&gt;0,VLOOKUP(B11,Arablefinance!$Z$6:$AG$105,Arablefinance!$AG$2,FALSE)*C11*D11,VLOOKUP(B11,Arablefinance!$E$6:$X$126,Arablefinance!$X$2,FALSE)*D11),0)*IF(A11&gt;='Options and results'!$H$27,'Options and results'!$H$26,1))*IF(1+'Options and results'!$O$22*(A11-1)&gt;0,1+'Options and results'!$O$22*(A11-1),0)</f>
        <v>444.44444444444446</v>
      </c>
      <c r="M11" s="1442">
        <f>IF(D11&lt;=0,0,IF(A11&lt;='Options and results'!$W$20,'Options and results'!$C$27,0)*IF(A11&gt;='Options and results'!$H$27,'Options and results'!$H$26,1))*IF(1+'Options and results'!$O$21*(A11-1)&gt;0,1+'Options and results'!$O$21*(A11-1),0)</f>
        <v>14.6</v>
      </c>
      <c r="N11" s="1442">
        <f>IF(D11&lt;=0,0,IF(A11&lt;='Options and results'!$W$20,IF(C11&gt;0,VLOOKUP(B11,Arablefinance!$Z$6:$AH$105,Arablefinance!$AH$2,FALSE)*C11*D11,VLOOKUP(B11,Arablefinance!$E$6:$W$126,Arablefinance!$V$2,FALSE)*D11),0)*IF(A11&gt;='Options and results'!$H$25,'Options and results'!$H$24,1))</f>
        <v>7.4591130728145263</v>
      </c>
      <c r="O11" s="1013">
        <f t="shared" si="129"/>
        <v>1187.2363841964257</v>
      </c>
      <c r="P11" s="1353">
        <f t="shared" si="130"/>
        <v>263.53714172105674</v>
      </c>
      <c r="Q11" s="1013">
        <f>IF(A11&lt;='Options and results'!$W$20,SUM(G$8:$G11),0)</f>
        <v>6190.0843702799611</v>
      </c>
      <c r="R11" s="1441">
        <f>IF($A11&lt;='Options and results'!$W$20,SUM($H$8:H11),0)</f>
        <v>940.8</v>
      </c>
      <c r="S11" s="1441">
        <f>IF($A11&lt;='Options and results'!$W$20,SUM($O$8:O11),0)</f>
        <v>4859.878688810335</v>
      </c>
      <c r="T11" s="1032">
        <f>IF(A11&lt;='Options and results'!$W$20,Q11+R11-S11,0)</f>
        <v>2271.0056814696263</v>
      </c>
      <c r="U11" s="405"/>
      <c r="V11" s="1010">
        <f t="shared" si="131"/>
        <v>4</v>
      </c>
      <c r="W11" s="173"/>
      <c r="X11" s="1036"/>
      <c r="Y11" s="1030">
        <f>IF(V11&lt;='Options and results'!$M$34,'Options and results'!$M$33,0)</f>
        <v>0</v>
      </c>
      <c r="Z11" s="1441">
        <f t="shared" si="132"/>
        <v>0</v>
      </c>
      <c r="AA11" s="1441">
        <f t="shared" si="133"/>
        <v>0</v>
      </c>
      <c r="AB11" s="1428">
        <f t="shared" si="134"/>
        <v>156</v>
      </c>
      <c r="AC11" s="1441">
        <f>IF($W$8=0,0,IF(HLOOKUP(CONCATENATE('Options and results'!$C$32," ",Forestrysystem!$C$8),Forestrysystem!$A$7:$IH$70,V11+4,FALSE)&lt;AB11,HLOOKUP(CONCATENATE('Options and results'!$C$32," ",Forestrysystem!$C$8),Forestrysystem!$A$7:$IH$70,V11+4,FALSE),0))</f>
        <v>0</v>
      </c>
      <c r="AD11" s="1441">
        <f>IF($W$8=0,0,IF(HLOOKUP(CONCATENATE('Options and results'!$C$32," ",Forestrysystem!$C$8),Forestrysystem!$A$7:$IH$70,V11+4,FALSE)&gt;=AB11,AB11,0))</f>
        <v>0</v>
      </c>
      <c r="AE11" s="1440">
        <f>IF($W$8=0,0,HLOOKUP(CONCATENATE('Options and results'!$C$32," ",Forestrysystem!$D$8),Forestrysystem!$A$7:$IH$70,$V11+4,FALSE))</f>
        <v>2.9554375323531632</v>
      </c>
      <c r="AF11" s="1037"/>
      <c r="AG11" s="1440">
        <f>IF($W$8=0,0,IF(V11=1,'Options and results'!$M$36,0)+IF('Options and results'!$M$39="yes",IF(AND(AG10+'Options and results'!$M$37&lt;=$AF$8,AG10+'Options and results'!$M$37+IF(V11=1,'Options and results'!$M$36,0)&lt;='Options and results'!$M$38*AE11),AG10+'Options and results'!$M$37,AG10),(HLOOKUP(CONCATENATE('Options and results'!$C$32," ",Forestrysystem!$E$8),Forestrysystem!$A$7:$IH$70,V11+4,FALSE))-IF(V11=1,'Options and results'!$M$36,0)))</f>
        <v>1.5</v>
      </c>
      <c r="AH11" s="1442">
        <f>IF(OR($W$8=0,AB11&lt;=0),0,(HLOOKUP(CONCATENATE('Options and results'!$C$32," ",Forestrysystem!$F$8),Forestrysystem!$A$7:$IH$70,$V11+4,FALSE)) * IF(V11&gt;='Options and results'!$I$19,'Options and results'!$I$18,1) )</f>
        <v>0.2348378031700093</v>
      </c>
      <c r="AI11" s="1452">
        <f t="shared" si="179"/>
        <v>1.5053705331410853E-3</v>
      </c>
      <c r="AJ11" s="1442">
        <f t="shared" si="135"/>
        <v>0</v>
      </c>
      <c r="AK11" s="1453">
        <f>IF(OR($W$8=0,AE11&lt;=0),0,(HLOOKUP(CONCATENATE('Options and results'!$C$32," ",Forestrysystem!$G$8),Forestrysystem!$A$7:$IH$70,$V11+4,FALSE)) * IF(Y11&gt;='Options and results'!$I$19,'Options and results'!$I$18,1) )</f>
        <v>0.10355113787566821</v>
      </c>
      <c r="AL11" s="1453">
        <f>IF($W$8=0,0,HLOOKUP(CONCATENATE('Options and results'!$C$32," ",Forestrysystem!$H$8),Forestrysystem!$A$7:$IH$70,$V11+4,FALSE)*IF(V11&gt;='Options and results'!$I$19,'Options and results'!$I$18,1))</f>
        <v>0</v>
      </c>
      <c r="AM11" s="1383">
        <f>IF($W$8=0,0,HLOOKUP(CONCATENATE('Options and results'!$C$32," ",Forestrysystem!$I$8),Forestrysystem!$A$7:$IH$70,$V11+4,FALSE)*IF(V11&gt;='Options and results'!$I$19,'Options and results'!$I$18,1))</f>
        <v>0</v>
      </c>
      <c r="AN11" s="1382">
        <f>IF(AI11&gt;0,HLOOKUP(AI11,Treevalue!$I$4:$BC$34,'Options and results'!$C$39+1),0)*IF(V11&gt;='Options and results'!$I$21,'Options and results'!$I$20,1)*IF(1+'Options and results'!$Q$20*(V11-1)&gt;0,1+'Options and results'!$Q$20*(V11-1),0)</f>
        <v>0</v>
      </c>
      <c r="AO11" s="1454">
        <f t="shared" si="136"/>
        <v>0</v>
      </c>
      <c r="AP11" s="1454">
        <f t="shared" si="137"/>
        <v>0</v>
      </c>
      <c r="AQ11" s="1454">
        <f>(IF('Options and results'!$C$39&gt;0,IF(V11&lt;='Options and results'!$W$20,VLOOKUP('Options and results'!$C$39,Treevalue!$A$4:$F$34,5,FALSE),0),0)*AK11)*IF(V11&gt;='Options and results'!$I$21,'Options and results'!$I$20,1)*IF(1+'Options and results'!$Q$20*(V11-1)&gt;0,1+'Options and results'!$Q$20*(V11-1),0)-AR11</f>
        <v>2.588778446891705</v>
      </c>
      <c r="AR11" s="1441">
        <f>(IF('Options and results'!$C$39&gt;0,IF(V11&lt;='Options and results'!$W$20,VLOOKUP('Options and results'!$C$39,Treevalue!$A$4:$F$34,5,FALSE),0),0)*AL11)*IF(V11&gt;='Options and results'!$I$21,'Options and results'!$I$20,1)*IF(1+'Options and results'!$Q$20*(V11-1)&gt;0,1+'Options and results'!$Q$20*(V11-1),0)</f>
        <v>0</v>
      </c>
      <c r="AS11" s="1441">
        <f>(IF('Options and results'!$C$39&gt;0,IF(V11&lt;='Options and results'!$W$20,VLOOKUP('Options and results'!$C$39,Treevalue!$A$4:$F$34,6,FALSE),0),0)*AM11)*IF(V11&gt;='Options and results'!$I$21,'Options and results'!$I$20,1)*IF(1+'Options and results'!$Q$20*(V11-1)&gt;0,1+'Options and results'!$Q$20*(V11-1),0)</f>
        <v>0</v>
      </c>
      <c r="AT11" s="1441">
        <f>IF(V11&lt;='Options and results'!$W$20,(IF(AB11&lt;=0,0,IF('Options and results'!$C$43="cost",(IF(V11&lt;='Options and results'!$C$44,BZ11*SUM('Options and results'!$C$45:$C$46),0)),IF('Options and results'!$C$41&gt;0,(IF(VLOOKUP('Options and results'!$C$42,Treegrant!$B$6:$L$42,Treegrant!$C$2,FALSE)=V11,VLOOKUP('Options and results'!$C$42,Treegrant!$B$6:$L$42,Treegrant!$D$2,FALSE),0)+IF(VLOOKUP('Options and results'!$C$42,Treegrant!$B$6:$L$42,Treegrant!$E$2,FALSE)=V11,VLOOKUP('Options and results'!$C$42,Treegrant!$B$6:$L$42,Treegrant!$F$2,FALSE),0)+IF(VLOOKUP('Options and results'!$C$42,Treegrant!$B$6:$L$42,Treegrant!$G$2,FALSE)=V11,VLOOKUP('Options and results'!$C$42,Treegrant!$B$6:$L$42,Treegrant!$H$2,FALSE)))*IF('Options and results'!$C$43="area",1,'Options and results'!$C$43),0)))*IF(V11&gt;='Options and results'!$I$23,'Options and results'!$I$22,1)),0)*IF(1+'Options and results'!$Q$23*(V11-1)&gt;0,1+'Options and results'!$Q$23*(V11-1),0)</f>
        <v>0</v>
      </c>
      <c r="AU11" s="1441">
        <f>IF($W$8=0,0,IF(V11&lt;='Options and results'!$W$20,IF(AB11&lt;=0,0,IF('Options and results'!$C$41&gt;0,IF(AND(VLOOKUP('Options and results'!$C$42,Treegrant!$B$6:$L$42,Treegrant!$J$2,FALSE)&lt;=V11,VLOOKUP('Options and results'!$C$42,Treegrant!$B$6:$L$42,Treegrant!$K$2,FALSE)&gt;=V11),(VLOOKUP('Options and results'!$C$42,Treegrant!$B$6:$L$42,Treegrant!$L$2,FALSE)),0)*IF('Options and results'!$C$47="full",1,'Options and results'!$C$47))*IF(V11&gt;='Options and results'!$I$23,'Options and results'!$I$22,1)),0))*IF(1+'Options and results'!$Q$23*(V11-1)&gt;0,1+'Options and results'!$Q$23*(V11-1),0)</f>
        <v>0</v>
      </c>
      <c r="AV11" s="1032">
        <f>IF($W$8=0,0,IF(V11&lt;='Options and results'!$W$20,IF(AB11&lt;=0,0,(IF('Options and results'!$C$41&gt;0,(IF(AND(VLOOKUP('Options and results'!$C$42,Treegrant!$B$6:$O$42,Treegrant!$M$2,FALSE)&lt;=V11,VLOOKUP('Options and results'!$C$42,Treegrant!$B$6:$O$42,Treegrant!$N$2,FALSE)&gt;=V11),(VLOOKUP('Options and results'!$C$42,Treegrant!$B$6:$O$42,Treegrant!$O$2,FALSE)),0)*IF('Options and results'!$C$48="full",1,'Options and results'!$C$48))+(IF(AND(VLOOKUP('Options and results'!$C$42,Treegrant!$B$6:$R$42,Treegrant!$P$2,FALSE)&lt;=V11,VLOOKUP('Options and results'!$C$42,Treegrant!$B$6:$R$42,Treegrant!$Q$2,FALSE)&gt;=V11),(VLOOKUP('Options and results'!$C$42,Treegrant!$B$6:$R$42,Treegrant!$R$2,FALSE)),0))*IF('Options and results'!$C$49="full",1,'Options and results'!$C$49)))*IF(V11&gt;='Options and results'!$I$23,'Options and results'!$I$22,1)),0))*IF(1+'Options and results'!$Q$23*(V11-1)&gt;0,1+'Options and results'!$Q$23*(V11-1),0)</f>
        <v>0</v>
      </c>
      <c r="AW11" s="1033" t="s">
        <v>240</v>
      </c>
      <c r="AX11" s="1018">
        <f>'Options and results'!S35</f>
        <v>14.6</v>
      </c>
      <c r="AY11" s="1419">
        <f>IF($W$8=0,0,IF(V11=1,VLOOKUP($W$8,Treecost!$B$6:$AH$49,Treecost!$E$2,FALSE),0)*IF(V11&gt;='Options and results'!$I$25,'Options and results'!$I$24,1))</f>
        <v>0</v>
      </c>
      <c r="AZ11" s="889">
        <f>IF($W$8=0,0,IF(V11=1,VLOOKUP($W$8,Treecost!$B$6:$AH$49,Treecost!$F$2,FALSE),0)*IF(V11&gt;='Options and results'!$I$25,'Options and results'!$I$24,1))</f>
        <v>0</v>
      </c>
      <c r="BA11" s="889">
        <f>IF($W$8=0,0,IF(V11=1,VLOOKUP($W$8,Treecost!$B$6:$AH$49,Treecost!$G$2,FALSE),0)*IF(V11&gt;='Options and results'!$I$25,'Options and results'!$I$24,1))</f>
        <v>0</v>
      </c>
      <c r="BB11" s="889">
        <f>IF($W$8=0,0,IF(V11&lt;='Options and results'!$W$20,((VLOOKUP($W$8,Treecost!$B$6:$AH$49,Treecost!$H$2,FALSE)*(X11+AA11))/60)*IF(V11&gt;='Options and results'!$I$25,'Options and results'!$I$24,1),0))</f>
        <v>0</v>
      </c>
      <c r="BC11" s="889">
        <f>IF($W$8=0,0,IF(V11&lt;='Options and results'!$W$20,(((VLOOKUP($W$8,Treecost!$B$6:$AH$49,Treecost!$I$2,FALSE))*(X11+AA11))/60)*IF(V11&gt;='Options and results'!$I$25,'Options and results'!$I$24,1),0))</f>
        <v>0</v>
      </c>
      <c r="BD11" s="889">
        <f>IF($W$8=0,0,IF(V11&lt;='Options and results'!$W$20,(((VLOOKUP($W$8,Treecost!$B$6:$AH$49,Treecost!$J$2,FALSE))/60)*(X11+AA11))*IF(V11&gt;='Options and results'!$I$25,'Options and results'!$I$24,1),0))</f>
        <v>0</v>
      </c>
      <c r="BE11" s="1019">
        <f>IF($W$8=0,0,IF(V11&lt;='Options and results'!$W$20,(((VLOOKUP($W$8,Treecost!$B$6:$AH$49,Treecost!$C$2,FALSE)+VLOOKUP($W$8,Treecost!$B$6:$AH$49,Treecost!$D$2,FALSE))*(X11+AA11)*IF(1+'Options and results'!$Q$22*(V11-1)&gt;0,1+'Options and results'!$Q$22*(V11-1),0))+((AY11*$AX$8+AZ11*$AX$9+BA11*$AX$10+BB11*$AX$11+BC11*$AX$12+BD11*$AX$13)*IF(1+'Options and results'!$Q$21*(V11-1)&gt;0,1+'Options and results'!$Q$21*(V11-1),0)))*IF(V11&gt;='Options and results'!$I$27,'Options and results'!$I$26,1),0))</f>
        <v>0</v>
      </c>
      <c r="BF11" s="889">
        <f>IF($W$8=0,0,IF(V11&lt;='Options and results'!$W$20,IF(AND(VLOOKUP($W$8,Treecost!$B$6:$AH$49,Treecost!$K$2,FALSE)&lt;=V11,V11&lt;=(VLOOKUP($W$8,Treecost!$B$6:$AH$49,Treecost!$L$2,FALSE))),VLOOKUP($W$8,Treecost!$B$6:$AH$49,Treecost!$M$2,FALSE)*AB11/60,0)*IF(V11&gt;='Options and results'!$I$25,'Options and results'!$I$24,1),0))</f>
        <v>0</v>
      </c>
      <c r="BG11" s="1019">
        <f>IF(BF11&gt;0,(VLOOKUP($W$8,Treecost!$B$6:$AH$49,Treecost!$N$2,FALSE)*AB11*IF(1+'Options and results'!$Q$22*(V11-1)&gt;0,1+'Options and results'!$Q$22*(V11-1),0)+BF11*$AX$14*IF(1+'Options and results'!$Q$21*(V11-1)&gt;0,1+'Options and results'!$Q$21*(V11-1),0)),0)*IF(V11&gt;='Options and results'!$I$27,'Options and results'!$I$26,1)</f>
        <v>0</v>
      </c>
      <c r="BH11" s="889">
        <f>IF(V11&lt;='Options and results'!$W$20,IF(AND(AG11-AG10&gt;0,AG11&gt;'Options and results'!$M$36),(AB11-AC11)*(VLOOKUP($W$8,Treecost!$B$6:$AH$49,Treecost!$Y$2,FALSE)+(VLOOKUP($W$8,Treecost!$B$6:$AH$49,Treecost!$AA$2,FALSE)-VLOOKUP($W$8,Treecost!$B$6:$AH$49,Treecost!$Y$2,FALSE))/(VLOOKUP($W$8,Treecost!$B$6:$AH$49,Treecost!$Z$2,FALSE)-VLOOKUP($W$8,Treecost!$B$6:$AH$49,Treecost!$X$2,FALSE))*(AG11-VLOOKUP($W$8,Treecost!$B$6:$AH$49,Treecost!$X$2,FALSE)))/60,0)*IF(V11&gt;='Options and results'!$I$25,'Options and results'!$I$24,1),0)</f>
        <v>0</v>
      </c>
      <c r="BI11" s="303">
        <f>IF(V11&lt;='Options and results'!$W$20,IF(BH11&gt;0,VLOOKUP($W$8,Treecost!$B$6:$AH$49,Treecost!$AB$2,FALSE)/60*AB11,0)*IF(V11&gt;='Options and results'!$I$25,'Options and results'!$I$24,1),0)*((BH11-(MIN($BH$8:$BH$67)))/((MAX($BH$8:$BH$67))-(MIN($BH$8:$BH$67))))</f>
        <v>0</v>
      </c>
      <c r="BJ11" s="740">
        <f>IF(BH11&gt;0,(BH11*$AX$15+BI11*$AX$19)*IF(1+'Options and results'!$Q$21*(V11-1)&gt;0,1+'Options and results'!$Q$21*(V11-1),0),0)*IF(V11&gt;='Options and results'!$I$27,'Options and results'!$I$26,1)</f>
        <v>0</v>
      </c>
      <c r="BK11" s="891">
        <f>IF($W$8=0,0,IF(V11&lt;='Options and results'!$W$20,IF(VLOOKUP($W$8,Treecost!$B$2:$AH$49,Treecost!$O$2,FALSE)=V11,VLOOKUP($W$8,Treecost!$B$2:$AH$49,Treecost!$P$2,FALSE),0)*IF(V11&gt;='Options and results'!$I$25,'Options and results'!$I$24,1),0))</f>
        <v>0</v>
      </c>
      <c r="BL11" s="889">
        <f>IF($W$8=0,0,IF(V11&lt;='Options and results'!$W$20,IF(AND(V11&gt;VLOOKUP($W$8,Treecost!$B$2:$AH$49,Treecost!$O$2,FALSE),V11&lt;=VLOOKUP($W$8,Treecost!$B$2:$AH$49,Treecost!$R$2,FALSE)),VLOOKUP($W$8,Treecost!$B$2:$AH$49,Treecost!$S$2,FALSE),0)*IF(V11&gt;='Options and results'!$I$25,'Options and results'!$I$24,1),0))</f>
        <v>0</v>
      </c>
      <c r="BM11" s="740">
        <f>IF($W$8=0,0,IF(V11&lt;='Options and results'!$W$20,((IF(VLOOKUP($W$8,Treecost!$B$2:$AH$49,Treecost!$O$2,FALSE)=V11,VLOOKUP($W$8,Treecost!$B$2:$AH$49,Treecost!$Q$2,FALSE),0)+IF(AND(V11&gt;VLOOKUP($W$8,Treecost!$B$2:$AH$49,Treecost!$O$2,FALSE),V11&lt;=VLOOKUP($W$8,Treecost!$B$2:$AH$49,Treecost!$R$2,FALSE)),VLOOKUP($W$8,Treecost!$B$2:$AH$49,Treecost!$T$2,FALSE),0)*IF(1+'Options and results'!$Q$22*(V11-1)&gt;0,1+'Options and results'!$Q$22*(V11-1),0))+(BK11*$AX$16+BL11*$AX$17)*IF(1+'Options and results'!$Q$21*(V11-1)&gt;0,1+'Options and results'!$Q$21*(V11-1),0))*IF(V11&gt;='Options and results'!$I$27,'Options and results'!$I$26,1),0))</f>
        <v>0</v>
      </c>
      <c r="BN11" s="894">
        <f>IF($W$8=0,0,IF(V11&lt;='Options and results'!$W$20,IF(AND(V11&gt;=VLOOKUP($W$8,Treecost!$B$2:$W$49,Treecost!$U$2,FALSE),V11&lt;=VLOOKUP($W$8,Treecost!$B$2:$W$49,Treecost!$V$2,FALSE)),(AB11*VLOOKUP($W$8,Treecost!$B$2:$W$49,Treecost!$W$2,FALSE)/60),0)*IF(V11&gt;='Options and results'!$I$25,'Options and results'!$I$24,1),0))</f>
        <v>0</v>
      </c>
      <c r="BO11" s="740">
        <f>BN11*$AX$18*IF(V11&gt;='Options and results'!$I$27,'Options and results'!$I$26,1)*IF(1+'Options and results'!$Q$21*(V11-1)&gt;0,1+'Options and results'!$Q$21*(V11-1),0)</f>
        <v>0</v>
      </c>
      <c r="BP11" s="894">
        <f>IF(V11&lt;='Options and results'!$W$20,IF(AB11&lt;=0,0,VLOOKUP($W$8,Treecost!$B$6:$AH$49,Treecost!$AC$2,FALSE)+VLOOKUP($W$8,Treecost!$B$6:$AH$49,Treecost!$AD$2,FALSE)+IF(AND(V11&gt;=VLOOKUP($W$8,Treecost!$B$2:$AK$49,Treecost!$AI$2,FALSE),V11&lt;=VLOOKUP($W$8,Treecost!$B$2:$AK$49,Treecost!$AJ$2,FALSE)),(VLOOKUP($W$8,Treecost!$B$2:$AK$49,Treecost!$AK$2,FALSE)),0))*IF(V11&gt;='Options and results'!$I$27,'Options and results'!$I$26,1),0)*IF(1+'Options and results'!$Q$22*(V11-1)&gt;0,1+'Options and results'!$Q$22*(V11-1),0)</f>
        <v>3</v>
      </c>
      <c r="BQ11" s="894">
        <f>IF(V11&lt;='Options and results'!$W$20,IF(AC11&gt;0,VLOOKUP($W$8,Treecost!$B$6:$AH$49,Treecost!$AE$2,FALSE)/60*AC11,0)*IF(V11&gt;='Options and results'!$I$25,'Options and results'!$I$24,1),0)</f>
        <v>0</v>
      </c>
      <c r="BR11" s="740">
        <f>IF(V11&lt;='Options and results'!$W$20,IF(AC11&gt;0,VLOOKUP($W$8,Treecost!$B$6:$AH$49,Treecost!$AF$2,FALSE)/60*AC11,0)*IF(V11&gt;='Options and results'!$I$25,'Options and results'!$I$24,1),0)</f>
        <v>0</v>
      </c>
      <c r="BS11" s="740">
        <f>(BQ11*$AX$20+BR11*$AX$21)*IF(V11&gt;='Options and results'!$I$27,'Options and results'!$I$26,1)*IF(1+'Options and results'!$Q$21*(V11-1)&gt;0,1+'Options and results'!$Q$21*(V11-1),0)</f>
        <v>0</v>
      </c>
      <c r="BT11" s="894">
        <f>IF(V11&lt;='Options and results'!$W$20,IF(AD11&gt;0,(VLOOKUP($W$8,Treecost!$B$6:$AH$49,Treecost!$AG$2,FALSE)/60*AD11)*IF(V11&gt;='Options and results'!$I$25,'Options and results'!$I$24,1),0),0)</f>
        <v>0</v>
      </c>
      <c r="BU11" s="740">
        <f>IF(V11&lt;='Options and results'!$W$20,IF(AD11&gt;0,(VLOOKUP($W$8,Treecost!$B$6:$AH$49,Treecost!$AH$2,FALSE)/60*AD11)*IF(V11&gt;='Options and results'!$I$25,'Options and results'!$I$24,1),0),0)</f>
        <v>0</v>
      </c>
      <c r="BV11" s="740">
        <f>(BT11*$AX$22+BU11*$AX$23)*IF(V11&gt;='Options and results'!$I$27,'Options and results'!$I$26,1)*IF(1+'Options and results'!$Q$21*(V11-1)&gt;0,1+'Options and results'!$Q$21*(V11-1),0)</f>
        <v>0</v>
      </c>
      <c r="BW11" s="1033">
        <f t="shared" si="138"/>
        <v>0</v>
      </c>
      <c r="BX11" s="1027">
        <f t="shared" si="139"/>
        <v>0</v>
      </c>
      <c r="BY11" s="1027">
        <f t="shared" si="140"/>
        <v>0</v>
      </c>
      <c r="BZ11" s="740">
        <f t="shared" si="124"/>
        <v>3</v>
      </c>
      <c r="CA11" s="740">
        <f t="shared" si="141"/>
        <v>-3</v>
      </c>
      <c r="CB11" s="894">
        <f>IF($V11&lt;='Options and results'!$W$20,SUM(BX$8:$BX11),0)</f>
        <v>0</v>
      </c>
      <c r="CC11" s="740">
        <f>IF($V11&lt;='Options and results'!$W$20,SUM($BY$8:BY11),0)</f>
        <v>0</v>
      </c>
      <c r="CD11" s="740">
        <f>IF($V11&lt;='Options and results'!$W$20,SUM($BZ$8:BZ11),0)</f>
        <v>800.39978663479712</v>
      </c>
      <c r="CE11" s="740">
        <f>IF(V11&lt;='Options and results'!$W$20,CB11+CC11-CD11,0)</f>
        <v>-800.39978663479712</v>
      </c>
      <c r="CF11" s="1381">
        <f t="shared" si="142"/>
        <v>1.3040710099569202</v>
      </c>
      <c r="CG11" s="1027">
        <f t="shared" si="143"/>
        <v>-1.6959289900430798</v>
      </c>
      <c r="CH11" s="1027">
        <f t="shared" si="144"/>
        <v>0</v>
      </c>
      <c r="CI11" s="1189">
        <f>IF(V11&lt;='Options and results'!$W$20,CE11+AO11,0)</f>
        <v>-800.39978663479712</v>
      </c>
      <c r="CJ11" s="1023"/>
      <c r="CK11" s="895">
        <f t="shared" si="145"/>
        <v>4</v>
      </c>
      <c r="CL11" s="1011" t="str">
        <f>IF('Options and results'!$C$54="None",0,IF(AND(CK11&gt;='Options and results'!$K$57,CK10&lt;'Options and results'!$W$20),'Options and results'!$K$56,IF(Optimisation!$B$3="No",CONCATENATE('Options and results'!$C$60," ",(HLOOKUP(CONCATENATE('Options and results'!$C$54," ",Agroforestrysystem!$B$12),Agroforestrysystem!$B$11:$IM$74,$CK11+4,FALSE))),Optimisation!AA31)))</f>
        <v>UK - Agriculture (BPS: from 2015) Oilseed</v>
      </c>
      <c r="CM11" s="1012">
        <f>IF(HLOOKUP(CONCATENATE('Options and results'!$C$54," ",Agroforestrysystem!$C$12),Agroforestrysystem!$B$11:$IM$74,$CK11+4,FALSE)="T",(VLOOKUP(CL11,Arablefinance!$Z$6:$AB$105,Arablefinance!$AB$2,FALSE)*CO11+VLOOKUP(CL11,Arablefinance!$Z$6:$AC$105,Arablefinance!$AC$2,FALSE)*CP11)/VLOOKUP(CL11,Arablefinance!$Z$6:$AA$105,Arablefinance!$AA$2,FALSE),0)</f>
        <v>0</v>
      </c>
      <c r="CN11" s="1012">
        <f>IF(CL11=0,0,HLOOKUP(CONCATENATE('Options and results'!$C$54," ",Agroforestrysystem!$D$12),Agroforestrysystem!$B$11:$IM$74,$CK11+4,FALSE))</f>
        <v>0.99</v>
      </c>
      <c r="CO11" s="1440">
        <f ca="1">IF(CL11=0,0,IF(AND(Optimisation!$B$3="yes",Optimisation!$B$4=1,CK11&gt;Optimisation!$B$9),0,HLOOKUP(CONCATENATE('Options and results'!$C$54," ",Agroforestrysystem!$E$12),Agroforestrysystem!$B$11:$IM$74,$CK11+4,FALSE)*IF(CK11&gt;='Options and results'!$J$19,'Options and results'!$J$18,1)))</f>
        <v>3.35</v>
      </c>
      <c r="CP11" s="1440">
        <f ca="1">IF(CL11=0,0,IF(AND(Optimisation!$B$3="yes",Optimisation!$B$4=1,CK11&gt;Optimisation!$B$9),0,HLOOKUP(CONCATENATE('Options and results'!$C$54," ",Agroforestrysystem!$F$12),Agroforestrysystem!$B$11:$IM$74,$CK11+4,FALSE)*IF(CK11&gt;='Options and results'!$J$19,'Options and results'!$J$18,1)))</f>
        <v>1.675</v>
      </c>
      <c r="CQ11" s="1013">
        <f ca="1">IF(CN11&lt;=0,0,IF(CK11&lt;='Options and results'!$W$20,IF(CM11&gt;0,VLOOKUP(CL11,Arablefinance!$Z$6:$AE$105,Arablefinance!$AD$2,FALSE)*CM11*CN11,((VLOOKUP(CL11,Arablefinance!$E$6:$H$126,2,FALSE)*CO11+VLOOKUP(CL11,Arablefinance!$E$6:$H$126,3,FALSE)*CP11)*CN11)),0)*IF(CK11&gt;='Options and results'!$J$21,'Options and results'!$J$20,1))*IF(1+'Options and results'!$O$20*(CK11-1)&gt;0,1+'Options and results'!$O$20*(CK11-1),0)</f>
        <v>1197.625</v>
      </c>
      <c r="CR11" s="1441">
        <f>IF(CN11&lt;=0,0,IF(AND(CM11&gt;0,VLOOKUP(CL11,Arablefinance!$Z$6:$AI$105,Arablefinance!$AI$2,FALSE)=2),VLOOKUP(CL11,Arablefinance!$Z$6:$AE$105,Arablefinance!$AE$2,FALSE)*CM11*CN11,IF('Options and results'!$C$62&gt;0,IF(VLOOKUP(CL11,Arablefinance!$E$6:$W$126,Arablefinance!$H$2,FALSE)*(1-Plot!DM11*'Options and results'!$C$62)&gt;0,VLOOKUP(CL11,Arablefinance!$E$6:$W$126,Arablefinance!$H$2,FALSE)*(1-Plot!DM11*'Options and results'!$C$62),0),IF(CK11&lt;='Options and results'!$W$20,(VLOOKUP(CL11,Arablefinance!$E$6:$W$126,Arablefinance!$H$2,FALSE)*IF('Options and results'!$C$61="area",CN11,'Options and results'!$C$61)),0)))*IF(CK11&gt;='Options and results'!$J$23,'Options and results'!$J$22,1))*IF(AND(1+'Options and results'!$O$23*(CK11-1)&gt;0,1+'Options and results'!$O$23*(CK11-1)&gt;'Options and results'!$S$24),1+'Options and results'!$O$23*(CK11-1),'Options and results'!$S$24)</f>
        <v>0</v>
      </c>
      <c r="CS11" s="1441">
        <f t="shared" ca="1" si="146"/>
        <v>1197.625</v>
      </c>
      <c r="CT11" s="1441">
        <f>IF(CN11&lt;=0,0,IF(CK11&lt;='Options and results'!$W$20,IF(CM11&gt;0,VLOOKUP(CL11,Arablefinance!$Z$6:$AF$105,Arablefinance!$AF$2,FALSE)*CM11*CN11,VLOOKUP(CL11,Arablefinance!$E$6:$X$126,Arablefinance!$R$2,FALSE)*CN11),0)*IF(CK11&gt;='Options and results'!$J$27,'Options and results'!$J$26,1))*IF(1+'Options and results'!$O$22*(CK11-1)&gt;0,1+'Options and results'!$O$22*(CK11-1),0)</f>
        <v>627.55000000000007</v>
      </c>
      <c r="CU11" s="1441">
        <f t="shared" ca="1" si="147"/>
        <v>570.07499999999993</v>
      </c>
      <c r="CV11" s="1441">
        <f>IF(CN11&lt;=0,0,IF(CK11&lt;='Options and results'!$W$20,IF(CM11&gt;0,VLOOKUP(CL11,Arablefinance!$Z$6:$AG$105,Arablefinance!$AG$2,FALSE)*CM11*CN11,VLOOKUP(CL11,Arablefinance!$E$6:$X$126,Arablefinance!$X$2,FALSE)*CN11),0)*IF(CK11&gt;='Options and results'!$J$27,'Options and results'!$J$26,1))*IF(1+'Options and results'!$O$22*(CK11-1)&gt;0,1+'Options and results'!$O$22*(CK11-1),0)</f>
        <v>440</v>
      </c>
      <c r="CW11" s="1442">
        <f>IF(CN11&lt;=0,0,IF(CK11&lt;='Options and results'!$W$20,'Options and results'!$C$27*IF(CK11&gt;='Options and results'!$J$27,'Options and results'!$J$26,1),0))*IF(1+'Options and results'!$O$21*(CK11-1)&gt;0,1+'Options and results'!$O$21*(CK11-1),0)</f>
        <v>14.6</v>
      </c>
      <c r="CX11" s="1442">
        <f>IF(CN11&lt;=0,0,IF(CK11&lt;='Options and results'!$W$20,IF(CM11&gt;0,VLOOKUP(CL11,Arablefinance!$Z$6:$AH$105,Arablefinance!$AH$2,FALSE)*CM11*CN11,VLOOKUP(CL11,Arablefinance!$E$6:$W$126,Arablefinance!$V$2,FALSE)*CN11),0)*IF(CK11&gt;='Options and results'!$J$25,'Options and results'!$J$24,1))</f>
        <v>7.3845219420863808</v>
      </c>
      <c r="CY11" s="1013">
        <f t="shared" si="148"/>
        <v>1175.3640203544614</v>
      </c>
      <c r="CZ11" s="1353">
        <f t="shared" ca="1" si="149"/>
        <v>22.260979645538555</v>
      </c>
      <c r="DA11" s="1013">
        <f ca="1">IF($CK11&lt;='Options and results'!$W$20,SUM($CQ$8:CQ11),0)</f>
        <v>6094.5274500000005</v>
      </c>
      <c r="DB11" s="1441">
        <f>IF($CK11&lt;='Options and results'!$W$20,SUM($CR$8:CR11),0)</f>
        <v>0</v>
      </c>
      <c r="DC11" s="1441">
        <f>IF($CK11&lt;='Options and results'!$W$20,SUM($CY$8:CY11),0)</f>
        <v>4811.2799019222311</v>
      </c>
      <c r="DD11" s="1189">
        <f ca="1">IF(CK11&lt;='Options and results'!$W$20,DA11+DB11-DC11,0)</f>
        <v>1283.2475480777694</v>
      </c>
      <c r="DE11" s="401"/>
      <c r="DF11" s="895">
        <f t="shared" si="150"/>
        <v>4</v>
      </c>
      <c r="DG11" s="173"/>
      <c r="DH11" s="1422"/>
      <c r="DI11" s="1427">
        <f>IF(DF11&lt;='Options and results'!$M$61,'Options and results'!$M$60,0)</f>
        <v>0</v>
      </c>
      <c r="DJ11" s="740">
        <f t="shared" si="151"/>
        <v>0</v>
      </c>
      <c r="DK11" s="740">
        <f t="shared" si="152"/>
        <v>0</v>
      </c>
      <c r="DL11" s="1428">
        <f t="shared" si="153"/>
        <v>100</v>
      </c>
      <c r="DM11" s="1429">
        <f>IF($DG$8=0,0,HLOOKUP(CONCATENATE('Options and results'!$C$54," ",Agroforestrysystem!$J$12),Agroforestrysystem!$11:$74,DF11+3,FALSE))/100</f>
        <v>0.154</v>
      </c>
      <c r="DN11" s="740">
        <f>IF($DG$8=0,0,IF(HLOOKUP(CONCATENATE('Options and results'!$C$54," ",Agroforestrysystem!$H$12),Agroforestrysystem!$11:$74,DF11+4,FALSE)&lt;DL11,HLOOKUP(CONCATENATE('Options and results'!$C$54," ",Agroforestrysystem!$H$12),Agroforestrysystem!$11:$74,DF11+4,FALSE),0))</f>
        <v>0</v>
      </c>
      <c r="DO11" s="1027">
        <f>IF($DG$8=0,0,IF(HLOOKUP(CONCATENATE('Options and results'!$C$54," ",Agroforestrysystem!$H$12),Agroforestrysystem!$11:$74,DF11+4,FALSE)&gt;=DL11,DL11,0))</f>
        <v>0</v>
      </c>
      <c r="DP11" s="1430">
        <f>IF($DG$8=0,0,HLOOKUP(CONCATENATE('Options and results'!$C$54," ",Agroforestrysystem!$I$12),Agroforestrysystem!$11:$74,DF11+4,FALSE))</f>
        <v>2.95597248118148</v>
      </c>
      <c r="DQ11" s="1038"/>
      <c r="DR11" s="1390">
        <f>IF($DG$8=0,0,IF(DF11&gt;'Options and results'!$W$20,0,)+IF(DF11=1,'Options and results'!$M$64)+IF('Options and results'!$M$67="yes",IF(AND(DR10+'Options and results'!$M$65&lt;=$DQ$8,DR10+'Options and results'!$M$65+IF(DF11=1,'Options and results'!$M$64,0)&lt;='Options and results'!$M$66*DP11),DR10+'Options and results'!$M$65,DR10),(HLOOKUP(CONCATENATE('Options and results'!$C$54," ",Agroforestrysystem!$K$12),Agroforestrysystem!$11:$74,DF11+4,FALSE)-IF(DF11=1,'Options and results'!$M$64))))</f>
        <v>1.5</v>
      </c>
      <c r="DS11" s="1027">
        <f>IF(OR($DG$8=0,DL11=0),0,HLOOKUP(CONCATENATE('Options and results'!$C$54," ",Agroforestrysystem!$L$12),Agroforestrysystem!$11:$74,DF11+4,FALSE)*IF(DF11&gt;='Options and results'!$K$19,'Options and results'!$K$18,1))</f>
        <v>0.15061881196731625</v>
      </c>
      <c r="DT11" s="1431">
        <f t="shared" si="154"/>
        <v>1.5061881196731625E-3</v>
      </c>
      <c r="DU11" s="889">
        <f t="shared" si="155"/>
        <v>0</v>
      </c>
      <c r="DV11" s="1027">
        <f>IF($DG$8=0,0,(HLOOKUP(CONCATENATE('Options and results'!$C$54," ",Agroforestrysystem!$M$12),Agroforestrysystem!$11:$74,DF11+4,FALSE))*IF(DF11&gt;='Options and results'!$K$19,'Options and results'!$K$18,1))-DW11</f>
        <v>6.6414985807909915E-2</v>
      </c>
      <c r="DW11" s="303">
        <f>IF($DG$8=0,0,(HLOOKUP(CONCATENATE('Options and results'!$C$54," ",Agroforestrysystem!$N$12),Agroforestrysystem!$11:$74,DF11+4,FALSE))*IF(DF11&gt;='Options and results'!$K$19,'Options and results'!$K$18,1))</f>
        <v>0</v>
      </c>
      <c r="DX11" s="303">
        <f>IF($DG$8=0,0,HLOOKUP(CONCATENATE('Options and results'!$C$54," ",Agroforestrysystem!$O$12),Agroforestrysystem!$11:$74,DF11+4,FALSE)*IF(DF11&gt;='Options and results'!$K$19,'Options and results'!$K$18,1))</f>
        <v>0</v>
      </c>
      <c r="DY11" s="1192">
        <f>IF(DT11&gt;0,HLOOKUP(DT11,Treevalue!$I$4:$BC$34,'Options and results'!$C$66+1),0)*IF(DF11&gt;='Options and results'!$K$21,'Options and results'!$K$20,1)*IF(1+'Options and results'!$Q$20*(DF11-1)&gt;0,1+'Options and results'!$Q$20*(DF11-1),0)</f>
        <v>0</v>
      </c>
      <c r="DZ11" s="1027">
        <f t="shared" si="156"/>
        <v>0</v>
      </c>
      <c r="EA11" s="1027">
        <f t="shared" si="125"/>
        <v>0</v>
      </c>
      <c r="EB11" s="1027">
        <f>(IF('Options and results'!$C$66&gt;0,IF(DF11&lt;='Options and results'!$W$20,VLOOKUP('Options and results'!$C$66,Treevalue!$A$4:$F$34,5,FALSE),0),0)*DV11)*IF(DF11&gt;='Options and results'!$K$21,'Options and results'!$K$20,1)*IF(1+'Options and results'!$Q$20*(DF11-1)&gt;0,1+'Options and results'!$Q$20*(DF11-1),0)</f>
        <v>1.6603746451977479</v>
      </c>
      <c r="EC11" s="740">
        <f>(IF('Options and results'!$C$66&gt;0,IF(DF11&lt;='Options and results'!$W$20,VLOOKUP('Options and results'!$C$66,Treevalue!$A$4:$F$34,5,FALSE),0),0)*DW11)*IF(DF11&gt;='Options and results'!$K$21,'Options and results'!$K$20,1)*IF(1+'Options and results'!$Q$20*(DF11-1)&gt;0,1+'Options and results'!$Q$20*(DF11-1),0)</f>
        <v>0</v>
      </c>
      <c r="ED11" s="889">
        <f>(IF('Options and results'!$C$66&gt;0,IF(DF11&lt;='Options and results'!$W$20,VLOOKUP('Options and results'!$C$66,Treevalue!$A$4:$F$34,6,FALSE),0),0)*DX11)*IF(DF11&gt;='Options and results'!$K$21,'Options and results'!$K$20,1)*IF(1+'Options and results'!$Q$20*(DF11-1)&gt;0,1+'Options and results'!$Q$20*(DF11-1),0)</f>
        <v>0</v>
      </c>
      <c r="EE11" s="740">
        <f>IF(DF11&lt;='Options and results'!$W$20,IF(DL11&lt;=0,0,IF('Options and results'!$C$70="cost",(IF(DF11&lt;='Options and results'!$C$71,FK11*SUM('Options and results'!$C$72:$C$73),0)),IF('Options and results'!$C$68&gt;0,(IF(VLOOKUP('Options and results'!$C$69,Treegrant!$B$6:$L$42,Treegrant!$C$2,FALSE)=DF11,VLOOKUP('Options and results'!$C$69,Treegrant!$B$6:$L$42,Treegrant!$D$2,FALSE),0)+IF(VLOOKUP('Options and results'!$C$69,Treegrant!$B$6:$L$42,Treegrant!$E$2,FALSE)=DF11,VLOOKUP('Options and results'!$C$69,Treegrant!$B$6:$L$42,Treegrant!$F$2,FALSE),0)+IF(VLOOKUP('Options and results'!$C$69,Treegrant!$B$6:$L$42,Treegrant!$G$2,FALSE)=DF11,VLOOKUP('Options and results'!$C$69,Treegrant!$B$6:$L$42,Treegrant!$H$2,FALSE)))*IF('Options and results'!$C$70="area",Unit!C12,'Options and results'!$C$70),0))*IF(DF11&gt;='Options and results'!$K$23,'Options and results'!$K$22,1)),0)*IF(1+'Options and results'!$Q$23*(DF11-1)&gt;0,1+'Options and results'!$Q$23*(DF11-1),0)</f>
        <v>0</v>
      </c>
      <c r="EF11" s="740">
        <f>IF($DG$8=0,0,IF(DF11&lt;='Options and results'!$W$20,IF(DL11&lt;=0,0,IF('Options and results'!$C$68&gt;0,IF(AND(VLOOKUP('Options and results'!$C$69,Treegrant!$B$6:$L$42,Treegrant!$J$2,FALSE)&lt;=DF11,VLOOKUP('Options and results'!$C$69,Treegrant!$B$6:$L$42,Treegrant!$K$2,FALSE)&gt;=DF11),(VLOOKUP('Options and results'!$C$69,Treegrant!$B$6:$L$42,Treegrant!$L$2,FALSE)),0)*IF('Options and results'!$C$74="area",Unit!C12,'Options and results'!$C$74))*IF(DF11&gt;='Options and results'!$K$23,'Options and results'!$K$22,1)),0))*IF(1+'Options and results'!$Q$23*(DF11-1)&gt;0,1+'Options and results'!$Q$23*(DF11-1),0)</f>
        <v>0</v>
      </c>
      <c r="EG11" s="1034">
        <f>IF($DG$8=0,0,IF(DF11&lt;='Options and results'!$W$20,IF(DL11&lt;=0,0,IF('Options and results'!$C$68&gt;0,((IF(AND(VLOOKUP('Options and results'!$C$69,Treegrant!$B$6:$O$42,Treegrant!$M$2,FALSE)&lt;=DF11,VLOOKUP('Options and results'!$C$69,Treegrant!$B$6:$O$42,Treegrant!$N$2,FALSE)&gt;=DF11),(VLOOKUP('Options and results'!$C$69,Treegrant!$B$6:$O$42,Treegrant!$O$2,FALSE)),0)*IF('Options and results'!$C$75="area",Unit!C12,'Options and results'!$C$75))+(IF(AND(VLOOKUP('Options and results'!$C$69,Treegrant!$B$6:$R$42,Treegrant!$P$2,FALSE)&lt;=DF11,VLOOKUP('Options and results'!$C$69,Treegrant!$B$6:$R$42,Treegrant!$Q$2,FALSE)&gt;=DF11),(VLOOKUP('Options and results'!$C$69,Treegrant!$B$6:$R$42,Treegrant!$R$2,FALSE)),0))*IF('Options and results'!$C$76="area",Unit!C12,'Options and results'!$C$76)))*IF(DF11&gt;='Options and results'!$K$23,'Options and results'!$K$22,1)),0))*IF(1+'Options and results'!$Q$23*(DF11-1)&gt;0,1+'Options and results'!$Q$23*(DF11-1),0)</f>
        <v>0</v>
      </c>
      <c r="EH11" s="1033" t="s">
        <v>240</v>
      </c>
      <c r="EI11" s="1018">
        <f>'Options and results'!$S35</f>
        <v>14.6</v>
      </c>
      <c r="EJ11" s="1419">
        <f>IF($DH$8+DK11&lt;1,0,IF(DF11=1,VLOOKUP($DG$8,Treecost!$B$6:$AH$49,Treecost!$E$2,FALSE),0)*IF(DF11&gt;='Options and results'!$K$25,'Options and results'!$K$24,1))</f>
        <v>0</v>
      </c>
      <c r="EK11" s="889">
        <f>IF($DH$8+DK11&lt;1,0,IF(DF11=1,VLOOKUP($DG$8,Treecost!$B$6:$AH$49,Treecost!$F$2,FALSE),0)*IF(DF11&gt;='Options and results'!$K$25,'Options and results'!$K$24,1))</f>
        <v>0</v>
      </c>
      <c r="EL11" s="889">
        <f>IF($DH$8+DK11&lt;1,0,IF(DF11=1,VLOOKUP($DG$8,Treecost!$B$6:$AH$49,Treecost!$G$2,FALSE),0)*IF(DF11&gt;='Options and results'!$K$25,'Options and results'!$K$24,1))</f>
        <v>0</v>
      </c>
      <c r="EM11" s="889">
        <f>IF($DG$8=0,0,IF(DF11&lt;='Options and results'!$W$20,((VLOOKUP($DG$8,Treecost!$B$6:$AH$49,Treecost!$H$2,FALSE)*(DH11+DK11))/60)*IF(DF11&gt;='Options and results'!$K$25,'Options and results'!$K$24,1),0))</f>
        <v>0</v>
      </c>
      <c r="EN11" s="889">
        <f>IF($DG$8=0,0,IF(DF11&lt;='Options and results'!$W$20,(((VLOOKUP($DG$8,Treecost!$B$6:$AH$49,Treecost!$I$2,FALSE))*(DH11+DK11))/60)*IF(DF11&gt;='Options and results'!$K$25,'Options and results'!$K$24,1),0))</f>
        <v>0</v>
      </c>
      <c r="EO11" s="889">
        <f>IF($DG$8=0,0,IF(DF11&lt;='Options and results'!$W$20,(((VLOOKUP($DG$8,Treecost!$B$6:$AH$49,Treecost!$J$2,FALSE))/60)*(DH11+DK11))*IF(DF11&gt;='Options and results'!$K$25,'Options and results'!$K$24,1),0))</f>
        <v>0</v>
      </c>
      <c r="EP11" s="1019">
        <f>IF($DG$8=0,0,IF(DF11&lt;='Options and results'!$W$20,(((VLOOKUP($DG$8,Treecost!$B$6:$AH$49,Treecost!$C$2,FALSE)+VLOOKUP($DG$8,Treecost!$B$6:$AH$49,Treecost!$D$2,FALSE))*(DH11+DK11)*IF(1+'Options and results'!$Q$22*(DF11-1)&gt;0,1+'Options and results'!$Q$22*(DF11-1),0))+(EJ11*$EI$8+EK11*$EI$9+EL11*$EI$10+EM11*$EI$11+EN11*$EI$12+EO11*$EI$13)*IF(1+'Options and results'!$Q$21*(DF11-1)&gt;0,1+'Options and results'!$Q$21*(DF11-1),0))*IF(DF11&gt;='Options and results'!$K$27,'Options and results'!$K$26,1),0))</f>
        <v>0</v>
      </c>
      <c r="EQ11" s="889">
        <f>IF($DG$8=0,0,IF(DF11&lt;='Options and results'!$W$20,IF(AND(VLOOKUP($DG$8,Treecost!$B$6:$AH$49,Treecost!$K$2,FALSE)&lt;=DF11,DF11&lt;=(VLOOKUP($DG$8,Treecost!$B$6:$AH$49,Treecost!$L$2,FALSE))),VLOOKUP($DG$8,Treecost!$B$6:$AH$49,Treecost!$M$2,FALSE)*DL11/60,0)*IF(DF11&gt;='Options and results'!$K$25,'Options and results'!$K$24,1),0))</f>
        <v>0</v>
      </c>
      <c r="ER11" s="1019">
        <f>IF(EQ11&gt;0,(VLOOKUP($DG$8,Treecost!$B$6:$AH$49,Treecost!$N$2,FALSE)*DL11*IF(1+'Options and results'!$Q$22*(DF11-1)&gt;0,1+'Options and results'!$Q$22*(DF11-1),0)+EQ11*$EI$14*IF(1+'Options and results'!$Q$21*(DF11-1)&gt;0,1+'Options and results'!$Q$21*(DF11-1),0)),0)*IF(DF11&gt;='Options and results'!$K$27,'Options and results'!$K$26,1)</f>
        <v>0</v>
      </c>
      <c r="ES11" s="889">
        <f>IF(DF11&lt;='Options and results'!$W$20,IF(AND(DR11-DR10&gt;0,DR11&gt;'Options and results'!$M$64),(DL11-DN11)*(VLOOKUP($DG$8,Treecost!$B$6:$AH$49,Treecost!$Y$2,FALSE)+(VLOOKUP($DG$8,Treecost!$B$6:$AH$49,Treecost!$AA$2,FALSE)-VLOOKUP($DG$8,Treecost!$B$6:$AH$49,Treecost!$Y$2,FALSE))/(VLOOKUP($DG$8,Treecost!$B$6:$AH$49,Treecost!$Z$2,FALSE)-VLOOKUP($DG$8,Treecost!$B$6:$AH$49,Treecost!$X$2,FALSE))*(DR11-VLOOKUP($DG$8,Treecost!$B$6:$AH$49,Treecost!$X$2,FALSE)))/60,0)*IF(DF11&gt;='Options and results'!$K$25,'Options and results'!$K$24,1),0)</f>
        <v>0</v>
      </c>
      <c r="ET11" s="889">
        <f>IF(DF11&lt;='Options and results'!$W$20,IF(ES11&gt;0,VLOOKUP($DG$8,Treecost!$B$6:$AH$49,Treecost!$AB$2,FALSE)/60*DL11,0)*IF(DF11&gt;='Options and results'!$K$25,'Options and results'!$K$24,1),0)*((ES11-(MIN($ES$8:$ES$67)))/((MAX($ES$8:$ES$67))-(MIN($ES$8:$ES$67))))</f>
        <v>0</v>
      </c>
      <c r="EU11" s="740">
        <f>IF(ES11&gt;0,(ES11*$EI$15+ET11*$EI$19)*IF(1+'Options and results'!$Q$21*(DF11-1)&gt;0,1+'Options and results'!$Q$21*(DF11-1),0),0)*IF(DF11&gt;='Options and results'!$K$27,'Options and results'!$K$26,1)</f>
        <v>0</v>
      </c>
      <c r="EV11" s="891">
        <f>IF($DG$8=0,0,IF(DF11&lt;='Options and results'!$W$20,IF(AND(VLOOKUP($DG$8,Treecost!$B$2:$AH$49,Treecost!$O$2,FALSE)=DF11,DF11&lt;=IF(AND(Optimisation!$B$3="Yes",Optimisation!$B$4=1),Optimisation!$B$9)),VLOOKUP($DG$8,Treecost!$B$2:$AH$49,Treecost!$P$2,FALSE)*(1-CN11),0)*IF(DF11&gt;='Options and results'!$K$25,'Options and results'!$K$24,1),0))</f>
        <v>0</v>
      </c>
      <c r="EW11" s="889">
        <f>IF($DG$8=0,0,IF(DF11&lt;='Options and results'!$W$20,IF(AND(DF11&gt;VLOOKUP($DG$8,Treecost!$B$2:$AH$49,Treecost!$O$2,FALSE),DF11&lt;=IF(AND(Optimisation!$B$3="Yes",Optimisation!$B$4=1),Optimisation!$B$9,VLOOKUP($DG$8,Treecost!$B$2:$AH$49,Treecost!$R$2,FALSE))),VLOOKUP($DG$8,Treecost!$B$2:$AH$49,Treecost!$S$2,FALSE)*(1-CN11),0)*IF(DF11&gt;='Options and results'!$K$25,'Options and results'!$K$24,1),0))</f>
        <v>0</v>
      </c>
      <c r="EX11" s="740">
        <f>IF($DG$8=0,0,IF(DF11&lt;='Options and results'!$W$20,(IF(AND(VLOOKUP($DG$8,Treecost!$B$2:$AH$49,Treecost!$O$2,FALSE)=DF11,DF11&lt;=IF(AND(Optimisation!$B$3="Yes",Optimisation!$B$4=1),Optimisation!$B$9)),VLOOKUP($DG$8,Treecost!$B$2:$AH$49,Treecost!$Q$2,FALSE),0)*(1-CN11)+IF(AND(DF11&gt;VLOOKUP($DG$8,Treecost!$B$2:$AH$49,Treecost!$O$2,FALSE),DF11&lt;=IF(AND(Optimisation!$B$3="Yes",Optimisation!$B$4=1),Optimisation!$B$9,VLOOKUP($DG$8,Treecost!$B$2:$AH$49,Treecost!$R$2,FALSE))),VLOOKUP($DG$8,Treecost!$B$2:$AH$49,Treecost!$T$2,FALSE),0)*(1-CN11)+(EV11*$EI$16+EW11*$EI$17))*IF(DF11&gt;='Options and results'!$K$27,'Options and results'!$K$26,1),0))*IF(1+'Options and results'!$Q$21*(DF11-1)&gt;0,1+'Options and results'!$Q$21*(DF11-1),0)</f>
        <v>0</v>
      </c>
      <c r="EY11" s="894">
        <f>IF($DG$8=0,0,IF(DF11&lt;='Options and results'!$W$20,IF(AND(DF11&gt;=VLOOKUP($DG$8,Treecost!$B$2:$W$49,Treecost!$U$2,FALSE),DF11&lt;=VLOOKUP($DG$8,Treecost!$B$2:$W$49,Treecost!$V$2,FALSE)),(DL11*VLOOKUP($DG$8,Treecost!$B$2:$W$49,Treecost!$W$2,FALSE)/60),0)*IF(DF11&gt;='Options and results'!$K$25,'Options and results'!$K$24,1),0))</f>
        <v>0</v>
      </c>
      <c r="EZ11" s="740">
        <f>EY11*$EI$18*IF(DF11&gt;='Options and results'!$K$27,'Options and results'!$K$26,1)*IF(1+'Options and results'!$Q$21*(DF11-1)&gt;0,1+'Options and results'!$Q$21*(DF11-1),0)</f>
        <v>0</v>
      </c>
      <c r="FA11" s="1025">
        <f>IF(DF11&lt;='Options and results'!$W$20,IF(DL11&lt;=0,0,VLOOKUP($DG$8,Treecost!$B$6:$AH$49,Treecost!$AC$2,FALSE)+VLOOKUP($DG$8,Treecost!$B$6:$AH$49,Treecost!$AD$2,FALSE)+IF(AND(DF11&gt;=VLOOKUP($DG$8,Treecost!$B$2:$AK$49,Treecost!$AI$2,FALSE),DF11&lt;=VLOOKUP($DG$8,Treecost!$B$2:$AK$49,Treecost!$AJ$2,FALSE)),VLOOKUP($DG$8,Treecost!$B$2:$AK$49,Treecost!$AK$2,FALSE)*(1-CN11),0))*IF(DF11&gt;='Options and results'!$K$27,'Options and results'!$K$26,1),0)*IF(1+'Options and results'!$Q$22*(DF11-1)&gt;0,1+'Options and results'!$Q$22*(DF11-1),0)</f>
        <v>3</v>
      </c>
      <c r="FB11" s="894">
        <f>IF(DF11&lt;='Options and results'!$W$20,IF(DN11&gt;0,VLOOKUP($DG$8,Treecost!$B$6:$AH$49,Treecost!$AE$2,FALSE)/60*DN11,0)*IF(DF11&gt;='Options and results'!$K$25,'Options and results'!$K$24,1),0)</f>
        <v>0</v>
      </c>
      <c r="FC11" s="740">
        <f>IF(DF11&lt;='Options and results'!$W$20,IF(DN11&gt;0,VLOOKUP($DG$8,Treecost!$B$6:$AH$49,Treecost!$AF$2,FALSE)/60*DN11,0)*IF(DF11&gt;='Options and results'!$K$25,'Options and results'!$K$24,1),0)</f>
        <v>0</v>
      </c>
      <c r="FD11" s="740">
        <f>(FB11*$EI$20+FC11*$EI$21)*IF(DF11&gt;='Options and results'!$K$27,'Options and results'!$K$26,1)*IF(1+'Options and results'!$Q$21*(DF11-1)&gt;0,1+'Options and results'!$Q$21*(DF11-1),0)</f>
        <v>0</v>
      </c>
      <c r="FE11" s="894">
        <f>IF(DF11&lt;='Options and results'!$W$20,IF(DO11&gt;0,(VLOOKUP($DG$8,Treecost!$B$6:$AH$49,Treecost!$AG$2,FALSE)/60*DO11)*IF(DF11&gt;='Options and results'!$K$25,'Options and results'!$K$24,1),0),0)</f>
        <v>0</v>
      </c>
      <c r="FF11" s="740">
        <f>IF(DF11&lt;='Options and results'!$W$20,IF(DO11&gt;0,(VLOOKUP($DG$8,Treecost!$B$6:$AH$49,Treecost!$AH$2,FALSE)/60*DO11)*IF(DF11&gt;='Options and results'!$K$25,'Options and results'!$K$24,1),0),0)</f>
        <v>0</v>
      </c>
      <c r="FG11" s="740">
        <f>(FE11*$EI$22+FF11*$EI$23)*IF(DF11&gt;='Options and results'!$K$27,'Options and results'!$K$26,1)*IF(1+'Options and results'!$Q$21*(DF11-1)&gt;0,1+'Options and results'!$Q$21*(DF11-1),0)</f>
        <v>0</v>
      </c>
      <c r="FH11" s="894">
        <f t="shared" si="157"/>
        <v>0</v>
      </c>
      <c r="FI11" s="1027">
        <f t="shared" si="158"/>
        <v>0</v>
      </c>
      <c r="FJ11" s="1027">
        <f t="shared" si="159"/>
        <v>0</v>
      </c>
      <c r="FK11" s="1027">
        <f t="shared" si="160"/>
        <v>3</v>
      </c>
      <c r="FL11" s="1027">
        <f t="shared" si="161"/>
        <v>-3</v>
      </c>
      <c r="FM11" s="1027">
        <f>IF($DF11&lt;='Options and results'!$W$20,SUM(FI$8:$FI11),0)</f>
        <v>0</v>
      </c>
      <c r="FN11" s="1027">
        <f>IF($DF11&lt;='Options and results'!$W$20,SUM($FJ$8:FJ11),0)</f>
        <v>0</v>
      </c>
      <c r="FO11" s="1027">
        <f>IF($DF11&lt;='Options and results'!$W$20,SUM($FK$8:FK11),0)</f>
        <v>551.82398910155996</v>
      </c>
      <c r="FP11" s="1027">
        <f>IF($DF11&lt;='Options and results'!$W$20,FM11+FN11-FO11,0)</f>
        <v>-551.82398910155996</v>
      </c>
      <c r="FQ11" s="1027">
        <f t="shared" si="162"/>
        <v>0.83665586951953297</v>
      </c>
      <c r="FR11" s="1027">
        <f t="shared" si="163"/>
        <v>-2.1633441304804668</v>
      </c>
      <c r="FS11" s="1027">
        <f t="shared" si="164"/>
        <v>0</v>
      </c>
      <c r="FT11" s="1189">
        <f>IF(DF11&lt;='Options and results'!$W$20,FP11+DZ11,0)</f>
        <v>-551.82398910155996</v>
      </c>
      <c r="FU11" s="401"/>
      <c r="FV11" s="895">
        <f t="shared" si="165"/>
        <v>4</v>
      </c>
      <c r="FW11" s="894">
        <f>G11/(1+'Options and results'!$W$33)^(FV11-1)</f>
        <v>1080.6404382374064</v>
      </c>
      <c r="FX11" s="740">
        <f>(AP11+AR11+AS11)/(1+'Options and results'!$W$33)^(FV11-1)</f>
        <v>0</v>
      </c>
      <c r="FY11" s="740">
        <f ca="1">CQ11/(1+'Options and results'!$W$33)^(FV11-1)</f>
        <v>1064.6842640532543</v>
      </c>
      <c r="FZ11" s="740">
        <f>(EA11+EC11+ED11)/(1+'Options and results'!$W$33)^(FV11-1)</f>
        <v>0</v>
      </c>
      <c r="GA11" s="1019">
        <f t="shared" ca="1" si="180"/>
        <v>1064.6842640532543</v>
      </c>
      <c r="GB11" s="1026">
        <f>(AO11+AQ11)/(1+'Options and results'!$W$33)^(FV11-1)+FX11</f>
        <v>2.3014146126924722</v>
      </c>
      <c r="GC11" s="1027">
        <f>IF(FV11&gt;'Options and results'!$W$27,0,GB11-GB10)</f>
        <v>1.1136303699643058</v>
      </c>
      <c r="GD11" s="1027">
        <f>(DZ11+EB11)/(1+'Options and results'!$W$33)^(FV11-1)+FZ11</f>
        <v>1.47606701361031</v>
      </c>
      <c r="GE11" s="1379">
        <f>IF(FV11&gt;'Options and results'!$W$27,0,GD11-GD10)</f>
        <v>0.7144927017776409</v>
      </c>
      <c r="GF11" s="894">
        <f>IF(FV11&lt;='Options and results'!$W$20,SUM(FW$8:FW11),0)</f>
        <v>5877.3316574965102</v>
      </c>
      <c r="GG11" s="740">
        <f>IF(FV11&lt;='Options and results'!$W$20,SUM(FX$8:FX11), 0)</f>
        <v>0</v>
      </c>
      <c r="GH11" s="740">
        <f ca="1">IF(FV11&lt;='Options and results'!$W$20,SUM(FY$8:FY11),0)</f>
        <v>5793.0105717455617</v>
      </c>
      <c r="GI11" s="740">
        <f>IF(FV11&lt;='Options and results'!$W$20,SUM(FZ$8:FZ11),0)</f>
        <v>0</v>
      </c>
      <c r="GJ11" s="1019">
        <f t="shared" ca="1" si="166"/>
        <v>5793.0105717455617</v>
      </c>
      <c r="GK11" s="894">
        <f>IF(FV11&gt;'Options and results'!$W$27,0,GG11+SUM(GC$8:GC11)-FX11)</f>
        <v>2.3014146126924722</v>
      </c>
      <c r="GL11" s="740">
        <f>IF(FV11&lt;='Options and results'!$W$20,SUM(GD$8:GD11),0)</f>
        <v>2.8161947042743067</v>
      </c>
      <c r="GM11" s="1034">
        <f t="shared" ca="1" si="167"/>
        <v>5795.8267664498362</v>
      </c>
      <c r="GN11" s="401"/>
      <c r="GO11" s="895">
        <f t="shared" si="168"/>
        <v>4</v>
      </c>
      <c r="GP11" s="894">
        <f>H11/(1+'Options and results'!$W$33)^(GO11-1)</f>
        <v>209.09194355939914</v>
      </c>
      <c r="GQ11" s="740">
        <f>SUM(AT11:AV11)/(1+'Options and results'!$W$33)^(GO11-1)</f>
        <v>0</v>
      </c>
      <c r="GR11" s="740">
        <f>CR11/(1+'Options and results'!$W$33)^(GO11-1)</f>
        <v>0</v>
      </c>
      <c r="GS11" s="740">
        <f>SUM(EE11:EG11)/(1+'Options and results'!$W$33)^(GO11-1)</f>
        <v>0</v>
      </c>
      <c r="GT11" s="1019">
        <f t="shared" si="181"/>
        <v>0</v>
      </c>
      <c r="GU11" s="894">
        <f>IF(GO11&lt;='Options and results'!$W$20,SUM(GP$8:GP11),0)</f>
        <v>887.90141101502036</v>
      </c>
      <c r="GV11" s="740">
        <f>IF(GO11&lt;='Options and results'!$W$20,SUM(GQ$8:GQ11),0)</f>
        <v>0</v>
      </c>
      <c r="GW11" s="740">
        <f>IF(GO11&lt;='Options and results'!$W$20,SUM(GR$8:GR11),0)</f>
        <v>0</v>
      </c>
      <c r="GX11" s="740">
        <f>IF(GO11&lt;='Options and results'!$W$20,SUM(GS$8:GS11),0)</f>
        <v>0</v>
      </c>
      <c r="GY11" s="1034">
        <f>IF(GO11&lt;='Options and results'!$W$20,SUM(GT$8:GT11),0)</f>
        <v>0</v>
      </c>
      <c r="GZ11" s="401"/>
      <c r="HA11" s="895">
        <f t="shared" si="169"/>
        <v>4</v>
      </c>
      <c r="HB11" s="1026">
        <f>(J11+L11+(M11*N11))/(1+'Options and results'!$W$33)^(HA11-1)</f>
        <v>1055.4488224322456</v>
      </c>
      <c r="HC11" s="740">
        <f>BZ11/(1+'Options and results'!$W$33)^(HA11-1)</f>
        <v>2.6669890760127446</v>
      </c>
      <c r="HD11" s="1027">
        <f>(CT11+CV11+(CW11*CX11))/(1+'Options and results'!$W$33)^(HA11-1)</f>
        <v>1044.8943342079233</v>
      </c>
      <c r="HE11" s="740">
        <f>FK11/(1+'Options and results'!$W$33)^(HA11-1)</f>
        <v>2.6669890760127446</v>
      </c>
      <c r="HF11" s="1019">
        <f t="shared" si="182"/>
        <v>1047.561323283936</v>
      </c>
      <c r="HG11" s="894">
        <f>IF(HA11&lt;='Options and results'!$W$20,SUM(HB$8:HB11),0)</f>
        <v>4593.5028334235694</v>
      </c>
      <c r="HH11" s="740">
        <f>IF(HA11&lt;='Options and results'!$W$20,SUM(HC$8:HC11),0)</f>
        <v>795.55268745070759</v>
      </c>
      <c r="HI11" s="740">
        <f>IF(HA11&lt;='Options and results'!$W$20,SUM(HD$8:HD11),0)</f>
        <v>4547.5678050893348</v>
      </c>
      <c r="HJ11" s="740">
        <f>IF(HA11&lt;='Options and results'!$W$20,SUM(HE$8:HE11),0)</f>
        <v>548.41549298580628</v>
      </c>
      <c r="HK11" s="1034">
        <f>IF(HA11&lt;='Options and results'!$W$20,SUM(HF$8:HF11),0)</f>
        <v>5095.9832980751407</v>
      </c>
      <c r="HL11" s="405"/>
      <c r="HM11" s="895">
        <f t="shared" si="170"/>
        <v>4</v>
      </c>
      <c r="HN11" s="1026">
        <f t="shared" si="171"/>
        <v>234.28355936456001</v>
      </c>
      <c r="HO11" s="1027">
        <f t="shared" si="172"/>
        <v>-2.6669890760127446</v>
      </c>
      <c r="HP11" s="1027">
        <f t="shared" ca="1" si="173"/>
        <v>19.789929845331017</v>
      </c>
      <c r="HQ11" s="1027">
        <f t="shared" si="174"/>
        <v>-2.6669890760127446</v>
      </c>
      <c r="HR11" s="1027">
        <f t="shared" si="175"/>
        <v>-1.5533587060484388</v>
      </c>
      <c r="HS11" s="1379">
        <f t="shared" si="176"/>
        <v>-1.9524963742351038</v>
      </c>
      <c r="HT11" s="1026">
        <f>IF($HM11&lt;='Options and results'!$W$20,SUM(HN$8:HN11),0)</f>
        <v>2171.7302350879609</v>
      </c>
      <c r="HU11" s="1027">
        <f>IF($HM11&lt;='Options and results'!$W$20,SUM(HO$8:HO11),0)</f>
        <v>-795.55268745070759</v>
      </c>
      <c r="HV11" s="1027">
        <f ca="1">IF($HM11&lt;='Options and results'!$W$20,SUM(HP$8:HP11),0)</f>
        <v>1245.4427666562276</v>
      </c>
      <c r="HW11" s="1027">
        <f>IF($HM11&lt;='Options and results'!$W$20,SUM(HQ$8:HQ11),0)</f>
        <v>-548.41549298580628</v>
      </c>
      <c r="HX11" s="1027">
        <f t="shared" ca="1" si="177"/>
        <v>697.02727367042132</v>
      </c>
      <c r="HY11" s="1027">
        <f>IF($HM11&lt;='Options and results'!$W$20,SUM(HR$8:HR11),0)</f>
        <v>-793.2512728380151</v>
      </c>
      <c r="HZ11" s="1027">
        <f>IF($HM11&lt;='Options and results'!$W$20,SUM(HS$8:HS11),0)</f>
        <v>-546.93942597219598</v>
      </c>
      <c r="IA11" s="1189">
        <f t="shared" ca="1" si="178"/>
        <v>698.50334068403163</v>
      </c>
    </row>
    <row r="12" spans="1:235" x14ac:dyDescent="0.25">
      <c r="A12" s="1010">
        <f t="shared" si="126"/>
        <v>5</v>
      </c>
      <c r="B12" s="1011" t="str">
        <f>IF('Options and results'!$C$17="None",0,CONCATENATE('Options and results'!$C$23," ",(HLOOKUP(CONCATENATE('Options and results'!$C$17," ",Arablesystem!$B$11),Arablesystem!$B$10:$ER$72,$A12+3,FALSE))))</f>
        <v>UK - Agriculture (BPS: from 2015) Wheat</v>
      </c>
      <c r="C12" s="1012">
        <f>IF(HLOOKUP(CONCATENATE('Options and results'!$C$17," ",Arablesystem!$C$11),Arablesystem!$B$10:$ER$72,$A12+3,FALSE)="T",(VLOOKUP(B12,Arablefinance!$Z$6:$AB$105,Arablefinance!$AB$2,FALSE)*E12+VLOOKUP(B12,Arablefinance!$Z$6:$AC$105,Arablefinance!$AC$2,FALSE)*F12)/VLOOKUP(B12,Arablefinance!$Z$6:$AA$105,Arablefinance!$AA$2,FALSE),0)</f>
        <v>0</v>
      </c>
      <c r="D12" s="1012">
        <f>IF(B12=0,0,HLOOKUP(CONCATENATE('Options and results'!$C$17," ",Arablesystem!$D$11),Arablesystem!$B$10:$ER$72,$A12+3,FALSE))</f>
        <v>1</v>
      </c>
      <c r="E12" s="1440">
        <f>IF(B12=0,0,HLOOKUP(CONCATENATE('Options and results'!$C$17," ",Arablesystem!$E$11),Arablesystem!$B$10:$ER$72,$A12+3,FALSE)*IF(A12&gt;='Options and results'!$H$19,'Options and results'!$H$18,1))</f>
        <v>10.016722001588439</v>
      </c>
      <c r="F12" s="1440">
        <f>IF(B12=0,0,HLOOKUP(CONCATENATE('Options and results'!$C$17," ",Arablesystem!$F$11),Arablesystem!$B$10:$ER$72,$A12+3,FALSE)*IF(A12&gt;='Options and results'!$H$19,'Options and results'!$H$18,1))</f>
        <v>4.0066888006353762</v>
      </c>
      <c r="G12" s="1013">
        <f>IF(D12&lt;=0,0,IF(A12&lt;='Options and results'!$W$20,IF(C12&gt;0,VLOOKUP(B12,Arablefinance!$Z$6:$AE$105,Arablefinance!$AD$2,FALSE)*C12*D12,((VLOOKUP(B12,Arablefinance!$E$6:$G$126,Arablefinance!$F$2,FALSE)*(E12*D12)+VLOOKUP(B12,Arablefinance!$E$6:$G$126,Arablefinance!$G$2,FALSE)*(F12*D12)))),0)*IF(A12&gt;='Options and results'!$H$21,'Options and results'!$H$20,1))*IF(1+'Options and results'!$O$20*(A12-1)&gt;0,1+'Options and results'!$O$20*(A12-1),0)</f>
        <v>1889.2650664107084</v>
      </c>
      <c r="H12" s="1441">
        <f>IF(D12&lt;=0,0,IF(A12&lt;='Options and results'!$W$20,IF(AND(C12&gt;0,VLOOKUP(B12,Arablefinance!$Z$6:$AI$105,Arablefinance!$AI$2,FALSE)=2),VLOOKUP(B12,Arablefinance!$Z$6:$AE$105,Arablefinance!$AE$2,FALSE)*C12*D12,(VLOOKUP(B12,Arablefinance!$E$6:$H$126,Arablefinance!$H$2,FALSE)*D12))*IF(A12&gt;='Options and results'!$H$23,'Options and results'!$H$22,1),0)*IF(AND(1+'Options and results'!$O$23*(A12-1)&gt;0,1+'Options and results'!$O$23*(A12-1)&gt;'Options and results'!$S$24),1+'Options and results'!$O$23*(A12-1),'Options and results'!$S$24))</f>
        <v>235.2</v>
      </c>
      <c r="I12" s="1441">
        <f t="shared" si="127"/>
        <v>2124.4650664107085</v>
      </c>
      <c r="J12" s="1441">
        <f>IF(D12&lt;=0,0,IF(A12&lt;='Options and results'!$W$20,IF(C12&gt;0,VLOOKUP(B12,Arablefinance!$Z$6:$AF$105,Arablefinance!$AF$2,FALSE)*C12*D12,(VLOOKUP(B12,Arablefinance!$E$6:$X$126,Arablefinance!$R$2,FALSE))*D12),0)*IF(A12&gt;='Options and results'!$H$27,'Options and results'!$H$26,1))*IF(1+'Options and results'!$O$22*(A12-1)&gt;0,1+'Options and results'!$O$22*(A12-1),0)</f>
        <v>653.12499999999989</v>
      </c>
      <c r="K12" s="1441">
        <f t="shared" si="128"/>
        <v>1471.3400664107085</v>
      </c>
      <c r="L12" s="1441">
        <f>IF(D12&lt;=0,0,IF(A12&lt;='Options and results'!$W$20,IF(C12&gt;0,VLOOKUP(B12,Arablefinance!$Z$6:$AG$105,Arablefinance!$AG$2,FALSE)*C12*D12,VLOOKUP(B12,Arablefinance!$E$6:$X$126,Arablefinance!$X$2,FALSE)*D12),0)*IF(A12&gt;='Options and results'!$H$27,'Options and results'!$H$26,1))*IF(1+'Options and results'!$O$22*(A12-1)&gt;0,1+'Options and results'!$O$22*(A12-1),0)</f>
        <v>444.44444444444446</v>
      </c>
      <c r="M12" s="1442">
        <f>IF(D12&lt;=0,0,IF(A12&lt;='Options and results'!$W$20,'Options and results'!$C$27,0)*IF(A12&gt;='Options and results'!$H$27,'Options and results'!$H$26,1))*IF(1+'Options and results'!$O$21*(A12-1)&gt;0,1+'Options and results'!$O$21*(A12-1),0)</f>
        <v>14.6</v>
      </c>
      <c r="N12" s="1442">
        <f>IF(D12&lt;=0,0,IF(A12&lt;='Options and results'!$W$20,IF(C12&gt;0,VLOOKUP(B12,Arablefinance!$Z$6:$AH$105,Arablefinance!$AH$2,FALSE)*C12*D12,VLOOKUP(B12,Arablefinance!$E$6:$W$126,Arablefinance!$V$2,FALSE)*D12),0)*IF(A12&gt;='Options and results'!$H$25,'Options and results'!$H$24,1))</f>
        <v>11.632834596849463</v>
      </c>
      <c r="O12" s="1013">
        <f t="shared" si="129"/>
        <v>1267.4088295584465</v>
      </c>
      <c r="P12" s="1353">
        <f t="shared" si="130"/>
        <v>857.05623685226192</v>
      </c>
      <c r="Q12" s="1013">
        <f>IF(A12&lt;='Options and results'!$W$20,SUM(G$8:$G12),0)</f>
        <v>8079.3494366906698</v>
      </c>
      <c r="R12" s="1441">
        <f>IF($A12&lt;='Options and results'!$W$20,SUM($H$8:H12),0)</f>
        <v>1176</v>
      </c>
      <c r="S12" s="1441">
        <f>IF($A12&lt;='Options and results'!$W$20,SUM($O$8:O12),0)</f>
        <v>6127.2875183687811</v>
      </c>
      <c r="T12" s="1032">
        <f>IF(A12&lt;='Options and results'!$W$20,Q12+R12-S12,0)</f>
        <v>3128.0619183218896</v>
      </c>
      <c r="U12" s="405"/>
      <c r="V12" s="1010">
        <f t="shared" si="131"/>
        <v>5</v>
      </c>
      <c r="W12" s="173"/>
      <c r="X12" s="1036"/>
      <c r="Y12" s="1030">
        <f>IF(V12&lt;='Options and results'!$M$34,'Options and results'!$M$33,0)</f>
        <v>0</v>
      </c>
      <c r="Z12" s="1441">
        <f t="shared" si="132"/>
        <v>0</v>
      </c>
      <c r="AA12" s="1441">
        <f t="shared" si="133"/>
        <v>0</v>
      </c>
      <c r="AB12" s="1428">
        <f t="shared" si="134"/>
        <v>156</v>
      </c>
      <c r="AC12" s="1441">
        <f>IF($W$8=0,0,IF(HLOOKUP(CONCATENATE('Options and results'!$C$32," ",Forestrysystem!$C$8),Forestrysystem!$A$7:$IH$70,V12+4,FALSE)&lt;AB12,HLOOKUP(CONCATENATE('Options and results'!$C$32," ",Forestrysystem!$C$8),Forestrysystem!$A$7:$IH$70,V12+4,FALSE),0))</f>
        <v>0</v>
      </c>
      <c r="AD12" s="1441">
        <f>IF($W$8=0,0,IF(HLOOKUP(CONCATENATE('Options and results'!$C$32," ",Forestrysystem!$C$8),Forestrysystem!$A$7:$IH$70,V12+4,FALSE)&gt;=AB12,AB12,0))</f>
        <v>0</v>
      </c>
      <c r="AE12" s="1440">
        <f>IF($W$8=0,0,HLOOKUP(CONCATENATE('Options and results'!$C$32," ",Forestrysystem!$D$8),Forestrysystem!$A$7:$IH$70,$V12+4,FALSE))</f>
        <v>3.6936856888204792</v>
      </c>
      <c r="AF12" s="1037"/>
      <c r="AG12" s="1440">
        <f>IF($W$8=0,0,IF(V12=1,'Options and results'!$M$36,0)+IF('Options and results'!$M$39="yes",IF(AND(AG11+'Options and results'!$M$37&lt;=$AF$8,AG11+'Options and results'!$M$37+IF(V12=1,'Options and results'!$M$36,0)&lt;='Options and results'!$M$38*AE12),AG11+'Options and results'!$M$37,AG11),(HLOOKUP(CONCATENATE('Options and results'!$C$32," ",Forestrysystem!$E$8),Forestrysystem!$A$7:$IH$70,V12+4,FALSE))-IF(V12=1,'Options and results'!$M$36,0)))</f>
        <v>1.5</v>
      </c>
      <c r="AH12" s="1442">
        <f>IF(OR($W$8=0,AB12&lt;=0),0,(HLOOKUP(CONCATENATE('Options and results'!$C$32," ",Forestrysystem!$F$8),Forestrysystem!$A$7:$IH$70,$V12+4,FALSE)) * IF(V12&gt;='Options and results'!$I$19,'Options and results'!$I$18,1) )</f>
        <v>0.45843996039034762</v>
      </c>
      <c r="AI12" s="1452">
        <f t="shared" si="179"/>
        <v>2.9387176948099205E-3</v>
      </c>
      <c r="AJ12" s="1442">
        <f t="shared" si="135"/>
        <v>0</v>
      </c>
      <c r="AK12" s="1453">
        <f>IF(OR($W$8=0,AE12&lt;=0),0,(HLOOKUP(CONCATENATE('Options and results'!$C$32," ",Forestrysystem!$G$8),Forestrysystem!$A$7:$IH$70,$V12+4,FALSE)) * IF(Y12&gt;='Options and results'!$I$19,'Options and results'!$I$18,1) )</f>
        <v>0.20214794596647515</v>
      </c>
      <c r="AL12" s="1453">
        <f>IF($W$8=0,0,HLOOKUP(CONCATENATE('Options and results'!$C$32," ",Forestrysystem!$H$8),Forestrysystem!$A$7:$IH$70,$V12+4,FALSE)*IF(V12&gt;='Options and results'!$I$19,'Options and results'!$I$18,1))</f>
        <v>0</v>
      </c>
      <c r="AM12" s="1383">
        <f>IF($W$8=0,0,HLOOKUP(CONCATENATE('Options and results'!$C$32," ",Forestrysystem!$I$8),Forestrysystem!$A$7:$IH$70,$V12+4,FALSE)*IF(V12&gt;='Options and results'!$I$19,'Options and results'!$I$18,1))</f>
        <v>0</v>
      </c>
      <c r="AN12" s="1382">
        <f>IF(AI12&gt;0,HLOOKUP(AI12,Treevalue!$I$4:$BC$34,'Options and results'!$C$39+1),0)*IF(V12&gt;='Options and results'!$I$21,'Options and results'!$I$20,1)*IF(1+'Options and results'!$Q$20*(V12-1)&gt;0,1+'Options and results'!$Q$20*(V12-1),0)</f>
        <v>0</v>
      </c>
      <c r="AO12" s="1454">
        <f t="shared" si="136"/>
        <v>0</v>
      </c>
      <c r="AP12" s="1454">
        <f t="shared" si="137"/>
        <v>0</v>
      </c>
      <c r="AQ12" s="1454">
        <f>(IF('Options and results'!$C$39&gt;0,IF(V12&lt;='Options and results'!$W$20,VLOOKUP('Options and results'!$C$39,Treevalue!$A$4:$F$34,5,FALSE),0),0)*AK12)*IF(V12&gt;='Options and results'!$I$21,'Options and results'!$I$20,1)*IF(1+'Options and results'!$Q$20*(V12-1)&gt;0,1+'Options and results'!$Q$20*(V12-1),0)-AR12</f>
        <v>5.0536986491618787</v>
      </c>
      <c r="AR12" s="1441">
        <f>(IF('Options and results'!$C$39&gt;0,IF(V12&lt;='Options and results'!$W$20,VLOOKUP('Options and results'!$C$39,Treevalue!$A$4:$F$34,5,FALSE),0),0)*AL12)*IF(V12&gt;='Options and results'!$I$21,'Options and results'!$I$20,1)*IF(1+'Options and results'!$Q$20*(V12-1)&gt;0,1+'Options and results'!$Q$20*(V12-1),0)</f>
        <v>0</v>
      </c>
      <c r="AS12" s="1441">
        <f>(IF('Options and results'!$C$39&gt;0,IF(V12&lt;='Options and results'!$W$20,VLOOKUP('Options and results'!$C$39,Treevalue!$A$4:$F$34,6,FALSE),0),0)*AM12)*IF(V12&gt;='Options and results'!$I$21,'Options and results'!$I$20,1)*IF(1+'Options and results'!$Q$20*(V12-1)&gt;0,1+'Options and results'!$Q$20*(V12-1),0)</f>
        <v>0</v>
      </c>
      <c r="AT12" s="1441">
        <f>IF(V12&lt;='Options and results'!$W$20,(IF(AB12&lt;=0,0,IF('Options and results'!$C$43="cost",(IF(V12&lt;='Options and results'!$C$44,BZ12*SUM('Options and results'!$C$45:$C$46),0)),IF('Options and results'!$C$41&gt;0,(IF(VLOOKUP('Options and results'!$C$42,Treegrant!$B$6:$L$42,Treegrant!$C$2,FALSE)=V12,VLOOKUP('Options and results'!$C$42,Treegrant!$B$6:$L$42,Treegrant!$D$2,FALSE),0)+IF(VLOOKUP('Options and results'!$C$42,Treegrant!$B$6:$L$42,Treegrant!$E$2,FALSE)=V12,VLOOKUP('Options and results'!$C$42,Treegrant!$B$6:$L$42,Treegrant!$F$2,FALSE),0)+IF(VLOOKUP('Options and results'!$C$42,Treegrant!$B$6:$L$42,Treegrant!$G$2,FALSE)=V12,VLOOKUP('Options and results'!$C$42,Treegrant!$B$6:$L$42,Treegrant!$H$2,FALSE)))*IF('Options and results'!$C$43="area",1,'Options and results'!$C$43),0)))*IF(V12&gt;='Options and results'!$I$23,'Options and results'!$I$22,1)),0)*IF(1+'Options and results'!$Q$23*(V12-1)&gt;0,1+'Options and results'!$Q$23*(V12-1),0)</f>
        <v>0</v>
      </c>
      <c r="AU12" s="1441">
        <f>IF($W$8=0,0,IF(V12&lt;='Options and results'!$W$20,IF(AB12&lt;=0,0,IF('Options and results'!$C$41&gt;0,IF(AND(VLOOKUP('Options and results'!$C$42,Treegrant!$B$6:$L$42,Treegrant!$J$2,FALSE)&lt;=V12,VLOOKUP('Options and results'!$C$42,Treegrant!$B$6:$L$42,Treegrant!$K$2,FALSE)&gt;=V12),(VLOOKUP('Options and results'!$C$42,Treegrant!$B$6:$L$42,Treegrant!$L$2,FALSE)),0)*IF('Options and results'!$C$47="full",1,'Options and results'!$C$47))*IF(V12&gt;='Options and results'!$I$23,'Options and results'!$I$22,1)),0))*IF(1+'Options and results'!$Q$23*(V12-1)&gt;0,1+'Options and results'!$Q$23*(V12-1),0)</f>
        <v>0</v>
      </c>
      <c r="AV12" s="1032">
        <f>IF($W$8=0,0,IF(V12&lt;='Options and results'!$W$20,IF(AB12&lt;=0,0,(IF('Options and results'!$C$41&gt;0,(IF(AND(VLOOKUP('Options and results'!$C$42,Treegrant!$B$6:$O$42,Treegrant!$M$2,FALSE)&lt;=V12,VLOOKUP('Options and results'!$C$42,Treegrant!$B$6:$O$42,Treegrant!$N$2,FALSE)&gt;=V12),(VLOOKUP('Options and results'!$C$42,Treegrant!$B$6:$O$42,Treegrant!$O$2,FALSE)),0)*IF('Options and results'!$C$48="full",1,'Options and results'!$C$48))+(IF(AND(VLOOKUP('Options and results'!$C$42,Treegrant!$B$6:$R$42,Treegrant!$P$2,FALSE)&lt;=V12,VLOOKUP('Options and results'!$C$42,Treegrant!$B$6:$R$42,Treegrant!$Q$2,FALSE)&gt;=V12),(VLOOKUP('Options and results'!$C$42,Treegrant!$B$6:$R$42,Treegrant!$R$2,FALSE)),0))*IF('Options and results'!$C$49="full",1,'Options and results'!$C$49)))*IF(V12&gt;='Options and results'!$I$23,'Options and results'!$I$22,1)),0))*IF(1+'Options and results'!$Q$23*(V12-1)&gt;0,1+'Options and results'!$Q$23*(V12-1),0)</f>
        <v>0</v>
      </c>
      <c r="AW12" s="1033" t="s">
        <v>241</v>
      </c>
      <c r="AX12" s="1018">
        <f>'Options and results'!S36</f>
        <v>14.6</v>
      </c>
      <c r="AY12" s="1419">
        <f>IF($W$8=0,0,IF(V12=1,VLOOKUP($W$8,Treecost!$B$6:$AH$49,Treecost!$E$2,FALSE),0)*IF(V12&gt;='Options and results'!$I$25,'Options and results'!$I$24,1))</f>
        <v>0</v>
      </c>
      <c r="AZ12" s="889">
        <f>IF($W$8=0,0,IF(V12=1,VLOOKUP($W$8,Treecost!$B$6:$AH$49,Treecost!$F$2,FALSE),0)*IF(V12&gt;='Options and results'!$I$25,'Options and results'!$I$24,1))</f>
        <v>0</v>
      </c>
      <c r="BA12" s="889">
        <f>IF($W$8=0,0,IF(V12=1,VLOOKUP($W$8,Treecost!$B$6:$AH$49,Treecost!$G$2,FALSE),0)*IF(V12&gt;='Options and results'!$I$25,'Options and results'!$I$24,1))</f>
        <v>0</v>
      </c>
      <c r="BB12" s="889">
        <f>IF($W$8=0,0,IF(V12&lt;='Options and results'!$W$20,((VLOOKUP($W$8,Treecost!$B$6:$AH$49,Treecost!$H$2,FALSE)*(X12+AA12))/60)*IF(V12&gt;='Options and results'!$I$25,'Options and results'!$I$24,1),0))</f>
        <v>0</v>
      </c>
      <c r="BC12" s="889">
        <f>IF($W$8=0,0,IF(V12&lt;='Options and results'!$W$20,(((VLOOKUP($W$8,Treecost!$B$6:$AH$49,Treecost!$I$2,FALSE))*(X12+AA12))/60)*IF(V12&gt;='Options and results'!$I$25,'Options and results'!$I$24,1),0))</f>
        <v>0</v>
      </c>
      <c r="BD12" s="889">
        <f>IF($W$8=0,0,IF(V12&lt;='Options and results'!$W$20,(((VLOOKUP($W$8,Treecost!$B$6:$AH$49,Treecost!$J$2,FALSE))/60)*(X12+AA12))*IF(V12&gt;='Options and results'!$I$25,'Options and results'!$I$24,1),0))</f>
        <v>0</v>
      </c>
      <c r="BE12" s="1019">
        <f>IF($W$8=0,0,IF(V12&lt;='Options and results'!$W$20,(((VLOOKUP($W$8,Treecost!$B$6:$AH$49,Treecost!$C$2,FALSE)+VLOOKUP($W$8,Treecost!$B$6:$AH$49,Treecost!$D$2,FALSE))*(X12+AA12)*IF(1+'Options and results'!$Q$22*(V12-1)&gt;0,1+'Options and results'!$Q$22*(V12-1),0))+((AY12*$AX$8+AZ12*$AX$9+BA12*$AX$10+BB12*$AX$11+BC12*$AX$12+BD12*$AX$13)*IF(1+'Options and results'!$Q$21*(V12-1)&gt;0,1+'Options and results'!$Q$21*(V12-1),0)))*IF(V12&gt;='Options and results'!$I$27,'Options and results'!$I$26,1),0))</f>
        <v>0</v>
      </c>
      <c r="BF12" s="889">
        <f>IF($W$8=0,0,IF(V12&lt;='Options and results'!$W$20,IF(AND(VLOOKUP($W$8,Treecost!$B$6:$AH$49,Treecost!$K$2,FALSE)&lt;=V12,V12&lt;=(VLOOKUP($W$8,Treecost!$B$6:$AH$49,Treecost!$L$2,FALSE))),VLOOKUP($W$8,Treecost!$B$6:$AH$49,Treecost!$M$2,FALSE)*AB12/60,0)*IF(V12&gt;='Options and results'!$I$25,'Options and results'!$I$24,1),0))</f>
        <v>0</v>
      </c>
      <c r="BG12" s="1019">
        <f>IF(BF12&gt;0,(VLOOKUP($W$8,Treecost!$B$6:$AH$49,Treecost!$N$2,FALSE)*AB12*IF(1+'Options and results'!$Q$22*(V12-1)&gt;0,1+'Options and results'!$Q$22*(V12-1),0)+BF12*$AX$14*IF(1+'Options and results'!$Q$21*(V12-1)&gt;0,1+'Options and results'!$Q$21*(V12-1),0)),0)*IF(V12&gt;='Options and results'!$I$27,'Options and results'!$I$26,1)</f>
        <v>0</v>
      </c>
      <c r="BH12" s="889">
        <f>IF(V12&lt;='Options and results'!$W$20,IF(AND(AG12-AG11&gt;0,AG12&gt;'Options and results'!$M$36),(AB12-AC12)*(VLOOKUP($W$8,Treecost!$B$6:$AH$49,Treecost!$Y$2,FALSE)+(VLOOKUP($W$8,Treecost!$B$6:$AH$49,Treecost!$AA$2,FALSE)-VLOOKUP($W$8,Treecost!$B$6:$AH$49,Treecost!$Y$2,FALSE))/(VLOOKUP($W$8,Treecost!$B$6:$AH$49,Treecost!$Z$2,FALSE)-VLOOKUP($W$8,Treecost!$B$6:$AH$49,Treecost!$X$2,FALSE))*(AG12-VLOOKUP($W$8,Treecost!$B$6:$AH$49,Treecost!$X$2,FALSE)))/60,0)*IF(V12&gt;='Options and results'!$I$25,'Options and results'!$I$24,1),0)</f>
        <v>0</v>
      </c>
      <c r="BI12" s="303">
        <f>IF(V12&lt;='Options and results'!$W$20,IF(BH12&gt;0,VLOOKUP($W$8,Treecost!$B$6:$AH$49,Treecost!$AB$2,FALSE)/60*AB12,0)*IF(V12&gt;='Options and results'!$I$25,'Options and results'!$I$24,1),0)*((BH12-(MIN($BH$8:$BH$67)))/((MAX($BH$8:$BH$67))-(MIN($BH$8:$BH$67))))</f>
        <v>0</v>
      </c>
      <c r="BJ12" s="740">
        <f>IF(BH12&gt;0,(BH12*$AX$15+BI12*$AX$19)*IF(1+'Options and results'!$Q$21*(V12-1)&gt;0,1+'Options and results'!$Q$21*(V12-1),0),0)*IF(V12&gt;='Options and results'!$I$27,'Options and results'!$I$26,1)</f>
        <v>0</v>
      </c>
      <c r="BK12" s="891">
        <f>IF($W$8=0,0,IF(V12&lt;='Options and results'!$W$20,IF(VLOOKUP($W$8,Treecost!$B$2:$AH$49,Treecost!$O$2,FALSE)=V12,VLOOKUP($W$8,Treecost!$B$2:$AH$49,Treecost!$P$2,FALSE),0)*IF(V12&gt;='Options and results'!$I$25,'Options and results'!$I$24,1),0))</f>
        <v>0</v>
      </c>
      <c r="BL12" s="889">
        <f>IF($W$8=0,0,IF(V12&lt;='Options and results'!$W$20,IF(AND(V12&gt;VLOOKUP($W$8,Treecost!$B$2:$AH$49,Treecost!$O$2,FALSE),V12&lt;=VLOOKUP($W$8,Treecost!$B$2:$AH$49,Treecost!$R$2,FALSE)),VLOOKUP($W$8,Treecost!$B$2:$AH$49,Treecost!$S$2,FALSE),0)*IF(V12&gt;='Options and results'!$I$25,'Options and results'!$I$24,1),0))</f>
        <v>0</v>
      </c>
      <c r="BM12" s="740">
        <f>IF($W$8=0,0,IF(V12&lt;='Options and results'!$W$20,((IF(VLOOKUP($W$8,Treecost!$B$2:$AH$49,Treecost!$O$2,FALSE)=V12,VLOOKUP($W$8,Treecost!$B$2:$AH$49,Treecost!$Q$2,FALSE),0)+IF(AND(V12&gt;VLOOKUP($W$8,Treecost!$B$2:$AH$49,Treecost!$O$2,FALSE),V12&lt;=VLOOKUP($W$8,Treecost!$B$2:$AH$49,Treecost!$R$2,FALSE)),VLOOKUP($W$8,Treecost!$B$2:$AH$49,Treecost!$T$2,FALSE),0)*IF(1+'Options and results'!$Q$22*(V12-1)&gt;0,1+'Options and results'!$Q$22*(V12-1),0))+(BK12*$AX$16+BL12*$AX$17)*IF(1+'Options and results'!$Q$21*(V12-1)&gt;0,1+'Options and results'!$Q$21*(V12-1),0))*IF(V12&gt;='Options and results'!$I$27,'Options and results'!$I$26,1),0))</f>
        <v>0</v>
      </c>
      <c r="BN12" s="894">
        <f>IF($W$8=0,0,IF(V12&lt;='Options and results'!$W$20,IF(AND(V12&gt;=VLOOKUP($W$8,Treecost!$B$2:$W$49,Treecost!$U$2,FALSE),V12&lt;=VLOOKUP($W$8,Treecost!$B$2:$W$49,Treecost!$V$2,FALSE)),(AB12*VLOOKUP($W$8,Treecost!$B$2:$W$49,Treecost!$W$2,FALSE)/60),0)*IF(V12&gt;='Options and results'!$I$25,'Options and results'!$I$24,1),0))</f>
        <v>0</v>
      </c>
      <c r="BO12" s="740">
        <f>BN12*$AX$18*IF(V12&gt;='Options and results'!$I$27,'Options and results'!$I$26,1)*IF(1+'Options and results'!$Q$21*(V12-1)&gt;0,1+'Options and results'!$Q$21*(V12-1),0)</f>
        <v>0</v>
      </c>
      <c r="BP12" s="894">
        <f>IF(V12&lt;='Options and results'!$W$20,IF(AB12&lt;=0,0,VLOOKUP($W$8,Treecost!$B$6:$AH$49,Treecost!$AC$2,FALSE)+VLOOKUP($W$8,Treecost!$B$6:$AH$49,Treecost!$AD$2,FALSE)+IF(AND(V12&gt;=VLOOKUP($W$8,Treecost!$B$2:$AK$49,Treecost!$AI$2,FALSE),V12&lt;=VLOOKUP($W$8,Treecost!$B$2:$AK$49,Treecost!$AJ$2,FALSE)),(VLOOKUP($W$8,Treecost!$B$2:$AK$49,Treecost!$AK$2,FALSE)),0))*IF(V12&gt;='Options and results'!$I$27,'Options and results'!$I$26,1),0)*IF(1+'Options and results'!$Q$22*(V12-1)&gt;0,1+'Options and results'!$Q$22*(V12-1),0)</f>
        <v>3</v>
      </c>
      <c r="BQ12" s="894">
        <f>IF(V12&lt;='Options and results'!$W$20,IF(AC12&gt;0,VLOOKUP($W$8,Treecost!$B$6:$AH$49,Treecost!$AE$2,FALSE)/60*AC12,0)*IF(V12&gt;='Options and results'!$I$25,'Options and results'!$I$24,1),0)</f>
        <v>0</v>
      </c>
      <c r="BR12" s="740">
        <f>IF(V12&lt;='Options and results'!$W$20,IF(AC12&gt;0,VLOOKUP($W$8,Treecost!$B$6:$AH$49,Treecost!$AF$2,FALSE)/60*AC12,0)*IF(V12&gt;='Options and results'!$I$25,'Options and results'!$I$24,1),0)</f>
        <v>0</v>
      </c>
      <c r="BS12" s="740">
        <f>(BQ12*$AX$20+BR12*$AX$21)*IF(V12&gt;='Options and results'!$I$27,'Options and results'!$I$26,1)*IF(1+'Options and results'!$Q$21*(V12-1)&gt;0,1+'Options and results'!$Q$21*(V12-1),0)</f>
        <v>0</v>
      </c>
      <c r="BT12" s="894">
        <f>IF(V12&lt;='Options and results'!$W$20,IF(AD12&gt;0,(VLOOKUP($W$8,Treecost!$B$6:$AH$49,Treecost!$AG$2,FALSE)/60*AD12)*IF(V12&gt;='Options and results'!$I$25,'Options and results'!$I$24,1),0),0)</f>
        <v>0</v>
      </c>
      <c r="BU12" s="740">
        <f>IF(V12&lt;='Options and results'!$W$20,IF(AD12&gt;0,(VLOOKUP($W$8,Treecost!$B$6:$AH$49,Treecost!$AH$2,FALSE)/60*AD12)*IF(V12&gt;='Options and results'!$I$25,'Options and results'!$I$24,1),0),0)</f>
        <v>0</v>
      </c>
      <c r="BV12" s="740">
        <f>(BT12*$AX$22+BU12*$AX$23)*IF(V12&gt;='Options and results'!$I$27,'Options and results'!$I$26,1)*IF(1+'Options and results'!$Q$21*(V12-1)&gt;0,1+'Options and results'!$Q$21*(V12-1),0)</f>
        <v>0</v>
      </c>
      <c r="BW12" s="1033">
        <f t="shared" si="138"/>
        <v>0</v>
      </c>
      <c r="BX12" s="1027">
        <f t="shared" si="139"/>
        <v>0</v>
      </c>
      <c r="BY12" s="1027">
        <f t="shared" si="140"/>
        <v>0</v>
      </c>
      <c r="BZ12" s="740">
        <f t="shared" si="124"/>
        <v>3</v>
      </c>
      <c r="CA12" s="740">
        <f t="shared" si="141"/>
        <v>-3</v>
      </c>
      <c r="CB12" s="894">
        <f>IF($V12&lt;='Options and results'!$W$20,SUM(BX$8:$BX12),0)</f>
        <v>0</v>
      </c>
      <c r="CC12" s="740">
        <f>IF($V12&lt;='Options and results'!$W$20,SUM($BY$8:BY12),0)</f>
        <v>0</v>
      </c>
      <c r="CD12" s="740">
        <f>IF($V12&lt;='Options and results'!$W$20,SUM($BZ$8:BZ12),0)</f>
        <v>803.39978663479712</v>
      </c>
      <c r="CE12" s="740">
        <f>IF(V12&lt;='Options and results'!$W$20,CB12+CC12-CD12,0)</f>
        <v>-803.39978663479712</v>
      </c>
      <c r="CF12" s="1381">
        <f t="shared" si="142"/>
        <v>2.4649202022701737</v>
      </c>
      <c r="CG12" s="1027">
        <f t="shared" si="143"/>
        <v>-0.53507979772982628</v>
      </c>
      <c r="CH12" s="1027">
        <f t="shared" si="144"/>
        <v>0</v>
      </c>
      <c r="CI12" s="1189">
        <f>IF(V12&lt;='Options and results'!$W$20,CE12+AO12,0)</f>
        <v>-803.39978663479712</v>
      </c>
      <c r="CJ12" s="1023"/>
      <c r="CK12" s="895">
        <f t="shared" si="145"/>
        <v>5</v>
      </c>
      <c r="CL12" s="1011" t="str">
        <f>IF('Options and results'!$C$54="None",0,IF(AND(CK12&gt;='Options and results'!$K$57,CK11&lt;'Options and results'!$W$20),'Options and results'!$K$56,IF(Optimisation!$B$3="No",CONCATENATE('Options and results'!$C$60," ",(HLOOKUP(CONCATENATE('Options and results'!$C$54," ",Agroforestrysystem!$B$12),Agroforestrysystem!$B$11:$IM$74,$CK12+4,FALSE))),Optimisation!AA32)))</f>
        <v>UK - Agriculture (BPS: from 2015) Wheat</v>
      </c>
      <c r="CM12" s="1012">
        <f>IF(HLOOKUP(CONCATENATE('Options and results'!$C$54," ",Agroforestrysystem!$C$12),Agroforestrysystem!$B$11:$IM$74,$CK12+4,FALSE)="T",(VLOOKUP(CL12,Arablefinance!$Z$6:$AB$105,Arablefinance!$AB$2,FALSE)*CO12+VLOOKUP(CL12,Arablefinance!$Z$6:$AC$105,Arablefinance!$AC$2,FALSE)*CP12)/VLOOKUP(CL12,Arablefinance!$Z$6:$AA$105,Arablefinance!$AA$2,FALSE),0)</f>
        <v>0</v>
      </c>
      <c r="CN12" s="1012">
        <f>IF(CL12=0,0,HLOOKUP(CONCATENATE('Options and results'!$C$54," ",Agroforestrysystem!$D$12),Agroforestrysystem!$B$11:$IM$74,$CK12+4,FALSE))</f>
        <v>0.99</v>
      </c>
      <c r="CO12" s="1440">
        <f ca="1">IF(CL12=0,0,IF(AND(Optimisation!$B$3="yes",Optimisation!$B$4=1,CK12&gt;Optimisation!$B$9),0,HLOOKUP(CONCATENATE('Options and results'!$C$54," ",Agroforestrysystem!$E$12),Agroforestrysystem!$B$11:$IM$74,$CK12+4,FALSE)*IF(CK12&gt;='Options and results'!$J$19,'Options and results'!$J$18,1)))</f>
        <v>9.11</v>
      </c>
      <c r="CP12" s="1440">
        <f ca="1">IF(CL12=0,0,IF(AND(Optimisation!$B$3="yes",Optimisation!$B$4=1,CK12&gt;Optimisation!$B$9),0,HLOOKUP(CONCATENATE('Options and results'!$C$54," ",Agroforestrysystem!$F$12),Agroforestrysystem!$B$11:$IM$74,$CK12+4,FALSE)*IF(CK12&gt;='Options and results'!$J$19,'Options and results'!$J$18,1)))</f>
        <v>3.6680000000000001</v>
      </c>
      <c r="CQ12" s="1013">
        <f ca="1">IF(CN12&lt;=0,0,IF(CK12&lt;='Options and results'!$W$20,IF(CM12&gt;0,VLOOKUP(CL12,Arablefinance!$Z$6:$AE$105,Arablefinance!$AD$2,FALSE)*CM12*CN12,((VLOOKUP(CL12,Arablefinance!$E$6:$H$126,2,FALSE)*CO12+VLOOKUP(CL12,Arablefinance!$E$6:$H$126,3,FALSE)*CP12)*CN12)),0)*IF(CK12&gt;='Options and results'!$J$21,'Options and results'!$J$20,1))*IF(1+'Options and results'!$O$20*(CK12-1)&gt;0,1+'Options and results'!$O$20*(CK12-1),0)</f>
        <v>1701.9557499999999</v>
      </c>
      <c r="CR12" s="1441">
        <f>IF(CN12&lt;=0,0,IF(AND(CM12&gt;0,VLOOKUP(CL12,Arablefinance!$Z$6:$AI$105,Arablefinance!$AI$2,FALSE)=2),VLOOKUP(CL12,Arablefinance!$Z$6:$AE$105,Arablefinance!$AE$2,FALSE)*CM12*CN12,IF('Options and results'!$C$62&gt;0,IF(VLOOKUP(CL12,Arablefinance!$E$6:$W$126,Arablefinance!$H$2,FALSE)*(1-Plot!DM12*'Options and results'!$C$62)&gt;0,VLOOKUP(CL12,Arablefinance!$E$6:$W$126,Arablefinance!$H$2,FALSE)*(1-Plot!DM12*'Options and results'!$C$62),0),IF(CK12&lt;='Options and results'!$W$20,(VLOOKUP(CL12,Arablefinance!$E$6:$W$126,Arablefinance!$H$2,FALSE)*IF('Options and results'!$C$61="area",CN12,'Options and results'!$C$61)),0)))*IF(CK12&gt;='Options and results'!$J$23,'Options and results'!$J$22,1))*IF(AND(1+'Options and results'!$O$23*(CK12-1)&gt;0,1+'Options and results'!$O$23*(CK12-1)&gt;'Options and results'!$S$24),1+'Options and results'!$O$23*(CK12-1),'Options and results'!$S$24)</f>
        <v>0</v>
      </c>
      <c r="CS12" s="1441">
        <f t="shared" ca="1" si="146"/>
        <v>1701.9557499999999</v>
      </c>
      <c r="CT12" s="1441">
        <f>IF(CN12&lt;=0,0,IF(CK12&lt;='Options and results'!$W$20,IF(CM12&gt;0,VLOOKUP(CL12,Arablefinance!$Z$6:$AF$105,Arablefinance!$AF$2,FALSE)*CM12*CN12,VLOOKUP(CL12,Arablefinance!$E$6:$X$126,Arablefinance!$R$2,FALSE)*CN12),0)*IF(CK12&gt;='Options and results'!$J$27,'Options and results'!$J$26,1))*IF(1+'Options and results'!$O$22*(CK12-1)&gt;0,1+'Options and results'!$O$22*(CK12-1),0)</f>
        <v>646.59374999999989</v>
      </c>
      <c r="CU12" s="1441">
        <f t="shared" ca="1" si="147"/>
        <v>1055.3620000000001</v>
      </c>
      <c r="CV12" s="1441">
        <f>IF(CN12&lt;=0,0,IF(CK12&lt;='Options and results'!$W$20,IF(CM12&gt;0,VLOOKUP(CL12,Arablefinance!$Z$6:$AG$105,Arablefinance!$AG$2,FALSE)*CM12*CN12,VLOOKUP(CL12,Arablefinance!$E$6:$X$126,Arablefinance!$X$2,FALSE)*CN12),0)*IF(CK12&gt;='Options and results'!$J$27,'Options and results'!$J$26,1))*IF(1+'Options and results'!$O$22*(CK12-1)&gt;0,1+'Options and results'!$O$22*(CK12-1),0)</f>
        <v>440</v>
      </c>
      <c r="CW12" s="1442">
        <f>IF(CN12&lt;=0,0,IF(CK12&lt;='Options and results'!$W$20,'Options and results'!$C$27*IF(CK12&gt;='Options and results'!$J$27,'Options and results'!$J$26,1),0))*IF(1+'Options and results'!$O$21*(CK12-1)&gt;0,1+'Options and results'!$O$21*(CK12-1),0)</f>
        <v>14.6</v>
      </c>
      <c r="CX12" s="1442">
        <f>IF(CN12&lt;=0,0,IF(CK12&lt;='Options and results'!$W$20,IF(CM12&gt;0,VLOOKUP(CL12,Arablefinance!$Z$6:$AH$105,Arablefinance!$AH$2,FALSE)*CM12*CN12,VLOOKUP(CL12,Arablefinance!$E$6:$W$126,Arablefinance!$V$2,FALSE)*CN12),0)*IF(CK12&gt;='Options and results'!$J$25,'Options and results'!$J$24,1))</f>
        <v>11.516506250880969</v>
      </c>
      <c r="CY12" s="1013">
        <f t="shared" si="148"/>
        <v>1254.7347412628621</v>
      </c>
      <c r="CZ12" s="1353">
        <f t="shared" ca="1" si="149"/>
        <v>447.22100873713771</v>
      </c>
      <c r="DA12" s="1013">
        <f ca="1">IF($CK12&lt;='Options and results'!$W$20,SUM($CQ$8:CQ12),0)</f>
        <v>7796.4832000000006</v>
      </c>
      <c r="DB12" s="1441">
        <f>IF($CK12&lt;='Options and results'!$W$20,SUM($CR$8:CR12),0)</f>
        <v>0</v>
      </c>
      <c r="DC12" s="1441">
        <f>IF($CK12&lt;='Options and results'!$W$20,SUM($CY$8:CY12),0)</f>
        <v>6066.0146431850935</v>
      </c>
      <c r="DD12" s="1189">
        <f ca="1">IF(CK12&lt;='Options and results'!$W$20,DA12+DB12-DC12,0)</f>
        <v>1730.4685568149071</v>
      </c>
      <c r="DE12" s="401"/>
      <c r="DF12" s="895">
        <f t="shared" si="150"/>
        <v>5</v>
      </c>
      <c r="DG12" s="173"/>
      <c r="DH12" s="1422"/>
      <c r="DI12" s="1427">
        <f>IF(DF12&lt;='Options and results'!$M$61,'Options and results'!$M$60,0)</f>
        <v>0</v>
      </c>
      <c r="DJ12" s="740">
        <f t="shared" si="151"/>
        <v>0</v>
      </c>
      <c r="DK12" s="740">
        <f t="shared" si="152"/>
        <v>0</v>
      </c>
      <c r="DL12" s="1428">
        <f t="shared" si="153"/>
        <v>100</v>
      </c>
      <c r="DM12" s="1429">
        <f>IF($DG$8=0,0,HLOOKUP(CONCATENATE('Options and results'!$C$54," ",Agroforestrysystem!$J$12),Agroforestrysystem!$11:$74,DF12+3,FALSE))/100</f>
        <v>0.154</v>
      </c>
      <c r="DN12" s="740">
        <f>IF($DG$8=0,0,IF(HLOOKUP(CONCATENATE('Options and results'!$C$54," ",Agroforestrysystem!$H$12),Agroforestrysystem!$11:$74,DF12+4,FALSE)&lt;DL12,HLOOKUP(CONCATENATE('Options and results'!$C$54," ",Agroforestrysystem!$H$12),Agroforestrysystem!$11:$74,DF12+4,FALSE),0))</f>
        <v>0</v>
      </c>
      <c r="DO12" s="1027">
        <f>IF($DG$8=0,0,IF(HLOOKUP(CONCATENATE('Options and results'!$C$54," ",Agroforestrysystem!$H$12),Agroforestrysystem!$11:$74,DF12+4,FALSE)&gt;=DL12,DL12,0))</f>
        <v>0</v>
      </c>
      <c r="DP12" s="1430">
        <f>IF($DG$8=0,0,HLOOKUP(CONCATENATE('Options and results'!$C$54," ",Agroforestrysystem!$I$12),Agroforestrysystem!$11:$74,DF12+4,FALSE))</f>
        <v>3.6949194561232286</v>
      </c>
      <c r="DQ12" s="1038"/>
      <c r="DR12" s="1390">
        <f>IF($DG$8=0,0,IF(DF12&gt;'Options and results'!$W$20,0,)+IF(DF12=1,'Options and results'!$M$64)+IF('Options and results'!$M$67="yes",IF(AND(DR11+'Options and results'!$M$65&lt;=$DQ$8,DR11+'Options and results'!$M$65+IF(DF12=1,'Options and results'!$M$64,0)&lt;='Options and results'!$M$66*DP12),DR11+'Options and results'!$M$65,DR11),(HLOOKUP(CONCATENATE('Options and results'!$C$54," ",Agroforestrysystem!$K$12),Agroforestrysystem!$11:$74,DF12+4,FALSE)-IF(DF12=1,'Options and results'!$M$64))))</f>
        <v>1.5</v>
      </c>
      <c r="DS12" s="1027">
        <f>IF(OR($DG$8=0,DL12=0),0,HLOOKUP(CONCATENATE('Options and results'!$C$54," ",Agroforestrysystem!$L$12),Agroforestrysystem!$11:$74,DF12+4,FALSE)*IF(DF12&gt;='Options and results'!$K$19,'Options and results'!$K$18,1))</f>
        <v>0.2941663455738871</v>
      </c>
      <c r="DT12" s="1431">
        <f t="shared" si="154"/>
        <v>2.9416634557388709E-3</v>
      </c>
      <c r="DU12" s="889">
        <f t="shared" si="155"/>
        <v>0</v>
      </c>
      <c r="DV12" s="1027">
        <f>IF($DG$8=0,0,(HLOOKUP(CONCATENATE('Options and results'!$C$54," ",Agroforestrysystem!$M$12),Agroforestrysystem!$11:$74,DF12+4,FALSE))*IF(DF12&gt;='Options and results'!$K$19,'Options and results'!$K$18,1))-DW12</f>
        <v>0.12971190923145715</v>
      </c>
      <c r="DW12" s="303">
        <f>IF($DG$8=0,0,(HLOOKUP(CONCATENATE('Options and results'!$C$54," ",Agroforestrysystem!$N$12),Agroforestrysystem!$11:$74,DF12+4,FALSE))*IF(DF12&gt;='Options and results'!$K$19,'Options and results'!$K$18,1))</f>
        <v>0</v>
      </c>
      <c r="DX12" s="303">
        <f>IF($DG$8=0,0,HLOOKUP(CONCATENATE('Options and results'!$C$54," ",Agroforestrysystem!$O$12),Agroforestrysystem!$11:$74,DF12+4,FALSE)*IF(DF12&gt;='Options and results'!$K$19,'Options and results'!$K$18,1))</f>
        <v>0</v>
      </c>
      <c r="DY12" s="1192">
        <f>IF(DT12&gt;0,HLOOKUP(DT12,Treevalue!$I$4:$BC$34,'Options and results'!$C$66+1),0)*IF(DF12&gt;='Options and results'!$K$21,'Options and results'!$K$20,1)*IF(1+'Options and results'!$Q$20*(DF12-1)&gt;0,1+'Options and results'!$Q$20*(DF12-1),0)</f>
        <v>0</v>
      </c>
      <c r="DZ12" s="1027">
        <f t="shared" si="156"/>
        <v>0</v>
      </c>
      <c r="EA12" s="1027">
        <f t="shared" si="125"/>
        <v>0</v>
      </c>
      <c r="EB12" s="1027">
        <f>(IF('Options and results'!$C$66&gt;0,IF(DF12&lt;='Options and results'!$W$20,VLOOKUP('Options and results'!$C$66,Treevalue!$A$4:$F$34,5,FALSE),0),0)*DV12)*IF(DF12&gt;='Options and results'!$K$21,'Options and results'!$K$20,1)*IF(1+'Options and results'!$Q$20*(DF12-1)&gt;0,1+'Options and results'!$Q$20*(DF12-1),0)</f>
        <v>3.2427977307864286</v>
      </c>
      <c r="EC12" s="740">
        <f>(IF('Options and results'!$C$66&gt;0,IF(DF12&lt;='Options and results'!$W$20,VLOOKUP('Options and results'!$C$66,Treevalue!$A$4:$F$34,5,FALSE),0),0)*DW12)*IF(DF12&gt;='Options and results'!$K$21,'Options and results'!$K$20,1)*IF(1+'Options and results'!$Q$20*(DF12-1)&gt;0,1+'Options and results'!$Q$20*(DF12-1),0)</f>
        <v>0</v>
      </c>
      <c r="ED12" s="889">
        <f>(IF('Options and results'!$C$66&gt;0,IF(DF12&lt;='Options and results'!$W$20,VLOOKUP('Options and results'!$C$66,Treevalue!$A$4:$F$34,6,FALSE),0),0)*DX12)*IF(DF12&gt;='Options and results'!$K$21,'Options and results'!$K$20,1)*IF(1+'Options and results'!$Q$20*(DF12-1)&gt;0,1+'Options and results'!$Q$20*(DF12-1),0)</f>
        <v>0</v>
      </c>
      <c r="EE12" s="740">
        <f>IF(DF12&lt;='Options and results'!$W$20,IF(DL12&lt;=0,0,IF('Options and results'!$C$70="cost",(IF(DF12&lt;='Options and results'!$C$71,FK12*SUM('Options and results'!$C$72:$C$73),0)),IF('Options and results'!$C$68&gt;0,(IF(VLOOKUP('Options and results'!$C$69,Treegrant!$B$6:$L$42,Treegrant!$C$2,FALSE)=DF12,VLOOKUP('Options and results'!$C$69,Treegrant!$B$6:$L$42,Treegrant!$D$2,FALSE),0)+IF(VLOOKUP('Options and results'!$C$69,Treegrant!$B$6:$L$42,Treegrant!$E$2,FALSE)=DF12,VLOOKUP('Options and results'!$C$69,Treegrant!$B$6:$L$42,Treegrant!$F$2,FALSE),0)+IF(VLOOKUP('Options and results'!$C$69,Treegrant!$B$6:$L$42,Treegrant!$G$2,FALSE)=DF12,VLOOKUP('Options and results'!$C$69,Treegrant!$B$6:$L$42,Treegrant!$H$2,FALSE)))*IF('Options and results'!$C$70="area",Unit!C13,'Options and results'!$C$70),0))*IF(DF12&gt;='Options and results'!$K$23,'Options and results'!$K$22,1)),0)*IF(1+'Options and results'!$Q$23*(DF12-1)&gt;0,1+'Options and results'!$Q$23*(DF12-1),0)</f>
        <v>0</v>
      </c>
      <c r="EF12" s="740">
        <f>IF($DG$8=0,0,IF(DF12&lt;='Options and results'!$W$20,IF(DL12&lt;=0,0,IF('Options and results'!$C$68&gt;0,IF(AND(VLOOKUP('Options and results'!$C$69,Treegrant!$B$6:$L$42,Treegrant!$J$2,FALSE)&lt;=DF12,VLOOKUP('Options and results'!$C$69,Treegrant!$B$6:$L$42,Treegrant!$K$2,FALSE)&gt;=DF12),(VLOOKUP('Options and results'!$C$69,Treegrant!$B$6:$L$42,Treegrant!$L$2,FALSE)),0)*IF('Options and results'!$C$74="area",Unit!C13,'Options and results'!$C$74))*IF(DF12&gt;='Options and results'!$K$23,'Options and results'!$K$22,1)),0))*IF(1+'Options and results'!$Q$23*(DF12-1)&gt;0,1+'Options and results'!$Q$23*(DF12-1),0)</f>
        <v>0</v>
      </c>
      <c r="EG12" s="1034">
        <f>IF($DG$8=0,0,IF(DF12&lt;='Options and results'!$W$20,IF(DL12&lt;=0,0,IF('Options and results'!$C$68&gt;0,((IF(AND(VLOOKUP('Options and results'!$C$69,Treegrant!$B$6:$O$42,Treegrant!$M$2,FALSE)&lt;=DF12,VLOOKUP('Options and results'!$C$69,Treegrant!$B$6:$O$42,Treegrant!$N$2,FALSE)&gt;=DF12),(VLOOKUP('Options and results'!$C$69,Treegrant!$B$6:$O$42,Treegrant!$O$2,FALSE)),0)*IF('Options and results'!$C$75="area",Unit!C13,'Options and results'!$C$75))+(IF(AND(VLOOKUP('Options and results'!$C$69,Treegrant!$B$6:$R$42,Treegrant!$P$2,FALSE)&lt;=DF12,VLOOKUP('Options and results'!$C$69,Treegrant!$B$6:$R$42,Treegrant!$Q$2,FALSE)&gt;=DF12),(VLOOKUP('Options and results'!$C$69,Treegrant!$B$6:$R$42,Treegrant!$R$2,FALSE)),0))*IF('Options and results'!$C$76="area",Unit!C13,'Options and results'!$C$76)))*IF(DF12&gt;='Options and results'!$K$23,'Options and results'!$K$22,1)),0))*IF(1+'Options and results'!$Q$23*(DF12-1)&gt;0,1+'Options and results'!$Q$23*(DF12-1),0)</f>
        <v>0</v>
      </c>
      <c r="EH12" s="1033" t="s">
        <v>241</v>
      </c>
      <c r="EI12" s="1018">
        <f>'Options and results'!$S36</f>
        <v>14.6</v>
      </c>
      <c r="EJ12" s="1419">
        <f>IF($DH$8+DK12&lt;1,0,IF(DF12=1,VLOOKUP($DG$8,Treecost!$B$6:$AH$49,Treecost!$E$2,FALSE),0)*IF(DF12&gt;='Options and results'!$K$25,'Options and results'!$K$24,1))</f>
        <v>0</v>
      </c>
      <c r="EK12" s="889">
        <f>IF($DH$8+DK12&lt;1,0,IF(DF12=1,VLOOKUP($DG$8,Treecost!$B$6:$AH$49,Treecost!$F$2,FALSE),0)*IF(DF12&gt;='Options and results'!$K$25,'Options and results'!$K$24,1))</f>
        <v>0</v>
      </c>
      <c r="EL12" s="889">
        <f>IF($DH$8+DK12&lt;1,0,IF(DF12=1,VLOOKUP($DG$8,Treecost!$B$6:$AH$49,Treecost!$G$2,FALSE),0)*IF(DF12&gt;='Options and results'!$K$25,'Options and results'!$K$24,1))</f>
        <v>0</v>
      </c>
      <c r="EM12" s="889">
        <f>IF($DG$8=0,0,IF(DF12&lt;='Options and results'!$W$20,((VLOOKUP($DG$8,Treecost!$B$6:$AH$49,Treecost!$H$2,FALSE)*(DH12+DK12))/60)*IF(DF12&gt;='Options and results'!$K$25,'Options and results'!$K$24,1),0))</f>
        <v>0</v>
      </c>
      <c r="EN12" s="889">
        <f>IF($DG$8=0,0,IF(DF12&lt;='Options and results'!$W$20,(((VLOOKUP($DG$8,Treecost!$B$6:$AH$49,Treecost!$I$2,FALSE))*(DH12+DK12))/60)*IF(DF12&gt;='Options and results'!$K$25,'Options and results'!$K$24,1),0))</f>
        <v>0</v>
      </c>
      <c r="EO12" s="889">
        <f>IF($DG$8=0,0,IF(DF12&lt;='Options and results'!$W$20,(((VLOOKUP($DG$8,Treecost!$B$6:$AH$49,Treecost!$J$2,FALSE))/60)*(DH12+DK12))*IF(DF12&gt;='Options and results'!$K$25,'Options and results'!$K$24,1),0))</f>
        <v>0</v>
      </c>
      <c r="EP12" s="1019">
        <f>IF($DG$8=0,0,IF(DF12&lt;='Options and results'!$W$20,(((VLOOKUP($DG$8,Treecost!$B$6:$AH$49,Treecost!$C$2,FALSE)+VLOOKUP($DG$8,Treecost!$B$6:$AH$49,Treecost!$D$2,FALSE))*(DH12+DK12)*IF(1+'Options and results'!$Q$22*(DF12-1)&gt;0,1+'Options and results'!$Q$22*(DF12-1),0))+(EJ12*$EI$8+EK12*$EI$9+EL12*$EI$10+EM12*$EI$11+EN12*$EI$12+EO12*$EI$13)*IF(1+'Options and results'!$Q$21*(DF12-1)&gt;0,1+'Options and results'!$Q$21*(DF12-1),0))*IF(DF12&gt;='Options and results'!$K$27,'Options and results'!$K$26,1),0))</f>
        <v>0</v>
      </c>
      <c r="EQ12" s="889">
        <f>IF($DG$8=0,0,IF(DF12&lt;='Options and results'!$W$20,IF(AND(VLOOKUP($DG$8,Treecost!$B$6:$AH$49,Treecost!$K$2,FALSE)&lt;=DF12,DF12&lt;=(VLOOKUP($DG$8,Treecost!$B$6:$AH$49,Treecost!$L$2,FALSE))),VLOOKUP($DG$8,Treecost!$B$6:$AH$49,Treecost!$M$2,FALSE)*DL12/60,0)*IF(DF12&gt;='Options and results'!$K$25,'Options and results'!$K$24,1),0))</f>
        <v>0</v>
      </c>
      <c r="ER12" s="1019">
        <f>IF(EQ12&gt;0,(VLOOKUP($DG$8,Treecost!$B$6:$AH$49,Treecost!$N$2,FALSE)*DL12*IF(1+'Options and results'!$Q$22*(DF12-1)&gt;0,1+'Options and results'!$Q$22*(DF12-1),0)+EQ12*$EI$14*IF(1+'Options and results'!$Q$21*(DF12-1)&gt;0,1+'Options and results'!$Q$21*(DF12-1),0)),0)*IF(DF12&gt;='Options and results'!$K$27,'Options and results'!$K$26,1)</f>
        <v>0</v>
      </c>
      <c r="ES12" s="889">
        <f>IF(DF12&lt;='Options and results'!$W$20,IF(AND(DR12-DR11&gt;0,DR12&gt;'Options and results'!$M$64),(DL12-DN12)*(VLOOKUP($DG$8,Treecost!$B$6:$AH$49,Treecost!$Y$2,FALSE)+(VLOOKUP($DG$8,Treecost!$B$6:$AH$49,Treecost!$AA$2,FALSE)-VLOOKUP($DG$8,Treecost!$B$6:$AH$49,Treecost!$Y$2,FALSE))/(VLOOKUP($DG$8,Treecost!$B$6:$AH$49,Treecost!$Z$2,FALSE)-VLOOKUP($DG$8,Treecost!$B$6:$AH$49,Treecost!$X$2,FALSE))*(DR12-VLOOKUP($DG$8,Treecost!$B$6:$AH$49,Treecost!$X$2,FALSE)))/60,0)*IF(DF12&gt;='Options and results'!$K$25,'Options and results'!$K$24,1),0)</f>
        <v>0</v>
      </c>
      <c r="ET12" s="889">
        <f>IF(DF12&lt;='Options and results'!$W$20,IF(ES12&gt;0,VLOOKUP($DG$8,Treecost!$B$6:$AH$49,Treecost!$AB$2,FALSE)/60*DL12,0)*IF(DF12&gt;='Options and results'!$K$25,'Options and results'!$K$24,1),0)*((ES12-(MIN($ES$8:$ES$67)))/((MAX($ES$8:$ES$67))-(MIN($ES$8:$ES$67))))</f>
        <v>0</v>
      </c>
      <c r="EU12" s="740">
        <f>IF(ES12&gt;0,(ES12*$EI$15+ET12*$EI$19)*IF(1+'Options and results'!$Q$21*(DF12-1)&gt;0,1+'Options and results'!$Q$21*(DF12-1),0),0)*IF(DF12&gt;='Options and results'!$K$27,'Options and results'!$K$26,1)</f>
        <v>0</v>
      </c>
      <c r="EV12" s="891">
        <f>IF($DG$8=0,0,IF(DF12&lt;='Options and results'!$W$20,IF(AND(VLOOKUP($DG$8,Treecost!$B$2:$AH$49,Treecost!$O$2,FALSE)=DF12,DF12&lt;=IF(AND(Optimisation!$B$3="Yes",Optimisation!$B$4=1),Optimisation!$B$9)),VLOOKUP($DG$8,Treecost!$B$2:$AH$49,Treecost!$P$2,FALSE)*(1-CN12),0)*IF(DF12&gt;='Options and results'!$K$25,'Options and results'!$K$24,1),0))</f>
        <v>0</v>
      </c>
      <c r="EW12" s="889">
        <f>IF($DG$8=0,0,IF(DF12&lt;='Options and results'!$W$20,IF(AND(DF12&gt;VLOOKUP($DG$8,Treecost!$B$2:$AH$49,Treecost!$O$2,FALSE),DF12&lt;=IF(AND(Optimisation!$B$3="Yes",Optimisation!$B$4=1),Optimisation!$B$9,VLOOKUP($DG$8,Treecost!$B$2:$AH$49,Treecost!$R$2,FALSE))),VLOOKUP($DG$8,Treecost!$B$2:$AH$49,Treecost!$S$2,FALSE)*(1-CN12),0)*IF(DF12&gt;='Options and results'!$K$25,'Options and results'!$K$24,1),0))</f>
        <v>0</v>
      </c>
      <c r="EX12" s="740">
        <f>IF($DG$8=0,0,IF(DF12&lt;='Options and results'!$W$20,(IF(AND(VLOOKUP($DG$8,Treecost!$B$2:$AH$49,Treecost!$O$2,FALSE)=DF12,DF12&lt;=IF(AND(Optimisation!$B$3="Yes",Optimisation!$B$4=1),Optimisation!$B$9)),VLOOKUP($DG$8,Treecost!$B$2:$AH$49,Treecost!$Q$2,FALSE),0)*(1-CN12)+IF(AND(DF12&gt;VLOOKUP($DG$8,Treecost!$B$2:$AH$49,Treecost!$O$2,FALSE),DF12&lt;=IF(AND(Optimisation!$B$3="Yes",Optimisation!$B$4=1),Optimisation!$B$9,VLOOKUP($DG$8,Treecost!$B$2:$AH$49,Treecost!$R$2,FALSE))),VLOOKUP($DG$8,Treecost!$B$2:$AH$49,Treecost!$T$2,FALSE),0)*(1-CN12)+(EV12*$EI$16+EW12*$EI$17))*IF(DF12&gt;='Options and results'!$K$27,'Options and results'!$K$26,1),0))*IF(1+'Options and results'!$Q$21*(DF12-1)&gt;0,1+'Options and results'!$Q$21*(DF12-1),0)</f>
        <v>0</v>
      </c>
      <c r="EY12" s="894">
        <f>IF($DG$8=0,0,IF(DF12&lt;='Options and results'!$W$20,IF(AND(DF12&gt;=VLOOKUP($DG$8,Treecost!$B$2:$W$49,Treecost!$U$2,FALSE),DF12&lt;=VLOOKUP($DG$8,Treecost!$B$2:$W$49,Treecost!$V$2,FALSE)),(DL12*VLOOKUP($DG$8,Treecost!$B$2:$W$49,Treecost!$W$2,FALSE)/60),0)*IF(DF12&gt;='Options and results'!$K$25,'Options and results'!$K$24,1),0))</f>
        <v>0</v>
      </c>
      <c r="EZ12" s="740">
        <f>EY12*$EI$18*IF(DF12&gt;='Options and results'!$K$27,'Options and results'!$K$26,1)*IF(1+'Options and results'!$Q$21*(DF12-1)&gt;0,1+'Options and results'!$Q$21*(DF12-1),0)</f>
        <v>0</v>
      </c>
      <c r="FA12" s="1025">
        <f>IF(DF12&lt;='Options and results'!$W$20,IF(DL12&lt;=0,0,VLOOKUP($DG$8,Treecost!$B$6:$AH$49,Treecost!$AC$2,FALSE)+VLOOKUP($DG$8,Treecost!$B$6:$AH$49,Treecost!$AD$2,FALSE)+IF(AND(DF12&gt;=VLOOKUP($DG$8,Treecost!$B$2:$AK$49,Treecost!$AI$2,FALSE),DF12&lt;=VLOOKUP($DG$8,Treecost!$B$2:$AK$49,Treecost!$AJ$2,FALSE)),VLOOKUP($DG$8,Treecost!$B$2:$AK$49,Treecost!$AK$2,FALSE)*(1-CN12),0))*IF(DF12&gt;='Options and results'!$K$27,'Options and results'!$K$26,1),0)*IF(1+'Options and results'!$Q$22*(DF12-1)&gt;0,1+'Options and results'!$Q$22*(DF12-1),0)</f>
        <v>3</v>
      </c>
      <c r="FB12" s="894">
        <f>IF(DF12&lt;='Options and results'!$W$20,IF(DN12&gt;0,VLOOKUP($DG$8,Treecost!$B$6:$AH$49,Treecost!$AE$2,FALSE)/60*DN12,0)*IF(DF12&gt;='Options and results'!$K$25,'Options and results'!$K$24,1),0)</f>
        <v>0</v>
      </c>
      <c r="FC12" s="740">
        <f>IF(DF12&lt;='Options and results'!$W$20,IF(DN12&gt;0,VLOOKUP($DG$8,Treecost!$B$6:$AH$49,Treecost!$AF$2,FALSE)/60*DN12,0)*IF(DF12&gt;='Options and results'!$K$25,'Options and results'!$K$24,1),0)</f>
        <v>0</v>
      </c>
      <c r="FD12" s="740">
        <f>(FB12*$EI$20+FC12*$EI$21)*IF(DF12&gt;='Options and results'!$K$27,'Options and results'!$K$26,1)*IF(1+'Options and results'!$Q$21*(DF12-1)&gt;0,1+'Options and results'!$Q$21*(DF12-1),0)</f>
        <v>0</v>
      </c>
      <c r="FE12" s="894">
        <f>IF(DF12&lt;='Options and results'!$W$20,IF(DO12&gt;0,(VLOOKUP($DG$8,Treecost!$B$6:$AH$49,Treecost!$AG$2,FALSE)/60*DO12)*IF(DF12&gt;='Options and results'!$K$25,'Options and results'!$K$24,1),0),0)</f>
        <v>0</v>
      </c>
      <c r="FF12" s="740">
        <f>IF(DF12&lt;='Options and results'!$W$20,IF(DO12&gt;0,(VLOOKUP($DG$8,Treecost!$B$6:$AH$49,Treecost!$AH$2,FALSE)/60*DO12)*IF(DF12&gt;='Options and results'!$K$25,'Options and results'!$K$24,1),0),0)</f>
        <v>0</v>
      </c>
      <c r="FG12" s="740">
        <f>(FE12*$EI$22+FF12*$EI$23)*IF(DF12&gt;='Options and results'!$K$27,'Options and results'!$K$26,1)*IF(1+'Options and results'!$Q$21*(DF12-1)&gt;0,1+'Options and results'!$Q$21*(DF12-1),0)</f>
        <v>0</v>
      </c>
      <c r="FH12" s="894">
        <f t="shared" si="157"/>
        <v>0</v>
      </c>
      <c r="FI12" s="1027">
        <f t="shared" si="158"/>
        <v>0</v>
      </c>
      <c r="FJ12" s="1027">
        <f t="shared" si="159"/>
        <v>0</v>
      </c>
      <c r="FK12" s="1027">
        <f t="shared" si="160"/>
        <v>3</v>
      </c>
      <c r="FL12" s="1027">
        <f t="shared" si="161"/>
        <v>-3</v>
      </c>
      <c r="FM12" s="1027">
        <f>IF($DF12&lt;='Options and results'!$W$20,SUM(FI$8:$FI12),0)</f>
        <v>0</v>
      </c>
      <c r="FN12" s="1027">
        <f>IF($DF12&lt;='Options and results'!$W$20,SUM($FJ$8:FJ12),0)</f>
        <v>0</v>
      </c>
      <c r="FO12" s="1027">
        <f>IF($DF12&lt;='Options and results'!$W$20,SUM($FK$8:FK12),0)</f>
        <v>554.82398910155996</v>
      </c>
      <c r="FP12" s="1027">
        <f>IF($DF12&lt;='Options and results'!$W$20,FM12+FN12-FO12,0)</f>
        <v>-554.82398910155996</v>
      </c>
      <c r="FQ12" s="1027">
        <f t="shared" si="162"/>
        <v>1.5824230855886807</v>
      </c>
      <c r="FR12" s="1027">
        <f t="shared" si="163"/>
        <v>-1.4175769144113193</v>
      </c>
      <c r="FS12" s="1027">
        <f t="shared" si="164"/>
        <v>0</v>
      </c>
      <c r="FT12" s="1189">
        <f>IF(DF12&lt;='Options and results'!$W$20,FP12+DZ12,0)</f>
        <v>-554.82398910155996</v>
      </c>
      <c r="FU12" s="401"/>
      <c r="FV12" s="895">
        <f t="shared" si="165"/>
        <v>5</v>
      </c>
      <c r="FW12" s="894">
        <f>G12/(1+'Options and results'!$W$33)^(FV12-1)</f>
        <v>1614.9516967339266</v>
      </c>
      <c r="FX12" s="740">
        <f>(AP12+AR12+AS12)/(1+'Options and results'!$W$33)^(FV12-1)</f>
        <v>0</v>
      </c>
      <c r="FY12" s="740">
        <f ca="1">CQ12/(1+'Options and results'!$W$33)^(FV12-1)</f>
        <v>1454.83890804714</v>
      </c>
      <c r="FZ12" s="740">
        <f>(EA12+EC12+ED12)/(1+'Options and results'!$W$33)^(FV12-1)</f>
        <v>0</v>
      </c>
      <c r="GA12" s="1019">
        <f t="shared" ca="1" si="180"/>
        <v>1454.83890804714</v>
      </c>
      <c r="GB12" s="1026">
        <f>(AO12+AQ12)/(1+'Options and results'!$W$33)^(FV12-1)+FX12</f>
        <v>4.3199227855048372</v>
      </c>
      <c r="GC12" s="1027">
        <f>IF(FV12&gt;'Options and results'!$W$27,0,GB12-GB11)</f>
        <v>2.0185081728123651</v>
      </c>
      <c r="GD12" s="1027">
        <f>(DZ12+EB12)/(1+'Options and results'!$W$33)^(FV12-1)+FZ12</f>
        <v>2.7719570909379234</v>
      </c>
      <c r="GE12" s="1379">
        <f>IF(FV12&gt;'Options and results'!$W$27,0,GD12-GD11)</f>
        <v>1.2958900773276134</v>
      </c>
      <c r="GF12" s="894">
        <f>IF(FV12&lt;='Options and results'!$W$20,SUM(FW$8:FW12),0)</f>
        <v>7492.283354230437</v>
      </c>
      <c r="GG12" s="740">
        <f>IF(FV12&lt;='Options and results'!$W$20,SUM(FX$8:FX12), 0)</f>
        <v>0</v>
      </c>
      <c r="GH12" s="740">
        <f ca="1">IF(FV12&lt;='Options and results'!$W$20,SUM(FY$8:FY12),0)</f>
        <v>7247.8494797927015</v>
      </c>
      <c r="GI12" s="740">
        <f>IF(FV12&lt;='Options and results'!$W$20,SUM(FZ$8:FZ12),0)</f>
        <v>0</v>
      </c>
      <c r="GJ12" s="1019">
        <f t="shared" ca="1" si="166"/>
        <v>7247.8494797927015</v>
      </c>
      <c r="GK12" s="894">
        <f>IF(FV12&gt;'Options and results'!$W$27,0,GG12+SUM(GC$8:GC12)-FX12)</f>
        <v>4.3199227855048372</v>
      </c>
      <c r="GL12" s="740">
        <f>IF(FV12&lt;='Options and results'!$W$20,SUM(GD$8:GD12),0)</f>
        <v>5.5881517952122302</v>
      </c>
      <c r="GM12" s="1034">
        <f t="shared" ca="1" si="167"/>
        <v>7253.4376315879135</v>
      </c>
      <c r="GN12" s="401"/>
      <c r="GO12" s="895">
        <f t="shared" si="168"/>
        <v>5</v>
      </c>
      <c r="GP12" s="894">
        <f>H12/(1+'Options and results'!$W$33)^(GO12-1)</f>
        <v>201.04994573019147</v>
      </c>
      <c r="GQ12" s="740">
        <f>SUM(AT12:AV12)/(1+'Options and results'!$W$33)^(GO12-1)</f>
        <v>0</v>
      </c>
      <c r="GR12" s="740">
        <f>CR12/(1+'Options and results'!$W$33)^(GO12-1)</f>
        <v>0</v>
      </c>
      <c r="GS12" s="740">
        <f>SUM(EE12:EG12)/(1+'Options and results'!$W$33)^(GO12-1)</f>
        <v>0</v>
      </c>
      <c r="GT12" s="1019">
        <f t="shared" si="181"/>
        <v>0</v>
      </c>
      <c r="GU12" s="894">
        <f>IF(GO12&lt;='Options and results'!$W$20,SUM(GP$8:GP12),0)</f>
        <v>1088.9513567452118</v>
      </c>
      <c r="GV12" s="740">
        <f>IF(GO12&lt;='Options and results'!$W$20,SUM(GQ$8:GQ12),0)</f>
        <v>0</v>
      </c>
      <c r="GW12" s="740">
        <f>IF(GO12&lt;='Options and results'!$W$20,SUM(GR$8:GR12),0)</f>
        <v>0</v>
      </c>
      <c r="GX12" s="740">
        <f>IF(GO12&lt;='Options and results'!$W$20,SUM(GS$8:GS12),0)</f>
        <v>0</v>
      </c>
      <c r="GY12" s="1034">
        <f>IF(GO12&lt;='Options and results'!$W$20,SUM(GT$8:GT12),0)</f>
        <v>0</v>
      </c>
      <c r="GZ12" s="401"/>
      <c r="HA12" s="895">
        <f t="shared" si="169"/>
        <v>5</v>
      </c>
      <c r="HB12" s="1026">
        <f>(J12+L12+(M12*N12))/(1+'Options and results'!$W$33)^(HA12-1)</f>
        <v>1083.3863792546395</v>
      </c>
      <c r="HC12" s="740">
        <f>BZ12/(1+'Options and results'!$W$33)^(HA12-1)</f>
        <v>2.5644125730891769</v>
      </c>
      <c r="HD12" s="1027">
        <f>(CT12+CV12+(CW12*CX12))/(1+'Options and results'!$W$33)^(HA12-1)</f>
        <v>1072.552515462093</v>
      </c>
      <c r="HE12" s="740">
        <f>FK12/(1+'Options and results'!$W$33)^(HA12-1)</f>
        <v>2.5644125730891769</v>
      </c>
      <c r="HF12" s="1019">
        <f t="shared" si="182"/>
        <v>1075.1169280351821</v>
      </c>
      <c r="HG12" s="894">
        <f>IF(HA12&lt;='Options and results'!$W$20,SUM(HB$8:HB12),0)</f>
        <v>5676.8892126782084</v>
      </c>
      <c r="HH12" s="740">
        <f>IF(HA12&lt;='Options and results'!$W$20,SUM(HC$8:HC12),0)</f>
        <v>798.11710002379675</v>
      </c>
      <c r="HI12" s="740">
        <f>IF(HA12&lt;='Options and results'!$W$20,SUM(HD$8:HD12),0)</f>
        <v>5620.1203205514275</v>
      </c>
      <c r="HJ12" s="740">
        <f>IF(HA12&lt;='Options and results'!$W$20,SUM(HE$8:HE12),0)</f>
        <v>550.97990555889544</v>
      </c>
      <c r="HK12" s="1034">
        <f>IF(HA12&lt;='Options and results'!$W$20,SUM(HF$8:HF12),0)</f>
        <v>6171.1002261103231</v>
      </c>
      <c r="HL12" s="405"/>
      <c r="HM12" s="895">
        <f t="shared" si="170"/>
        <v>5</v>
      </c>
      <c r="HN12" s="1026">
        <f t="shared" si="171"/>
        <v>732.6152632094786</v>
      </c>
      <c r="HO12" s="1027">
        <f t="shared" si="172"/>
        <v>-2.5644125730891769</v>
      </c>
      <c r="HP12" s="1027">
        <f t="shared" ca="1" si="173"/>
        <v>382.286392585047</v>
      </c>
      <c r="HQ12" s="1027">
        <f t="shared" si="174"/>
        <v>-2.5644125730891769</v>
      </c>
      <c r="HR12" s="1027">
        <f t="shared" si="175"/>
        <v>-0.54590440027681186</v>
      </c>
      <c r="HS12" s="1379">
        <f t="shared" si="176"/>
        <v>-1.2685224957615635</v>
      </c>
      <c r="HT12" s="1026">
        <f>IF($HM12&lt;='Options and results'!$W$20,SUM(HN$8:HN12),0)</f>
        <v>2904.3454982974395</v>
      </c>
      <c r="HU12" s="1027">
        <f>IF($HM12&lt;='Options and results'!$W$20,SUM(HO$8:HO12),0)</f>
        <v>-798.11710002379675</v>
      </c>
      <c r="HV12" s="1027">
        <f ca="1">IF($HM12&lt;='Options and results'!$W$20,SUM(HP$8:HP12),0)</f>
        <v>1627.7291592412746</v>
      </c>
      <c r="HW12" s="1027">
        <f>IF($HM12&lt;='Options and results'!$W$20,SUM(HQ$8:HQ12),0)</f>
        <v>-550.97990555889544</v>
      </c>
      <c r="HX12" s="1027">
        <f t="shared" ca="1" si="177"/>
        <v>1076.7492536823793</v>
      </c>
      <c r="HY12" s="1027">
        <f>IF($HM12&lt;='Options and results'!$W$20,SUM(HR$8:HR12),0)</f>
        <v>-793.79717723829197</v>
      </c>
      <c r="HZ12" s="1027">
        <f>IF($HM12&lt;='Options and results'!$W$20,SUM(HS$8:HS12),0)</f>
        <v>-548.20794846795752</v>
      </c>
      <c r="IA12" s="1189">
        <f t="shared" ca="1" si="178"/>
        <v>1079.5212107733171</v>
      </c>
    </row>
    <row r="13" spans="1:235" x14ac:dyDescent="0.25">
      <c r="A13" s="1010">
        <f t="shared" si="126"/>
        <v>6</v>
      </c>
      <c r="B13" s="1011" t="str">
        <f>IF('Options and results'!$C$17="None",0,CONCATENATE('Options and results'!$C$23," ",(HLOOKUP(CONCATENATE('Options and results'!$C$17," ",Arablesystem!$B$11),Arablesystem!$B$10:$ER$72,$A13+3,FALSE))))</f>
        <v>UK - Agriculture (BPS: from 2015) Wheat</v>
      </c>
      <c r="C13" s="1012">
        <f>IF(HLOOKUP(CONCATENATE('Options and results'!$C$17," ",Arablesystem!$C$11),Arablesystem!$B$10:$ER$72,$A13+3,FALSE)="T",(VLOOKUP(B13,Arablefinance!$Z$6:$AB$105,Arablefinance!$AB$2,FALSE)*E13+VLOOKUP(B13,Arablefinance!$Z$6:$AC$105,Arablefinance!$AC$2,FALSE)*F13)/VLOOKUP(B13,Arablefinance!$Z$6:$AA$105,Arablefinance!$AA$2,FALSE),0)</f>
        <v>0</v>
      </c>
      <c r="D13" s="1012">
        <f>IF(B13=0,0,HLOOKUP(CONCATENATE('Options and results'!$C$17," ",Arablesystem!$D$11),Arablesystem!$B$10:$ER$72,$A13+3,FALSE))</f>
        <v>1</v>
      </c>
      <c r="E13" s="1440">
        <f>IF(B13=0,0,HLOOKUP(CONCATENATE('Options and results'!$C$17," ",Arablesystem!$E$11),Arablesystem!$B$10:$ER$72,$A13+3,FALSE)*IF(A13&gt;='Options and results'!$H$19,'Options and results'!$H$18,1))</f>
        <v>9.1338840154624883</v>
      </c>
      <c r="F13" s="1440">
        <f>IF(B13=0,0,HLOOKUP(CONCATENATE('Options and results'!$C$17," ",Arablesystem!$F$11),Arablesystem!$B$10:$ER$72,$A13+3,FALSE)*IF(A13&gt;='Options and results'!$H$19,'Options and results'!$H$18,1))</f>
        <v>3.6535536061849956</v>
      </c>
      <c r="G13" s="1013">
        <f>IF(D13&lt;=0,0,IF(A13&lt;='Options and results'!$W$20,IF(C13&gt;0,VLOOKUP(B13,Arablefinance!$Z$6:$AE$105,Arablefinance!$AD$2,FALSE)*C13*D13,((VLOOKUP(B13,Arablefinance!$E$6:$G$126,Arablefinance!$F$2,FALSE)*(E13*D13)+VLOOKUP(B13,Arablefinance!$E$6:$G$126,Arablefinance!$G$2,FALSE)*(F13*D13)))),0)*IF(A13&gt;='Options and results'!$H$21,'Options and results'!$H$20,1))*IF(1+'Options and results'!$O$20*(A13-1)&gt;0,1+'Options and results'!$O$20*(A13-1),0)</f>
        <v>1722.7520129163972</v>
      </c>
      <c r="H13" s="1441">
        <f>IF(D13&lt;=0,0,IF(A13&lt;='Options and results'!$W$20,IF(AND(C13&gt;0,VLOOKUP(B13,Arablefinance!$Z$6:$AI$105,Arablefinance!$AI$2,FALSE)=2),VLOOKUP(B13,Arablefinance!$Z$6:$AE$105,Arablefinance!$AE$2,FALSE)*C13*D13,(VLOOKUP(B13,Arablefinance!$E$6:$H$126,Arablefinance!$H$2,FALSE)*D13))*IF(A13&gt;='Options and results'!$H$23,'Options and results'!$H$22,1),0)*IF(AND(1+'Options and results'!$O$23*(A13-1)&gt;0,1+'Options and results'!$O$23*(A13-1)&gt;'Options and results'!$S$24),1+'Options and results'!$O$23*(A13-1),'Options and results'!$S$24))</f>
        <v>235.2</v>
      </c>
      <c r="I13" s="1441">
        <f t="shared" si="127"/>
        <v>1957.9520129163973</v>
      </c>
      <c r="J13" s="1441">
        <f>IF(D13&lt;=0,0,IF(A13&lt;='Options and results'!$W$20,IF(C13&gt;0,VLOOKUP(B13,Arablefinance!$Z$6:$AF$105,Arablefinance!$AF$2,FALSE)*C13*D13,(VLOOKUP(B13,Arablefinance!$E$6:$X$126,Arablefinance!$R$2,FALSE))*D13),0)*IF(A13&gt;='Options and results'!$H$27,'Options and results'!$H$26,1))*IF(1+'Options and results'!$O$22*(A13-1)&gt;0,1+'Options and results'!$O$22*(A13-1),0)</f>
        <v>653.12499999999989</v>
      </c>
      <c r="K13" s="1441">
        <f t="shared" si="128"/>
        <v>1304.8270129163975</v>
      </c>
      <c r="L13" s="1441">
        <f>IF(D13&lt;=0,0,IF(A13&lt;='Options and results'!$W$20,IF(C13&gt;0,VLOOKUP(B13,Arablefinance!$Z$6:$AG$105,Arablefinance!$AG$2,FALSE)*C13*D13,VLOOKUP(B13,Arablefinance!$E$6:$X$126,Arablefinance!$X$2,FALSE)*D13),0)*IF(A13&gt;='Options and results'!$H$27,'Options and results'!$H$26,1))*IF(1+'Options and results'!$O$22*(A13-1)&gt;0,1+'Options and results'!$O$22*(A13-1),0)</f>
        <v>444.44444444444446</v>
      </c>
      <c r="M13" s="1442">
        <f>IF(D13&lt;=0,0,IF(A13&lt;='Options and results'!$W$20,'Options and results'!$C$27,0)*IF(A13&gt;='Options and results'!$H$27,'Options and results'!$H$26,1))*IF(1+'Options and results'!$O$21*(A13-1)&gt;0,1+'Options and results'!$O$21*(A13-1),0)</f>
        <v>14.6</v>
      </c>
      <c r="N13" s="1442">
        <f>IF(D13&lt;=0,0,IF(A13&lt;='Options and results'!$W$20,IF(C13&gt;0,VLOOKUP(B13,Arablefinance!$Z$6:$AH$105,Arablefinance!$AH$2,FALSE)*C13*D13,VLOOKUP(B13,Arablefinance!$E$6:$W$126,Arablefinance!$V$2,FALSE)*D13),0)*IF(A13&gt;='Options and results'!$H$25,'Options and results'!$H$24,1))</f>
        <v>11.632834596849463</v>
      </c>
      <c r="O13" s="1013">
        <f t="shared" si="129"/>
        <v>1267.4088295584465</v>
      </c>
      <c r="P13" s="1353">
        <f t="shared" si="130"/>
        <v>690.54318335795085</v>
      </c>
      <c r="Q13" s="1013">
        <f>IF(A13&lt;='Options and results'!$W$20,SUM(G$8:$G13),0)</f>
        <v>9802.1014496070675</v>
      </c>
      <c r="R13" s="1441">
        <f>IF($A13&lt;='Options and results'!$W$20,SUM($H$8:H13),0)</f>
        <v>1411.2</v>
      </c>
      <c r="S13" s="1441">
        <f>IF($A13&lt;='Options and results'!$W$20,SUM($O$8:O13),0)</f>
        <v>7394.6963479272272</v>
      </c>
      <c r="T13" s="1032">
        <f>IF(A13&lt;='Options and results'!$W$20,Q13+R13-S13,0)</f>
        <v>3818.605101679841</v>
      </c>
      <c r="U13" s="405"/>
      <c r="V13" s="1010">
        <f t="shared" si="131"/>
        <v>6</v>
      </c>
      <c r="W13" s="173"/>
      <c r="X13" s="1036"/>
      <c r="Y13" s="1030">
        <f>IF(V13&lt;='Options and results'!$M$34,'Options and results'!$M$33,0)</f>
        <v>0</v>
      </c>
      <c r="Z13" s="1441">
        <f t="shared" si="132"/>
        <v>0</v>
      </c>
      <c r="AA13" s="1441">
        <f t="shared" si="133"/>
        <v>0</v>
      </c>
      <c r="AB13" s="1428">
        <f t="shared" si="134"/>
        <v>156</v>
      </c>
      <c r="AC13" s="1441">
        <f>IF($W$8=0,0,IF(HLOOKUP(CONCATENATE('Options and results'!$C$32," ",Forestrysystem!$C$8),Forestrysystem!$A$7:$IH$70,V13+4,FALSE)&lt;AB13,HLOOKUP(CONCATENATE('Options and results'!$C$32," ",Forestrysystem!$C$8),Forestrysystem!$A$7:$IH$70,V13+4,FALSE),0))</f>
        <v>0</v>
      </c>
      <c r="AD13" s="1441">
        <f>IF($W$8=0,0,IF(HLOOKUP(CONCATENATE('Options and results'!$C$32," ",Forestrysystem!$C$8),Forestrysystem!$A$7:$IH$70,V13+4,FALSE)&gt;=AB13,AB13,0))</f>
        <v>0</v>
      </c>
      <c r="AE13" s="1440">
        <f>IF($W$8=0,0,HLOOKUP(CONCATENATE('Options and results'!$C$32," ",Forestrysystem!$D$8),Forestrysystem!$A$7:$IH$70,$V13+4,FALSE))</f>
        <v>4.7092102408061614</v>
      </c>
      <c r="AF13" s="1037"/>
      <c r="AG13" s="1440">
        <f>IF($W$8=0,0,IF(V13=1,'Options and results'!$M$36,0)+IF('Options and results'!$M$39="yes",IF(AND(AG12+'Options and results'!$M$37&lt;=$AF$8,AG12+'Options and results'!$M$37+IF(V13=1,'Options and results'!$M$36,0)&lt;='Options and results'!$M$38*AE13),AG12+'Options and results'!$M$37,AG12),(HLOOKUP(CONCATENATE('Options and results'!$C$32," ",Forestrysystem!$E$8),Forestrysystem!$A$7:$IH$70,V13+4,FALSE))-IF(V13=1,'Options and results'!$M$36,0)))</f>
        <v>3</v>
      </c>
      <c r="AH13" s="1442">
        <f>IF(OR($W$8=0,AB13&lt;=0),0,(HLOOKUP(CONCATENATE('Options and results'!$C$32," ",Forestrysystem!$F$8),Forestrysystem!$A$7:$IH$70,$V13+4,FALSE)) * IF(V13&gt;='Options and results'!$I$19,'Options and results'!$I$18,1) )</f>
        <v>0.95005094756148822</v>
      </c>
      <c r="AI13" s="1452">
        <f t="shared" si="179"/>
        <v>6.0900701766762062E-3</v>
      </c>
      <c r="AJ13" s="1442">
        <f t="shared" si="135"/>
        <v>0</v>
      </c>
      <c r="AK13" s="1453">
        <f>IF(OR($W$8=0,AE13&lt;=0),0,(HLOOKUP(CONCATENATE('Options and results'!$C$32," ",Forestrysystem!$G$8),Forestrysystem!$A$7:$IH$70,$V13+4,FALSE)) * IF(Y13&gt;='Options and results'!$I$19,'Options and results'!$I$18,1) )</f>
        <v>0.41892257265167893</v>
      </c>
      <c r="AL13" s="1453">
        <f>IF($W$8=0,0,HLOOKUP(CONCATENATE('Options and results'!$C$32," ",Forestrysystem!$H$8),Forestrysystem!$A$7:$IH$70,$V13+4,FALSE)*IF(V13&gt;='Options and results'!$I$19,'Options and results'!$I$18,1))</f>
        <v>0</v>
      </c>
      <c r="AM13" s="1383">
        <f>IF($W$8=0,0,HLOOKUP(CONCATENATE('Options and results'!$C$32," ",Forestrysystem!$I$8),Forestrysystem!$A$7:$IH$70,$V13+4,FALSE)*IF(V13&gt;='Options and results'!$I$19,'Options and results'!$I$18,1))</f>
        <v>0</v>
      </c>
      <c r="AN13" s="1382">
        <f>IF(AI13&gt;0,HLOOKUP(AI13,Treevalue!$I$4:$BC$34,'Options and results'!$C$39+1),0)*IF(V13&gt;='Options and results'!$I$21,'Options and results'!$I$20,1)*IF(1+'Options and results'!$Q$20*(V13-1)&gt;0,1+'Options and results'!$Q$20*(V13-1),0)</f>
        <v>0</v>
      </c>
      <c r="AO13" s="1454">
        <f t="shared" si="136"/>
        <v>0</v>
      </c>
      <c r="AP13" s="1454">
        <f t="shared" si="137"/>
        <v>0</v>
      </c>
      <c r="AQ13" s="1454">
        <f>(IF('Options and results'!$C$39&gt;0,IF(V13&lt;='Options and results'!$W$20,VLOOKUP('Options and results'!$C$39,Treevalue!$A$4:$F$34,5,FALSE),0),0)*AK13)*IF(V13&gt;='Options and results'!$I$21,'Options and results'!$I$20,1)*IF(1+'Options and results'!$Q$20*(V13-1)&gt;0,1+'Options and results'!$Q$20*(V13-1),0)-AR13</f>
        <v>10.473064316291973</v>
      </c>
      <c r="AR13" s="1441">
        <f>(IF('Options and results'!$C$39&gt;0,IF(V13&lt;='Options and results'!$W$20,VLOOKUP('Options and results'!$C$39,Treevalue!$A$4:$F$34,5,FALSE),0),0)*AL13)*IF(V13&gt;='Options and results'!$I$21,'Options and results'!$I$20,1)*IF(1+'Options and results'!$Q$20*(V13-1)&gt;0,1+'Options and results'!$Q$20*(V13-1),0)</f>
        <v>0</v>
      </c>
      <c r="AS13" s="1441">
        <f>(IF('Options and results'!$C$39&gt;0,IF(V13&lt;='Options and results'!$W$20,VLOOKUP('Options and results'!$C$39,Treevalue!$A$4:$F$34,6,FALSE),0),0)*AM13)*IF(V13&gt;='Options and results'!$I$21,'Options and results'!$I$20,1)*IF(1+'Options and results'!$Q$20*(V13-1)&gt;0,1+'Options and results'!$Q$20*(V13-1),0)</f>
        <v>0</v>
      </c>
      <c r="AT13" s="1441">
        <f>IF(V13&lt;='Options and results'!$W$20,(IF(AB13&lt;=0,0,IF('Options and results'!$C$43="cost",(IF(V13&lt;='Options and results'!$C$44,BZ13*SUM('Options and results'!$C$45:$C$46),0)),IF('Options and results'!$C$41&gt;0,(IF(VLOOKUP('Options and results'!$C$42,Treegrant!$B$6:$L$42,Treegrant!$C$2,FALSE)=V13,VLOOKUP('Options and results'!$C$42,Treegrant!$B$6:$L$42,Treegrant!$D$2,FALSE),0)+IF(VLOOKUP('Options and results'!$C$42,Treegrant!$B$6:$L$42,Treegrant!$E$2,FALSE)=V13,VLOOKUP('Options and results'!$C$42,Treegrant!$B$6:$L$42,Treegrant!$F$2,FALSE),0)+IF(VLOOKUP('Options and results'!$C$42,Treegrant!$B$6:$L$42,Treegrant!$G$2,FALSE)=V13,VLOOKUP('Options and results'!$C$42,Treegrant!$B$6:$L$42,Treegrant!$H$2,FALSE)))*IF('Options and results'!$C$43="area",1,'Options and results'!$C$43),0)))*IF(V13&gt;='Options and results'!$I$23,'Options and results'!$I$22,1)),0)*IF(1+'Options and results'!$Q$23*(V13-1)&gt;0,1+'Options and results'!$Q$23*(V13-1),0)</f>
        <v>0</v>
      </c>
      <c r="AU13" s="1441">
        <f>IF($W$8=0,0,IF(V13&lt;='Options and results'!$W$20,IF(AB13&lt;=0,0,IF('Options and results'!$C$41&gt;0,IF(AND(VLOOKUP('Options and results'!$C$42,Treegrant!$B$6:$L$42,Treegrant!$J$2,FALSE)&lt;=V13,VLOOKUP('Options and results'!$C$42,Treegrant!$B$6:$L$42,Treegrant!$K$2,FALSE)&gt;=V13),(VLOOKUP('Options and results'!$C$42,Treegrant!$B$6:$L$42,Treegrant!$L$2,FALSE)),0)*IF('Options and results'!$C$47="full",1,'Options and results'!$C$47))*IF(V13&gt;='Options and results'!$I$23,'Options and results'!$I$22,1)),0))*IF(1+'Options and results'!$Q$23*(V13-1)&gt;0,1+'Options and results'!$Q$23*(V13-1),0)</f>
        <v>0</v>
      </c>
      <c r="AV13" s="1032">
        <f>IF($W$8=0,0,IF(V13&lt;='Options and results'!$W$20,IF(AB13&lt;=0,0,(IF('Options and results'!$C$41&gt;0,(IF(AND(VLOOKUP('Options and results'!$C$42,Treegrant!$B$6:$O$42,Treegrant!$M$2,FALSE)&lt;=V13,VLOOKUP('Options and results'!$C$42,Treegrant!$B$6:$O$42,Treegrant!$N$2,FALSE)&gt;=V13),(VLOOKUP('Options and results'!$C$42,Treegrant!$B$6:$O$42,Treegrant!$O$2,FALSE)),0)*IF('Options and results'!$C$48="full",1,'Options and results'!$C$48))+(IF(AND(VLOOKUP('Options and results'!$C$42,Treegrant!$B$6:$R$42,Treegrant!$P$2,FALSE)&lt;=V13,VLOOKUP('Options and results'!$C$42,Treegrant!$B$6:$R$42,Treegrant!$Q$2,FALSE)&gt;=V13),(VLOOKUP('Options and results'!$C$42,Treegrant!$B$6:$R$42,Treegrant!$R$2,FALSE)),0))*IF('Options and results'!$C$49="full",1,'Options and results'!$C$49)))*IF(V13&gt;='Options and results'!$I$23,'Options and results'!$I$22,1)),0))*IF(1+'Options and results'!$Q$23*(V13-1)&gt;0,1+'Options and results'!$Q$23*(V13-1),0)</f>
        <v>0</v>
      </c>
      <c r="AW13" s="1033" t="s">
        <v>243</v>
      </c>
      <c r="AX13" s="1018">
        <f>'Options and results'!S38</f>
        <v>14.6</v>
      </c>
      <c r="AY13" s="1419">
        <f>IF($W$8=0,0,IF(V13=1,VLOOKUP($W$8,Treecost!$B$6:$AH$49,Treecost!$E$2,FALSE),0)*IF(V13&gt;='Options and results'!$I$25,'Options and results'!$I$24,1))</f>
        <v>0</v>
      </c>
      <c r="AZ13" s="889">
        <f>IF($W$8=0,0,IF(V13=1,VLOOKUP($W$8,Treecost!$B$6:$AH$49,Treecost!$F$2,FALSE),0)*IF(V13&gt;='Options and results'!$I$25,'Options and results'!$I$24,1))</f>
        <v>0</v>
      </c>
      <c r="BA13" s="889">
        <f>IF($W$8=0,0,IF(V13=1,VLOOKUP($W$8,Treecost!$B$6:$AH$49,Treecost!$G$2,FALSE),0)*IF(V13&gt;='Options and results'!$I$25,'Options and results'!$I$24,1))</f>
        <v>0</v>
      </c>
      <c r="BB13" s="889">
        <f>IF($W$8=0,0,IF(V13&lt;='Options and results'!$W$20,((VLOOKUP($W$8,Treecost!$B$6:$AH$49,Treecost!$H$2,FALSE)*(X13+AA13))/60)*IF(V13&gt;='Options and results'!$I$25,'Options and results'!$I$24,1),0))</f>
        <v>0</v>
      </c>
      <c r="BC13" s="889">
        <f>IF($W$8=0,0,IF(V13&lt;='Options and results'!$W$20,(((VLOOKUP($W$8,Treecost!$B$6:$AH$49,Treecost!$I$2,FALSE))*(X13+AA13))/60)*IF(V13&gt;='Options and results'!$I$25,'Options and results'!$I$24,1),0))</f>
        <v>0</v>
      </c>
      <c r="BD13" s="889">
        <f>IF($W$8=0,0,IF(V13&lt;='Options and results'!$W$20,(((VLOOKUP($W$8,Treecost!$B$6:$AH$49,Treecost!$J$2,FALSE))/60)*(X13+AA13))*IF(V13&gt;='Options and results'!$I$25,'Options and results'!$I$24,1),0))</f>
        <v>0</v>
      </c>
      <c r="BE13" s="1019">
        <f>IF($W$8=0,0,IF(V13&lt;='Options and results'!$W$20,(((VLOOKUP($W$8,Treecost!$B$6:$AH$49,Treecost!$C$2,FALSE)+VLOOKUP($W$8,Treecost!$B$6:$AH$49,Treecost!$D$2,FALSE))*(X13+AA13)*IF(1+'Options and results'!$Q$22*(V13-1)&gt;0,1+'Options and results'!$Q$22*(V13-1),0))+((AY13*$AX$8+AZ13*$AX$9+BA13*$AX$10+BB13*$AX$11+BC13*$AX$12+BD13*$AX$13)*IF(1+'Options and results'!$Q$21*(V13-1)&gt;0,1+'Options and results'!$Q$21*(V13-1),0)))*IF(V13&gt;='Options and results'!$I$27,'Options and results'!$I$26,1),0))</f>
        <v>0</v>
      </c>
      <c r="BF13" s="889">
        <f>IF($W$8=0,0,IF(V13&lt;='Options and results'!$W$20,IF(AND(VLOOKUP($W$8,Treecost!$B$6:$AH$49,Treecost!$K$2,FALSE)&lt;=V13,V13&lt;=(VLOOKUP($W$8,Treecost!$B$6:$AH$49,Treecost!$L$2,FALSE))),VLOOKUP($W$8,Treecost!$B$6:$AH$49,Treecost!$M$2,FALSE)*AB13/60,0)*IF(V13&gt;='Options and results'!$I$25,'Options and results'!$I$24,1),0))</f>
        <v>0</v>
      </c>
      <c r="BG13" s="1019">
        <f>IF(BF13&gt;0,(VLOOKUP($W$8,Treecost!$B$6:$AH$49,Treecost!$N$2,FALSE)*AB13*IF(1+'Options and results'!$Q$22*(V13-1)&gt;0,1+'Options and results'!$Q$22*(V13-1),0)+BF13*$AX$14*IF(1+'Options and results'!$Q$21*(V13-1)&gt;0,1+'Options and results'!$Q$21*(V13-1),0)),0)*IF(V13&gt;='Options and results'!$I$27,'Options and results'!$I$26,1)</f>
        <v>0</v>
      </c>
      <c r="BH13" s="889">
        <f>IF(V13&lt;='Options and results'!$W$20,IF(AND(AG13-AG12&gt;0,AG13&gt;'Options and results'!$M$36),(AB13-AC13)*(VLOOKUP($W$8,Treecost!$B$6:$AH$49,Treecost!$Y$2,FALSE)+(VLOOKUP($W$8,Treecost!$B$6:$AH$49,Treecost!$AA$2,FALSE)-VLOOKUP($W$8,Treecost!$B$6:$AH$49,Treecost!$Y$2,FALSE))/(VLOOKUP($W$8,Treecost!$B$6:$AH$49,Treecost!$Z$2,FALSE)-VLOOKUP($W$8,Treecost!$B$6:$AH$49,Treecost!$X$2,FALSE))*(AG13-VLOOKUP($W$8,Treecost!$B$6:$AH$49,Treecost!$X$2,FALSE)))/60,0)*IF(V13&gt;='Options and results'!$I$25,'Options and results'!$I$24,1),0)</f>
        <v>6.0357142857142856</v>
      </c>
      <c r="BI13" s="303">
        <f>IF(V13&lt;='Options and results'!$W$20,IF(BH13&gt;0,VLOOKUP($W$8,Treecost!$B$6:$AH$49,Treecost!$AB$2,FALSE)/60*AB13,0)*IF(V13&gt;='Options and results'!$I$25,'Options and results'!$I$24,1),0)*((BH13-(MIN($BH$8:$BH$67)))/((MAX($BH$8:$BH$67))-(MIN($BH$8:$BH$67))))</f>
        <v>0.32484382508409426</v>
      </c>
      <c r="BJ13" s="740">
        <f>IF(BH13&gt;0,(BH13*$AX$15+BI13*$AX$19)*IF(1+'Options and results'!$Q$21*(V13-1)&gt;0,1+'Options and results'!$Q$21*(V13-1),0),0)*IF(V13&gt;='Options and results'!$I$27,'Options and results'!$I$26,1)</f>
        <v>92.864148417656338</v>
      </c>
      <c r="BK13" s="891">
        <f>IF($W$8=0,0,IF(V13&lt;='Options and results'!$W$20,IF(VLOOKUP($W$8,Treecost!$B$2:$AH$49,Treecost!$O$2,FALSE)=V13,VLOOKUP($W$8,Treecost!$B$2:$AH$49,Treecost!$P$2,FALSE),0)*IF(V13&gt;='Options and results'!$I$25,'Options and results'!$I$24,1),0))</f>
        <v>0</v>
      </c>
      <c r="BL13" s="889">
        <f>IF($W$8=0,0,IF(V13&lt;='Options and results'!$W$20,IF(AND(V13&gt;VLOOKUP($W$8,Treecost!$B$2:$AH$49,Treecost!$O$2,FALSE),V13&lt;=VLOOKUP($W$8,Treecost!$B$2:$AH$49,Treecost!$R$2,FALSE)),VLOOKUP($W$8,Treecost!$B$2:$AH$49,Treecost!$S$2,FALSE),0)*IF(V13&gt;='Options and results'!$I$25,'Options and results'!$I$24,1),0))</f>
        <v>0</v>
      </c>
      <c r="BM13" s="740">
        <f>IF($W$8=0,0,IF(V13&lt;='Options and results'!$W$20,((IF(VLOOKUP($W$8,Treecost!$B$2:$AH$49,Treecost!$O$2,FALSE)=V13,VLOOKUP($W$8,Treecost!$B$2:$AH$49,Treecost!$Q$2,FALSE),0)+IF(AND(V13&gt;VLOOKUP($W$8,Treecost!$B$2:$AH$49,Treecost!$O$2,FALSE),V13&lt;=VLOOKUP($W$8,Treecost!$B$2:$AH$49,Treecost!$R$2,FALSE)),VLOOKUP($W$8,Treecost!$B$2:$AH$49,Treecost!$T$2,FALSE),0)*IF(1+'Options and results'!$Q$22*(V13-1)&gt;0,1+'Options and results'!$Q$22*(V13-1),0))+(BK13*$AX$16+BL13*$AX$17)*IF(1+'Options and results'!$Q$21*(V13-1)&gt;0,1+'Options and results'!$Q$21*(V13-1),0))*IF(V13&gt;='Options and results'!$I$27,'Options and results'!$I$26,1),0))</f>
        <v>0</v>
      </c>
      <c r="BN13" s="894">
        <f>IF($W$8=0,0,IF(V13&lt;='Options and results'!$W$20,IF(AND(V13&gt;=VLOOKUP($W$8,Treecost!$B$2:$W$49,Treecost!$U$2,FALSE),V13&lt;=VLOOKUP($W$8,Treecost!$B$2:$W$49,Treecost!$V$2,FALSE)),(AB13*VLOOKUP($W$8,Treecost!$B$2:$W$49,Treecost!$W$2,FALSE)/60),0)*IF(V13&gt;='Options and results'!$I$25,'Options and results'!$I$24,1),0))</f>
        <v>0</v>
      </c>
      <c r="BO13" s="740">
        <f>BN13*$AX$18*IF(V13&gt;='Options and results'!$I$27,'Options and results'!$I$26,1)*IF(1+'Options and results'!$Q$21*(V13-1)&gt;0,1+'Options and results'!$Q$21*(V13-1),0)</f>
        <v>0</v>
      </c>
      <c r="BP13" s="894">
        <f>IF(V13&lt;='Options and results'!$W$20,IF(AB13&lt;=0,0,VLOOKUP($W$8,Treecost!$B$6:$AH$49,Treecost!$AC$2,FALSE)+VLOOKUP($W$8,Treecost!$B$6:$AH$49,Treecost!$AD$2,FALSE)+IF(AND(V13&gt;=VLOOKUP($W$8,Treecost!$B$2:$AK$49,Treecost!$AI$2,FALSE),V13&lt;=VLOOKUP($W$8,Treecost!$B$2:$AK$49,Treecost!$AJ$2,FALSE)),(VLOOKUP($W$8,Treecost!$B$2:$AK$49,Treecost!$AK$2,FALSE)),0))*IF(V13&gt;='Options and results'!$I$27,'Options and results'!$I$26,1),0)*IF(1+'Options and results'!$Q$22*(V13-1)&gt;0,1+'Options and results'!$Q$22*(V13-1),0)</f>
        <v>3</v>
      </c>
      <c r="BQ13" s="894">
        <f>IF(V13&lt;='Options and results'!$W$20,IF(AC13&gt;0,VLOOKUP($W$8,Treecost!$B$6:$AH$49,Treecost!$AE$2,FALSE)/60*AC13,0)*IF(V13&gt;='Options and results'!$I$25,'Options and results'!$I$24,1),0)</f>
        <v>0</v>
      </c>
      <c r="BR13" s="740">
        <f>IF(V13&lt;='Options and results'!$W$20,IF(AC13&gt;0,VLOOKUP($W$8,Treecost!$B$6:$AH$49,Treecost!$AF$2,FALSE)/60*AC13,0)*IF(V13&gt;='Options and results'!$I$25,'Options and results'!$I$24,1),0)</f>
        <v>0</v>
      </c>
      <c r="BS13" s="740">
        <f>(BQ13*$AX$20+BR13*$AX$21)*IF(V13&gt;='Options and results'!$I$27,'Options and results'!$I$26,1)*IF(1+'Options and results'!$Q$21*(V13-1)&gt;0,1+'Options and results'!$Q$21*(V13-1),0)</f>
        <v>0</v>
      </c>
      <c r="BT13" s="894">
        <f>IF(V13&lt;='Options and results'!$W$20,IF(AD13&gt;0,(VLOOKUP($W$8,Treecost!$B$6:$AH$49,Treecost!$AG$2,FALSE)/60*AD13)*IF(V13&gt;='Options and results'!$I$25,'Options and results'!$I$24,1),0),0)</f>
        <v>0</v>
      </c>
      <c r="BU13" s="740">
        <f>IF(V13&lt;='Options and results'!$W$20,IF(AD13&gt;0,(VLOOKUP($W$8,Treecost!$B$6:$AH$49,Treecost!$AH$2,FALSE)/60*AD13)*IF(V13&gt;='Options and results'!$I$25,'Options and results'!$I$24,1),0),0)</f>
        <v>0</v>
      </c>
      <c r="BV13" s="740">
        <f>(BT13*$AX$22+BU13*$AX$23)*IF(V13&gt;='Options and results'!$I$27,'Options and results'!$I$26,1)*IF(1+'Options and results'!$Q$21*(V13-1)&gt;0,1+'Options and results'!$Q$21*(V13-1),0)</f>
        <v>0</v>
      </c>
      <c r="BW13" s="1033">
        <f t="shared" si="138"/>
        <v>6.3605581107983795</v>
      </c>
      <c r="BX13" s="1027">
        <f t="shared" si="139"/>
        <v>0</v>
      </c>
      <c r="BY13" s="1027">
        <f t="shared" si="140"/>
        <v>0</v>
      </c>
      <c r="BZ13" s="740">
        <f t="shared" si="124"/>
        <v>95.864148417656338</v>
      </c>
      <c r="CA13" s="740">
        <f t="shared" si="141"/>
        <v>-95.864148417656338</v>
      </c>
      <c r="CB13" s="894">
        <f>IF($V13&lt;='Options and results'!$W$20,SUM(BX$8:$BX13),0)</f>
        <v>0</v>
      </c>
      <c r="CC13" s="740">
        <f>IF($V13&lt;='Options and results'!$W$20,SUM($BY$8:BY13),0)</f>
        <v>0</v>
      </c>
      <c r="CD13" s="740">
        <f>IF($V13&lt;='Options and results'!$W$20,SUM($BZ$8:BZ13),0)</f>
        <v>899.26393505245346</v>
      </c>
      <c r="CE13" s="740">
        <f>IF(V13&lt;='Options and results'!$W$20,CB13+CC13-CD13,0)</f>
        <v>-899.26393505245346</v>
      </c>
      <c r="CF13" s="1381">
        <f t="shared" si="142"/>
        <v>5.4193656671300943</v>
      </c>
      <c r="CG13" s="1027">
        <f t="shared" si="143"/>
        <v>-90.444782750526244</v>
      </c>
      <c r="CH13" s="1027">
        <f t="shared" si="144"/>
        <v>0</v>
      </c>
      <c r="CI13" s="1189">
        <f>IF(V13&lt;='Options and results'!$W$20,CE13+AO13,0)</f>
        <v>-899.26393505245346</v>
      </c>
      <c r="CJ13" s="1023"/>
      <c r="CK13" s="895">
        <f t="shared" si="145"/>
        <v>6</v>
      </c>
      <c r="CL13" s="1011" t="str">
        <f>IF('Options and results'!$C$54="None",0,IF(AND(CK13&gt;='Options and results'!$K$57,CK12&lt;'Options and results'!$W$20),'Options and results'!$K$56,IF(Optimisation!$B$3="No",CONCATENATE('Options and results'!$C$60," ",(HLOOKUP(CONCATENATE('Options and results'!$C$54," ",Agroforestrysystem!$B$12),Agroforestrysystem!$B$11:$IM$74,$CK13+4,FALSE))),Optimisation!AA33)))</f>
        <v>UK - Agriculture (BPS: from 2015) Wheat</v>
      </c>
      <c r="CM13" s="1012">
        <f>IF(HLOOKUP(CONCATENATE('Options and results'!$C$54," ",Agroforestrysystem!$C$12),Agroforestrysystem!$B$11:$IM$74,$CK13+4,FALSE)="T",(VLOOKUP(CL13,Arablefinance!$Z$6:$AB$105,Arablefinance!$AB$2,FALSE)*CO13+VLOOKUP(CL13,Arablefinance!$Z$6:$AC$105,Arablefinance!$AC$2,FALSE)*CP13)/VLOOKUP(CL13,Arablefinance!$Z$6:$AA$105,Arablefinance!$AA$2,FALSE),0)</f>
        <v>0</v>
      </c>
      <c r="CN13" s="1012">
        <f>IF(CL13=0,0,HLOOKUP(CONCATENATE('Options and results'!$C$54," ",Agroforestrysystem!$D$12),Agroforestrysystem!$B$11:$IM$74,$CK13+4,FALSE))</f>
        <v>0.99</v>
      </c>
      <c r="CO13" s="1440">
        <f ca="1">IF(CL13=0,0,IF(AND(Optimisation!$B$3="yes",Optimisation!$B$4=1,CK13&gt;Optimisation!$B$9),0,HLOOKUP(CONCATENATE('Options and results'!$C$54," ",Agroforestrysystem!$E$12),Agroforestrysystem!$B$11:$IM$74,$CK13+4,FALSE)*IF(CK13&gt;='Options and results'!$J$19,'Options and results'!$J$18,1)))</f>
        <v>8.07</v>
      </c>
      <c r="CP13" s="1440">
        <f ca="1">IF(CL13=0,0,IF(AND(Optimisation!$B$3="yes",Optimisation!$B$4=1,CK13&gt;Optimisation!$B$9),0,HLOOKUP(CONCATENATE('Options and results'!$C$54," ",Agroforestrysystem!$F$12),Agroforestrysystem!$B$11:$IM$74,$CK13+4,FALSE)*IF(CK13&gt;='Options and results'!$J$19,'Options and results'!$J$18,1)))</f>
        <v>3.2240000000000002</v>
      </c>
      <c r="CQ13" s="1013">
        <f ca="1">IF(CN13&lt;=0,0,IF(CK13&lt;='Options and results'!$W$20,IF(CM13&gt;0,VLOOKUP(CL13,Arablefinance!$Z$6:$AE$105,Arablefinance!$AD$2,FALSE)*CM13*CN13,((VLOOKUP(CL13,Arablefinance!$E$6:$H$126,2,FALSE)*CO13+VLOOKUP(CL13,Arablefinance!$E$6:$H$126,3,FALSE)*CP13)*CN13)),0)*IF(CK13&gt;='Options and results'!$J$21,'Options and results'!$J$20,1))*IF(1+'Options and results'!$O$20*(CK13-1)&gt;0,1+'Options and results'!$O$20*(CK13-1),0)</f>
        <v>1506.7222500000003</v>
      </c>
      <c r="CR13" s="1441">
        <f>IF(CN13&lt;=0,0,IF(AND(CM13&gt;0,VLOOKUP(CL13,Arablefinance!$Z$6:$AI$105,Arablefinance!$AI$2,FALSE)=2),VLOOKUP(CL13,Arablefinance!$Z$6:$AE$105,Arablefinance!$AE$2,FALSE)*CM13*CN13,IF('Options and results'!$C$62&gt;0,IF(VLOOKUP(CL13,Arablefinance!$E$6:$W$126,Arablefinance!$H$2,FALSE)*(1-Plot!DM13*'Options and results'!$C$62)&gt;0,VLOOKUP(CL13,Arablefinance!$E$6:$W$126,Arablefinance!$H$2,FALSE)*(1-Plot!DM13*'Options and results'!$C$62),0),IF(CK13&lt;='Options and results'!$W$20,(VLOOKUP(CL13,Arablefinance!$E$6:$W$126,Arablefinance!$H$2,FALSE)*IF('Options and results'!$C$61="area",CN13,'Options and results'!$C$61)),0)))*IF(CK13&gt;='Options and results'!$J$23,'Options and results'!$J$22,1))*IF(AND(1+'Options and results'!$O$23*(CK13-1)&gt;0,1+'Options and results'!$O$23*(CK13-1)&gt;'Options and results'!$S$24),1+'Options and results'!$O$23*(CK13-1),'Options and results'!$S$24)</f>
        <v>0</v>
      </c>
      <c r="CS13" s="1441">
        <f t="shared" ca="1" si="146"/>
        <v>1506.7222500000003</v>
      </c>
      <c r="CT13" s="1441">
        <f>IF(CN13&lt;=0,0,IF(CK13&lt;='Options and results'!$W$20,IF(CM13&gt;0,VLOOKUP(CL13,Arablefinance!$Z$6:$AF$105,Arablefinance!$AF$2,FALSE)*CM13*CN13,VLOOKUP(CL13,Arablefinance!$E$6:$X$126,Arablefinance!$R$2,FALSE)*CN13),0)*IF(CK13&gt;='Options and results'!$J$27,'Options and results'!$J$26,1))*IF(1+'Options and results'!$O$22*(CK13-1)&gt;0,1+'Options and results'!$O$22*(CK13-1),0)</f>
        <v>646.59374999999989</v>
      </c>
      <c r="CU13" s="1441">
        <f t="shared" ca="1" si="147"/>
        <v>860.12850000000037</v>
      </c>
      <c r="CV13" s="1441">
        <f>IF(CN13&lt;=0,0,IF(CK13&lt;='Options and results'!$W$20,IF(CM13&gt;0,VLOOKUP(CL13,Arablefinance!$Z$6:$AG$105,Arablefinance!$AG$2,FALSE)*CM13*CN13,VLOOKUP(CL13,Arablefinance!$E$6:$X$126,Arablefinance!$X$2,FALSE)*CN13),0)*IF(CK13&gt;='Options and results'!$J$27,'Options and results'!$J$26,1))*IF(1+'Options and results'!$O$22*(CK13-1)&gt;0,1+'Options and results'!$O$22*(CK13-1),0)</f>
        <v>440</v>
      </c>
      <c r="CW13" s="1442">
        <f>IF(CN13&lt;=0,0,IF(CK13&lt;='Options and results'!$W$20,'Options and results'!$C$27*IF(CK13&gt;='Options and results'!$J$27,'Options and results'!$J$26,1),0))*IF(1+'Options and results'!$O$21*(CK13-1)&gt;0,1+'Options and results'!$O$21*(CK13-1),0)</f>
        <v>14.6</v>
      </c>
      <c r="CX13" s="1442">
        <f>IF(CN13&lt;=0,0,IF(CK13&lt;='Options and results'!$W$20,IF(CM13&gt;0,VLOOKUP(CL13,Arablefinance!$Z$6:$AH$105,Arablefinance!$AH$2,FALSE)*CM13*CN13,VLOOKUP(CL13,Arablefinance!$E$6:$W$126,Arablefinance!$V$2,FALSE)*CN13),0)*IF(CK13&gt;='Options and results'!$J$25,'Options and results'!$J$24,1))</f>
        <v>11.516506250880969</v>
      </c>
      <c r="CY13" s="1013">
        <f t="shared" si="148"/>
        <v>1254.7347412628621</v>
      </c>
      <c r="CZ13" s="1353">
        <f t="shared" ca="1" si="149"/>
        <v>251.98750873713811</v>
      </c>
      <c r="DA13" s="1013">
        <f ca="1">IF($CK13&lt;='Options and results'!$W$20,SUM($CQ$8:CQ13),0)</f>
        <v>9303.2054500000013</v>
      </c>
      <c r="DB13" s="1441">
        <f>IF($CK13&lt;='Options and results'!$W$20,SUM($CR$8:CR13),0)</f>
        <v>0</v>
      </c>
      <c r="DC13" s="1441">
        <f>IF($CK13&lt;='Options and results'!$W$20,SUM($CY$8:CY13),0)</f>
        <v>7320.7493844479559</v>
      </c>
      <c r="DD13" s="1189">
        <f ca="1">IF(CK13&lt;='Options and results'!$W$20,DA13+DB13-DC13,0)</f>
        <v>1982.4560655520454</v>
      </c>
      <c r="DE13" s="401"/>
      <c r="DF13" s="895">
        <f t="shared" si="150"/>
        <v>6</v>
      </c>
      <c r="DG13" s="173"/>
      <c r="DH13" s="1422"/>
      <c r="DI13" s="1427">
        <f>IF(DF13&lt;='Options and results'!$M$61,'Options and results'!$M$60,0)</f>
        <v>0</v>
      </c>
      <c r="DJ13" s="740">
        <f t="shared" si="151"/>
        <v>0</v>
      </c>
      <c r="DK13" s="740">
        <f t="shared" si="152"/>
        <v>0</v>
      </c>
      <c r="DL13" s="1428">
        <f t="shared" si="153"/>
        <v>100</v>
      </c>
      <c r="DM13" s="1429">
        <f>IF($DG$8=0,0,HLOOKUP(CONCATENATE('Options and results'!$C$54," ",Agroforestrysystem!$J$12),Agroforestrysystem!$11:$74,DF13+3,FALSE))/100</f>
        <v>0.32899999999999996</v>
      </c>
      <c r="DN13" s="740">
        <f>IF($DG$8=0,0,IF(HLOOKUP(CONCATENATE('Options and results'!$C$54," ",Agroforestrysystem!$H$12),Agroforestrysystem!$11:$74,DF13+4,FALSE)&lt;DL13,HLOOKUP(CONCATENATE('Options and results'!$C$54," ",Agroforestrysystem!$H$12),Agroforestrysystem!$11:$74,DF13+4,FALSE),0))</f>
        <v>0</v>
      </c>
      <c r="DO13" s="1027">
        <f>IF($DG$8=0,0,IF(HLOOKUP(CONCATENATE('Options and results'!$C$54," ",Agroforestrysystem!$H$12),Agroforestrysystem!$11:$74,DF13+4,FALSE)&gt;=DL13,DL13,0))</f>
        <v>0</v>
      </c>
      <c r="DP13" s="1430">
        <f>IF($DG$8=0,0,HLOOKUP(CONCATENATE('Options and results'!$C$54," ",Agroforestrysystem!$I$12),Agroforestrysystem!$11:$74,DF13+4,FALSE))</f>
        <v>4.7123786070984011</v>
      </c>
      <c r="DQ13" s="1038"/>
      <c r="DR13" s="1390">
        <f>IF($DG$8=0,0,IF(DF13&gt;'Options and results'!$W$20,0,)+IF(DF13=1,'Options and results'!$M$64)+IF('Options and results'!$M$67="yes",IF(AND(DR12+'Options and results'!$M$65&lt;=$DQ$8,DR12+'Options and results'!$M$65+IF(DF13=1,'Options and results'!$M$64,0)&lt;='Options and results'!$M$66*DP13),DR12+'Options and results'!$M$65,DR12),(HLOOKUP(CONCATENATE('Options and results'!$C$54," ",Agroforestrysystem!$K$12),Agroforestrysystem!$11:$74,DF13+4,FALSE)-IF(DF13=1,'Options and results'!$M$64))))</f>
        <v>3</v>
      </c>
      <c r="DS13" s="1027">
        <f>IF(OR($DG$8=0,DL13=0),0,HLOOKUP(CONCATENATE('Options and results'!$C$54," ",Agroforestrysystem!$L$12),Agroforestrysystem!$11:$74,DF13+4,FALSE)*IF(DF13&gt;='Options and results'!$K$19,'Options and results'!$K$18,1))</f>
        <v>0.61023706838251768</v>
      </c>
      <c r="DT13" s="1431">
        <f t="shared" si="154"/>
        <v>6.1023706838251764E-3</v>
      </c>
      <c r="DU13" s="889">
        <f t="shared" si="155"/>
        <v>0</v>
      </c>
      <c r="DV13" s="1027">
        <f>IF($DG$8=0,0,(HLOOKUP(CONCATENATE('Options and results'!$C$54," ",Agroforestrysystem!$M$12),Agroforestrysystem!$11:$74,DF13+4,FALSE))*IF(DF13&gt;='Options and results'!$K$19,'Options and results'!$K$18,1))-DW13</f>
        <v>0.2690824984390402</v>
      </c>
      <c r="DW13" s="303">
        <f>IF($DG$8=0,0,(HLOOKUP(CONCATENATE('Options and results'!$C$54," ",Agroforestrysystem!$N$12),Agroforestrysystem!$11:$74,DF13+4,FALSE))*IF(DF13&gt;='Options and results'!$K$19,'Options and results'!$K$18,1))</f>
        <v>0</v>
      </c>
      <c r="DX13" s="303">
        <f>IF($DG$8=0,0,HLOOKUP(CONCATENATE('Options and results'!$C$54," ",Agroforestrysystem!$O$12),Agroforestrysystem!$11:$74,DF13+4,FALSE)*IF(DF13&gt;='Options and results'!$K$19,'Options and results'!$K$18,1))</f>
        <v>0</v>
      </c>
      <c r="DY13" s="1192">
        <f>IF(DT13&gt;0,HLOOKUP(DT13,Treevalue!$I$4:$BC$34,'Options and results'!$C$66+1),0)*IF(DF13&gt;='Options and results'!$K$21,'Options and results'!$K$20,1)*IF(1+'Options and results'!$Q$20*(DF13-1)&gt;0,1+'Options and results'!$Q$20*(DF13-1),0)</f>
        <v>0</v>
      </c>
      <c r="DZ13" s="1027">
        <f t="shared" si="156"/>
        <v>0</v>
      </c>
      <c r="EA13" s="1027">
        <f t="shared" si="125"/>
        <v>0</v>
      </c>
      <c r="EB13" s="1027">
        <f>(IF('Options and results'!$C$66&gt;0,IF(DF13&lt;='Options and results'!$W$20,VLOOKUP('Options and results'!$C$66,Treevalue!$A$4:$F$34,5,FALSE),0),0)*DV13)*IF(DF13&gt;='Options and results'!$K$21,'Options and results'!$K$20,1)*IF(1+'Options and results'!$Q$20*(DF13-1)&gt;0,1+'Options and results'!$Q$20*(DF13-1),0)</f>
        <v>6.727062460976005</v>
      </c>
      <c r="EC13" s="740">
        <f>(IF('Options and results'!$C$66&gt;0,IF(DF13&lt;='Options and results'!$W$20,VLOOKUP('Options and results'!$C$66,Treevalue!$A$4:$F$34,5,FALSE),0),0)*DW13)*IF(DF13&gt;='Options and results'!$K$21,'Options and results'!$K$20,1)*IF(1+'Options and results'!$Q$20*(DF13-1)&gt;0,1+'Options and results'!$Q$20*(DF13-1),0)</f>
        <v>0</v>
      </c>
      <c r="ED13" s="889">
        <f>(IF('Options and results'!$C$66&gt;0,IF(DF13&lt;='Options and results'!$W$20,VLOOKUP('Options and results'!$C$66,Treevalue!$A$4:$F$34,6,FALSE),0),0)*DX13)*IF(DF13&gt;='Options and results'!$K$21,'Options and results'!$K$20,1)*IF(1+'Options and results'!$Q$20*(DF13-1)&gt;0,1+'Options and results'!$Q$20*(DF13-1),0)</f>
        <v>0</v>
      </c>
      <c r="EE13" s="740">
        <f>IF(DF13&lt;='Options and results'!$W$20,IF(DL13&lt;=0,0,IF('Options and results'!$C$70="cost",(IF(DF13&lt;='Options and results'!$C$71,FK13*SUM('Options and results'!$C$72:$C$73),0)),IF('Options and results'!$C$68&gt;0,(IF(VLOOKUP('Options and results'!$C$69,Treegrant!$B$6:$L$42,Treegrant!$C$2,FALSE)=DF13,VLOOKUP('Options and results'!$C$69,Treegrant!$B$6:$L$42,Treegrant!$D$2,FALSE),0)+IF(VLOOKUP('Options and results'!$C$69,Treegrant!$B$6:$L$42,Treegrant!$E$2,FALSE)=DF13,VLOOKUP('Options and results'!$C$69,Treegrant!$B$6:$L$42,Treegrant!$F$2,FALSE),0)+IF(VLOOKUP('Options and results'!$C$69,Treegrant!$B$6:$L$42,Treegrant!$G$2,FALSE)=DF13,VLOOKUP('Options and results'!$C$69,Treegrant!$B$6:$L$42,Treegrant!$H$2,FALSE)))*IF('Options and results'!$C$70="area",Unit!C14,'Options and results'!$C$70),0))*IF(DF13&gt;='Options and results'!$K$23,'Options and results'!$K$22,1)),0)*IF(1+'Options and results'!$Q$23*(DF13-1)&gt;0,1+'Options and results'!$Q$23*(DF13-1),0)</f>
        <v>0</v>
      </c>
      <c r="EF13" s="740">
        <f>IF($DG$8=0,0,IF(DF13&lt;='Options and results'!$W$20,IF(DL13&lt;=0,0,IF('Options and results'!$C$68&gt;0,IF(AND(VLOOKUP('Options and results'!$C$69,Treegrant!$B$6:$L$42,Treegrant!$J$2,FALSE)&lt;=DF13,VLOOKUP('Options and results'!$C$69,Treegrant!$B$6:$L$42,Treegrant!$K$2,FALSE)&gt;=DF13),(VLOOKUP('Options and results'!$C$69,Treegrant!$B$6:$L$42,Treegrant!$L$2,FALSE)),0)*IF('Options and results'!$C$74="area",Unit!C14,'Options and results'!$C$74))*IF(DF13&gt;='Options and results'!$K$23,'Options and results'!$K$22,1)),0))*IF(1+'Options and results'!$Q$23*(DF13-1)&gt;0,1+'Options and results'!$Q$23*(DF13-1),0)</f>
        <v>0</v>
      </c>
      <c r="EG13" s="1034">
        <f>IF($DG$8=0,0,IF(DF13&lt;='Options and results'!$W$20,IF(DL13&lt;=0,0,IF('Options and results'!$C$68&gt;0,((IF(AND(VLOOKUP('Options and results'!$C$69,Treegrant!$B$6:$O$42,Treegrant!$M$2,FALSE)&lt;=DF13,VLOOKUP('Options and results'!$C$69,Treegrant!$B$6:$O$42,Treegrant!$N$2,FALSE)&gt;=DF13),(VLOOKUP('Options and results'!$C$69,Treegrant!$B$6:$O$42,Treegrant!$O$2,FALSE)),0)*IF('Options and results'!$C$75="area",Unit!C14,'Options and results'!$C$75))+(IF(AND(VLOOKUP('Options and results'!$C$69,Treegrant!$B$6:$R$42,Treegrant!$P$2,FALSE)&lt;=DF13,VLOOKUP('Options and results'!$C$69,Treegrant!$B$6:$R$42,Treegrant!$Q$2,FALSE)&gt;=DF13),(VLOOKUP('Options and results'!$C$69,Treegrant!$B$6:$R$42,Treegrant!$R$2,FALSE)),0))*IF('Options and results'!$C$76="area",Unit!C14,'Options and results'!$C$76)))*IF(DF13&gt;='Options and results'!$K$23,'Options and results'!$K$22,1)),0))*IF(1+'Options and results'!$Q$23*(DF13-1)&gt;0,1+'Options and results'!$Q$23*(DF13-1),0)</f>
        <v>0</v>
      </c>
      <c r="EH13" s="1033" t="s">
        <v>243</v>
      </c>
      <c r="EI13" s="1018">
        <f>'Options and results'!$S38</f>
        <v>14.6</v>
      </c>
      <c r="EJ13" s="1419">
        <f>IF($DH$8+DK13&lt;1,0,IF(DF13=1,VLOOKUP($DG$8,Treecost!$B$6:$AH$49,Treecost!$E$2,FALSE),0)*IF(DF13&gt;='Options and results'!$K$25,'Options and results'!$K$24,1))</f>
        <v>0</v>
      </c>
      <c r="EK13" s="889">
        <f>IF($DH$8+DK13&lt;1,0,IF(DF13=1,VLOOKUP($DG$8,Treecost!$B$6:$AH$49,Treecost!$F$2,FALSE),0)*IF(DF13&gt;='Options and results'!$K$25,'Options and results'!$K$24,1))</f>
        <v>0</v>
      </c>
      <c r="EL13" s="889">
        <f>IF($DH$8+DK13&lt;1,0,IF(DF13=1,VLOOKUP($DG$8,Treecost!$B$6:$AH$49,Treecost!$G$2,FALSE),0)*IF(DF13&gt;='Options and results'!$K$25,'Options and results'!$K$24,1))</f>
        <v>0</v>
      </c>
      <c r="EM13" s="889">
        <f>IF($DG$8=0,0,IF(DF13&lt;='Options and results'!$W$20,((VLOOKUP($DG$8,Treecost!$B$6:$AH$49,Treecost!$H$2,FALSE)*(DH13+DK13))/60)*IF(DF13&gt;='Options and results'!$K$25,'Options and results'!$K$24,1),0))</f>
        <v>0</v>
      </c>
      <c r="EN13" s="889">
        <f>IF($DG$8=0,0,IF(DF13&lt;='Options and results'!$W$20,(((VLOOKUP($DG$8,Treecost!$B$6:$AH$49,Treecost!$I$2,FALSE))*(DH13+DK13))/60)*IF(DF13&gt;='Options and results'!$K$25,'Options and results'!$K$24,1),0))</f>
        <v>0</v>
      </c>
      <c r="EO13" s="889">
        <f>IF($DG$8=0,0,IF(DF13&lt;='Options and results'!$W$20,(((VLOOKUP($DG$8,Treecost!$B$6:$AH$49,Treecost!$J$2,FALSE))/60)*(DH13+DK13))*IF(DF13&gt;='Options and results'!$K$25,'Options and results'!$K$24,1),0))</f>
        <v>0</v>
      </c>
      <c r="EP13" s="1019">
        <f>IF($DG$8=0,0,IF(DF13&lt;='Options and results'!$W$20,(((VLOOKUP($DG$8,Treecost!$B$6:$AH$49,Treecost!$C$2,FALSE)+VLOOKUP($DG$8,Treecost!$B$6:$AH$49,Treecost!$D$2,FALSE))*(DH13+DK13)*IF(1+'Options and results'!$Q$22*(DF13-1)&gt;0,1+'Options and results'!$Q$22*(DF13-1),0))+(EJ13*$EI$8+EK13*$EI$9+EL13*$EI$10+EM13*$EI$11+EN13*$EI$12+EO13*$EI$13)*IF(1+'Options and results'!$Q$21*(DF13-1)&gt;0,1+'Options and results'!$Q$21*(DF13-1),0))*IF(DF13&gt;='Options and results'!$K$27,'Options and results'!$K$26,1),0))</f>
        <v>0</v>
      </c>
      <c r="EQ13" s="889">
        <f>IF($DG$8=0,0,IF(DF13&lt;='Options and results'!$W$20,IF(AND(VLOOKUP($DG$8,Treecost!$B$6:$AH$49,Treecost!$K$2,FALSE)&lt;=DF13,DF13&lt;=(VLOOKUP($DG$8,Treecost!$B$6:$AH$49,Treecost!$L$2,FALSE))),VLOOKUP($DG$8,Treecost!$B$6:$AH$49,Treecost!$M$2,FALSE)*DL13/60,0)*IF(DF13&gt;='Options and results'!$K$25,'Options and results'!$K$24,1),0))</f>
        <v>0</v>
      </c>
      <c r="ER13" s="1019">
        <f>IF(EQ13&gt;0,(VLOOKUP($DG$8,Treecost!$B$6:$AH$49,Treecost!$N$2,FALSE)*DL13*IF(1+'Options and results'!$Q$22*(DF13-1)&gt;0,1+'Options and results'!$Q$22*(DF13-1),0)+EQ13*$EI$14*IF(1+'Options and results'!$Q$21*(DF13-1)&gt;0,1+'Options and results'!$Q$21*(DF13-1),0)),0)*IF(DF13&gt;='Options and results'!$K$27,'Options and results'!$K$26,1)</f>
        <v>0</v>
      </c>
      <c r="ES13" s="889">
        <f>IF(DF13&lt;='Options and results'!$W$20,IF(AND(DR13-DR12&gt;0,DR13&gt;'Options and results'!$M$64),(DL13-DN13)*(VLOOKUP($DG$8,Treecost!$B$6:$AH$49,Treecost!$Y$2,FALSE)+(VLOOKUP($DG$8,Treecost!$B$6:$AH$49,Treecost!$AA$2,FALSE)-VLOOKUP($DG$8,Treecost!$B$6:$AH$49,Treecost!$Y$2,FALSE))/(VLOOKUP($DG$8,Treecost!$B$6:$AH$49,Treecost!$Z$2,FALSE)-VLOOKUP($DG$8,Treecost!$B$6:$AH$49,Treecost!$X$2,FALSE))*(DR13-VLOOKUP($DG$8,Treecost!$B$6:$AH$49,Treecost!$X$2,FALSE)))/60,0)*IF(DF13&gt;='Options and results'!$K$25,'Options and results'!$K$24,1),0)</f>
        <v>3.8690476190476186</v>
      </c>
      <c r="ET13" s="889">
        <f>IF(DF13&lt;='Options and results'!$W$20,IF(ES13&gt;0,VLOOKUP($DG$8,Treecost!$B$6:$AH$49,Treecost!$AB$2,FALSE)/60*DL13,0)*IF(DF13&gt;='Options and results'!$K$25,'Options and results'!$K$24,1),0)*((ES13-(MIN($ES$8:$ES$67)))/((MAX($ES$8:$ES$67))-(MIN($ES$8:$ES$67))))</f>
        <v>0.2082332212077527</v>
      </c>
      <c r="EU13" s="740">
        <f>IF(ES13&gt;0,(ES13*$EI$15+ET13*$EI$19)*IF(1+'Options and results'!$Q$21*(DF13-1)&gt;0,1+'Options and results'!$Q$21*(DF13-1),0),0)*IF(DF13&gt;='Options and results'!$K$27,'Options and results'!$K$26,1)</f>
        <v>59.528300267728426</v>
      </c>
      <c r="EV13" s="891">
        <f>IF($DG$8=0,0,IF(DF13&lt;='Options and results'!$W$20,IF(AND(VLOOKUP($DG$8,Treecost!$B$2:$AH$49,Treecost!$O$2,FALSE)=DF13,DF13&lt;=IF(AND(Optimisation!$B$3="Yes",Optimisation!$B$4=1),Optimisation!$B$9)),VLOOKUP($DG$8,Treecost!$B$2:$AH$49,Treecost!$P$2,FALSE)*(1-CN13),0)*IF(DF13&gt;='Options and results'!$K$25,'Options and results'!$K$24,1),0))</f>
        <v>0</v>
      </c>
      <c r="EW13" s="889">
        <f>IF($DG$8=0,0,IF(DF13&lt;='Options and results'!$W$20,IF(AND(DF13&gt;VLOOKUP($DG$8,Treecost!$B$2:$AH$49,Treecost!$O$2,FALSE),DF13&lt;=IF(AND(Optimisation!$B$3="Yes",Optimisation!$B$4=1),Optimisation!$B$9,VLOOKUP($DG$8,Treecost!$B$2:$AH$49,Treecost!$R$2,FALSE))),VLOOKUP($DG$8,Treecost!$B$2:$AH$49,Treecost!$S$2,FALSE)*(1-CN13),0)*IF(DF13&gt;='Options and results'!$K$25,'Options and results'!$K$24,1),0))</f>
        <v>0</v>
      </c>
      <c r="EX13" s="740">
        <f>IF($DG$8=0,0,IF(DF13&lt;='Options and results'!$W$20,(IF(AND(VLOOKUP($DG$8,Treecost!$B$2:$AH$49,Treecost!$O$2,FALSE)=DF13,DF13&lt;=IF(AND(Optimisation!$B$3="Yes",Optimisation!$B$4=1),Optimisation!$B$9)),VLOOKUP($DG$8,Treecost!$B$2:$AH$49,Treecost!$Q$2,FALSE),0)*(1-CN13)+IF(AND(DF13&gt;VLOOKUP($DG$8,Treecost!$B$2:$AH$49,Treecost!$O$2,FALSE),DF13&lt;=IF(AND(Optimisation!$B$3="Yes",Optimisation!$B$4=1),Optimisation!$B$9,VLOOKUP($DG$8,Treecost!$B$2:$AH$49,Treecost!$R$2,FALSE))),VLOOKUP($DG$8,Treecost!$B$2:$AH$49,Treecost!$T$2,FALSE),0)*(1-CN13)+(EV13*$EI$16+EW13*$EI$17))*IF(DF13&gt;='Options and results'!$K$27,'Options and results'!$K$26,1),0))*IF(1+'Options and results'!$Q$21*(DF13-1)&gt;0,1+'Options and results'!$Q$21*(DF13-1),0)</f>
        <v>0</v>
      </c>
      <c r="EY13" s="894">
        <f>IF($DG$8=0,0,IF(DF13&lt;='Options and results'!$W$20,IF(AND(DF13&gt;=VLOOKUP($DG$8,Treecost!$B$2:$W$49,Treecost!$U$2,FALSE),DF13&lt;=VLOOKUP($DG$8,Treecost!$B$2:$W$49,Treecost!$V$2,FALSE)),(DL13*VLOOKUP($DG$8,Treecost!$B$2:$W$49,Treecost!$W$2,FALSE)/60),0)*IF(DF13&gt;='Options and results'!$K$25,'Options and results'!$K$24,1),0))</f>
        <v>0</v>
      </c>
      <c r="EZ13" s="740">
        <f>EY13*$EI$18*IF(DF13&gt;='Options and results'!$K$27,'Options and results'!$K$26,1)*IF(1+'Options and results'!$Q$21*(DF13-1)&gt;0,1+'Options and results'!$Q$21*(DF13-1),0)</f>
        <v>0</v>
      </c>
      <c r="FA13" s="1025">
        <f>IF(DF13&lt;='Options and results'!$W$20,IF(DL13&lt;=0,0,VLOOKUP($DG$8,Treecost!$B$6:$AH$49,Treecost!$AC$2,FALSE)+VLOOKUP($DG$8,Treecost!$B$6:$AH$49,Treecost!$AD$2,FALSE)+IF(AND(DF13&gt;=VLOOKUP($DG$8,Treecost!$B$2:$AK$49,Treecost!$AI$2,FALSE),DF13&lt;=VLOOKUP($DG$8,Treecost!$B$2:$AK$49,Treecost!$AJ$2,FALSE)),VLOOKUP($DG$8,Treecost!$B$2:$AK$49,Treecost!$AK$2,FALSE)*(1-CN13),0))*IF(DF13&gt;='Options and results'!$K$27,'Options and results'!$K$26,1),0)*IF(1+'Options and results'!$Q$22*(DF13-1)&gt;0,1+'Options and results'!$Q$22*(DF13-1),0)</f>
        <v>3</v>
      </c>
      <c r="FB13" s="894">
        <f>IF(DF13&lt;='Options and results'!$W$20,IF(DN13&gt;0,VLOOKUP($DG$8,Treecost!$B$6:$AH$49,Treecost!$AE$2,FALSE)/60*DN13,0)*IF(DF13&gt;='Options and results'!$K$25,'Options and results'!$K$24,1),0)</f>
        <v>0</v>
      </c>
      <c r="FC13" s="740">
        <f>IF(DF13&lt;='Options and results'!$W$20,IF(DN13&gt;0,VLOOKUP($DG$8,Treecost!$B$6:$AH$49,Treecost!$AF$2,FALSE)/60*DN13,0)*IF(DF13&gt;='Options and results'!$K$25,'Options and results'!$K$24,1),0)</f>
        <v>0</v>
      </c>
      <c r="FD13" s="740">
        <f>(FB13*$EI$20+FC13*$EI$21)*IF(DF13&gt;='Options and results'!$K$27,'Options and results'!$K$26,1)*IF(1+'Options and results'!$Q$21*(DF13-1)&gt;0,1+'Options and results'!$Q$21*(DF13-1),0)</f>
        <v>0</v>
      </c>
      <c r="FE13" s="894">
        <f>IF(DF13&lt;='Options and results'!$W$20,IF(DO13&gt;0,(VLOOKUP($DG$8,Treecost!$B$6:$AH$49,Treecost!$AG$2,FALSE)/60*DO13)*IF(DF13&gt;='Options and results'!$K$25,'Options and results'!$K$24,1),0),0)</f>
        <v>0</v>
      </c>
      <c r="FF13" s="740">
        <f>IF(DF13&lt;='Options and results'!$W$20,IF(DO13&gt;0,(VLOOKUP($DG$8,Treecost!$B$6:$AH$49,Treecost!$AH$2,FALSE)/60*DO13)*IF(DF13&gt;='Options and results'!$K$25,'Options and results'!$K$24,1),0),0)</f>
        <v>0</v>
      </c>
      <c r="FG13" s="740">
        <f>(FE13*$EI$22+FF13*$EI$23)*IF(DF13&gt;='Options and results'!$K$27,'Options and results'!$K$26,1)*IF(1+'Options and results'!$Q$21*(DF13-1)&gt;0,1+'Options and results'!$Q$21*(DF13-1),0)</f>
        <v>0</v>
      </c>
      <c r="FH13" s="894">
        <f t="shared" si="157"/>
        <v>4.0772808402553711</v>
      </c>
      <c r="FI13" s="1027">
        <f t="shared" si="158"/>
        <v>0</v>
      </c>
      <c r="FJ13" s="1027">
        <f t="shared" si="159"/>
        <v>0</v>
      </c>
      <c r="FK13" s="1027">
        <f t="shared" si="160"/>
        <v>62.528300267728426</v>
      </c>
      <c r="FL13" s="1027">
        <f t="shared" si="161"/>
        <v>-62.528300267728426</v>
      </c>
      <c r="FM13" s="1027">
        <f>IF($DF13&lt;='Options and results'!$W$20,SUM(FI$8:$FI13),0)</f>
        <v>0</v>
      </c>
      <c r="FN13" s="1027">
        <f>IF($DF13&lt;='Options and results'!$W$20,SUM($FJ$8:FJ13),0)</f>
        <v>0</v>
      </c>
      <c r="FO13" s="1027">
        <f>IF($DF13&lt;='Options and results'!$W$20,SUM($FK$8:FK13),0)</f>
        <v>617.35228936928843</v>
      </c>
      <c r="FP13" s="1027">
        <f>IF($DF13&lt;='Options and results'!$W$20,FM13+FN13-FO13,0)</f>
        <v>-617.35228936928843</v>
      </c>
      <c r="FQ13" s="1027">
        <f t="shared" si="162"/>
        <v>3.4842647301895764</v>
      </c>
      <c r="FR13" s="1027">
        <f t="shared" si="163"/>
        <v>-59.044035537538846</v>
      </c>
      <c r="FS13" s="1027">
        <f t="shared" si="164"/>
        <v>0</v>
      </c>
      <c r="FT13" s="1189">
        <f>IF(DF13&lt;='Options and results'!$W$20,FP13+DZ13,0)</f>
        <v>-617.35228936928843</v>
      </c>
      <c r="FU13" s="401"/>
      <c r="FV13" s="895">
        <f t="shared" si="165"/>
        <v>6</v>
      </c>
      <c r="FW13" s="894">
        <f>G13/(1+'Options and results'!$W$33)^(FV13-1)</f>
        <v>1415.9765776402235</v>
      </c>
      <c r="FX13" s="740">
        <f>(AP13+AR13+AS13)/(1+'Options and results'!$W$33)^(FV13-1)</f>
        <v>0</v>
      </c>
      <c r="FY13" s="740">
        <f ca="1">CQ13/(1+'Options and results'!$W$33)^(FV13-1)</f>
        <v>1238.4158596324405</v>
      </c>
      <c r="FZ13" s="740">
        <f>(EA13+EC13+ED13)/(1+'Options and results'!$W$33)^(FV13-1)</f>
        <v>0</v>
      </c>
      <c r="GA13" s="1019">
        <f t="shared" ca="1" si="180"/>
        <v>1238.4158596324405</v>
      </c>
      <c r="GB13" s="1026">
        <f>(AO13+AQ13)/(1+'Options and results'!$W$33)^(FV13-1)+FX13</f>
        <v>8.6080954523944673</v>
      </c>
      <c r="GC13" s="1027">
        <f>IF(FV13&gt;'Options and results'!$W$27,0,GB13-GB12)</f>
        <v>4.2881726668896301</v>
      </c>
      <c r="GD13" s="1027">
        <f>(DZ13+EB13)/(1+'Options and results'!$W$33)^(FV13-1)+FZ13</f>
        <v>5.5291549855394511</v>
      </c>
      <c r="GE13" s="1379">
        <f>IF(FV13&gt;'Options and results'!$W$27,0,GD13-GD12)</f>
        <v>2.7571978946015276</v>
      </c>
      <c r="GF13" s="894">
        <f>IF(FV13&lt;='Options and results'!$W$20,SUM(FW$8:FW13),0)</f>
        <v>8908.2599318706598</v>
      </c>
      <c r="GG13" s="740">
        <f>IF(FV13&lt;='Options and results'!$W$20,SUM(FX$8:FX13), 0)</f>
        <v>0</v>
      </c>
      <c r="GH13" s="740">
        <f ca="1">IF(FV13&lt;='Options and results'!$W$20,SUM(FY$8:FY13),0)</f>
        <v>8486.2653394251429</v>
      </c>
      <c r="GI13" s="740">
        <f>IF(FV13&lt;='Options and results'!$W$20,SUM(FZ$8:FZ13),0)</f>
        <v>0</v>
      </c>
      <c r="GJ13" s="1019">
        <f t="shared" ca="1" si="166"/>
        <v>8486.2653394251429</v>
      </c>
      <c r="GK13" s="894">
        <f>IF(FV13&gt;'Options and results'!$W$27,0,GG13+SUM(GC$8:GC13)-FX13)</f>
        <v>8.6080954523944673</v>
      </c>
      <c r="GL13" s="740">
        <f>IF(FV13&lt;='Options and results'!$W$20,SUM(GD$8:GD13),0)</f>
        <v>11.117306780751681</v>
      </c>
      <c r="GM13" s="1034">
        <f t="shared" ca="1" si="167"/>
        <v>8497.3826462058951</v>
      </c>
      <c r="GN13" s="401"/>
      <c r="GO13" s="895">
        <f t="shared" si="168"/>
        <v>6</v>
      </c>
      <c r="GP13" s="894">
        <f>H13/(1+'Options and results'!$W$33)^(GO13-1)</f>
        <v>193.31725550979948</v>
      </c>
      <c r="GQ13" s="740">
        <f>SUM(AT13:AV13)/(1+'Options and results'!$W$33)^(GO13-1)</f>
        <v>0</v>
      </c>
      <c r="GR13" s="740">
        <f>CR13/(1+'Options and results'!$W$33)^(GO13-1)</f>
        <v>0</v>
      </c>
      <c r="GS13" s="740">
        <f>SUM(EE13:EG13)/(1+'Options and results'!$W$33)^(GO13-1)</f>
        <v>0</v>
      </c>
      <c r="GT13" s="1019">
        <f t="shared" si="181"/>
        <v>0</v>
      </c>
      <c r="GU13" s="894">
        <f>IF(GO13&lt;='Options and results'!$W$20,SUM(GP$8:GP13),0)</f>
        <v>1282.2686122550112</v>
      </c>
      <c r="GV13" s="740">
        <f>IF(GO13&lt;='Options and results'!$W$20,SUM(GQ$8:GQ13),0)</f>
        <v>0</v>
      </c>
      <c r="GW13" s="740">
        <f>IF(GO13&lt;='Options and results'!$W$20,SUM(GR$8:GR13),0)</f>
        <v>0</v>
      </c>
      <c r="GX13" s="740">
        <f>IF(GO13&lt;='Options and results'!$W$20,SUM(GS$8:GS13),0)</f>
        <v>0</v>
      </c>
      <c r="GY13" s="1034">
        <f>IF(GO13&lt;='Options and results'!$W$20,SUM(GT$8:GT13),0)</f>
        <v>0</v>
      </c>
      <c r="GZ13" s="401"/>
      <c r="HA13" s="895">
        <f t="shared" si="169"/>
        <v>6</v>
      </c>
      <c r="HB13" s="1026">
        <f>(J13+L13+(M13*N13))/(1+'Options and results'!$W$33)^(HA13-1)</f>
        <v>1041.7176723602302</v>
      </c>
      <c r="HC13" s="740">
        <f>BZ13/(1+'Options and results'!$W$33)^(HA13-1)</f>
        <v>78.793342150873343</v>
      </c>
      <c r="HD13" s="1027">
        <f>(CT13+CV13+(CW13*CX13))/(1+'Options and results'!$W$33)^(HA13-1)</f>
        <v>1031.3004956366278</v>
      </c>
      <c r="HE13" s="740">
        <f>FK13/(1+'Options and results'!$W$33)^(HA13-1)</f>
        <v>51.393704929634012</v>
      </c>
      <c r="HF13" s="1019">
        <f t="shared" si="182"/>
        <v>1082.6942005662618</v>
      </c>
      <c r="HG13" s="894">
        <f>IF(HA13&lt;='Options and results'!$W$20,SUM(HB$8:HB13),0)</f>
        <v>6718.6068850384381</v>
      </c>
      <c r="HH13" s="740">
        <f>IF(HA13&lt;='Options and results'!$W$20,SUM(HC$8:HC13),0)</f>
        <v>876.91044217467015</v>
      </c>
      <c r="HI13" s="740">
        <f>IF(HA13&lt;='Options and results'!$W$20,SUM(HD$8:HD13),0)</f>
        <v>6651.4208161880551</v>
      </c>
      <c r="HJ13" s="740">
        <f>IF(HA13&lt;='Options and results'!$W$20,SUM(HE$8:HE13),0)</f>
        <v>602.37361048852949</v>
      </c>
      <c r="HK13" s="1034">
        <f>IF(HA13&lt;='Options and results'!$W$20,SUM(HF$8:HF13),0)</f>
        <v>7253.7944266765844</v>
      </c>
      <c r="HL13" s="405"/>
      <c r="HM13" s="895">
        <f t="shared" si="170"/>
        <v>6</v>
      </c>
      <c r="HN13" s="1026">
        <f t="shared" si="171"/>
        <v>567.57616078979277</v>
      </c>
      <c r="HO13" s="1027">
        <f t="shared" si="172"/>
        <v>-78.793342150873343</v>
      </c>
      <c r="HP13" s="1027">
        <f t="shared" ca="1" si="173"/>
        <v>207.11536399581269</v>
      </c>
      <c r="HQ13" s="1027">
        <f t="shared" si="174"/>
        <v>-51.393704929634012</v>
      </c>
      <c r="HR13" s="1027">
        <f t="shared" si="175"/>
        <v>-74.505169483983707</v>
      </c>
      <c r="HS13" s="1379">
        <f t="shared" si="176"/>
        <v>-48.636507035032487</v>
      </c>
      <c r="HT13" s="1026">
        <f>IF($HM13&lt;='Options and results'!$W$20,SUM(HN$8:HN13),0)</f>
        <v>3471.921659087232</v>
      </c>
      <c r="HU13" s="1027">
        <f>IF($HM13&lt;='Options and results'!$W$20,SUM(HO$8:HO13),0)</f>
        <v>-876.91044217467015</v>
      </c>
      <c r="HV13" s="1027">
        <f ca="1">IF($HM13&lt;='Options and results'!$W$20,SUM(HP$8:HP13),0)</f>
        <v>1834.8445232370873</v>
      </c>
      <c r="HW13" s="1027">
        <f>IF($HM13&lt;='Options and results'!$W$20,SUM(HQ$8:HQ13),0)</f>
        <v>-602.37361048852949</v>
      </c>
      <c r="HX13" s="1027">
        <f t="shared" ca="1" si="177"/>
        <v>1232.4709127485578</v>
      </c>
      <c r="HY13" s="1027">
        <f>IF($HM13&lt;='Options and results'!$W$20,SUM(HR$8:HR13),0)</f>
        <v>-868.30234672227562</v>
      </c>
      <c r="HZ13" s="1027">
        <f>IF($HM13&lt;='Options and results'!$W$20,SUM(HS$8:HS13),0)</f>
        <v>-596.84445550299006</v>
      </c>
      <c r="IA13" s="1189">
        <f t="shared" ca="1" si="178"/>
        <v>1238.0000677340972</v>
      </c>
    </row>
    <row r="14" spans="1:235" x14ac:dyDescent="0.25">
      <c r="A14" s="1010">
        <f t="shared" si="126"/>
        <v>7</v>
      </c>
      <c r="B14" s="1011" t="str">
        <f>IF('Options and results'!$C$17="None",0,CONCATENATE('Options and results'!$C$23," ",(HLOOKUP(CONCATENATE('Options and results'!$C$17," ",Arablesystem!$B$11),Arablesystem!$B$10:$ER$72,$A14+3,FALSE))))</f>
        <v>UK - Agriculture (BPS: from 2015) Barley</v>
      </c>
      <c r="C14" s="1012">
        <f>IF(HLOOKUP(CONCATENATE('Options and results'!$C$17," ",Arablesystem!$C$11),Arablesystem!$B$10:$ER$72,$A14+3,FALSE)="T",(VLOOKUP(B14,Arablefinance!$Z$6:$AB$105,Arablefinance!$AB$2,FALSE)*E14+VLOOKUP(B14,Arablefinance!$Z$6:$AC$105,Arablefinance!$AC$2,FALSE)*F14)/VLOOKUP(B14,Arablefinance!$Z$6:$AA$105,Arablefinance!$AA$2,FALSE),0)</f>
        <v>0</v>
      </c>
      <c r="D14" s="1012">
        <f>IF(B14=0,0,HLOOKUP(CONCATENATE('Options and results'!$C$17," ",Arablesystem!$D$11),Arablesystem!$B$10:$ER$72,$A14+3,FALSE))</f>
        <v>1</v>
      </c>
      <c r="E14" s="1440">
        <f>IF(B14=0,0,HLOOKUP(CONCATENATE('Options and results'!$C$17," ",Arablesystem!$E$11),Arablesystem!$B$10:$ER$72,$A14+3,FALSE)*IF(A14&gt;='Options and results'!$H$19,'Options and results'!$H$18,1))</f>
        <v>7.4303894798102812</v>
      </c>
      <c r="F14" s="1440">
        <f>IF(B14=0,0,HLOOKUP(CONCATENATE('Options and results'!$C$17," ",Arablesystem!$F$11),Arablesystem!$B$10:$ER$72,$A14+3,FALSE)*IF(A14&gt;='Options and results'!$H$19,'Options and results'!$H$18,1))</f>
        <v>4.4582336878861684</v>
      </c>
      <c r="G14" s="1013">
        <f>IF(D14&lt;=0,0,IF(A14&lt;='Options and results'!$W$20,IF(C14&gt;0,VLOOKUP(B14,Arablefinance!$Z$6:$AE$105,Arablefinance!$AD$2,FALSE)*C14*D14,((VLOOKUP(B14,Arablefinance!$E$6:$G$126,Arablefinance!$F$2,FALSE)*(E14*D14)+VLOOKUP(B14,Arablefinance!$E$6:$G$126,Arablefinance!$G$2,FALSE)*(F14*D14)))),0)*IF(A14&gt;='Options and results'!$H$21,'Options and results'!$H$20,1))*IF(1+'Options and results'!$O$20*(A14-1)&gt;0,1+'Options and results'!$O$20*(A14-1),0)</f>
        <v>1432.0011725256591</v>
      </c>
      <c r="H14" s="1441">
        <f>IF(D14&lt;=0,0,IF(A14&lt;='Options and results'!$W$20,IF(AND(C14&gt;0,VLOOKUP(B14,Arablefinance!$Z$6:$AI$105,Arablefinance!$AI$2,FALSE)=2),VLOOKUP(B14,Arablefinance!$Z$6:$AE$105,Arablefinance!$AE$2,FALSE)*C14*D14,(VLOOKUP(B14,Arablefinance!$E$6:$H$126,Arablefinance!$H$2,FALSE)*D14))*IF(A14&gt;='Options and results'!$H$23,'Options and results'!$H$22,1),0)*IF(AND(1+'Options and results'!$O$23*(A14-1)&gt;0,1+'Options and results'!$O$23*(A14-1)&gt;'Options and results'!$S$24),1+'Options and results'!$O$23*(A14-1),'Options and results'!$S$24))</f>
        <v>235.2</v>
      </c>
      <c r="I14" s="1441">
        <f t="shared" si="127"/>
        <v>1667.2011725256591</v>
      </c>
      <c r="J14" s="1441">
        <f>IF(D14&lt;=0,0,IF(A14&lt;='Options and results'!$W$20,IF(C14&gt;0,VLOOKUP(B14,Arablefinance!$Z$6:$AF$105,Arablefinance!$AF$2,FALSE)*C14*D14,(VLOOKUP(B14,Arablefinance!$E$6:$X$126,Arablefinance!$R$2,FALSE))*D14),0)*IF(A14&gt;='Options and results'!$H$27,'Options and results'!$H$26,1))*IF(1+'Options and results'!$O$22*(A14-1)&gt;0,1+'Options and results'!$O$22*(A14-1),0)</f>
        <v>535.20833333333326</v>
      </c>
      <c r="K14" s="1441">
        <f t="shared" si="128"/>
        <v>1131.9928391923258</v>
      </c>
      <c r="L14" s="1441">
        <f>IF(D14&lt;=0,0,IF(A14&lt;='Options and results'!$W$20,IF(C14&gt;0,VLOOKUP(B14,Arablefinance!$Z$6:$AG$105,Arablefinance!$AG$2,FALSE)*C14*D14,VLOOKUP(B14,Arablefinance!$E$6:$X$126,Arablefinance!$X$2,FALSE)*D14),0)*IF(A14&gt;='Options and results'!$H$27,'Options and results'!$H$26,1))*IF(1+'Options and results'!$O$22*(A14-1)&gt;0,1+'Options and results'!$O$22*(A14-1),0)</f>
        <v>444.44444444444446</v>
      </c>
      <c r="M14" s="1442">
        <f>IF(D14&lt;=0,0,IF(A14&lt;='Options and results'!$W$20,'Options and results'!$C$27,0)*IF(A14&gt;='Options and results'!$H$27,'Options and results'!$H$26,1))*IF(1+'Options and results'!$O$21*(A14-1)&gt;0,1+'Options and results'!$O$21*(A14-1),0)</f>
        <v>14.6</v>
      </c>
      <c r="N14" s="1442">
        <f>IF(D14&lt;=0,0,IF(A14&lt;='Options and results'!$W$20,IF(C14&gt;0,VLOOKUP(B14,Arablefinance!$Z$6:$AH$105,Arablefinance!$AH$2,FALSE)*C14*D14,VLOOKUP(B14,Arablefinance!$E$6:$W$126,Arablefinance!$V$2,FALSE)*D14),0)*IF(A14&gt;='Options and results'!$H$25,'Options and results'!$H$24,1))</f>
        <v>10.833689569810836</v>
      </c>
      <c r="O14" s="1013">
        <f t="shared" si="129"/>
        <v>1137.8246454970158</v>
      </c>
      <c r="P14" s="1353">
        <f t="shared" si="130"/>
        <v>529.37652702864318</v>
      </c>
      <c r="Q14" s="1013">
        <f>IF(A14&lt;='Options and results'!$W$20,SUM(G$8:$G14),0)</f>
        <v>11234.102622132727</v>
      </c>
      <c r="R14" s="1441">
        <f>IF($A14&lt;='Options and results'!$W$20,SUM($H$8:H14),0)</f>
        <v>1646.4</v>
      </c>
      <c r="S14" s="1441">
        <f>IF($A14&lt;='Options and results'!$W$20,SUM($O$8:O14),0)</f>
        <v>8532.520993424243</v>
      </c>
      <c r="T14" s="1032">
        <f>IF(A14&lt;='Options and results'!$W$20,Q14+R14-S14,0)</f>
        <v>4347.9816287084832</v>
      </c>
      <c r="U14" s="405"/>
      <c r="V14" s="1010">
        <f t="shared" si="131"/>
        <v>7</v>
      </c>
      <c r="W14" s="173"/>
      <c r="X14" s="1036"/>
      <c r="Y14" s="1030">
        <f>IF(V14&lt;='Options and results'!$M$34,'Options and results'!$M$33,0)</f>
        <v>0</v>
      </c>
      <c r="Z14" s="1441">
        <f t="shared" si="132"/>
        <v>0</v>
      </c>
      <c r="AA14" s="1441">
        <f t="shared" si="133"/>
        <v>0</v>
      </c>
      <c r="AB14" s="1428">
        <f t="shared" si="134"/>
        <v>156</v>
      </c>
      <c r="AC14" s="1441">
        <f>IF($W$8=0,0,IF(HLOOKUP(CONCATENATE('Options and results'!$C$32," ",Forestrysystem!$C$8),Forestrysystem!$A$7:$IH$70,V14+4,FALSE)&lt;AB14,HLOOKUP(CONCATENATE('Options and results'!$C$32," ",Forestrysystem!$C$8),Forestrysystem!$A$7:$IH$70,V14+4,FALSE),0))</f>
        <v>0</v>
      </c>
      <c r="AD14" s="1441">
        <f>IF($W$8=0,0,IF(HLOOKUP(CONCATENATE('Options and results'!$C$32," ",Forestrysystem!$C$8),Forestrysystem!$A$7:$IH$70,V14+4,FALSE)&gt;=AB14,AB14,0))</f>
        <v>0</v>
      </c>
      <c r="AE14" s="1440">
        <f>IF($W$8=0,0,HLOOKUP(CONCATENATE('Options and results'!$C$32," ",Forestrysystem!$D$8),Forestrysystem!$A$7:$IH$70,$V14+4,FALSE))</f>
        <v>5.82796497475052</v>
      </c>
      <c r="AF14" s="1037"/>
      <c r="AG14" s="1440">
        <f>IF($W$8=0,0,IF(V14=1,'Options and results'!$M$36,0)+IF('Options and results'!$M$39="yes",IF(AND(AG13+'Options and results'!$M$37&lt;=$AF$8,AG13+'Options and results'!$M$37+IF(V14=1,'Options and results'!$M$36,0)&lt;='Options and results'!$M$38*AE14),AG13+'Options and results'!$M$37,AG13),(HLOOKUP(CONCATENATE('Options and results'!$C$32," ",Forestrysystem!$E$8),Forestrysystem!$A$7:$IH$70,V14+4,FALSE))-IF(V14=1,'Options and results'!$M$36,0)))</f>
        <v>3</v>
      </c>
      <c r="AH14" s="1442">
        <f>IF(OR($W$8=0,AB14&lt;=0),0,(HLOOKUP(CONCATENATE('Options and results'!$C$32," ",Forestrysystem!$F$8),Forestrysystem!$A$7:$IH$70,$V14+4,FALSE)) * IF(V14&gt;='Options and results'!$I$19,'Options and results'!$I$18,1) )</f>
        <v>1.8007501319971386</v>
      </c>
      <c r="AI14" s="1452">
        <f t="shared" si="179"/>
        <v>1.1543270076904736E-2</v>
      </c>
      <c r="AJ14" s="1442">
        <f t="shared" si="135"/>
        <v>0</v>
      </c>
      <c r="AK14" s="1453">
        <f>IF(OR($W$8=0,AE14&lt;=0),0,(HLOOKUP(CONCATENATE('Options and results'!$C$32," ",Forestrysystem!$G$8),Forestrysystem!$A$7:$IH$70,$V14+4,FALSE)) * IF(Y14&gt;='Options and results'!$I$19,'Options and results'!$I$18,1) )</f>
        <v>0.794036235567533</v>
      </c>
      <c r="AL14" s="1453">
        <f>IF($W$8=0,0,HLOOKUP(CONCATENATE('Options and results'!$C$32," ",Forestrysystem!$H$8),Forestrysystem!$A$7:$IH$70,$V14+4,FALSE)*IF(V14&gt;='Options and results'!$I$19,'Options and results'!$I$18,1))</f>
        <v>0</v>
      </c>
      <c r="AM14" s="1383">
        <f>IF($W$8=0,0,HLOOKUP(CONCATENATE('Options and results'!$C$32," ",Forestrysystem!$I$8),Forestrysystem!$A$7:$IH$70,$V14+4,FALSE)*IF(V14&gt;='Options and results'!$I$19,'Options and results'!$I$18,1))</f>
        <v>0</v>
      </c>
      <c r="AN14" s="1382">
        <f>IF(AI14&gt;0,HLOOKUP(AI14,Treevalue!$I$4:$BC$34,'Options and results'!$C$39+1),0)*IF(V14&gt;='Options and results'!$I$21,'Options and results'!$I$20,1)*IF(1+'Options and results'!$Q$20*(V14-1)&gt;0,1+'Options and results'!$Q$20*(V14-1),0)</f>
        <v>3.3397028276129421</v>
      </c>
      <c r="AO14" s="1454">
        <f t="shared" si="136"/>
        <v>6.0139703076552236</v>
      </c>
      <c r="AP14" s="1454">
        <f t="shared" si="137"/>
        <v>0</v>
      </c>
      <c r="AQ14" s="1454">
        <f>(IF('Options and results'!$C$39&gt;0,IF(V14&lt;='Options and results'!$W$20,VLOOKUP('Options and results'!$C$39,Treevalue!$A$4:$F$34,5,FALSE),0),0)*AK14)*IF(V14&gt;='Options and results'!$I$21,'Options and results'!$I$20,1)*IF(1+'Options and results'!$Q$20*(V14-1)&gt;0,1+'Options and results'!$Q$20*(V14-1),0)-AR14</f>
        <v>19.850905889188326</v>
      </c>
      <c r="AR14" s="1441">
        <f>(IF('Options and results'!$C$39&gt;0,IF(V14&lt;='Options and results'!$W$20,VLOOKUP('Options and results'!$C$39,Treevalue!$A$4:$F$34,5,FALSE),0),0)*AL14)*IF(V14&gt;='Options and results'!$I$21,'Options and results'!$I$20,1)*IF(1+'Options and results'!$Q$20*(V14-1)&gt;0,1+'Options and results'!$Q$20*(V14-1),0)</f>
        <v>0</v>
      </c>
      <c r="AS14" s="1441">
        <f>(IF('Options and results'!$C$39&gt;0,IF(V14&lt;='Options and results'!$W$20,VLOOKUP('Options and results'!$C$39,Treevalue!$A$4:$F$34,6,FALSE),0),0)*AM14)*IF(V14&gt;='Options and results'!$I$21,'Options and results'!$I$20,1)*IF(1+'Options and results'!$Q$20*(V14-1)&gt;0,1+'Options and results'!$Q$20*(V14-1),0)</f>
        <v>0</v>
      </c>
      <c r="AT14" s="1441">
        <f>IF(V14&lt;='Options and results'!$W$20,(IF(AB14&lt;=0,0,IF('Options and results'!$C$43="cost",(IF(V14&lt;='Options and results'!$C$44,BZ14*SUM('Options and results'!$C$45:$C$46),0)),IF('Options and results'!$C$41&gt;0,(IF(VLOOKUP('Options and results'!$C$42,Treegrant!$B$6:$L$42,Treegrant!$C$2,FALSE)=V14,VLOOKUP('Options and results'!$C$42,Treegrant!$B$6:$L$42,Treegrant!$D$2,FALSE),0)+IF(VLOOKUP('Options and results'!$C$42,Treegrant!$B$6:$L$42,Treegrant!$E$2,FALSE)=V14,VLOOKUP('Options and results'!$C$42,Treegrant!$B$6:$L$42,Treegrant!$F$2,FALSE),0)+IF(VLOOKUP('Options and results'!$C$42,Treegrant!$B$6:$L$42,Treegrant!$G$2,FALSE)=V14,VLOOKUP('Options and results'!$C$42,Treegrant!$B$6:$L$42,Treegrant!$H$2,FALSE)))*IF('Options and results'!$C$43="area",1,'Options and results'!$C$43),0)))*IF(V14&gt;='Options and results'!$I$23,'Options and results'!$I$22,1)),0)*IF(1+'Options and results'!$Q$23*(V14-1)&gt;0,1+'Options and results'!$Q$23*(V14-1),0)</f>
        <v>0</v>
      </c>
      <c r="AU14" s="1441">
        <f>IF($W$8=0,0,IF(V14&lt;='Options and results'!$W$20,IF(AB14&lt;=0,0,IF('Options and results'!$C$41&gt;0,IF(AND(VLOOKUP('Options and results'!$C$42,Treegrant!$B$6:$L$42,Treegrant!$J$2,FALSE)&lt;=V14,VLOOKUP('Options and results'!$C$42,Treegrant!$B$6:$L$42,Treegrant!$K$2,FALSE)&gt;=V14),(VLOOKUP('Options and results'!$C$42,Treegrant!$B$6:$L$42,Treegrant!$L$2,FALSE)),0)*IF('Options and results'!$C$47="full",1,'Options and results'!$C$47))*IF(V14&gt;='Options and results'!$I$23,'Options and results'!$I$22,1)),0))*IF(1+'Options and results'!$Q$23*(V14-1)&gt;0,1+'Options and results'!$Q$23*(V14-1),0)</f>
        <v>0</v>
      </c>
      <c r="AV14" s="1032">
        <f>IF($W$8=0,0,IF(V14&lt;='Options and results'!$W$20,IF(AB14&lt;=0,0,(IF('Options and results'!$C$41&gt;0,(IF(AND(VLOOKUP('Options and results'!$C$42,Treegrant!$B$6:$O$42,Treegrant!$M$2,FALSE)&lt;=V14,VLOOKUP('Options and results'!$C$42,Treegrant!$B$6:$O$42,Treegrant!$N$2,FALSE)&gt;=V14),(VLOOKUP('Options and results'!$C$42,Treegrant!$B$6:$O$42,Treegrant!$O$2,FALSE)),0)*IF('Options and results'!$C$48="full",1,'Options and results'!$C$48))+(IF(AND(VLOOKUP('Options and results'!$C$42,Treegrant!$B$6:$R$42,Treegrant!$P$2,FALSE)&lt;=V14,VLOOKUP('Options and results'!$C$42,Treegrant!$B$6:$R$42,Treegrant!$Q$2,FALSE)&gt;=V14),(VLOOKUP('Options and results'!$C$42,Treegrant!$B$6:$R$42,Treegrant!$R$2,FALSE)),0))*IF('Options and results'!$C$49="full",1,'Options and results'!$C$49)))*IF(V14&gt;='Options and results'!$I$23,'Options and results'!$I$22,1)),0))*IF(1+'Options and results'!$Q$23*(V14-1)&gt;0,1+'Options and results'!$Q$23*(V14-1),0)</f>
        <v>0</v>
      </c>
      <c r="AW14" s="1033" t="s">
        <v>245</v>
      </c>
      <c r="AX14" s="1018">
        <f>'Options and results'!S39</f>
        <v>14.6</v>
      </c>
      <c r="AY14" s="1419">
        <f>IF($W$8=0,0,IF(V14=1,VLOOKUP($W$8,Treecost!$B$6:$AH$49,Treecost!$E$2,FALSE),0)*IF(V14&gt;='Options and results'!$I$25,'Options and results'!$I$24,1))</f>
        <v>0</v>
      </c>
      <c r="AZ14" s="889">
        <f>IF($W$8=0,0,IF(V14=1,VLOOKUP($W$8,Treecost!$B$6:$AH$49,Treecost!$F$2,FALSE),0)*IF(V14&gt;='Options and results'!$I$25,'Options and results'!$I$24,1))</f>
        <v>0</v>
      </c>
      <c r="BA14" s="889">
        <f>IF($W$8=0,0,IF(V14=1,VLOOKUP($W$8,Treecost!$B$6:$AH$49,Treecost!$G$2,FALSE),0)*IF(V14&gt;='Options and results'!$I$25,'Options and results'!$I$24,1))</f>
        <v>0</v>
      </c>
      <c r="BB14" s="889">
        <f>IF($W$8=0,0,IF(V14&lt;='Options and results'!$W$20,((VLOOKUP($W$8,Treecost!$B$6:$AH$49,Treecost!$H$2,FALSE)*(X14+AA14))/60)*IF(V14&gt;='Options and results'!$I$25,'Options and results'!$I$24,1),0))</f>
        <v>0</v>
      </c>
      <c r="BC14" s="889">
        <f>IF($W$8=0,0,IF(V14&lt;='Options and results'!$W$20,(((VLOOKUP($W$8,Treecost!$B$6:$AH$49,Treecost!$I$2,FALSE))*(X14+AA14))/60)*IF(V14&gt;='Options and results'!$I$25,'Options and results'!$I$24,1),0))</f>
        <v>0</v>
      </c>
      <c r="BD14" s="889">
        <f>IF($W$8=0,0,IF(V14&lt;='Options and results'!$W$20,(((VLOOKUP($W$8,Treecost!$B$6:$AH$49,Treecost!$J$2,FALSE))/60)*(X14+AA14))*IF(V14&gt;='Options and results'!$I$25,'Options and results'!$I$24,1),0))</f>
        <v>0</v>
      </c>
      <c r="BE14" s="1019">
        <f>IF($W$8=0,0,IF(V14&lt;='Options and results'!$W$20,(((VLOOKUP($W$8,Treecost!$B$6:$AH$49,Treecost!$C$2,FALSE)+VLOOKUP($W$8,Treecost!$B$6:$AH$49,Treecost!$D$2,FALSE))*(X14+AA14)*IF(1+'Options and results'!$Q$22*(V14-1)&gt;0,1+'Options and results'!$Q$22*(V14-1),0))+((AY14*$AX$8+AZ14*$AX$9+BA14*$AX$10+BB14*$AX$11+BC14*$AX$12+BD14*$AX$13)*IF(1+'Options and results'!$Q$21*(V14-1)&gt;0,1+'Options and results'!$Q$21*(V14-1),0)))*IF(V14&gt;='Options and results'!$I$27,'Options and results'!$I$26,1),0))</f>
        <v>0</v>
      </c>
      <c r="BF14" s="889">
        <f>IF($W$8=0,0,IF(V14&lt;='Options and results'!$W$20,IF(AND(VLOOKUP($W$8,Treecost!$B$6:$AH$49,Treecost!$K$2,FALSE)&lt;=V14,V14&lt;=(VLOOKUP($W$8,Treecost!$B$6:$AH$49,Treecost!$L$2,FALSE))),VLOOKUP($W$8,Treecost!$B$6:$AH$49,Treecost!$M$2,FALSE)*AB14/60,0)*IF(V14&gt;='Options and results'!$I$25,'Options and results'!$I$24,1),0))</f>
        <v>0</v>
      </c>
      <c r="BG14" s="1019">
        <f>IF(BF14&gt;0,(VLOOKUP($W$8,Treecost!$B$6:$AH$49,Treecost!$N$2,FALSE)*AB14*IF(1+'Options and results'!$Q$22*(V14-1)&gt;0,1+'Options and results'!$Q$22*(V14-1),0)+BF14*$AX$14*IF(1+'Options and results'!$Q$21*(V14-1)&gt;0,1+'Options and results'!$Q$21*(V14-1),0)),0)*IF(V14&gt;='Options and results'!$I$27,'Options and results'!$I$26,1)</f>
        <v>0</v>
      </c>
      <c r="BH14" s="889">
        <f>IF(V14&lt;='Options and results'!$W$20,IF(AND(AG14-AG13&gt;0,AG14&gt;'Options and results'!$M$36),(AB14-AC14)*(VLOOKUP($W$8,Treecost!$B$6:$AH$49,Treecost!$Y$2,FALSE)+(VLOOKUP($W$8,Treecost!$B$6:$AH$49,Treecost!$AA$2,FALSE)-VLOOKUP($W$8,Treecost!$B$6:$AH$49,Treecost!$Y$2,FALSE))/(VLOOKUP($W$8,Treecost!$B$6:$AH$49,Treecost!$Z$2,FALSE)-VLOOKUP($W$8,Treecost!$B$6:$AH$49,Treecost!$X$2,FALSE))*(AG14-VLOOKUP($W$8,Treecost!$B$6:$AH$49,Treecost!$X$2,FALSE)))/60,0)*IF(V14&gt;='Options and results'!$I$25,'Options and results'!$I$24,1),0)</f>
        <v>0</v>
      </c>
      <c r="BI14" s="303">
        <f>IF(V14&lt;='Options and results'!$W$20,IF(BH14&gt;0,VLOOKUP($W$8,Treecost!$B$6:$AH$49,Treecost!$AB$2,FALSE)/60*AB14,0)*IF(V14&gt;='Options and results'!$I$25,'Options and results'!$I$24,1),0)*((BH14-(MIN($BH$8:$BH$67)))/((MAX($BH$8:$BH$67))-(MIN($BH$8:$BH$67))))</f>
        <v>0</v>
      </c>
      <c r="BJ14" s="740">
        <f>IF(BH14&gt;0,(BH14*$AX$15+BI14*$AX$19)*IF(1+'Options and results'!$Q$21*(V14-1)&gt;0,1+'Options and results'!$Q$21*(V14-1),0),0)*IF(V14&gt;='Options and results'!$I$27,'Options and results'!$I$26,1)</f>
        <v>0</v>
      </c>
      <c r="BK14" s="891">
        <f>IF($W$8=0,0,IF(V14&lt;='Options and results'!$W$20,IF(VLOOKUP($W$8,Treecost!$B$2:$AH$49,Treecost!$O$2,FALSE)=V14,VLOOKUP($W$8,Treecost!$B$2:$AH$49,Treecost!$P$2,FALSE),0)*IF(V14&gt;='Options and results'!$I$25,'Options and results'!$I$24,1),0))</f>
        <v>0</v>
      </c>
      <c r="BL14" s="889">
        <f>IF($W$8=0,0,IF(V14&lt;='Options and results'!$W$20,IF(AND(V14&gt;VLOOKUP($W$8,Treecost!$B$2:$AH$49,Treecost!$O$2,FALSE),V14&lt;=VLOOKUP($W$8,Treecost!$B$2:$AH$49,Treecost!$R$2,FALSE)),VLOOKUP($W$8,Treecost!$B$2:$AH$49,Treecost!$S$2,FALSE),0)*IF(V14&gt;='Options and results'!$I$25,'Options and results'!$I$24,1),0))</f>
        <v>0</v>
      </c>
      <c r="BM14" s="740">
        <f>IF($W$8=0,0,IF(V14&lt;='Options and results'!$W$20,((IF(VLOOKUP($W$8,Treecost!$B$2:$AH$49,Treecost!$O$2,FALSE)=V14,VLOOKUP($W$8,Treecost!$B$2:$AH$49,Treecost!$Q$2,FALSE),0)+IF(AND(V14&gt;VLOOKUP($W$8,Treecost!$B$2:$AH$49,Treecost!$O$2,FALSE),V14&lt;=VLOOKUP($W$8,Treecost!$B$2:$AH$49,Treecost!$R$2,FALSE)),VLOOKUP($W$8,Treecost!$B$2:$AH$49,Treecost!$T$2,FALSE),0)*IF(1+'Options and results'!$Q$22*(V14-1)&gt;0,1+'Options and results'!$Q$22*(V14-1),0))+(BK14*$AX$16+BL14*$AX$17)*IF(1+'Options and results'!$Q$21*(V14-1)&gt;0,1+'Options and results'!$Q$21*(V14-1),0))*IF(V14&gt;='Options and results'!$I$27,'Options and results'!$I$26,1),0))</f>
        <v>0</v>
      </c>
      <c r="BN14" s="894">
        <f>IF($W$8=0,0,IF(V14&lt;='Options and results'!$W$20,IF(AND(V14&gt;=VLOOKUP($W$8,Treecost!$B$2:$W$49,Treecost!$U$2,FALSE),V14&lt;=VLOOKUP($W$8,Treecost!$B$2:$W$49,Treecost!$V$2,FALSE)),(AB14*VLOOKUP($W$8,Treecost!$B$2:$W$49,Treecost!$W$2,FALSE)/60),0)*IF(V14&gt;='Options and results'!$I$25,'Options and results'!$I$24,1),0))</f>
        <v>0</v>
      </c>
      <c r="BO14" s="740">
        <f>BN14*$AX$18*IF(V14&gt;='Options and results'!$I$27,'Options and results'!$I$26,1)*IF(1+'Options and results'!$Q$21*(V14-1)&gt;0,1+'Options and results'!$Q$21*(V14-1),0)</f>
        <v>0</v>
      </c>
      <c r="BP14" s="894">
        <f>IF(V14&lt;='Options and results'!$W$20,IF(AB14&lt;=0,0,VLOOKUP($W$8,Treecost!$B$6:$AH$49,Treecost!$AC$2,FALSE)+VLOOKUP($W$8,Treecost!$B$6:$AH$49,Treecost!$AD$2,FALSE)+IF(AND(V14&gt;=VLOOKUP($W$8,Treecost!$B$2:$AK$49,Treecost!$AI$2,FALSE),V14&lt;=VLOOKUP($W$8,Treecost!$B$2:$AK$49,Treecost!$AJ$2,FALSE)),(VLOOKUP($W$8,Treecost!$B$2:$AK$49,Treecost!$AK$2,FALSE)),0))*IF(V14&gt;='Options and results'!$I$27,'Options and results'!$I$26,1),0)*IF(1+'Options and results'!$Q$22*(V14-1)&gt;0,1+'Options and results'!$Q$22*(V14-1),0)</f>
        <v>3</v>
      </c>
      <c r="BQ14" s="894">
        <f>IF(V14&lt;='Options and results'!$W$20,IF(AC14&gt;0,VLOOKUP($W$8,Treecost!$B$6:$AH$49,Treecost!$AE$2,FALSE)/60*AC14,0)*IF(V14&gt;='Options and results'!$I$25,'Options and results'!$I$24,1),0)</f>
        <v>0</v>
      </c>
      <c r="BR14" s="740">
        <f>IF(V14&lt;='Options and results'!$W$20,IF(AC14&gt;0,VLOOKUP($W$8,Treecost!$B$6:$AH$49,Treecost!$AF$2,FALSE)/60*AC14,0)*IF(V14&gt;='Options and results'!$I$25,'Options and results'!$I$24,1),0)</f>
        <v>0</v>
      </c>
      <c r="BS14" s="740">
        <f>(BQ14*$AX$20+BR14*$AX$21)*IF(V14&gt;='Options and results'!$I$27,'Options and results'!$I$26,1)*IF(1+'Options and results'!$Q$21*(V14-1)&gt;0,1+'Options and results'!$Q$21*(V14-1),0)</f>
        <v>0</v>
      </c>
      <c r="BT14" s="894">
        <f>IF(V14&lt;='Options and results'!$W$20,IF(AD14&gt;0,(VLOOKUP($W$8,Treecost!$B$6:$AH$49,Treecost!$AG$2,FALSE)/60*AD14)*IF(V14&gt;='Options and results'!$I$25,'Options and results'!$I$24,1),0),0)</f>
        <v>0</v>
      </c>
      <c r="BU14" s="740">
        <f>IF(V14&lt;='Options and results'!$W$20,IF(AD14&gt;0,(VLOOKUP($W$8,Treecost!$B$6:$AH$49,Treecost!$AH$2,FALSE)/60*AD14)*IF(V14&gt;='Options and results'!$I$25,'Options and results'!$I$24,1),0),0)</f>
        <v>0</v>
      </c>
      <c r="BV14" s="740">
        <f>(BT14*$AX$22+BU14*$AX$23)*IF(V14&gt;='Options and results'!$I$27,'Options and results'!$I$26,1)*IF(1+'Options and results'!$Q$21*(V14-1)&gt;0,1+'Options and results'!$Q$21*(V14-1),0)</f>
        <v>0</v>
      </c>
      <c r="BW14" s="1033">
        <f t="shared" si="138"/>
        <v>0</v>
      </c>
      <c r="BX14" s="1027">
        <f t="shared" si="139"/>
        <v>0</v>
      </c>
      <c r="BY14" s="1027">
        <f t="shared" si="140"/>
        <v>0</v>
      </c>
      <c r="BZ14" s="740">
        <f t="shared" si="124"/>
        <v>3</v>
      </c>
      <c r="CA14" s="740">
        <f t="shared" si="141"/>
        <v>-3</v>
      </c>
      <c r="CB14" s="894">
        <f>IF($V14&lt;='Options and results'!$W$20,SUM(BX$8:$BX14),0)</f>
        <v>0</v>
      </c>
      <c r="CC14" s="740">
        <f>IF($V14&lt;='Options and results'!$W$20,SUM($BY$8:BY14),0)</f>
        <v>0</v>
      </c>
      <c r="CD14" s="740">
        <f>IF($V14&lt;='Options and results'!$W$20,SUM($BZ$8:BZ14),0)</f>
        <v>902.26393505245346</v>
      </c>
      <c r="CE14" s="740">
        <f>IF(V14&lt;='Options and results'!$W$20,CB14+CC14-CD14,0)</f>
        <v>-902.26393505245346</v>
      </c>
      <c r="CF14" s="1381">
        <f t="shared" si="142"/>
        <v>15.391811880551575</v>
      </c>
      <c r="CG14" s="1027">
        <f t="shared" si="143"/>
        <v>12.391811880551575</v>
      </c>
      <c r="CH14" s="1027">
        <f t="shared" si="144"/>
        <v>0</v>
      </c>
      <c r="CI14" s="1189">
        <f>IF(V14&lt;='Options and results'!$W$20,CE14+AO14,0)</f>
        <v>-896.24996474479826</v>
      </c>
      <c r="CJ14" s="1023"/>
      <c r="CK14" s="895">
        <f t="shared" si="145"/>
        <v>7</v>
      </c>
      <c r="CL14" s="1011" t="str">
        <f>IF('Options and results'!$C$54="None",0,IF(AND(CK14&gt;='Options and results'!$K$57,CK13&lt;'Options and results'!$W$20),'Options and results'!$K$56,IF(Optimisation!$B$3="No",CONCATENATE('Options and results'!$C$60," ",(HLOOKUP(CONCATENATE('Options and results'!$C$54," ",Agroforestrysystem!$B$12),Agroforestrysystem!$B$11:$IM$74,$CK14+4,FALSE))),Optimisation!AA34)))</f>
        <v>UK - Agriculture (BPS: from 2015) Barley</v>
      </c>
      <c r="CM14" s="1012">
        <f>IF(HLOOKUP(CONCATENATE('Options and results'!$C$54," ",Agroforestrysystem!$C$12),Agroforestrysystem!$B$11:$IM$74,$CK14+4,FALSE)="T",(VLOOKUP(CL14,Arablefinance!$Z$6:$AB$105,Arablefinance!$AB$2,FALSE)*CO14+VLOOKUP(CL14,Arablefinance!$Z$6:$AC$105,Arablefinance!$AC$2,FALSE)*CP14)/VLOOKUP(CL14,Arablefinance!$Z$6:$AA$105,Arablefinance!$AA$2,FALSE),0)</f>
        <v>0</v>
      </c>
      <c r="CN14" s="1012">
        <f>IF(CL14=0,0,HLOOKUP(CONCATENATE('Options and results'!$C$54," ",Agroforestrysystem!$D$12),Agroforestrysystem!$B$11:$IM$74,$CK14+4,FALSE))</f>
        <v>0.99</v>
      </c>
      <c r="CO14" s="1440">
        <f ca="1">IF(CL14=0,0,IF(AND(Optimisation!$B$3="yes",Optimisation!$B$4=1,CK14&gt;Optimisation!$B$9),0,HLOOKUP(CONCATENATE('Options and results'!$C$54," ",Agroforestrysystem!$E$12),Agroforestrysystem!$B$11:$IM$74,$CK14+4,FALSE)*IF(CK14&gt;='Options and results'!$J$19,'Options and results'!$J$18,1)))</f>
        <v>5.34</v>
      </c>
      <c r="CP14" s="1440">
        <f ca="1">IF(CL14=0,0,IF(AND(Optimisation!$B$3="yes",Optimisation!$B$4=1,CK14&gt;Optimisation!$B$9),0,HLOOKUP(CONCATENATE('Options and results'!$C$54," ",Agroforestrysystem!$F$12),Agroforestrysystem!$B$11:$IM$74,$CK14+4,FALSE)*IF(CK14&gt;='Options and results'!$J$19,'Options and results'!$J$18,1)))</f>
        <v>3.2039999999999997</v>
      </c>
      <c r="CQ14" s="1013">
        <f ca="1">IF(CN14&lt;=0,0,IF(CK14&lt;='Options and results'!$W$20,IF(CM14&gt;0,VLOOKUP(CL14,Arablefinance!$Z$6:$AE$105,Arablefinance!$AD$2,FALSE)*CM14*CN14,((VLOOKUP(CL14,Arablefinance!$E$6:$H$126,2,FALSE)*CO14+VLOOKUP(CL14,Arablefinance!$E$6:$H$126,3,FALSE)*CP14)*CN14)),0)*IF(CK14&gt;='Options and results'!$J$21,'Options and results'!$J$20,1))*IF(1+'Options and results'!$O$20*(CK14-1)&gt;0,1+'Options and results'!$O$20*(CK14-1),0)</f>
        <v>1018.8452999999998</v>
      </c>
      <c r="CR14" s="1441">
        <f>IF(CN14&lt;=0,0,IF(AND(CM14&gt;0,VLOOKUP(CL14,Arablefinance!$Z$6:$AI$105,Arablefinance!$AI$2,FALSE)=2),VLOOKUP(CL14,Arablefinance!$Z$6:$AE$105,Arablefinance!$AE$2,FALSE)*CM14*CN14,IF('Options and results'!$C$62&gt;0,IF(VLOOKUP(CL14,Arablefinance!$E$6:$W$126,Arablefinance!$H$2,FALSE)*(1-Plot!DM14*'Options and results'!$C$62)&gt;0,VLOOKUP(CL14,Arablefinance!$E$6:$W$126,Arablefinance!$H$2,FALSE)*(1-Plot!DM14*'Options and results'!$C$62),0),IF(CK14&lt;='Options and results'!$W$20,(VLOOKUP(CL14,Arablefinance!$E$6:$W$126,Arablefinance!$H$2,FALSE)*IF('Options and results'!$C$61="area",CN14,'Options and results'!$C$61)),0)))*IF(CK14&gt;='Options and results'!$J$23,'Options and results'!$J$22,1))*IF(AND(1+'Options and results'!$O$23*(CK14-1)&gt;0,1+'Options and results'!$O$23*(CK14-1)&gt;'Options and results'!$S$24),1+'Options and results'!$O$23*(CK14-1),'Options and results'!$S$24)</f>
        <v>0</v>
      </c>
      <c r="CS14" s="1441">
        <f t="shared" ca="1" si="146"/>
        <v>1018.8452999999998</v>
      </c>
      <c r="CT14" s="1441">
        <f>IF(CN14&lt;=0,0,IF(CK14&lt;='Options and results'!$W$20,IF(CM14&gt;0,VLOOKUP(CL14,Arablefinance!$Z$6:$AF$105,Arablefinance!$AF$2,FALSE)*CM14*CN14,VLOOKUP(CL14,Arablefinance!$E$6:$X$126,Arablefinance!$R$2,FALSE)*CN14),0)*IF(CK14&gt;='Options and results'!$J$27,'Options and results'!$J$26,1))*IF(1+'Options and results'!$O$22*(CK14-1)&gt;0,1+'Options and results'!$O$22*(CK14-1),0)</f>
        <v>529.85624999999993</v>
      </c>
      <c r="CU14" s="1441">
        <f t="shared" ca="1" si="147"/>
        <v>488.98904999999991</v>
      </c>
      <c r="CV14" s="1441">
        <f>IF(CN14&lt;=0,0,IF(CK14&lt;='Options and results'!$W$20,IF(CM14&gt;0,VLOOKUP(CL14,Arablefinance!$Z$6:$AG$105,Arablefinance!$AG$2,FALSE)*CM14*CN14,VLOOKUP(CL14,Arablefinance!$E$6:$X$126,Arablefinance!$X$2,FALSE)*CN14),0)*IF(CK14&gt;='Options and results'!$J$27,'Options and results'!$J$26,1))*IF(1+'Options and results'!$O$22*(CK14-1)&gt;0,1+'Options and results'!$O$22*(CK14-1),0)</f>
        <v>440</v>
      </c>
      <c r="CW14" s="1442">
        <f>IF(CN14&lt;=0,0,IF(CK14&lt;='Options and results'!$W$20,'Options and results'!$C$27*IF(CK14&gt;='Options and results'!$J$27,'Options and results'!$J$26,1),0))*IF(1+'Options and results'!$O$21*(CK14-1)&gt;0,1+'Options and results'!$O$21*(CK14-1),0)</f>
        <v>14.6</v>
      </c>
      <c r="CX14" s="1442">
        <f>IF(CN14&lt;=0,0,IF(CK14&lt;='Options and results'!$W$20,IF(CM14&gt;0,VLOOKUP(CL14,Arablefinance!$Z$6:$AH$105,Arablefinance!$AH$2,FALSE)*CM14*CN14,VLOOKUP(CL14,Arablefinance!$E$6:$W$126,Arablefinance!$V$2,FALSE)*CN14),0)*IF(CK14&gt;='Options and results'!$J$25,'Options and results'!$J$24,1))</f>
        <v>10.725352674112727</v>
      </c>
      <c r="CY14" s="1013">
        <f t="shared" si="148"/>
        <v>1126.4463990420459</v>
      </c>
      <c r="CZ14" s="1353">
        <f t="shared" ca="1" si="149"/>
        <v>-107.60109904204603</v>
      </c>
      <c r="DA14" s="1013">
        <f ca="1">IF($CK14&lt;='Options and results'!$W$20,SUM($CQ$8:CQ14),0)</f>
        <v>10322.05075</v>
      </c>
      <c r="DB14" s="1441">
        <f>IF($CK14&lt;='Options and results'!$W$20,SUM($CR$8:CR14),0)</f>
        <v>0</v>
      </c>
      <c r="DC14" s="1441">
        <f>IF($CK14&lt;='Options and results'!$W$20,SUM($CY$8:CY14),0)</f>
        <v>8447.1957834900022</v>
      </c>
      <c r="DD14" s="1189">
        <f ca="1">IF(CK14&lt;='Options and results'!$W$20,DA14+DB14-DC14,0)</f>
        <v>1874.8549665099981</v>
      </c>
      <c r="DE14" s="401"/>
      <c r="DF14" s="895">
        <f t="shared" si="150"/>
        <v>7</v>
      </c>
      <c r="DG14" s="173"/>
      <c r="DH14" s="1422"/>
      <c r="DI14" s="1427">
        <f>IF(DF14&lt;='Options and results'!$M$61,'Options and results'!$M$60,0)</f>
        <v>0</v>
      </c>
      <c r="DJ14" s="740">
        <f t="shared" si="151"/>
        <v>0</v>
      </c>
      <c r="DK14" s="740">
        <f t="shared" si="152"/>
        <v>0</v>
      </c>
      <c r="DL14" s="1428">
        <f t="shared" si="153"/>
        <v>100</v>
      </c>
      <c r="DM14" s="1429">
        <f>IF($DG$8=0,0,HLOOKUP(CONCATENATE('Options and results'!$C$54," ",Agroforestrysystem!$J$12),Agroforestrysystem!$11:$74,DF14+3,FALSE))/100</f>
        <v>0.32899999999999996</v>
      </c>
      <c r="DN14" s="740">
        <f>IF($DG$8=0,0,IF(HLOOKUP(CONCATENATE('Options and results'!$C$54," ",Agroforestrysystem!$H$12),Agroforestrysystem!$11:$74,DF14+4,FALSE)&lt;DL14,HLOOKUP(CONCATENATE('Options and results'!$C$54," ",Agroforestrysystem!$H$12),Agroforestrysystem!$11:$74,DF14+4,FALSE),0))</f>
        <v>0</v>
      </c>
      <c r="DO14" s="1027">
        <f>IF($DG$8=0,0,IF(HLOOKUP(CONCATENATE('Options and results'!$C$54," ",Agroforestrysystem!$H$12),Agroforestrysystem!$11:$74,DF14+4,FALSE)&gt;=DL14,DL14,0))</f>
        <v>0</v>
      </c>
      <c r="DP14" s="1430">
        <f>IF($DG$8=0,0,HLOOKUP(CONCATENATE('Options and results'!$C$54," ",Agroforestrysystem!$I$12),Agroforestrysystem!$11:$74,DF14+4,FALSE))</f>
        <v>5.8351866940448929</v>
      </c>
      <c r="DQ14" s="1038"/>
      <c r="DR14" s="1390">
        <f>IF($DG$8=0,0,IF(DF14&gt;'Options and results'!$W$20,0,)+IF(DF14=1,'Options and results'!$M$64)+IF('Options and results'!$M$67="yes",IF(AND(DR13+'Options and results'!$M$65&lt;=$DQ$8,DR13+'Options and results'!$M$65+IF(DF14=1,'Options and results'!$M$64,0)&lt;='Options and results'!$M$66*DP14),DR13+'Options and results'!$M$65,DR13),(HLOOKUP(CONCATENATE('Options and results'!$C$54," ",Agroforestrysystem!$K$12),Agroforestrysystem!$11:$74,DF14+4,FALSE)-IF(DF14=1,'Options and results'!$M$64))))</f>
        <v>3</v>
      </c>
      <c r="DS14" s="1027">
        <f>IF(OR($DG$8=0,DL14=0),0,HLOOKUP(CONCATENATE('Options and results'!$C$54," ",Agroforestrysystem!$L$12),Agroforestrysystem!$11:$74,DF14+4,FALSE)*IF(DF14&gt;='Options and results'!$K$19,'Options and results'!$K$18,1))</f>
        <v>1.1586234781164211</v>
      </c>
      <c r="DT14" s="1431">
        <f t="shared" si="154"/>
        <v>1.1586234781164211E-2</v>
      </c>
      <c r="DU14" s="889">
        <f t="shared" si="155"/>
        <v>0</v>
      </c>
      <c r="DV14" s="1027">
        <f>IF($DG$8=0,0,(HLOOKUP(CONCATENATE('Options and results'!$C$54," ",Agroforestrysystem!$M$12),Agroforestrysystem!$11:$74,DF14+4,FALSE))*IF(DF14&gt;='Options and results'!$K$19,'Options and results'!$K$18,1))-DW14</f>
        <v>0.51089210471605095</v>
      </c>
      <c r="DW14" s="303">
        <f>IF($DG$8=0,0,(HLOOKUP(CONCATENATE('Options and results'!$C$54," ",Agroforestrysystem!$N$12),Agroforestrysystem!$11:$74,DF14+4,FALSE))*IF(DF14&gt;='Options and results'!$K$19,'Options and results'!$K$18,1))</f>
        <v>0</v>
      </c>
      <c r="DX14" s="303">
        <f>IF($DG$8=0,0,HLOOKUP(CONCATENATE('Options and results'!$C$54," ",Agroforestrysystem!$O$12),Agroforestrysystem!$11:$74,DF14+4,FALSE)*IF(DF14&gt;='Options and results'!$K$19,'Options and results'!$K$18,1))</f>
        <v>0</v>
      </c>
      <c r="DY14" s="1192">
        <f>IF(DT14&gt;0,HLOOKUP(DT14,Treevalue!$I$4:$BC$34,'Options and results'!$C$66+1),0)*IF(DF14&gt;='Options and results'!$K$21,'Options and results'!$K$20,1)*IF(1+'Options and results'!$Q$20*(DF14-1)&gt;0,1+'Options and results'!$Q$20*(DF14-1),0)</f>
        <v>3.3397028276129421</v>
      </c>
      <c r="DZ14" s="1027">
        <f t="shared" si="156"/>
        <v>3.8694581060041533</v>
      </c>
      <c r="EA14" s="1027">
        <f t="shared" si="125"/>
        <v>0</v>
      </c>
      <c r="EB14" s="1027">
        <f>(IF('Options and results'!$C$66&gt;0,IF(DF14&lt;='Options and results'!$W$20,VLOOKUP('Options and results'!$C$66,Treevalue!$A$4:$F$34,5,FALSE),0),0)*DV14)*IF(DF14&gt;='Options and results'!$K$21,'Options and results'!$K$20,1)*IF(1+'Options and results'!$Q$20*(DF14-1)&gt;0,1+'Options and results'!$Q$20*(DF14-1),0)</f>
        <v>12.772302617901273</v>
      </c>
      <c r="EC14" s="740">
        <f>(IF('Options and results'!$C$66&gt;0,IF(DF14&lt;='Options and results'!$W$20,VLOOKUP('Options and results'!$C$66,Treevalue!$A$4:$F$34,5,FALSE),0),0)*DW14)*IF(DF14&gt;='Options and results'!$K$21,'Options and results'!$K$20,1)*IF(1+'Options and results'!$Q$20*(DF14-1)&gt;0,1+'Options and results'!$Q$20*(DF14-1),0)</f>
        <v>0</v>
      </c>
      <c r="ED14" s="889">
        <f>(IF('Options and results'!$C$66&gt;0,IF(DF14&lt;='Options and results'!$W$20,VLOOKUP('Options and results'!$C$66,Treevalue!$A$4:$F$34,6,FALSE),0),0)*DX14)*IF(DF14&gt;='Options and results'!$K$21,'Options and results'!$K$20,1)*IF(1+'Options and results'!$Q$20*(DF14-1)&gt;0,1+'Options and results'!$Q$20*(DF14-1),0)</f>
        <v>0</v>
      </c>
      <c r="EE14" s="740">
        <f>IF(DF14&lt;='Options and results'!$W$20,IF(DL14&lt;=0,0,IF('Options and results'!$C$70="cost",(IF(DF14&lt;='Options and results'!$C$71,FK14*SUM('Options and results'!$C$72:$C$73),0)),IF('Options and results'!$C$68&gt;0,(IF(VLOOKUP('Options and results'!$C$69,Treegrant!$B$6:$L$42,Treegrant!$C$2,FALSE)=DF14,VLOOKUP('Options and results'!$C$69,Treegrant!$B$6:$L$42,Treegrant!$D$2,FALSE),0)+IF(VLOOKUP('Options and results'!$C$69,Treegrant!$B$6:$L$42,Treegrant!$E$2,FALSE)=DF14,VLOOKUP('Options and results'!$C$69,Treegrant!$B$6:$L$42,Treegrant!$F$2,FALSE),0)+IF(VLOOKUP('Options and results'!$C$69,Treegrant!$B$6:$L$42,Treegrant!$G$2,FALSE)=DF14,VLOOKUP('Options and results'!$C$69,Treegrant!$B$6:$L$42,Treegrant!$H$2,FALSE)))*IF('Options and results'!$C$70="area",Unit!C15,'Options and results'!$C$70),0))*IF(DF14&gt;='Options and results'!$K$23,'Options and results'!$K$22,1)),0)*IF(1+'Options and results'!$Q$23*(DF14-1)&gt;0,1+'Options and results'!$Q$23*(DF14-1),0)</f>
        <v>0</v>
      </c>
      <c r="EF14" s="740">
        <f>IF($DG$8=0,0,IF(DF14&lt;='Options and results'!$W$20,IF(DL14&lt;=0,0,IF('Options and results'!$C$68&gt;0,IF(AND(VLOOKUP('Options and results'!$C$69,Treegrant!$B$6:$L$42,Treegrant!$J$2,FALSE)&lt;=DF14,VLOOKUP('Options and results'!$C$69,Treegrant!$B$6:$L$42,Treegrant!$K$2,FALSE)&gt;=DF14),(VLOOKUP('Options and results'!$C$69,Treegrant!$B$6:$L$42,Treegrant!$L$2,FALSE)),0)*IF('Options and results'!$C$74="area",Unit!C15,'Options and results'!$C$74))*IF(DF14&gt;='Options and results'!$K$23,'Options and results'!$K$22,1)),0))*IF(1+'Options and results'!$Q$23*(DF14-1)&gt;0,1+'Options and results'!$Q$23*(DF14-1),0)</f>
        <v>0</v>
      </c>
      <c r="EG14" s="1034">
        <f>IF($DG$8=0,0,IF(DF14&lt;='Options and results'!$W$20,IF(DL14&lt;=0,0,IF('Options and results'!$C$68&gt;0,((IF(AND(VLOOKUP('Options and results'!$C$69,Treegrant!$B$6:$O$42,Treegrant!$M$2,FALSE)&lt;=DF14,VLOOKUP('Options and results'!$C$69,Treegrant!$B$6:$O$42,Treegrant!$N$2,FALSE)&gt;=DF14),(VLOOKUP('Options and results'!$C$69,Treegrant!$B$6:$O$42,Treegrant!$O$2,FALSE)),0)*IF('Options and results'!$C$75="area",Unit!C15,'Options and results'!$C$75))+(IF(AND(VLOOKUP('Options and results'!$C$69,Treegrant!$B$6:$R$42,Treegrant!$P$2,FALSE)&lt;=DF14,VLOOKUP('Options and results'!$C$69,Treegrant!$B$6:$R$42,Treegrant!$Q$2,FALSE)&gt;=DF14),(VLOOKUP('Options and results'!$C$69,Treegrant!$B$6:$R$42,Treegrant!$R$2,FALSE)),0))*IF('Options and results'!$C$76="area",Unit!C15,'Options and results'!$C$76)))*IF(DF14&gt;='Options and results'!$K$23,'Options and results'!$K$22,1)),0))*IF(1+'Options and results'!$Q$23*(DF14-1)&gt;0,1+'Options and results'!$Q$23*(DF14-1),0)</f>
        <v>0</v>
      </c>
      <c r="EH14" s="1033" t="s">
        <v>245</v>
      </c>
      <c r="EI14" s="1018">
        <f>'Options and results'!S39</f>
        <v>14.6</v>
      </c>
      <c r="EJ14" s="1419">
        <f>IF($DH$8+DK14&lt;1,0,IF(DF14=1,VLOOKUP($DG$8,Treecost!$B$6:$AH$49,Treecost!$E$2,FALSE),0)*IF(DF14&gt;='Options and results'!$K$25,'Options and results'!$K$24,1))</f>
        <v>0</v>
      </c>
      <c r="EK14" s="889">
        <f>IF($DH$8+DK14&lt;1,0,IF(DF14=1,VLOOKUP($DG$8,Treecost!$B$6:$AH$49,Treecost!$F$2,FALSE),0)*IF(DF14&gt;='Options and results'!$K$25,'Options and results'!$K$24,1))</f>
        <v>0</v>
      </c>
      <c r="EL14" s="889">
        <f>IF($DH$8+DK14&lt;1,0,IF(DF14=1,VLOOKUP($DG$8,Treecost!$B$6:$AH$49,Treecost!$G$2,FALSE),0)*IF(DF14&gt;='Options and results'!$K$25,'Options and results'!$K$24,1))</f>
        <v>0</v>
      </c>
      <c r="EM14" s="889">
        <f>IF($DG$8=0,0,IF(DF14&lt;='Options and results'!$W$20,((VLOOKUP($DG$8,Treecost!$B$6:$AH$49,Treecost!$H$2,FALSE)*(DH14+DK14))/60)*IF(DF14&gt;='Options and results'!$K$25,'Options and results'!$K$24,1),0))</f>
        <v>0</v>
      </c>
      <c r="EN14" s="889">
        <f>IF($DG$8=0,0,IF(DF14&lt;='Options and results'!$W$20,(((VLOOKUP($DG$8,Treecost!$B$6:$AH$49,Treecost!$I$2,FALSE))*(DH14+DK14))/60)*IF(DF14&gt;='Options and results'!$K$25,'Options and results'!$K$24,1),0))</f>
        <v>0</v>
      </c>
      <c r="EO14" s="889">
        <f>IF($DG$8=0,0,IF(DF14&lt;='Options and results'!$W$20,(((VLOOKUP($DG$8,Treecost!$B$6:$AH$49,Treecost!$J$2,FALSE))/60)*(DH14+DK14))*IF(DF14&gt;='Options and results'!$K$25,'Options and results'!$K$24,1),0))</f>
        <v>0</v>
      </c>
      <c r="EP14" s="1019">
        <f>IF($DG$8=0,0,IF(DF14&lt;='Options and results'!$W$20,(((VLOOKUP($DG$8,Treecost!$B$6:$AH$49,Treecost!$C$2,FALSE)+VLOOKUP($DG$8,Treecost!$B$6:$AH$49,Treecost!$D$2,FALSE))*(DH14+DK14)*IF(1+'Options and results'!$Q$22*(DF14-1)&gt;0,1+'Options and results'!$Q$22*(DF14-1),0))+(EJ14*$EI$8+EK14*$EI$9+EL14*$EI$10+EM14*$EI$11+EN14*$EI$12+EO14*$EI$13)*IF(1+'Options and results'!$Q$21*(DF14-1)&gt;0,1+'Options and results'!$Q$21*(DF14-1),0))*IF(DF14&gt;='Options and results'!$K$27,'Options and results'!$K$26,1),0))</f>
        <v>0</v>
      </c>
      <c r="EQ14" s="889">
        <f>IF($DG$8=0,0,IF(DF14&lt;='Options and results'!$W$20,IF(AND(VLOOKUP($DG$8,Treecost!$B$6:$AH$49,Treecost!$K$2,FALSE)&lt;=DF14,DF14&lt;=(VLOOKUP($DG$8,Treecost!$B$6:$AH$49,Treecost!$L$2,FALSE))),VLOOKUP($DG$8,Treecost!$B$6:$AH$49,Treecost!$M$2,FALSE)*DL14/60,0)*IF(DF14&gt;='Options and results'!$K$25,'Options and results'!$K$24,1),0))</f>
        <v>0</v>
      </c>
      <c r="ER14" s="1019">
        <f>IF(EQ14&gt;0,(VLOOKUP($DG$8,Treecost!$B$6:$AH$49,Treecost!$N$2,FALSE)*DL14*IF(1+'Options and results'!$Q$22*(DF14-1)&gt;0,1+'Options and results'!$Q$22*(DF14-1),0)+EQ14*$EI$14*IF(1+'Options and results'!$Q$21*(DF14-1)&gt;0,1+'Options and results'!$Q$21*(DF14-1),0)),0)*IF(DF14&gt;='Options and results'!$K$27,'Options and results'!$K$26,1)</f>
        <v>0</v>
      </c>
      <c r="ES14" s="889">
        <f>IF(DF14&lt;='Options and results'!$W$20,IF(AND(DR14-DR13&gt;0,DR14&gt;'Options and results'!$M$64),(DL14-DN14)*(VLOOKUP($DG$8,Treecost!$B$6:$AH$49,Treecost!$Y$2,FALSE)+(VLOOKUP($DG$8,Treecost!$B$6:$AH$49,Treecost!$AA$2,FALSE)-VLOOKUP($DG$8,Treecost!$B$6:$AH$49,Treecost!$Y$2,FALSE))/(VLOOKUP($DG$8,Treecost!$B$6:$AH$49,Treecost!$Z$2,FALSE)-VLOOKUP($DG$8,Treecost!$B$6:$AH$49,Treecost!$X$2,FALSE))*(DR14-VLOOKUP($DG$8,Treecost!$B$6:$AH$49,Treecost!$X$2,FALSE)))/60,0)*IF(DF14&gt;='Options and results'!$K$25,'Options and results'!$K$24,1),0)</f>
        <v>0</v>
      </c>
      <c r="ET14" s="889">
        <f>IF(DF14&lt;='Options and results'!$W$20,IF(ES14&gt;0,VLOOKUP($DG$8,Treecost!$B$6:$AH$49,Treecost!$AB$2,FALSE)/60*DL14,0)*IF(DF14&gt;='Options and results'!$K$25,'Options and results'!$K$24,1),0)*((ES14-(MIN($ES$8:$ES$67)))/((MAX($ES$8:$ES$67))-(MIN($ES$8:$ES$67))))</f>
        <v>0</v>
      </c>
      <c r="EU14" s="740">
        <f>IF(ES14&gt;0,(ES14*$EI$15+ET14*$EI$19)*IF(1+'Options and results'!$Q$21*(DF14-1)&gt;0,1+'Options and results'!$Q$21*(DF14-1),0),0)*IF(DF14&gt;='Options and results'!$K$27,'Options and results'!$K$26,1)</f>
        <v>0</v>
      </c>
      <c r="EV14" s="891">
        <f>IF($DG$8=0,0,IF(DF14&lt;='Options and results'!$W$20,IF(AND(VLOOKUP($DG$8,Treecost!$B$2:$AH$49,Treecost!$O$2,FALSE)=DF14,DF14&lt;=IF(AND(Optimisation!$B$3="Yes",Optimisation!$B$4=1),Optimisation!$B$9)),VLOOKUP($DG$8,Treecost!$B$2:$AH$49,Treecost!$P$2,FALSE)*(1-CN14),0)*IF(DF14&gt;='Options and results'!$K$25,'Options and results'!$K$24,1),0))</f>
        <v>0</v>
      </c>
      <c r="EW14" s="889">
        <f>IF($DG$8=0,0,IF(DF14&lt;='Options and results'!$W$20,IF(AND(DF14&gt;VLOOKUP($DG$8,Treecost!$B$2:$AH$49,Treecost!$O$2,FALSE),DF14&lt;=IF(AND(Optimisation!$B$3="Yes",Optimisation!$B$4=1),Optimisation!$B$9,VLOOKUP($DG$8,Treecost!$B$2:$AH$49,Treecost!$R$2,FALSE))),VLOOKUP($DG$8,Treecost!$B$2:$AH$49,Treecost!$S$2,FALSE)*(1-CN14),0)*IF(DF14&gt;='Options and results'!$K$25,'Options and results'!$K$24,1),0))</f>
        <v>0</v>
      </c>
      <c r="EX14" s="740">
        <f>IF($DG$8=0,0,IF(DF14&lt;='Options and results'!$W$20,(IF(AND(VLOOKUP($DG$8,Treecost!$B$2:$AH$49,Treecost!$O$2,FALSE)=DF14,DF14&lt;=IF(AND(Optimisation!$B$3="Yes",Optimisation!$B$4=1),Optimisation!$B$9)),VLOOKUP($DG$8,Treecost!$B$2:$AH$49,Treecost!$Q$2,FALSE),0)*(1-CN14)+IF(AND(DF14&gt;VLOOKUP($DG$8,Treecost!$B$2:$AH$49,Treecost!$O$2,FALSE),DF14&lt;=IF(AND(Optimisation!$B$3="Yes",Optimisation!$B$4=1),Optimisation!$B$9,VLOOKUP($DG$8,Treecost!$B$2:$AH$49,Treecost!$R$2,FALSE))),VLOOKUP($DG$8,Treecost!$B$2:$AH$49,Treecost!$T$2,FALSE),0)*(1-CN14)+(EV14*$EI$16+EW14*$EI$17))*IF(DF14&gt;='Options and results'!$K$27,'Options and results'!$K$26,1),0))*IF(1+'Options and results'!$Q$21*(DF14-1)&gt;0,1+'Options and results'!$Q$21*(DF14-1),0)</f>
        <v>0</v>
      </c>
      <c r="EY14" s="894">
        <f>IF($DG$8=0,0,IF(DF14&lt;='Options and results'!$W$20,IF(AND(DF14&gt;=VLOOKUP($DG$8,Treecost!$B$2:$W$49,Treecost!$U$2,FALSE),DF14&lt;=VLOOKUP($DG$8,Treecost!$B$2:$W$49,Treecost!$V$2,FALSE)),(DL14*VLOOKUP($DG$8,Treecost!$B$2:$W$49,Treecost!$W$2,FALSE)/60),0)*IF(DF14&gt;='Options and results'!$K$25,'Options and results'!$K$24,1),0))</f>
        <v>0</v>
      </c>
      <c r="EZ14" s="740">
        <f>EY14*$EI$18*IF(DF14&gt;='Options and results'!$K$27,'Options and results'!$K$26,1)*IF(1+'Options and results'!$Q$21*(DF14-1)&gt;0,1+'Options and results'!$Q$21*(DF14-1),0)</f>
        <v>0</v>
      </c>
      <c r="FA14" s="1025">
        <f>IF(DF14&lt;='Options and results'!$W$20,IF(DL14&lt;=0,0,VLOOKUP($DG$8,Treecost!$B$6:$AH$49,Treecost!$AC$2,FALSE)+VLOOKUP($DG$8,Treecost!$B$6:$AH$49,Treecost!$AD$2,FALSE)+IF(AND(DF14&gt;=VLOOKUP($DG$8,Treecost!$B$2:$AK$49,Treecost!$AI$2,FALSE),DF14&lt;=VLOOKUP($DG$8,Treecost!$B$2:$AK$49,Treecost!$AJ$2,FALSE)),VLOOKUP($DG$8,Treecost!$B$2:$AK$49,Treecost!$AK$2,FALSE)*(1-CN14),0))*IF(DF14&gt;='Options and results'!$K$27,'Options and results'!$K$26,1),0)*IF(1+'Options and results'!$Q$22*(DF14-1)&gt;0,1+'Options and results'!$Q$22*(DF14-1),0)</f>
        <v>3</v>
      </c>
      <c r="FB14" s="894">
        <f>IF(DF14&lt;='Options and results'!$W$20,IF(DN14&gt;0,VLOOKUP($DG$8,Treecost!$B$6:$AH$49,Treecost!$AE$2,FALSE)/60*DN14,0)*IF(DF14&gt;='Options and results'!$K$25,'Options and results'!$K$24,1),0)</f>
        <v>0</v>
      </c>
      <c r="FC14" s="740">
        <f>IF(DF14&lt;='Options and results'!$W$20,IF(DN14&gt;0,VLOOKUP($DG$8,Treecost!$B$6:$AH$49,Treecost!$AF$2,FALSE)/60*DN14,0)*IF(DF14&gt;='Options and results'!$K$25,'Options and results'!$K$24,1),0)</f>
        <v>0</v>
      </c>
      <c r="FD14" s="740">
        <f>(FB14*$EI$20+FC14*$EI$21)*IF(DF14&gt;='Options and results'!$K$27,'Options and results'!$K$26,1)*IF(1+'Options and results'!$Q$21*(DF14-1)&gt;0,1+'Options and results'!$Q$21*(DF14-1),0)</f>
        <v>0</v>
      </c>
      <c r="FE14" s="894">
        <f>IF(DF14&lt;='Options and results'!$W$20,IF(DO14&gt;0,(VLOOKUP($DG$8,Treecost!$B$6:$AH$49,Treecost!$AG$2,FALSE)/60*DO14)*IF(DF14&gt;='Options and results'!$K$25,'Options and results'!$K$24,1),0),0)</f>
        <v>0</v>
      </c>
      <c r="FF14" s="740">
        <f>IF(DF14&lt;='Options and results'!$W$20,IF(DO14&gt;0,(VLOOKUP($DG$8,Treecost!$B$6:$AH$49,Treecost!$AH$2,FALSE)/60*DO14)*IF(DF14&gt;='Options and results'!$K$25,'Options and results'!$K$24,1),0),0)</f>
        <v>0</v>
      </c>
      <c r="FG14" s="740">
        <f>(FE14*$EI$22+FF14*$EI$23)*IF(DF14&gt;='Options and results'!$K$27,'Options and results'!$K$26,1)*IF(1+'Options and results'!$Q$21*(DF14-1)&gt;0,1+'Options and results'!$Q$21*(DF14-1),0)</f>
        <v>0</v>
      </c>
      <c r="FH14" s="894">
        <f t="shared" si="157"/>
        <v>0</v>
      </c>
      <c r="FI14" s="1027">
        <f t="shared" si="158"/>
        <v>0</v>
      </c>
      <c r="FJ14" s="1027">
        <f t="shared" si="159"/>
        <v>0</v>
      </c>
      <c r="FK14" s="1027">
        <f t="shared" si="160"/>
        <v>3</v>
      </c>
      <c r="FL14" s="1027">
        <f t="shared" si="161"/>
        <v>-3</v>
      </c>
      <c r="FM14" s="1027">
        <f>IF($DF14&lt;='Options and results'!$W$20,SUM(FI$8:$FI14),0)</f>
        <v>0</v>
      </c>
      <c r="FN14" s="1027">
        <f>IF($DF14&lt;='Options and results'!$W$20,SUM($FJ$8:FJ14),0)</f>
        <v>0</v>
      </c>
      <c r="FO14" s="1027">
        <f>IF($DF14&lt;='Options and results'!$W$20,SUM($FK$8:FK14),0)</f>
        <v>620.35228936928843</v>
      </c>
      <c r="FP14" s="1027">
        <f>IF($DF14&lt;='Options and results'!$W$20,FM14+FN14-FO14,0)</f>
        <v>-620.35228936928843</v>
      </c>
      <c r="FQ14" s="1027">
        <f t="shared" si="162"/>
        <v>9.9146982629294218</v>
      </c>
      <c r="FR14" s="1027">
        <f t="shared" si="163"/>
        <v>6.9146982629294218</v>
      </c>
      <c r="FS14" s="1027">
        <f t="shared" si="164"/>
        <v>0</v>
      </c>
      <c r="FT14" s="1189">
        <f>IF(DF14&lt;='Options and results'!$W$20,FP14+DZ14,0)</f>
        <v>-616.48283126328431</v>
      </c>
      <c r="FU14" s="401"/>
      <c r="FV14" s="895">
        <f t="shared" si="165"/>
        <v>7</v>
      </c>
      <c r="FW14" s="894">
        <f>G14/(1+'Options and results'!$W$33)^(FV14-1)</f>
        <v>1131.7313275096287</v>
      </c>
      <c r="FX14" s="740">
        <f>(AP14+AR14+AS14)/(1+'Options and results'!$W$33)^(FV14-1)</f>
        <v>0</v>
      </c>
      <c r="FY14" s="740">
        <f ca="1">CQ14/(1+'Options and results'!$W$33)^(FV14-1)</f>
        <v>805.20824006188786</v>
      </c>
      <c r="FZ14" s="740">
        <f>(EA14+EC14+ED14)/(1+'Options and results'!$W$33)^(FV14-1)</f>
        <v>0</v>
      </c>
      <c r="GA14" s="1019">
        <f t="shared" ca="1" si="180"/>
        <v>805.20824006188786</v>
      </c>
      <c r="GB14" s="1026">
        <f>(AO14+AQ14)/(1+'Options and results'!$W$33)^(FV14-1)+FX14</f>
        <v>20.441387364577345</v>
      </c>
      <c r="GC14" s="1027">
        <f>IF(FV14&gt;'Options and results'!$W$27,0,GB14-GB13)</f>
        <v>11.833291912182878</v>
      </c>
      <c r="GD14" s="1027">
        <f>(DZ14+EB14)/(1+'Options and results'!$W$33)^(FV14-1)+FZ14</f>
        <v>13.152225233827885</v>
      </c>
      <c r="GE14" s="1379">
        <f>IF(FV14&gt;'Options and results'!$W$27,0,GD14-GD13)</f>
        <v>7.6230702482884336</v>
      </c>
      <c r="GF14" s="894">
        <f>IF(FV14&lt;='Options and results'!$W$20,SUM(FW$8:FW14),0)</f>
        <v>10039.991259380289</v>
      </c>
      <c r="GG14" s="740">
        <f>IF(FV14&lt;='Options and results'!$W$20,SUM(FX$8:FX14), 0)</f>
        <v>0</v>
      </c>
      <c r="GH14" s="740">
        <f ca="1">IF(FV14&lt;='Options and results'!$W$20,SUM(FY$8:FY14),0)</f>
        <v>9291.4735794870303</v>
      </c>
      <c r="GI14" s="740">
        <f>IF(FV14&lt;='Options and results'!$W$20,SUM(FZ$8:FZ14),0)</f>
        <v>0</v>
      </c>
      <c r="GJ14" s="1019">
        <f t="shared" ca="1" si="166"/>
        <v>9291.4735794870303</v>
      </c>
      <c r="GK14" s="894">
        <f>IF(FV14&gt;'Options and results'!$W$27,0,GG14+SUM(GC$8:GC14)-FX14)</f>
        <v>20.441387364577345</v>
      </c>
      <c r="GL14" s="740">
        <f>IF(FV14&lt;='Options and results'!$W$20,SUM(GD$8:GD14),0)</f>
        <v>24.269532014579568</v>
      </c>
      <c r="GM14" s="1034">
        <f t="shared" ca="1" si="167"/>
        <v>9315.7431115016097</v>
      </c>
      <c r="GN14" s="401"/>
      <c r="GO14" s="895">
        <f t="shared" si="168"/>
        <v>7</v>
      </c>
      <c r="GP14" s="894">
        <f>H14/(1+'Options and results'!$W$33)^(GO14-1)</f>
        <v>185.88197645173025</v>
      </c>
      <c r="GQ14" s="740">
        <f>SUM(AT14:AV14)/(1+'Options and results'!$W$33)^(GO14-1)</f>
        <v>0</v>
      </c>
      <c r="GR14" s="740">
        <f>CR14/(1+'Options and results'!$W$33)^(GO14-1)</f>
        <v>0</v>
      </c>
      <c r="GS14" s="740">
        <f>SUM(EE14:EG14)/(1+'Options and results'!$W$33)^(GO14-1)</f>
        <v>0</v>
      </c>
      <c r="GT14" s="1019">
        <f t="shared" si="181"/>
        <v>0</v>
      </c>
      <c r="GU14" s="894">
        <f>IF(GO14&lt;='Options and results'!$W$20,SUM(GP$8:GP14),0)</f>
        <v>1468.1505887067415</v>
      </c>
      <c r="GV14" s="740">
        <f>IF(GO14&lt;='Options and results'!$W$20,SUM(GQ$8:GQ14),0)</f>
        <v>0</v>
      </c>
      <c r="GW14" s="740">
        <f>IF(GO14&lt;='Options and results'!$W$20,SUM(GR$8:GR14),0)</f>
        <v>0</v>
      </c>
      <c r="GX14" s="740">
        <f>IF(GO14&lt;='Options and results'!$W$20,SUM(GS$8:GS14),0)</f>
        <v>0</v>
      </c>
      <c r="GY14" s="1034">
        <f>IF(GO14&lt;='Options and results'!$W$20,SUM(GT$8:GT14),0)</f>
        <v>0</v>
      </c>
      <c r="GZ14" s="401"/>
      <c r="HA14" s="895">
        <f t="shared" si="169"/>
        <v>7</v>
      </c>
      <c r="HB14" s="1026">
        <f>(J14+L14+(M14*N14))/(1+'Options and results'!$W$33)^(HA14-1)</f>
        <v>899.23934507004526</v>
      </c>
      <c r="HC14" s="740">
        <f>BZ14/(1+'Options and results'!$W$33)^(HA14-1)</f>
        <v>2.3709435771904372</v>
      </c>
      <c r="HD14" s="1027">
        <f>(CT14+CV14+(CW14*CX14))/(1+'Options and results'!$W$33)^(HA14-1)</f>
        <v>890.24695161934494</v>
      </c>
      <c r="HE14" s="740">
        <f>FK14/(1+'Options and results'!$W$33)^(HA14-1)</f>
        <v>2.3709435771904372</v>
      </c>
      <c r="HF14" s="1019">
        <f t="shared" si="182"/>
        <v>892.61789519653541</v>
      </c>
      <c r="HG14" s="894">
        <f>IF(HA14&lt;='Options and results'!$W$20,SUM(HB$8:HB14),0)</f>
        <v>7617.8462301084837</v>
      </c>
      <c r="HH14" s="740">
        <f>IF(HA14&lt;='Options and results'!$W$20,SUM(HC$8:HC14),0)</f>
        <v>879.28138575186063</v>
      </c>
      <c r="HI14" s="740">
        <f>IF(HA14&lt;='Options and results'!$W$20,SUM(HD$8:HD14),0)</f>
        <v>7541.6677678074002</v>
      </c>
      <c r="HJ14" s="740">
        <f>IF(HA14&lt;='Options and results'!$W$20,SUM(HE$8:HE14),0)</f>
        <v>604.74455406571997</v>
      </c>
      <c r="HK14" s="1034">
        <f>IF(HA14&lt;='Options and results'!$W$20,SUM(HF$8:HF14),0)</f>
        <v>8146.4123218731202</v>
      </c>
      <c r="HL14" s="405"/>
      <c r="HM14" s="895">
        <f t="shared" si="170"/>
        <v>7</v>
      </c>
      <c r="HN14" s="1026">
        <f t="shared" si="171"/>
        <v>418.37395889131369</v>
      </c>
      <c r="HO14" s="1027">
        <f t="shared" si="172"/>
        <v>-2.3709435771904372</v>
      </c>
      <c r="HP14" s="1027">
        <f t="shared" ca="1" si="173"/>
        <v>-85.038711557457077</v>
      </c>
      <c r="HQ14" s="1027">
        <f t="shared" si="174"/>
        <v>-2.3709435771904372</v>
      </c>
      <c r="HR14" s="1027">
        <f t="shared" si="175"/>
        <v>9.4623483349924413</v>
      </c>
      <c r="HS14" s="1379">
        <f t="shared" si="176"/>
        <v>5.2521266710979964</v>
      </c>
      <c r="HT14" s="1026">
        <f>IF($HM14&lt;='Options and results'!$W$20,SUM(HN$8:HN14),0)</f>
        <v>3890.2956179785456</v>
      </c>
      <c r="HU14" s="1027">
        <f>IF($HM14&lt;='Options and results'!$W$20,SUM(HO$8:HO14),0)</f>
        <v>-879.28138575186063</v>
      </c>
      <c r="HV14" s="1027">
        <f ca="1">IF($HM14&lt;='Options and results'!$W$20,SUM(HP$8:HP14),0)</f>
        <v>1749.8058116796301</v>
      </c>
      <c r="HW14" s="1027">
        <f>IF($HM14&lt;='Options and results'!$W$20,SUM(HQ$8:HQ14),0)</f>
        <v>-604.74455406571997</v>
      </c>
      <c r="HX14" s="1027">
        <f t="shared" ca="1" si="177"/>
        <v>1145.0612576139101</v>
      </c>
      <c r="HY14" s="1027">
        <f>IF($HM14&lt;='Options and results'!$W$20,SUM(HR$8:HR14),0)</f>
        <v>-858.83999838728323</v>
      </c>
      <c r="HZ14" s="1027">
        <f>IF($HM14&lt;='Options and results'!$W$20,SUM(HS$8:HS14),0)</f>
        <v>-591.59232883189202</v>
      </c>
      <c r="IA14" s="1189">
        <f t="shared" ca="1" si="178"/>
        <v>1158.2134828477381</v>
      </c>
    </row>
    <row r="15" spans="1:235" x14ac:dyDescent="0.25">
      <c r="A15" s="1010">
        <f t="shared" si="126"/>
        <v>8</v>
      </c>
      <c r="B15" s="1011" t="str">
        <f>IF('Options and results'!$C$17="None",0,CONCATENATE('Options and results'!$C$23," ",(HLOOKUP(CONCATENATE('Options and results'!$C$17," ",Arablesystem!$B$11),Arablesystem!$B$10:$ER$72,$A15+3,FALSE))))</f>
        <v>UK - Agriculture (BPS: from 2015) Oilseed</v>
      </c>
      <c r="C15" s="1012">
        <f>IF(HLOOKUP(CONCATENATE('Options and results'!$C$17," ",Arablesystem!$C$11),Arablesystem!$B$10:$ER$72,$A15+3,FALSE)="T",(VLOOKUP(B15,Arablefinance!$Z$6:$AB$105,Arablefinance!$AB$2,FALSE)*E15+VLOOKUP(B15,Arablefinance!$Z$6:$AC$105,Arablefinance!$AC$2,FALSE)*F15)/VLOOKUP(B15,Arablefinance!$Z$6:$AA$105,Arablefinance!$AA$2,FALSE),0)</f>
        <v>0</v>
      </c>
      <c r="D15" s="1012">
        <f>IF(B15=0,0,HLOOKUP(CONCATENATE('Options and results'!$C$17," ",Arablesystem!$D$11),Arablesystem!$B$10:$ER$72,$A15+3,FALSE))</f>
        <v>1</v>
      </c>
      <c r="E15" s="1440">
        <f>IF(B15=0,0,HLOOKUP(CONCATENATE('Options and results'!$C$17," ",Arablesystem!$E$11),Arablesystem!$B$10:$ER$72,$A15+3,FALSE)*IF(A15&gt;='Options and results'!$H$19,'Options and results'!$H$18,1))</f>
        <v>3.1964407959971979</v>
      </c>
      <c r="F15" s="1440">
        <f>IF(B15=0,0,HLOOKUP(CONCATENATE('Options and results'!$C$17," ",Arablesystem!$F$11),Arablesystem!$B$10:$ER$72,$A15+3,FALSE)*IF(A15&gt;='Options and results'!$H$19,'Options and results'!$H$18,1))</f>
        <v>1.5982203979985989</v>
      </c>
      <c r="G15" s="1013">
        <f>IF(D15&lt;=0,0,IF(A15&lt;='Options and results'!$W$20,IF(C15&gt;0,VLOOKUP(B15,Arablefinance!$Z$6:$AE$105,Arablefinance!$AD$2,FALSE)*C15*D15,((VLOOKUP(B15,Arablefinance!$E$6:$G$126,Arablefinance!$F$2,FALSE)*(E15*D15)+VLOOKUP(B15,Arablefinance!$E$6:$G$126,Arablefinance!$G$2,FALSE)*(F15*D15)))),0)*IF(A15&gt;='Options and results'!$H$21,'Options and results'!$H$20,1))*IF(1+'Options and results'!$O$20*(A15-1)&gt;0,1+'Options and results'!$O$20*(A15-1),0)</f>
        <v>1154.2702874434324</v>
      </c>
      <c r="H15" s="1441">
        <f>IF(D15&lt;=0,0,IF(A15&lt;='Options and results'!$W$20,IF(AND(C15&gt;0,VLOOKUP(B15,Arablefinance!$Z$6:$AI$105,Arablefinance!$AI$2,FALSE)=2),VLOOKUP(B15,Arablefinance!$Z$6:$AE$105,Arablefinance!$AE$2,FALSE)*C15*D15,(VLOOKUP(B15,Arablefinance!$E$6:$H$126,Arablefinance!$H$2,FALSE)*D15))*IF(A15&gt;='Options and results'!$H$23,'Options and results'!$H$22,1),0)*IF(AND(1+'Options and results'!$O$23*(A15-1)&gt;0,1+'Options and results'!$O$23*(A15-1)&gt;'Options and results'!$S$24),1+'Options and results'!$O$23*(A15-1),'Options and results'!$S$24))</f>
        <v>235.2</v>
      </c>
      <c r="I15" s="1441">
        <f t="shared" si="127"/>
        <v>1389.4702874434324</v>
      </c>
      <c r="J15" s="1441">
        <f>IF(D15&lt;=0,0,IF(A15&lt;='Options and results'!$W$20,IF(C15&gt;0,VLOOKUP(B15,Arablefinance!$Z$6:$AF$105,Arablefinance!$AF$2,FALSE)*C15*D15,(VLOOKUP(B15,Arablefinance!$E$6:$X$126,Arablefinance!$R$2,FALSE))*D15),0)*IF(A15&gt;='Options and results'!$H$27,'Options and results'!$H$26,1))*IF(1+'Options and results'!$O$22*(A15-1)&gt;0,1+'Options and results'!$O$22*(A15-1),0)</f>
        <v>633.88888888888891</v>
      </c>
      <c r="K15" s="1441">
        <f t="shared" si="128"/>
        <v>755.58139855454351</v>
      </c>
      <c r="L15" s="1441">
        <f>IF(D15&lt;=0,0,IF(A15&lt;='Options and results'!$W$20,IF(C15&gt;0,VLOOKUP(B15,Arablefinance!$Z$6:$AG$105,Arablefinance!$AG$2,FALSE)*C15*D15,VLOOKUP(B15,Arablefinance!$E$6:$X$126,Arablefinance!$X$2,FALSE)*D15),0)*IF(A15&gt;='Options and results'!$H$27,'Options and results'!$H$26,1))*IF(1+'Options and results'!$O$22*(A15-1)&gt;0,1+'Options and results'!$O$22*(A15-1),0)</f>
        <v>444.44444444444446</v>
      </c>
      <c r="M15" s="1442">
        <f>IF(D15&lt;=0,0,IF(A15&lt;='Options and results'!$W$20,'Options and results'!$C$27,0)*IF(A15&gt;='Options and results'!$H$27,'Options and results'!$H$26,1))*IF(1+'Options and results'!$O$21*(A15-1)&gt;0,1+'Options and results'!$O$21*(A15-1),0)</f>
        <v>14.6</v>
      </c>
      <c r="N15" s="1442">
        <f>IF(D15&lt;=0,0,IF(A15&lt;='Options and results'!$W$20,IF(C15&gt;0,VLOOKUP(B15,Arablefinance!$Z$6:$AH$105,Arablefinance!$AH$2,FALSE)*C15*D15,VLOOKUP(B15,Arablefinance!$E$6:$W$126,Arablefinance!$V$2,FALSE)*D15),0)*IF(A15&gt;='Options and results'!$H$25,'Options and results'!$H$24,1))</f>
        <v>7.4591130728145263</v>
      </c>
      <c r="O15" s="1013">
        <f t="shared" si="129"/>
        <v>1187.2363841964257</v>
      </c>
      <c r="P15" s="1353">
        <f t="shared" si="130"/>
        <v>202.23390324700699</v>
      </c>
      <c r="Q15" s="1013">
        <f>IF(A15&lt;='Options and results'!$W$20,SUM(G$8:$G15),0)</f>
        <v>12388.372909576159</v>
      </c>
      <c r="R15" s="1441">
        <f>IF($A15&lt;='Options and results'!$W$20,SUM($H$8:H15),0)</f>
        <v>1881.6000000000001</v>
      </c>
      <c r="S15" s="1441">
        <f>IF($A15&lt;='Options and results'!$W$20,SUM($O$8:O15),0)</f>
        <v>9719.7573776206682</v>
      </c>
      <c r="T15" s="1032">
        <f>IF(A15&lt;='Options and results'!$W$20,Q15+R15-S15,0)</f>
        <v>4550.2155319554913</v>
      </c>
      <c r="U15" s="405"/>
      <c r="V15" s="1010">
        <f t="shared" si="131"/>
        <v>8</v>
      </c>
      <c r="W15" s="173"/>
      <c r="X15" s="1036"/>
      <c r="Y15" s="1030">
        <f>IF(V15&lt;='Options and results'!$M$34,'Options and results'!$M$33,0)</f>
        <v>0</v>
      </c>
      <c r="Z15" s="1441">
        <f t="shared" si="132"/>
        <v>0</v>
      </c>
      <c r="AA15" s="1441">
        <f t="shared" si="133"/>
        <v>0</v>
      </c>
      <c r="AB15" s="1428">
        <f t="shared" si="134"/>
        <v>156</v>
      </c>
      <c r="AC15" s="1441">
        <f>IF($W$8=0,0,IF(HLOOKUP(CONCATENATE('Options and results'!$C$32," ",Forestrysystem!$C$8),Forestrysystem!$A$7:$IH$70,V15+4,FALSE)&lt;AB15,HLOOKUP(CONCATENATE('Options and results'!$C$32," ",Forestrysystem!$C$8),Forestrysystem!$A$7:$IH$70,V15+4,FALSE),0))</f>
        <v>0</v>
      </c>
      <c r="AD15" s="1441">
        <f>IF($W$8=0,0,IF(HLOOKUP(CONCATENATE('Options and results'!$C$32," ",Forestrysystem!$C$8),Forestrysystem!$A$7:$IH$70,V15+4,FALSE)&gt;=AB15,AB15,0))</f>
        <v>0</v>
      </c>
      <c r="AE15" s="1440">
        <f>IF($W$8=0,0,HLOOKUP(CONCATENATE('Options and results'!$C$32," ",Forestrysystem!$D$8),Forestrysystem!$A$7:$IH$70,$V15+4,FALSE))</f>
        <v>6.8861306138199492</v>
      </c>
      <c r="AF15" s="1037"/>
      <c r="AG15" s="1440">
        <f>IF($W$8=0,0,IF(V15=1,'Options and results'!$M$36,0)+IF('Options and results'!$M$39="yes",IF(AND(AG14+'Options and results'!$M$37&lt;=$AF$8,AG14+'Options and results'!$M$37+IF(V15=1,'Options and results'!$M$36,0)&lt;='Options and results'!$M$38*AE15),AG14+'Options and results'!$M$37,AG14),(HLOOKUP(CONCATENATE('Options and results'!$C$32," ",Forestrysystem!$E$8),Forestrysystem!$A$7:$IH$70,V15+4,FALSE))-IF(V15=1,'Options and results'!$M$36,0)))</f>
        <v>4.5</v>
      </c>
      <c r="AH15" s="1442">
        <f>IF(OR($W$8=0,AB15&lt;=0),0,(HLOOKUP(CONCATENATE('Options and results'!$C$32," ",Forestrysystem!$F$8),Forestrysystem!$A$7:$IH$70,$V15+4,FALSE)) * IF(V15&gt;='Options and results'!$I$19,'Options and results'!$I$18,1) )</f>
        <v>2.9704922531954656</v>
      </c>
      <c r="AI15" s="1452">
        <f t="shared" si="179"/>
        <v>1.9041617007663242E-2</v>
      </c>
      <c r="AJ15" s="1442">
        <f t="shared" si="135"/>
        <v>0</v>
      </c>
      <c r="AK15" s="1453">
        <f>IF(OR($W$8=0,AE15&lt;=0),0,(HLOOKUP(CONCATENATE('Options and results'!$C$32," ",Forestrysystem!$G$8),Forestrysystem!$A$7:$IH$70,$V15+4,FALSE)) * IF(Y15&gt;='Options and results'!$I$19,'Options and results'!$I$18,1) )</f>
        <v>1.3098310779485727</v>
      </c>
      <c r="AL15" s="1453">
        <f>IF($W$8=0,0,HLOOKUP(CONCATENATE('Options and results'!$C$32," ",Forestrysystem!$H$8),Forestrysystem!$A$7:$IH$70,$V15+4,FALSE)*IF(V15&gt;='Options and results'!$I$19,'Options and results'!$I$18,1))</f>
        <v>0</v>
      </c>
      <c r="AM15" s="1383">
        <f>IF($W$8=0,0,HLOOKUP(CONCATENATE('Options and results'!$C$32," ",Forestrysystem!$I$8),Forestrysystem!$A$7:$IH$70,$V15+4,FALSE)*IF(V15&gt;='Options and results'!$I$19,'Options and results'!$I$18,1))</f>
        <v>0</v>
      </c>
      <c r="AN15" s="1382">
        <f>IF(AI15&gt;0,HLOOKUP(AI15,Treevalue!$I$4:$BC$34,'Options and results'!$C$39+1),0)*IF(V15&gt;='Options and results'!$I$21,'Options and results'!$I$20,1)*IF(1+'Options and results'!$Q$20*(V15-1)&gt;0,1+'Options and results'!$Q$20*(V15-1),0)</f>
        <v>3.3397028276129421</v>
      </c>
      <c r="AO15" s="1454">
        <f t="shared" si="136"/>
        <v>9.9205613773992365</v>
      </c>
      <c r="AP15" s="1454">
        <f t="shared" si="137"/>
        <v>0</v>
      </c>
      <c r="AQ15" s="1454">
        <f>(IF('Options and results'!$C$39&gt;0,IF(V15&lt;='Options and results'!$W$20,VLOOKUP('Options and results'!$C$39,Treevalue!$A$4:$F$34,5,FALSE),0),0)*AK15)*IF(V15&gt;='Options and results'!$I$21,'Options and results'!$I$20,1)*IF(1+'Options and results'!$Q$20*(V15-1)&gt;0,1+'Options and results'!$Q$20*(V15-1),0)-AR15</f>
        <v>32.745776948714315</v>
      </c>
      <c r="AR15" s="1441">
        <f>(IF('Options and results'!$C$39&gt;0,IF(V15&lt;='Options and results'!$W$20,VLOOKUP('Options and results'!$C$39,Treevalue!$A$4:$F$34,5,FALSE),0),0)*AL15)*IF(V15&gt;='Options and results'!$I$21,'Options and results'!$I$20,1)*IF(1+'Options and results'!$Q$20*(V15-1)&gt;0,1+'Options and results'!$Q$20*(V15-1),0)</f>
        <v>0</v>
      </c>
      <c r="AS15" s="1441">
        <f>(IF('Options and results'!$C$39&gt;0,IF(V15&lt;='Options and results'!$W$20,VLOOKUP('Options and results'!$C$39,Treevalue!$A$4:$F$34,6,FALSE),0),0)*AM15)*IF(V15&gt;='Options and results'!$I$21,'Options and results'!$I$20,1)*IF(1+'Options and results'!$Q$20*(V15-1)&gt;0,1+'Options and results'!$Q$20*(V15-1),0)</f>
        <v>0</v>
      </c>
      <c r="AT15" s="1441">
        <f>IF(V15&lt;='Options and results'!$W$20,(IF(AB15&lt;=0,0,IF('Options and results'!$C$43="cost",(IF(V15&lt;='Options and results'!$C$44,BZ15*SUM('Options and results'!$C$45:$C$46),0)),IF('Options and results'!$C$41&gt;0,(IF(VLOOKUP('Options and results'!$C$42,Treegrant!$B$6:$L$42,Treegrant!$C$2,FALSE)=V15,VLOOKUP('Options and results'!$C$42,Treegrant!$B$6:$L$42,Treegrant!$D$2,FALSE),0)+IF(VLOOKUP('Options and results'!$C$42,Treegrant!$B$6:$L$42,Treegrant!$E$2,FALSE)=V15,VLOOKUP('Options and results'!$C$42,Treegrant!$B$6:$L$42,Treegrant!$F$2,FALSE),0)+IF(VLOOKUP('Options and results'!$C$42,Treegrant!$B$6:$L$42,Treegrant!$G$2,FALSE)=V15,VLOOKUP('Options and results'!$C$42,Treegrant!$B$6:$L$42,Treegrant!$H$2,FALSE)))*IF('Options and results'!$C$43="area",1,'Options and results'!$C$43),0)))*IF(V15&gt;='Options and results'!$I$23,'Options and results'!$I$22,1)),0)*IF(1+'Options and results'!$Q$23*(V15-1)&gt;0,1+'Options and results'!$Q$23*(V15-1),0)</f>
        <v>0</v>
      </c>
      <c r="AU15" s="1441">
        <f>IF($W$8=0,0,IF(V15&lt;='Options and results'!$W$20,IF(AB15&lt;=0,0,IF('Options and results'!$C$41&gt;0,IF(AND(VLOOKUP('Options and results'!$C$42,Treegrant!$B$6:$L$42,Treegrant!$J$2,FALSE)&lt;=V15,VLOOKUP('Options and results'!$C$42,Treegrant!$B$6:$L$42,Treegrant!$K$2,FALSE)&gt;=V15),(VLOOKUP('Options and results'!$C$42,Treegrant!$B$6:$L$42,Treegrant!$L$2,FALSE)),0)*IF('Options and results'!$C$47="full",1,'Options and results'!$C$47))*IF(V15&gt;='Options and results'!$I$23,'Options and results'!$I$22,1)),0))*IF(1+'Options and results'!$Q$23*(V15-1)&gt;0,1+'Options and results'!$Q$23*(V15-1),0)</f>
        <v>0</v>
      </c>
      <c r="AV15" s="1032">
        <f>IF($W$8=0,0,IF(V15&lt;='Options and results'!$W$20,IF(AB15&lt;=0,0,(IF('Options and results'!$C$41&gt;0,(IF(AND(VLOOKUP('Options and results'!$C$42,Treegrant!$B$6:$O$42,Treegrant!$M$2,FALSE)&lt;=V15,VLOOKUP('Options and results'!$C$42,Treegrant!$B$6:$O$42,Treegrant!$N$2,FALSE)&gt;=V15),(VLOOKUP('Options and results'!$C$42,Treegrant!$B$6:$O$42,Treegrant!$O$2,FALSE)),0)*IF('Options and results'!$C$48="full",1,'Options and results'!$C$48))+(IF(AND(VLOOKUP('Options and results'!$C$42,Treegrant!$B$6:$R$42,Treegrant!$P$2,FALSE)&lt;=V15,VLOOKUP('Options and results'!$C$42,Treegrant!$B$6:$R$42,Treegrant!$Q$2,FALSE)&gt;=V15),(VLOOKUP('Options and results'!$C$42,Treegrant!$B$6:$R$42,Treegrant!$R$2,FALSE)),0))*IF('Options and results'!$C$49="full",1,'Options and results'!$C$49)))*IF(V15&gt;='Options and results'!$I$23,'Options and results'!$I$22,1)),0))*IF(1+'Options and results'!$Q$23*(V15-1)&gt;0,1+'Options and results'!$Q$23*(V15-1),0)</f>
        <v>0</v>
      </c>
      <c r="AW15" s="1033" t="s">
        <v>248</v>
      </c>
      <c r="AX15" s="1018">
        <f>'Options and results'!S40</f>
        <v>14.6</v>
      </c>
      <c r="AY15" s="1419">
        <f>IF($W$8=0,0,IF(V15=1,VLOOKUP($W$8,Treecost!$B$6:$AH$49,Treecost!$E$2,FALSE),0)*IF(V15&gt;='Options and results'!$I$25,'Options and results'!$I$24,1))</f>
        <v>0</v>
      </c>
      <c r="AZ15" s="889">
        <f>IF($W$8=0,0,IF(V15=1,VLOOKUP($W$8,Treecost!$B$6:$AH$49,Treecost!$F$2,FALSE),0)*IF(V15&gt;='Options and results'!$I$25,'Options and results'!$I$24,1))</f>
        <v>0</v>
      </c>
      <c r="BA15" s="889">
        <f>IF($W$8=0,0,IF(V15=1,VLOOKUP($W$8,Treecost!$B$6:$AH$49,Treecost!$G$2,FALSE),0)*IF(V15&gt;='Options and results'!$I$25,'Options and results'!$I$24,1))</f>
        <v>0</v>
      </c>
      <c r="BB15" s="889">
        <f>IF($W$8=0,0,IF(V15&lt;='Options and results'!$W$20,((VLOOKUP($W$8,Treecost!$B$6:$AH$49,Treecost!$H$2,FALSE)*(X15+AA15))/60)*IF(V15&gt;='Options and results'!$I$25,'Options and results'!$I$24,1),0))</f>
        <v>0</v>
      </c>
      <c r="BC15" s="889">
        <f>IF($W$8=0,0,IF(V15&lt;='Options and results'!$W$20,(((VLOOKUP($W$8,Treecost!$B$6:$AH$49,Treecost!$I$2,FALSE))*(X15+AA15))/60)*IF(V15&gt;='Options and results'!$I$25,'Options and results'!$I$24,1),0))</f>
        <v>0</v>
      </c>
      <c r="BD15" s="889">
        <f>IF($W$8=0,0,IF(V15&lt;='Options and results'!$W$20,(((VLOOKUP($W$8,Treecost!$B$6:$AH$49,Treecost!$J$2,FALSE))/60)*(X15+AA15))*IF(V15&gt;='Options and results'!$I$25,'Options and results'!$I$24,1),0))</f>
        <v>0</v>
      </c>
      <c r="BE15" s="1019">
        <f>IF($W$8=0,0,IF(V15&lt;='Options and results'!$W$20,(((VLOOKUP($W$8,Treecost!$B$6:$AH$49,Treecost!$C$2,FALSE)+VLOOKUP($W$8,Treecost!$B$6:$AH$49,Treecost!$D$2,FALSE))*(X15+AA15)*IF(1+'Options and results'!$Q$22*(V15-1)&gt;0,1+'Options and results'!$Q$22*(V15-1),0))+((AY15*$AX$8+AZ15*$AX$9+BA15*$AX$10+BB15*$AX$11+BC15*$AX$12+BD15*$AX$13)*IF(1+'Options and results'!$Q$21*(V15-1)&gt;0,1+'Options and results'!$Q$21*(V15-1),0)))*IF(V15&gt;='Options and results'!$I$27,'Options and results'!$I$26,1),0))</f>
        <v>0</v>
      </c>
      <c r="BF15" s="889">
        <f>IF($W$8=0,0,IF(V15&lt;='Options and results'!$W$20,IF(AND(VLOOKUP($W$8,Treecost!$B$6:$AH$49,Treecost!$K$2,FALSE)&lt;=V15,V15&lt;=(VLOOKUP($W$8,Treecost!$B$6:$AH$49,Treecost!$L$2,FALSE))),VLOOKUP($W$8,Treecost!$B$6:$AH$49,Treecost!$M$2,FALSE)*AB15/60,0)*IF(V15&gt;='Options and results'!$I$25,'Options and results'!$I$24,1),0))</f>
        <v>0</v>
      </c>
      <c r="BG15" s="1019">
        <f>IF(BF15&gt;0,(VLOOKUP($W$8,Treecost!$B$6:$AH$49,Treecost!$N$2,FALSE)*AB15*IF(1+'Options and results'!$Q$22*(V15-1)&gt;0,1+'Options and results'!$Q$22*(V15-1),0)+BF15*$AX$14*IF(1+'Options and results'!$Q$21*(V15-1)&gt;0,1+'Options and results'!$Q$21*(V15-1),0)),0)*IF(V15&gt;='Options and results'!$I$27,'Options and results'!$I$26,1)</f>
        <v>0</v>
      </c>
      <c r="BH15" s="889">
        <f>IF(V15&lt;='Options and results'!$W$20,IF(AND(AG15-AG14&gt;0,AG15&gt;'Options and results'!$M$36),(AB15-AC15)*(VLOOKUP($W$8,Treecost!$B$6:$AH$49,Treecost!$Y$2,FALSE)+(VLOOKUP($W$8,Treecost!$B$6:$AH$49,Treecost!$AA$2,FALSE)-VLOOKUP($W$8,Treecost!$B$6:$AH$49,Treecost!$Y$2,FALSE))/(VLOOKUP($W$8,Treecost!$B$6:$AH$49,Treecost!$Z$2,FALSE)-VLOOKUP($W$8,Treecost!$B$6:$AH$49,Treecost!$X$2,FALSE))*(AG15-VLOOKUP($W$8,Treecost!$B$6:$AH$49,Treecost!$X$2,FALSE)))/60,0)*IF(V15&gt;='Options and results'!$I$25,'Options and results'!$I$24,1),0)</f>
        <v>10.464999999999998</v>
      </c>
      <c r="BI15" s="303">
        <f>IF(V15&lt;='Options and results'!$W$20,IF(BH15&gt;0,VLOOKUP($W$8,Treecost!$B$6:$AH$49,Treecost!$AB$2,FALSE)/60*AB15,0)*IF(V15&gt;='Options and results'!$I$25,'Options and results'!$I$24,1),0)*((BH15-(MIN($BH$8:$BH$67)))/((MAX($BH$8:$BH$67))-(MIN($BH$8:$BH$67))))</f>
        <v>0.56322921672272941</v>
      </c>
      <c r="BJ15" s="740">
        <f>IF(BH15&gt;0,(BH15*$AX$15+BI15*$AX$19)*IF(1+'Options and results'!$Q$21*(V15-1)&gt;0,1+'Options and results'!$Q$21*(V15-1),0),0)*IF(V15&gt;='Options and results'!$I$27,'Options and results'!$I$26,1)</f>
        <v>161.01214656415181</v>
      </c>
      <c r="BK15" s="891">
        <f>IF($W$8=0,0,IF(V15&lt;='Options and results'!$W$20,IF(VLOOKUP($W$8,Treecost!$B$2:$AH$49,Treecost!$O$2,FALSE)=V15,VLOOKUP($W$8,Treecost!$B$2:$AH$49,Treecost!$P$2,FALSE),0)*IF(V15&gt;='Options and results'!$I$25,'Options and results'!$I$24,1),0))</f>
        <v>0</v>
      </c>
      <c r="BL15" s="889">
        <f>IF($W$8=0,0,IF(V15&lt;='Options and results'!$W$20,IF(AND(V15&gt;VLOOKUP($W$8,Treecost!$B$2:$AH$49,Treecost!$O$2,FALSE),V15&lt;=VLOOKUP($W$8,Treecost!$B$2:$AH$49,Treecost!$R$2,FALSE)),VLOOKUP($W$8,Treecost!$B$2:$AH$49,Treecost!$S$2,FALSE),0)*IF(V15&gt;='Options and results'!$I$25,'Options and results'!$I$24,1),0))</f>
        <v>0</v>
      </c>
      <c r="BM15" s="740">
        <f>IF($W$8=0,0,IF(V15&lt;='Options and results'!$W$20,((IF(VLOOKUP($W$8,Treecost!$B$2:$AH$49,Treecost!$O$2,FALSE)=V15,VLOOKUP($W$8,Treecost!$B$2:$AH$49,Treecost!$Q$2,FALSE),0)+IF(AND(V15&gt;VLOOKUP($W$8,Treecost!$B$2:$AH$49,Treecost!$O$2,FALSE),V15&lt;=VLOOKUP($W$8,Treecost!$B$2:$AH$49,Treecost!$R$2,FALSE)),VLOOKUP($W$8,Treecost!$B$2:$AH$49,Treecost!$T$2,FALSE),0)*IF(1+'Options and results'!$Q$22*(V15-1)&gt;0,1+'Options and results'!$Q$22*(V15-1),0))+(BK15*$AX$16+BL15*$AX$17)*IF(1+'Options and results'!$Q$21*(V15-1)&gt;0,1+'Options and results'!$Q$21*(V15-1),0))*IF(V15&gt;='Options and results'!$I$27,'Options and results'!$I$26,1),0))</f>
        <v>0</v>
      </c>
      <c r="BN15" s="894">
        <f>IF($W$8=0,0,IF(V15&lt;='Options and results'!$W$20,IF(AND(V15&gt;=VLOOKUP($W$8,Treecost!$B$2:$W$49,Treecost!$U$2,FALSE),V15&lt;=VLOOKUP($W$8,Treecost!$B$2:$W$49,Treecost!$V$2,FALSE)),(AB15*VLOOKUP($W$8,Treecost!$B$2:$W$49,Treecost!$W$2,FALSE)/60),0)*IF(V15&gt;='Options and results'!$I$25,'Options and results'!$I$24,1),0))</f>
        <v>0</v>
      </c>
      <c r="BO15" s="740">
        <f>BN15*$AX$18*IF(V15&gt;='Options and results'!$I$27,'Options and results'!$I$26,1)*IF(1+'Options and results'!$Q$21*(V15-1)&gt;0,1+'Options and results'!$Q$21*(V15-1),0)</f>
        <v>0</v>
      </c>
      <c r="BP15" s="894">
        <f>IF(V15&lt;='Options and results'!$W$20,IF(AB15&lt;=0,0,VLOOKUP($W$8,Treecost!$B$6:$AH$49,Treecost!$AC$2,FALSE)+VLOOKUP($W$8,Treecost!$B$6:$AH$49,Treecost!$AD$2,FALSE)+IF(AND(V15&gt;=VLOOKUP($W$8,Treecost!$B$2:$AK$49,Treecost!$AI$2,FALSE),V15&lt;=VLOOKUP($W$8,Treecost!$B$2:$AK$49,Treecost!$AJ$2,FALSE)),(VLOOKUP($W$8,Treecost!$B$2:$AK$49,Treecost!$AK$2,FALSE)),0))*IF(V15&gt;='Options and results'!$I$27,'Options and results'!$I$26,1),0)*IF(1+'Options and results'!$Q$22*(V15-1)&gt;0,1+'Options and results'!$Q$22*(V15-1),0)</f>
        <v>3</v>
      </c>
      <c r="BQ15" s="894">
        <f>IF(V15&lt;='Options and results'!$W$20,IF(AC15&gt;0,VLOOKUP($W$8,Treecost!$B$6:$AH$49,Treecost!$AE$2,FALSE)/60*AC15,0)*IF(V15&gt;='Options and results'!$I$25,'Options and results'!$I$24,1),0)</f>
        <v>0</v>
      </c>
      <c r="BR15" s="740">
        <f>IF(V15&lt;='Options and results'!$W$20,IF(AC15&gt;0,VLOOKUP($W$8,Treecost!$B$6:$AH$49,Treecost!$AF$2,FALSE)/60*AC15,0)*IF(V15&gt;='Options and results'!$I$25,'Options and results'!$I$24,1),0)</f>
        <v>0</v>
      </c>
      <c r="BS15" s="740">
        <f>(BQ15*$AX$20+BR15*$AX$21)*IF(V15&gt;='Options and results'!$I$27,'Options and results'!$I$26,1)*IF(1+'Options and results'!$Q$21*(V15-1)&gt;0,1+'Options and results'!$Q$21*(V15-1),0)</f>
        <v>0</v>
      </c>
      <c r="BT15" s="894">
        <f>IF(V15&lt;='Options and results'!$W$20,IF(AD15&gt;0,(VLOOKUP($W$8,Treecost!$B$6:$AH$49,Treecost!$AG$2,FALSE)/60*AD15)*IF(V15&gt;='Options and results'!$I$25,'Options and results'!$I$24,1),0),0)</f>
        <v>0</v>
      </c>
      <c r="BU15" s="740">
        <f>IF(V15&lt;='Options and results'!$W$20,IF(AD15&gt;0,(VLOOKUP($W$8,Treecost!$B$6:$AH$49,Treecost!$AH$2,FALSE)/60*AD15)*IF(V15&gt;='Options and results'!$I$25,'Options and results'!$I$24,1),0),0)</f>
        <v>0</v>
      </c>
      <c r="BV15" s="740">
        <f>(BT15*$AX$22+BU15*$AX$23)*IF(V15&gt;='Options and results'!$I$27,'Options and results'!$I$26,1)*IF(1+'Options and results'!$Q$21*(V15-1)&gt;0,1+'Options and results'!$Q$21*(V15-1),0)</f>
        <v>0</v>
      </c>
      <c r="BW15" s="1033">
        <f t="shared" si="138"/>
        <v>11.028229216722728</v>
      </c>
      <c r="BX15" s="1027">
        <f t="shared" si="139"/>
        <v>0</v>
      </c>
      <c r="BY15" s="1027">
        <f t="shared" si="140"/>
        <v>0</v>
      </c>
      <c r="BZ15" s="740">
        <f t="shared" si="124"/>
        <v>164.01214656415181</v>
      </c>
      <c r="CA15" s="740">
        <f t="shared" si="141"/>
        <v>-164.01214656415181</v>
      </c>
      <c r="CB15" s="894">
        <f>IF($V15&lt;='Options and results'!$W$20,SUM(BX$8:$BX15),0)</f>
        <v>0</v>
      </c>
      <c r="CC15" s="740">
        <f>IF($V15&lt;='Options and results'!$W$20,SUM($BY$8:BY15),0)</f>
        <v>0</v>
      </c>
      <c r="CD15" s="740">
        <f>IF($V15&lt;='Options and results'!$W$20,SUM($BZ$8:BZ15),0)</f>
        <v>1066.2760816166053</v>
      </c>
      <c r="CE15" s="740">
        <f>IF(V15&lt;='Options and results'!$W$20,CB15+CC15-CD15,0)</f>
        <v>-1066.2760816166053</v>
      </c>
      <c r="CF15" s="1381">
        <f t="shared" si="142"/>
        <v>16.801462129270003</v>
      </c>
      <c r="CG15" s="1027">
        <f t="shared" si="143"/>
        <v>-147.21068443488181</v>
      </c>
      <c r="CH15" s="1027">
        <f t="shared" si="144"/>
        <v>0</v>
      </c>
      <c r="CI15" s="1189">
        <f>IF(V15&lt;='Options and results'!$W$20,CE15+AO15,0)</f>
        <v>-1056.355520239206</v>
      </c>
      <c r="CJ15" s="1023"/>
      <c r="CK15" s="895">
        <f t="shared" si="145"/>
        <v>8</v>
      </c>
      <c r="CL15" s="1011" t="str">
        <f>IF('Options and results'!$C$54="None",0,IF(AND(CK15&gt;='Options and results'!$K$57,CK14&lt;'Options and results'!$W$20),'Options and results'!$K$56,IF(Optimisation!$B$3="No",CONCATENATE('Options and results'!$C$60," ",(HLOOKUP(CONCATENATE('Options and results'!$C$54," ",Agroforestrysystem!$B$12),Agroforestrysystem!$B$11:$IM$74,$CK15+4,FALSE))),Optimisation!AA35)))</f>
        <v>UK - Agriculture (BPS: from 2015) Oilseed</v>
      </c>
      <c r="CM15" s="1012">
        <f>IF(HLOOKUP(CONCATENATE('Options and results'!$C$54," ",Agroforestrysystem!$C$12),Agroforestrysystem!$B$11:$IM$74,$CK15+4,FALSE)="T",(VLOOKUP(CL15,Arablefinance!$Z$6:$AB$105,Arablefinance!$AB$2,FALSE)*CO15+VLOOKUP(CL15,Arablefinance!$Z$6:$AC$105,Arablefinance!$AC$2,FALSE)*CP15)/VLOOKUP(CL15,Arablefinance!$Z$6:$AA$105,Arablefinance!$AA$2,FALSE),0)</f>
        <v>0</v>
      </c>
      <c r="CN15" s="1012">
        <f>IF(CL15=0,0,HLOOKUP(CONCATENATE('Options and results'!$C$54," ",Agroforestrysystem!$D$12),Agroforestrysystem!$B$11:$IM$74,$CK15+4,FALSE))</f>
        <v>0.99</v>
      </c>
      <c r="CO15" s="1440">
        <f ca="1">IF(CL15=0,0,IF(AND(Optimisation!$B$3="yes",Optimisation!$B$4=1,CK15&gt;Optimisation!$B$9),0,HLOOKUP(CONCATENATE('Options and results'!$C$54," ",Agroforestrysystem!$E$12),Agroforestrysystem!$B$11:$IM$74,$CK15+4,FALSE)*IF(CK15&gt;='Options and results'!$J$19,'Options and results'!$J$18,1)))</f>
        <v>2.92</v>
      </c>
      <c r="CP15" s="1440">
        <f ca="1">IF(CL15=0,0,IF(AND(Optimisation!$B$3="yes",Optimisation!$B$4=1,CK15&gt;Optimisation!$B$9),0,HLOOKUP(CONCATENATE('Options and results'!$C$54," ",Agroforestrysystem!$F$12),Agroforestrysystem!$B$11:$IM$74,$CK15+4,FALSE)*IF(CK15&gt;='Options and results'!$J$19,'Options and results'!$J$18,1)))</f>
        <v>1.46</v>
      </c>
      <c r="CQ15" s="1013">
        <f ca="1">IF(CN15&lt;=0,0,IF(CK15&lt;='Options and results'!$W$20,IF(CM15&gt;0,VLOOKUP(CL15,Arablefinance!$Z$6:$AE$105,Arablefinance!$AD$2,FALSE)*CM15*CN15,((VLOOKUP(CL15,Arablefinance!$E$6:$H$126,2,FALSE)*CO15+VLOOKUP(CL15,Arablefinance!$E$6:$H$126,3,FALSE)*CP15)*CN15)),0)*IF(CK15&gt;='Options and results'!$J$21,'Options and results'!$J$20,1))*IF(1+'Options and results'!$O$20*(CK15-1)&gt;0,1+'Options and results'!$O$20*(CK15-1),0)</f>
        <v>1043.8999999999999</v>
      </c>
      <c r="CR15" s="1441">
        <f>IF(CN15&lt;=0,0,IF(AND(CM15&gt;0,VLOOKUP(CL15,Arablefinance!$Z$6:$AI$105,Arablefinance!$AI$2,FALSE)=2),VLOOKUP(CL15,Arablefinance!$Z$6:$AE$105,Arablefinance!$AE$2,FALSE)*CM15*CN15,IF('Options and results'!$C$62&gt;0,IF(VLOOKUP(CL15,Arablefinance!$E$6:$W$126,Arablefinance!$H$2,FALSE)*(1-Plot!DM15*'Options and results'!$C$62)&gt;0,VLOOKUP(CL15,Arablefinance!$E$6:$W$126,Arablefinance!$H$2,FALSE)*(1-Plot!DM15*'Options and results'!$C$62),0),IF(CK15&lt;='Options and results'!$W$20,(VLOOKUP(CL15,Arablefinance!$E$6:$W$126,Arablefinance!$H$2,FALSE)*IF('Options and results'!$C$61="area",CN15,'Options and results'!$C$61)),0)))*IF(CK15&gt;='Options and results'!$J$23,'Options and results'!$J$22,1))*IF(AND(1+'Options and results'!$O$23*(CK15-1)&gt;0,1+'Options and results'!$O$23*(CK15-1)&gt;'Options and results'!$S$24),1+'Options and results'!$O$23*(CK15-1),'Options and results'!$S$24)</f>
        <v>0</v>
      </c>
      <c r="CS15" s="1441">
        <f t="shared" ca="1" si="146"/>
        <v>1043.8999999999999</v>
      </c>
      <c r="CT15" s="1441">
        <f>IF(CN15&lt;=0,0,IF(CK15&lt;='Options and results'!$W$20,IF(CM15&gt;0,VLOOKUP(CL15,Arablefinance!$Z$6:$AF$105,Arablefinance!$AF$2,FALSE)*CM15*CN15,VLOOKUP(CL15,Arablefinance!$E$6:$X$126,Arablefinance!$R$2,FALSE)*CN15),0)*IF(CK15&gt;='Options and results'!$J$27,'Options and results'!$J$26,1))*IF(1+'Options and results'!$O$22*(CK15-1)&gt;0,1+'Options and results'!$O$22*(CK15-1),0)</f>
        <v>627.55000000000007</v>
      </c>
      <c r="CU15" s="1441">
        <f t="shared" ca="1" si="147"/>
        <v>416.3499999999998</v>
      </c>
      <c r="CV15" s="1441">
        <f>IF(CN15&lt;=0,0,IF(CK15&lt;='Options and results'!$W$20,IF(CM15&gt;0,VLOOKUP(CL15,Arablefinance!$Z$6:$AG$105,Arablefinance!$AG$2,FALSE)*CM15*CN15,VLOOKUP(CL15,Arablefinance!$E$6:$X$126,Arablefinance!$X$2,FALSE)*CN15),0)*IF(CK15&gt;='Options and results'!$J$27,'Options and results'!$J$26,1))*IF(1+'Options and results'!$O$22*(CK15-1)&gt;0,1+'Options and results'!$O$22*(CK15-1),0)</f>
        <v>440</v>
      </c>
      <c r="CW15" s="1442">
        <f>IF(CN15&lt;=0,0,IF(CK15&lt;='Options and results'!$W$20,'Options and results'!$C$27*IF(CK15&gt;='Options and results'!$J$27,'Options and results'!$J$26,1),0))*IF(1+'Options and results'!$O$21*(CK15-1)&gt;0,1+'Options and results'!$O$21*(CK15-1),0)</f>
        <v>14.6</v>
      </c>
      <c r="CX15" s="1442">
        <f>IF(CN15&lt;=0,0,IF(CK15&lt;='Options and results'!$W$20,IF(CM15&gt;0,VLOOKUP(CL15,Arablefinance!$Z$6:$AH$105,Arablefinance!$AH$2,FALSE)*CM15*CN15,VLOOKUP(CL15,Arablefinance!$E$6:$W$126,Arablefinance!$V$2,FALSE)*CN15),0)*IF(CK15&gt;='Options and results'!$J$25,'Options and results'!$J$24,1))</f>
        <v>7.3845219420863808</v>
      </c>
      <c r="CY15" s="1013">
        <f t="shared" si="148"/>
        <v>1175.3640203544614</v>
      </c>
      <c r="CZ15" s="1353">
        <f t="shared" ca="1" si="149"/>
        <v>-131.46402035446158</v>
      </c>
      <c r="DA15" s="1013">
        <f ca="1">IF($CK15&lt;='Options and results'!$W$20,SUM($CQ$8:CQ15),0)</f>
        <v>11365.95075</v>
      </c>
      <c r="DB15" s="1441">
        <f>IF($CK15&lt;='Options and results'!$W$20,SUM($CR$8:CR15),0)</f>
        <v>0</v>
      </c>
      <c r="DC15" s="1441">
        <f>IF($CK15&lt;='Options and results'!$W$20,SUM($CY$8:CY15),0)</f>
        <v>9622.5598038444641</v>
      </c>
      <c r="DD15" s="1189">
        <f ca="1">IF(CK15&lt;='Options and results'!$W$20,DA15+DB15-DC15,0)</f>
        <v>1743.3909461555359</v>
      </c>
      <c r="DE15" s="401"/>
      <c r="DF15" s="895">
        <f t="shared" si="150"/>
        <v>8</v>
      </c>
      <c r="DG15" s="173"/>
      <c r="DH15" s="1422"/>
      <c r="DI15" s="1427">
        <f>IF(DF15&lt;='Options and results'!$M$61,'Options and results'!$M$60,0)</f>
        <v>0</v>
      </c>
      <c r="DJ15" s="740">
        <f t="shared" si="151"/>
        <v>0</v>
      </c>
      <c r="DK15" s="740">
        <f t="shared" si="152"/>
        <v>0</v>
      </c>
      <c r="DL15" s="1428">
        <f t="shared" si="153"/>
        <v>100</v>
      </c>
      <c r="DM15" s="1429">
        <f>IF($DG$8=0,0,HLOOKUP(CONCATENATE('Options and results'!$C$54," ",Agroforestrysystem!$J$12),Agroforestrysystem!$11:$74,DF15+3,FALSE))/100</f>
        <v>0.45100000000000001</v>
      </c>
      <c r="DN15" s="740">
        <f>IF($DG$8=0,0,IF(HLOOKUP(CONCATENATE('Options and results'!$C$54," ",Agroforestrysystem!$H$12),Agroforestrysystem!$11:$74,DF15+4,FALSE)&lt;DL15,HLOOKUP(CONCATENATE('Options and results'!$C$54," ",Agroforestrysystem!$H$12),Agroforestrysystem!$11:$74,DF15+4,FALSE),0))</f>
        <v>0</v>
      </c>
      <c r="DO15" s="1027">
        <f>IF($DG$8=0,0,IF(HLOOKUP(CONCATENATE('Options and results'!$C$54," ",Agroforestrysystem!$H$12),Agroforestrysystem!$11:$74,DF15+4,FALSE)&gt;=DL15,DL15,0))</f>
        <v>0</v>
      </c>
      <c r="DP15" s="1430">
        <f>IF($DG$8=0,0,HLOOKUP(CONCATENATE('Options and results'!$C$54," ",Agroforestrysystem!$I$12),Agroforestrysystem!$11:$74,DF15+4,FALSE))</f>
        <v>6.9009972560664954</v>
      </c>
      <c r="DQ15" s="1038"/>
      <c r="DR15" s="1390">
        <f>IF($DG$8=0,0,IF(DF15&gt;'Options and results'!$W$20,0,)+IF(DF15=1,'Options and results'!$M$64)+IF('Options and results'!$M$67="yes",IF(AND(DR14+'Options and results'!$M$65&lt;=$DQ$8,DR14+'Options and results'!$M$65+IF(DF15=1,'Options and results'!$M$64,0)&lt;='Options and results'!$M$66*DP15),DR14+'Options and results'!$M$65,DR14),(HLOOKUP(CONCATENATE('Options and results'!$C$54," ",Agroforestrysystem!$K$12),Agroforestrysystem!$11:$74,DF15+4,FALSE)-IF(DF15=1,'Options and results'!$M$64))))</f>
        <v>4.5</v>
      </c>
      <c r="DS15" s="1027">
        <f>IF(OR($DG$8=0,DL15=0),0,HLOOKUP(CONCATENATE('Options and results'!$C$54," ",Agroforestrysystem!$L$12),Agroforestrysystem!$11:$74,DF15+4,FALSE)*IF(DF15&gt;='Options and results'!$K$19,'Options and results'!$K$18,1))</f>
        <v>1.9165211747338018</v>
      </c>
      <c r="DT15" s="1431">
        <f t="shared" si="154"/>
        <v>1.9165211747338019E-2</v>
      </c>
      <c r="DU15" s="889">
        <f t="shared" si="155"/>
        <v>0</v>
      </c>
      <c r="DV15" s="1027">
        <f>IF($DG$8=0,0,(HLOOKUP(CONCATENATE('Options and results'!$C$54," ",Agroforestrysystem!$M$12),Agroforestrysystem!$11:$74,DF15+4,FALSE))*IF(DF15&gt;='Options and results'!$K$19,'Options and results'!$K$18,1))-DW15</f>
        <v>0.84508518529627519</v>
      </c>
      <c r="DW15" s="303">
        <f>IF($DG$8=0,0,(HLOOKUP(CONCATENATE('Options and results'!$C$54," ",Agroforestrysystem!$N$12),Agroforestrysystem!$11:$74,DF15+4,FALSE))*IF(DF15&gt;='Options and results'!$K$19,'Options and results'!$K$18,1))</f>
        <v>0</v>
      </c>
      <c r="DX15" s="303">
        <f>IF($DG$8=0,0,HLOOKUP(CONCATENATE('Options and results'!$C$54," ",Agroforestrysystem!$O$12),Agroforestrysystem!$11:$74,DF15+4,FALSE)*IF(DF15&gt;='Options and results'!$K$19,'Options and results'!$K$18,1))</f>
        <v>0</v>
      </c>
      <c r="DY15" s="1192">
        <f>IF(DT15&gt;0,HLOOKUP(DT15,Treevalue!$I$4:$BC$34,'Options and results'!$C$66+1),0)*IF(DF15&gt;='Options and results'!$K$21,'Options and results'!$K$20,1)*IF(1+'Options and results'!$Q$20*(DF15-1)&gt;0,1+'Options and results'!$Q$20*(DF15-1),0)</f>
        <v>3.3397028276129421</v>
      </c>
      <c r="DZ15" s="1027">
        <f t="shared" si="156"/>
        <v>6.4006111864385558</v>
      </c>
      <c r="EA15" s="1027">
        <f t="shared" si="125"/>
        <v>0</v>
      </c>
      <c r="EB15" s="1027">
        <f>(IF('Options and results'!$C$66&gt;0,IF(DF15&lt;='Options and results'!$W$20,VLOOKUP('Options and results'!$C$66,Treevalue!$A$4:$F$34,5,FALSE),0),0)*DV15)*IF(DF15&gt;='Options and results'!$K$21,'Options and results'!$K$20,1)*IF(1+'Options and results'!$Q$20*(DF15-1)&gt;0,1+'Options and results'!$Q$20*(DF15-1),0)</f>
        <v>21.127129632406881</v>
      </c>
      <c r="EC15" s="740">
        <f>(IF('Options and results'!$C$66&gt;0,IF(DF15&lt;='Options and results'!$W$20,VLOOKUP('Options and results'!$C$66,Treevalue!$A$4:$F$34,5,FALSE),0),0)*DW15)*IF(DF15&gt;='Options and results'!$K$21,'Options and results'!$K$20,1)*IF(1+'Options and results'!$Q$20*(DF15-1)&gt;0,1+'Options and results'!$Q$20*(DF15-1),0)</f>
        <v>0</v>
      </c>
      <c r="ED15" s="889">
        <f>(IF('Options and results'!$C$66&gt;0,IF(DF15&lt;='Options and results'!$W$20,VLOOKUP('Options and results'!$C$66,Treevalue!$A$4:$F$34,6,FALSE),0),0)*DX15)*IF(DF15&gt;='Options and results'!$K$21,'Options and results'!$K$20,1)*IF(1+'Options and results'!$Q$20*(DF15-1)&gt;0,1+'Options and results'!$Q$20*(DF15-1),0)</f>
        <v>0</v>
      </c>
      <c r="EE15" s="740">
        <f>IF(DF15&lt;='Options and results'!$W$20,IF(DL15&lt;=0,0,IF('Options and results'!$C$70="cost",(IF(DF15&lt;='Options and results'!$C$71,FK15*SUM('Options and results'!$C$72:$C$73),0)),IF('Options and results'!$C$68&gt;0,(IF(VLOOKUP('Options and results'!$C$69,Treegrant!$B$6:$L$42,Treegrant!$C$2,FALSE)=DF15,VLOOKUP('Options and results'!$C$69,Treegrant!$B$6:$L$42,Treegrant!$D$2,FALSE),0)+IF(VLOOKUP('Options and results'!$C$69,Treegrant!$B$6:$L$42,Treegrant!$E$2,FALSE)=DF15,VLOOKUP('Options and results'!$C$69,Treegrant!$B$6:$L$42,Treegrant!$F$2,FALSE),0)+IF(VLOOKUP('Options and results'!$C$69,Treegrant!$B$6:$L$42,Treegrant!$G$2,FALSE)=DF15,VLOOKUP('Options and results'!$C$69,Treegrant!$B$6:$L$42,Treegrant!$H$2,FALSE)))*IF('Options and results'!$C$70="area",Unit!C16,'Options and results'!$C$70),0))*IF(DF15&gt;='Options and results'!$K$23,'Options and results'!$K$22,1)),0)*IF(1+'Options and results'!$Q$23*(DF15-1)&gt;0,1+'Options and results'!$Q$23*(DF15-1),0)</f>
        <v>0</v>
      </c>
      <c r="EF15" s="740">
        <f>IF($DG$8=0,0,IF(DF15&lt;='Options and results'!$W$20,IF(DL15&lt;=0,0,IF('Options and results'!$C$68&gt;0,IF(AND(VLOOKUP('Options and results'!$C$69,Treegrant!$B$6:$L$42,Treegrant!$J$2,FALSE)&lt;=DF15,VLOOKUP('Options and results'!$C$69,Treegrant!$B$6:$L$42,Treegrant!$K$2,FALSE)&gt;=DF15),(VLOOKUP('Options and results'!$C$69,Treegrant!$B$6:$L$42,Treegrant!$L$2,FALSE)),0)*IF('Options and results'!$C$74="area",Unit!C16,'Options and results'!$C$74))*IF(DF15&gt;='Options and results'!$K$23,'Options and results'!$K$22,1)),0))*IF(1+'Options and results'!$Q$23*(DF15-1)&gt;0,1+'Options and results'!$Q$23*(DF15-1),0)</f>
        <v>0</v>
      </c>
      <c r="EG15" s="1034">
        <f>IF($DG$8=0,0,IF(DF15&lt;='Options and results'!$W$20,IF(DL15&lt;=0,0,IF('Options and results'!$C$68&gt;0,((IF(AND(VLOOKUP('Options and results'!$C$69,Treegrant!$B$6:$O$42,Treegrant!$M$2,FALSE)&lt;=DF15,VLOOKUP('Options and results'!$C$69,Treegrant!$B$6:$O$42,Treegrant!$N$2,FALSE)&gt;=DF15),(VLOOKUP('Options and results'!$C$69,Treegrant!$B$6:$O$42,Treegrant!$O$2,FALSE)),0)*IF('Options and results'!$C$75="area",Unit!C16,'Options and results'!$C$75))+(IF(AND(VLOOKUP('Options and results'!$C$69,Treegrant!$B$6:$R$42,Treegrant!$P$2,FALSE)&lt;=DF15,VLOOKUP('Options and results'!$C$69,Treegrant!$B$6:$R$42,Treegrant!$Q$2,FALSE)&gt;=DF15),(VLOOKUP('Options and results'!$C$69,Treegrant!$B$6:$R$42,Treegrant!$R$2,FALSE)),0))*IF('Options and results'!$C$76="area",Unit!C16,'Options and results'!$C$76)))*IF(DF15&gt;='Options and results'!$K$23,'Options and results'!$K$22,1)),0))*IF(1+'Options and results'!$Q$23*(DF15-1)&gt;0,1+'Options and results'!$Q$23*(DF15-1),0)</f>
        <v>0</v>
      </c>
      <c r="EH15" s="1033" t="s">
        <v>248</v>
      </c>
      <c r="EI15" s="1018">
        <f>'Options and results'!$S40</f>
        <v>14.6</v>
      </c>
      <c r="EJ15" s="1419">
        <f>IF($DH$8+DK15&lt;1,0,IF(DF15=1,VLOOKUP($DG$8,Treecost!$B$6:$AH$49,Treecost!$E$2,FALSE),0)*IF(DF15&gt;='Options and results'!$K$25,'Options and results'!$K$24,1))</f>
        <v>0</v>
      </c>
      <c r="EK15" s="889">
        <f>IF($DH$8+DK15&lt;1,0,IF(DF15=1,VLOOKUP($DG$8,Treecost!$B$6:$AH$49,Treecost!$F$2,FALSE),0)*IF(DF15&gt;='Options and results'!$K$25,'Options and results'!$K$24,1))</f>
        <v>0</v>
      </c>
      <c r="EL15" s="889">
        <f>IF($DH$8+DK15&lt;1,0,IF(DF15=1,VLOOKUP($DG$8,Treecost!$B$6:$AH$49,Treecost!$G$2,FALSE),0)*IF(DF15&gt;='Options and results'!$K$25,'Options and results'!$K$24,1))</f>
        <v>0</v>
      </c>
      <c r="EM15" s="889">
        <f>IF($DG$8=0,0,IF(DF15&lt;='Options and results'!$W$20,((VLOOKUP($DG$8,Treecost!$B$6:$AH$49,Treecost!$H$2,FALSE)*(DH15+DK15))/60)*IF(DF15&gt;='Options and results'!$K$25,'Options and results'!$K$24,1),0))</f>
        <v>0</v>
      </c>
      <c r="EN15" s="889">
        <f>IF($DG$8=0,0,IF(DF15&lt;='Options and results'!$W$20,(((VLOOKUP($DG$8,Treecost!$B$6:$AH$49,Treecost!$I$2,FALSE))*(DH15+DK15))/60)*IF(DF15&gt;='Options and results'!$K$25,'Options and results'!$K$24,1),0))</f>
        <v>0</v>
      </c>
      <c r="EO15" s="889">
        <f>IF($DG$8=0,0,IF(DF15&lt;='Options and results'!$W$20,(((VLOOKUP($DG$8,Treecost!$B$6:$AH$49,Treecost!$J$2,FALSE))/60)*(DH15+DK15))*IF(DF15&gt;='Options and results'!$K$25,'Options and results'!$K$24,1),0))</f>
        <v>0</v>
      </c>
      <c r="EP15" s="1019">
        <f>IF($DG$8=0,0,IF(DF15&lt;='Options and results'!$W$20,(((VLOOKUP($DG$8,Treecost!$B$6:$AH$49,Treecost!$C$2,FALSE)+VLOOKUP($DG$8,Treecost!$B$6:$AH$49,Treecost!$D$2,FALSE))*(DH15+DK15)*IF(1+'Options and results'!$Q$22*(DF15-1)&gt;0,1+'Options and results'!$Q$22*(DF15-1),0))+(EJ15*$EI$8+EK15*$EI$9+EL15*$EI$10+EM15*$EI$11+EN15*$EI$12+EO15*$EI$13)*IF(1+'Options and results'!$Q$21*(DF15-1)&gt;0,1+'Options and results'!$Q$21*(DF15-1),0))*IF(DF15&gt;='Options and results'!$K$27,'Options and results'!$K$26,1),0))</f>
        <v>0</v>
      </c>
      <c r="EQ15" s="889">
        <f>IF($DG$8=0,0,IF(DF15&lt;='Options and results'!$W$20,IF(AND(VLOOKUP($DG$8,Treecost!$B$6:$AH$49,Treecost!$K$2,FALSE)&lt;=DF15,DF15&lt;=(VLOOKUP($DG$8,Treecost!$B$6:$AH$49,Treecost!$L$2,FALSE))),VLOOKUP($DG$8,Treecost!$B$6:$AH$49,Treecost!$M$2,FALSE)*DL15/60,0)*IF(DF15&gt;='Options and results'!$K$25,'Options and results'!$K$24,1),0))</f>
        <v>0</v>
      </c>
      <c r="ER15" s="1019">
        <f>IF(EQ15&gt;0,(VLOOKUP($DG$8,Treecost!$B$6:$AH$49,Treecost!$N$2,FALSE)*DL15*IF(1+'Options and results'!$Q$22*(DF15-1)&gt;0,1+'Options and results'!$Q$22*(DF15-1),0)+EQ15*$EI$14*IF(1+'Options and results'!$Q$21*(DF15-1)&gt;0,1+'Options and results'!$Q$21*(DF15-1),0)),0)*IF(DF15&gt;='Options and results'!$K$27,'Options and results'!$K$26,1)</f>
        <v>0</v>
      </c>
      <c r="ES15" s="889">
        <f>IF(DF15&lt;='Options and results'!$W$20,IF(AND(DR15-DR14&gt;0,DR15&gt;'Options and results'!$M$64),(DL15-DN15)*(VLOOKUP($DG$8,Treecost!$B$6:$AH$49,Treecost!$Y$2,FALSE)+(VLOOKUP($DG$8,Treecost!$B$6:$AH$49,Treecost!$AA$2,FALSE)-VLOOKUP($DG$8,Treecost!$B$6:$AH$49,Treecost!$Y$2,FALSE))/(VLOOKUP($DG$8,Treecost!$B$6:$AH$49,Treecost!$Z$2,FALSE)-VLOOKUP($DG$8,Treecost!$B$6:$AH$49,Treecost!$X$2,FALSE))*(DR15-VLOOKUP($DG$8,Treecost!$B$6:$AH$49,Treecost!$X$2,FALSE)))/60,0)*IF(DF15&gt;='Options and results'!$K$25,'Options and results'!$K$24,1),0)</f>
        <v>6.7083333333333321</v>
      </c>
      <c r="ET15" s="889">
        <f>IF(DF15&lt;='Options and results'!$W$20,IF(ES15&gt;0,VLOOKUP($DG$8,Treecost!$B$6:$AH$49,Treecost!$AB$2,FALSE)/60*DL15,0)*IF(DF15&gt;='Options and results'!$K$25,'Options and results'!$K$24,1),0)*((ES15-(MIN($ES$8:$ES$67)))/((MAX($ES$8:$ES$67))-(MIN($ES$8:$ES$67))))</f>
        <v>0.36104436969405734</v>
      </c>
      <c r="EU15" s="740">
        <f>IF(ES15&gt;0,(ES15*$EI$15+ET15*$EI$19)*IF(1+'Options and results'!$Q$21*(DF15-1)&gt;0,1+'Options and results'!$Q$21*(DF15-1),0),0)*IF(DF15&gt;='Options and results'!$K$27,'Options and results'!$K$26,1)</f>
        <v>103.21291446419988</v>
      </c>
      <c r="EV15" s="891">
        <f>IF($DG$8=0,0,IF(DF15&lt;='Options and results'!$W$20,IF(AND(VLOOKUP($DG$8,Treecost!$B$2:$AH$49,Treecost!$O$2,FALSE)=DF15,DF15&lt;=IF(AND(Optimisation!$B$3="Yes",Optimisation!$B$4=1),Optimisation!$B$9)),VLOOKUP($DG$8,Treecost!$B$2:$AH$49,Treecost!$P$2,FALSE)*(1-CN15),0)*IF(DF15&gt;='Options and results'!$K$25,'Options and results'!$K$24,1),0))</f>
        <v>0</v>
      </c>
      <c r="EW15" s="889">
        <f>IF($DG$8=0,0,IF(DF15&lt;='Options and results'!$W$20,IF(AND(DF15&gt;VLOOKUP($DG$8,Treecost!$B$2:$AH$49,Treecost!$O$2,FALSE),DF15&lt;=IF(AND(Optimisation!$B$3="Yes",Optimisation!$B$4=1),Optimisation!$B$9,VLOOKUP($DG$8,Treecost!$B$2:$AH$49,Treecost!$R$2,FALSE))),VLOOKUP($DG$8,Treecost!$B$2:$AH$49,Treecost!$S$2,FALSE)*(1-CN15),0)*IF(DF15&gt;='Options and results'!$K$25,'Options and results'!$K$24,1),0))</f>
        <v>0</v>
      </c>
      <c r="EX15" s="740">
        <f>IF($DG$8=0,0,IF(DF15&lt;='Options and results'!$W$20,(IF(AND(VLOOKUP($DG$8,Treecost!$B$2:$AH$49,Treecost!$O$2,FALSE)=DF15,DF15&lt;=IF(AND(Optimisation!$B$3="Yes",Optimisation!$B$4=1),Optimisation!$B$9)),VLOOKUP($DG$8,Treecost!$B$2:$AH$49,Treecost!$Q$2,FALSE),0)*(1-CN15)+IF(AND(DF15&gt;VLOOKUP($DG$8,Treecost!$B$2:$AH$49,Treecost!$O$2,FALSE),DF15&lt;=IF(AND(Optimisation!$B$3="Yes",Optimisation!$B$4=1),Optimisation!$B$9,VLOOKUP($DG$8,Treecost!$B$2:$AH$49,Treecost!$R$2,FALSE))),VLOOKUP($DG$8,Treecost!$B$2:$AH$49,Treecost!$T$2,FALSE),0)*(1-CN15)+(EV15*$EI$16+EW15*$EI$17))*IF(DF15&gt;='Options and results'!$K$27,'Options and results'!$K$26,1),0))*IF(1+'Options and results'!$Q$21*(DF15-1)&gt;0,1+'Options and results'!$Q$21*(DF15-1),0)</f>
        <v>0</v>
      </c>
      <c r="EY15" s="894">
        <f>IF($DG$8=0,0,IF(DF15&lt;='Options and results'!$W$20,IF(AND(DF15&gt;=VLOOKUP($DG$8,Treecost!$B$2:$W$49,Treecost!$U$2,FALSE),DF15&lt;=VLOOKUP($DG$8,Treecost!$B$2:$W$49,Treecost!$V$2,FALSE)),(DL15*VLOOKUP($DG$8,Treecost!$B$2:$W$49,Treecost!$W$2,FALSE)/60),0)*IF(DF15&gt;='Options and results'!$K$25,'Options and results'!$K$24,1),0))</f>
        <v>0</v>
      </c>
      <c r="EZ15" s="740">
        <f>EY15*$EI$18*IF(DF15&gt;='Options and results'!$K$27,'Options and results'!$K$26,1)*IF(1+'Options and results'!$Q$21*(DF15-1)&gt;0,1+'Options and results'!$Q$21*(DF15-1),0)</f>
        <v>0</v>
      </c>
      <c r="FA15" s="1025">
        <f>IF(DF15&lt;='Options and results'!$W$20,IF(DL15&lt;=0,0,VLOOKUP($DG$8,Treecost!$B$6:$AH$49,Treecost!$AC$2,FALSE)+VLOOKUP($DG$8,Treecost!$B$6:$AH$49,Treecost!$AD$2,FALSE)+IF(AND(DF15&gt;=VLOOKUP($DG$8,Treecost!$B$2:$AK$49,Treecost!$AI$2,FALSE),DF15&lt;=VLOOKUP($DG$8,Treecost!$B$2:$AK$49,Treecost!$AJ$2,FALSE)),VLOOKUP($DG$8,Treecost!$B$2:$AK$49,Treecost!$AK$2,FALSE)*(1-CN15),0))*IF(DF15&gt;='Options and results'!$K$27,'Options and results'!$K$26,1),0)*IF(1+'Options and results'!$Q$22*(DF15-1)&gt;0,1+'Options and results'!$Q$22*(DF15-1),0)</f>
        <v>3</v>
      </c>
      <c r="FB15" s="894">
        <f>IF(DF15&lt;='Options and results'!$W$20,IF(DN15&gt;0,VLOOKUP($DG$8,Treecost!$B$6:$AH$49,Treecost!$AE$2,FALSE)/60*DN15,0)*IF(DF15&gt;='Options and results'!$K$25,'Options and results'!$K$24,1),0)</f>
        <v>0</v>
      </c>
      <c r="FC15" s="740">
        <f>IF(DF15&lt;='Options and results'!$W$20,IF(DN15&gt;0,VLOOKUP($DG$8,Treecost!$B$6:$AH$49,Treecost!$AF$2,FALSE)/60*DN15,0)*IF(DF15&gt;='Options and results'!$K$25,'Options and results'!$K$24,1),0)</f>
        <v>0</v>
      </c>
      <c r="FD15" s="740">
        <f>(FB15*$EI$20+FC15*$EI$21)*IF(DF15&gt;='Options and results'!$K$27,'Options and results'!$K$26,1)*IF(1+'Options and results'!$Q$21*(DF15-1)&gt;0,1+'Options and results'!$Q$21*(DF15-1),0)</f>
        <v>0</v>
      </c>
      <c r="FE15" s="894">
        <f>IF(DF15&lt;='Options and results'!$W$20,IF(DO15&gt;0,(VLOOKUP($DG$8,Treecost!$B$6:$AH$49,Treecost!$AG$2,FALSE)/60*DO15)*IF(DF15&gt;='Options and results'!$K$25,'Options and results'!$K$24,1),0),0)</f>
        <v>0</v>
      </c>
      <c r="FF15" s="740">
        <f>IF(DF15&lt;='Options and results'!$W$20,IF(DO15&gt;0,(VLOOKUP($DG$8,Treecost!$B$6:$AH$49,Treecost!$AH$2,FALSE)/60*DO15)*IF(DF15&gt;='Options and results'!$K$25,'Options and results'!$K$24,1),0),0)</f>
        <v>0</v>
      </c>
      <c r="FG15" s="740">
        <f>(FE15*$EI$22+FF15*$EI$23)*IF(DF15&gt;='Options and results'!$K$27,'Options and results'!$K$26,1)*IF(1+'Options and results'!$Q$21*(DF15-1)&gt;0,1+'Options and results'!$Q$21*(DF15-1),0)</f>
        <v>0</v>
      </c>
      <c r="FH15" s="894">
        <f t="shared" si="157"/>
        <v>7.0693777030273894</v>
      </c>
      <c r="FI15" s="1027">
        <f t="shared" si="158"/>
        <v>0</v>
      </c>
      <c r="FJ15" s="1027">
        <f t="shared" si="159"/>
        <v>0</v>
      </c>
      <c r="FK15" s="1027">
        <f>FG15+FD15+FA15+EU15+ER15+EP15+EX15+EZ15</f>
        <v>106.21291446419988</v>
      </c>
      <c r="FL15" s="1027">
        <f t="shared" ref="FL15:FL32" si="183">FI15-FK15</f>
        <v>-106.21291446419988</v>
      </c>
      <c r="FM15" s="1027">
        <f>IF($DF15&lt;='Options and results'!$W$20,SUM(FI$8:$FI15),0)</f>
        <v>0</v>
      </c>
      <c r="FN15" s="1027">
        <f>IF($DF15&lt;='Options and results'!$W$20,SUM($FJ$8:FJ15),0)</f>
        <v>0</v>
      </c>
      <c r="FO15" s="1027">
        <f>IF($DF15&lt;='Options and results'!$W$20,SUM($FK$8:FK15),0)</f>
        <v>726.56520383348834</v>
      </c>
      <c r="FP15" s="1027">
        <f>IF($DF15&lt;='Options and results'!$W$20,FM15+FN15-FO15,0)</f>
        <v>-726.56520383348834</v>
      </c>
      <c r="FQ15" s="1027">
        <f t="shared" si="162"/>
        <v>10.88598009494001</v>
      </c>
      <c r="FR15" s="1027">
        <f t="shared" si="163"/>
        <v>-95.326934369259874</v>
      </c>
      <c r="FS15" s="1027">
        <f t="shared" si="164"/>
        <v>0</v>
      </c>
      <c r="FT15" s="1189">
        <f>IF(DF15&lt;='Options and results'!$W$20,FP15+DZ15,0)</f>
        <v>-720.16459264704974</v>
      </c>
      <c r="FU15" s="401"/>
      <c r="FV15" s="895">
        <f t="shared" si="165"/>
        <v>8</v>
      </c>
      <c r="FW15" s="894">
        <f>G15/(1+'Options and results'!$W$33)^(FV15-1)</f>
        <v>877.15055267813011</v>
      </c>
      <c r="FX15" s="740">
        <f>(AP15+AR15+AS15)/(1+'Options and results'!$W$33)^(FV15-1)</f>
        <v>0</v>
      </c>
      <c r="FY15" s="740">
        <f ca="1">CQ15/(1+'Options and results'!$W$33)^(FV15-1)</f>
        <v>793.27820520163368</v>
      </c>
      <c r="FZ15" s="740">
        <f>(EA15+EC15+ED15)/(1+'Options and results'!$W$33)^(FV15-1)</f>
        <v>0</v>
      </c>
      <c r="GA15" s="1019">
        <f t="shared" ca="1" si="180"/>
        <v>793.27820520163368</v>
      </c>
      <c r="GB15" s="1026">
        <f>(AO15+AQ15)/(1+'Options and results'!$W$33)^(FV15-1)+FX15</f>
        <v>32.422910518119593</v>
      </c>
      <c r="GC15" s="1027">
        <f>IF(FV15&gt;'Options and results'!$W$27,0,GB15-GB14)</f>
        <v>11.981523153542248</v>
      </c>
      <c r="GD15" s="1027">
        <f>(DZ15+EB15)/(1+'Options and results'!$W$33)^(FV15-1)+FZ15</f>
        <v>20.9188206054502</v>
      </c>
      <c r="GE15" s="1379">
        <f>IF(FV15&gt;'Options and results'!$W$27,0,GD15-GD14)</f>
        <v>7.7665953716223157</v>
      </c>
      <c r="GF15" s="894">
        <f>IF(FV15&lt;='Options and results'!$W$20,SUM(FW$8:FW15),0)</f>
        <v>10917.141812058419</v>
      </c>
      <c r="GG15" s="740">
        <f>IF(FV15&lt;='Options and results'!$W$20,SUM(FX$8:FX15), 0)</f>
        <v>0</v>
      </c>
      <c r="GH15" s="740">
        <f ca="1">IF(FV15&lt;='Options and results'!$W$20,SUM(FY$8:FY15),0)</f>
        <v>10084.751784688664</v>
      </c>
      <c r="GI15" s="740">
        <f>IF(FV15&lt;='Options and results'!$W$20,SUM(FZ$8:FZ15),0)</f>
        <v>0</v>
      </c>
      <c r="GJ15" s="1019">
        <f t="shared" ca="1" si="166"/>
        <v>10084.751784688664</v>
      </c>
      <c r="GK15" s="894">
        <f>IF(FV15&gt;'Options and results'!$W$27,0,GG15+SUM(GC$8:GC15)-FX15)</f>
        <v>32.422910518119593</v>
      </c>
      <c r="GL15" s="740">
        <f>IF(FV15&lt;='Options and results'!$W$20,SUM(GD$8:GD15),0)</f>
        <v>45.188352620029768</v>
      </c>
      <c r="GM15" s="1034">
        <f t="shared" ca="1" si="167"/>
        <v>10129.940137308693</v>
      </c>
      <c r="GN15" s="401"/>
      <c r="GO15" s="895">
        <f t="shared" si="168"/>
        <v>8</v>
      </c>
      <c r="GP15" s="894">
        <f>H15/(1+'Options and results'!$W$33)^(GO15-1)</f>
        <v>178.73266966512526</v>
      </c>
      <c r="GQ15" s="740">
        <f>SUM(AT15:AV15)/(1+'Options and results'!$W$33)^(GO15-1)</f>
        <v>0</v>
      </c>
      <c r="GR15" s="740">
        <f>CR15/(1+'Options and results'!$W$33)^(GO15-1)</f>
        <v>0</v>
      </c>
      <c r="GS15" s="740">
        <f>SUM(EE15:EG15)/(1+'Options and results'!$W$33)^(GO15-1)</f>
        <v>0</v>
      </c>
      <c r="GT15" s="1019">
        <f t="shared" si="181"/>
        <v>0</v>
      </c>
      <c r="GU15" s="894">
        <f>IF(GO15&lt;='Options and results'!$W$20,SUM(GP$8:GP15),0)</f>
        <v>1646.8832583718668</v>
      </c>
      <c r="GV15" s="740">
        <f>IF(GO15&lt;='Options and results'!$W$20,SUM(GQ$8:GQ15),0)</f>
        <v>0</v>
      </c>
      <c r="GW15" s="740">
        <f>IF(GO15&lt;='Options and results'!$W$20,SUM(GR$8:GR15),0)</f>
        <v>0</v>
      </c>
      <c r="GX15" s="740">
        <f>IF(GO15&lt;='Options and results'!$W$20,SUM(GS$8:GS15),0)</f>
        <v>0</v>
      </c>
      <c r="GY15" s="1034">
        <f>IF(GO15&lt;='Options and results'!$W$20,SUM(GT$8:GT15),0)</f>
        <v>0</v>
      </c>
      <c r="GZ15" s="401"/>
      <c r="HA15" s="895">
        <f t="shared" si="169"/>
        <v>8</v>
      </c>
      <c r="HB15" s="1026">
        <f>(J15+L15+(M15*N15))/(1+'Options and results'!$W$33)^(HA15-1)</f>
        <v>902.20207683247236</v>
      </c>
      <c r="HC15" s="740">
        <f>BZ15/(1+'Options and results'!$W$33)^(HA15-1)</f>
        <v>124.63575175560653</v>
      </c>
      <c r="HD15" s="1027">
        <f>(CT15+CV15+(CW15*CX15))/(1+'Options and results'!$W$33)^(HA15-1)</f>
        <v>893.18005606414772</v>
      </c>
      <c r="HE15" s="740">
        <f>FK15/(1+'Options and results'!$W$33)^(HA15-1)</f>
        <v>80.71308569345257</v>
      </c>
      <c r="HF15" s="1019">
        <f t="shared" si="182"/>
        <v>973.89314175760023</v>
      </c>
      <c r="HG15" s="894">
        <f>IF(HA15&lt;='Options and results'!$W$20,SUM(HB$8:HB15),0)</f>
        <v>8520.0483069409565</v>
      </c>
      <c r="HH15" s="740">
        <f>IF(HA15&lt;='Options and results'!$W$20,SUM(HC$8:HC15),0)</f>
        <v>1003.9171375074671</v>
      </c>
      <c r="HI15" s="740">
        <f>IF(HA15&lt;='Options and results'!$W$20,SUM(HD$8:HD15),0)</f>
        <v>8434.847823871547</v>
      </c>
      <c r="HJ15" s="740">
        <f>IF(HA15&lt;='Options and results'!$W$20,SUM(HE$8:HE15),0)</f>
        <v>685.45763975917248</v>
      </c>
      <c r="HK15" s="1034">
        <f>IF(HA15&lt;='Options and results'!$W$20,SUM(HF$8:HF15),0)</f>
        <v>9120.3054636307206</v>
      </c>
      <c r="HL15" s="405"/>
      <c r="HM15" s="895">
        <f t="shared" si="170"/>
        <v>8</v>
      </c>
      <c r="HN15" s="1026">
        <f t="shared" si="171"/>
        <v>153.68114551078293</v>
      </c>
      <c r="HO15" s="1027">
        <f t="shared" si="172"/>
        <v>-124.63575175560653</v>
      </c>
      <c r="HP15" s="1027">
        <f t="shared" ca="1" si="173"/>
        <v>-99.901850862514038</v>
      </c>
      <c r="HQ15" s="1027">
        <f t="shared" si="174"/>
        <v>-80.71308569345257</v>
      </c>
      <c r="HR15" s="1027">
        <f t="shared" si="175"/>
        <v>-112.65422860206428</v>
      </c>
      <c r="HS15" s="1379">
        <f t="shared" si="176"/>
        <v>-72.946490321830254</v>
      </c>
      <c r="HT15" s="1026">
        <f>IF($HM15&lt;='Options and results'!$W$20,SUM(HN$8:HN15),0)</f>
        <v>4043.9767634893287</v>
      </c>
      <c r="HU15" s="1027">
        <f>IF($HM15&lt;='Options and results'!$W$20,SUM(HO$8:HO15),0)</f>
        <v>-1003.9171375074671</v>
      </c>
      <c r="HV15" s="1027">
        <f ca="1">IF($HM15&lt;='Options and results'!$W$20,SUM(HP$8:HP15),0)</f>
        <v>1649.9039608171161</v>
      </c>
      <c r="HW15" s="1027">
        <f>IF($HM15&lt;='Options and results'!$W$20,SUM(HQ$8:HQ15),0)</f>
        <v>-685.45763975917248</v>
      </c>
      <c r="HX15" s="1027">
        <f t="shared" ca="1" si="177"/>
        <v>964.44632105794358</v>
      </c>
      <c r="HY15" s="1027">
        <f>IF($HM15&lt;='Options and results'!$W$20,SUM(HR$8:HR15),0)</f>
        <v>-971.49422698934745</v>
      </c>
      <c r="HZ15" s="1027">
        <f>IF($HM15&lt;='Options and results'!$W$20,SUM(HS$8:HS15),0)</f>
        <v>-664.53881915372222</v>
      </c>
      <c r="IA15" s="1189">
        <f t="shared" ca="1" si="178"/>
        <v>985.36514166339384</v>
      </c>
    </row>
    <row r="16" spans="1:235" x14ac:dyDescent="0.25">
      <c r="A16" s="1010">
        <f t="shared" si="126"/>
        <v>9</v>
      </c>
      <c r="B16" s="1011" t="str">
        <f>IF('Options and results'!$C$17="None",0,CONCATENATE('Options and results'!$C$23," ",(HLOOKUP(CONCATENATE('Options and results'!$C$17," ",Arablesystem!$B$11),Arablesystem!$B$10:$ER$72,$A16+3,FALSE))))</f>
        <v>UK - Agriculture (BPS: from 2015) Wheat</v>
      </c>
      <c r="C16" s="1012">
        <f>IF(HLOOKUP(CONCATENATE('Options and results'!$C$17," ",Arablesystem!$C$11),Arablesystem!$B$10:$ER$72,$A16+3,FALSE)="T",(VLOOKUP(B16,Arablefinance!$Z$6:$AB$105,Arablefinance!$AB$2,FALSE)*E16+VLOOKUP(B16,Arablefinance!$Z$6:$AC$105,Arablefinance!$AC$2,FALSE)*F16)/VLOOKUP(B16,Arablefinance!$Z$6:$AA$105,Arablefinance!$AA$2,FALSE),0)</f>
        <v>0</v>
      </c>
      <c r="D16" s="1012">
        <f>IF(B16=0,0,HLOOKUP(CONCATENATE('Options and results'!$C$17," ",Arablesystem!$D$11),Arablesystem!$B$10:$ER$72,$A16+3,FALSE))</f>
        <v>1</v>
      </c>
      <c r="E16" s="1440">
        <f>IF(B16=0,0,HLOOKUP(CONCATENATE('Options and results'!$C$17," ",Arablesystem!$E$11),Arablesystem!$B$10:$ER$72,$A16+3,FALSE)*IF(A16&gt;='Options and results'!$H$19,'Options and results'!$H$18,1))</f>
        <v>9.8493672631198592</v>
      </c>
      <c r="F16" s="1440">
        <f>IF(B16=0,0,HLOOKUP(CONCATENATE('Options and results'!$C$17," ",Arablesystem!$F$11),Arablesystem!$B$10:$ER$72,$A16+3,FALSE)*IF(A16&gt;='Options and results'!$H$19,'Options and results'!$H$18,1))</f>
        <v>3.9397469052479437</v>
      </c>
      <c r="G16" s="1013">
        <f>IF(D16&lt;=0,0,IF(A16&lt;='Options and results'!$W$20,IF(C16&gt;0,VLOOKUP(B16,Arablefinance!$Z$6:$AE$105,Arablefinance!$AD$2,FALSE)*C16*D16,((VLOOKUP(B16,Arablefinance!$E$6:$G$126,Arablefinance!$F$2,FALSE)*(E16*D16)+VLOOKUP(B16,Arablefinance!$E$6:$G$126,Arablefinance!$G$2,FALSE)*(F16*D16)))),0)*IF(A16&gt;='Options and results'!$H$21,'Options and results'!$H$20,1))*IF(1+'Options and results'!$O$20*(A16-1)&gt;0,1+'Options and results'!$O$20*(A16-1),0)</f>
        <v>1857.7001032384403</v>
      </c>
      <c r="H16" s="1441">
        <f>IF(D16&lt;=0,0,IF(A16&lt;='Options and results'!$W$20,IF(AND(C16&gt;0,VLOOKUP(B16,Arablefinance!$Z$6:$AI$105,Arablefinance!$AI$2,FALSE)=2),VLOOKUP(B16,Arablefinance!$Z$6:$AE$105,Arablefinance!$AE$2,FALSE)*C16*D16,(VLOOKUP(B16,Arablefinance!$E$6:$H$126,Arablefinance!$H$2,FALSE)*D16))*IF(A16&gt;='Options and results'!$H$23,'Options and results'!$H$22,1),0)*IF(AND(1+'Options and results'!$O$23*(A16-1)&gt;0,1+'Options and results'!$O$23*(A16-1)&gt;'Options and results'!$S$24),1+'Options and results'!$O$23*(A16-1),'Options and results'!$S$24))</f>
        <v>235.2</v>
      </c>
      <c r="I16" s="1441">
        <f t="shared" si="127"/>
        <v>2092.9001032384404</v>
      </c>
      <c r="J16" s="1441">
        <f>IF(D16&lt;=0,0,IF(A16&lt;='Options and results'!$W$20,IF(C16&gt;0,VLOOKUP(B16,Arablefinance!$Z$6:$AF$105,Arablefinance!$AF$2,FALSE)*C16*D16,(VLOOKUP(B16,Arablefinance!$E$6:$X$126,Arablefinance!$R$2,FALSE))*D16),0)*IF(A16&gt;='Options and results'!$H$27,'Options and results'!$H$26,1))*IF(1+'Options and results'!$O$22*(A16-1)&gt;0,1+'Options and results'!$O$22*(A16-1),0)</f>
        <v>653.12499999999989</v>
      </c>
      <c r="K16" s="1441">
        <f t="shared" si="128"/>
        <v>1439.7751032384404</v>
      </c>
      <c r="L16" s="1441">
        <f>IF(D16&lt;=0,0,IF(A16&lt;='Options and results'!$W$20,IF(C16&gt;0,VLOOKUP(B16,Arablefinance!$Z$6:$AG$105,Arablefinance!$AG$2,FALSE)*C16*D16,VLOOKUP(B16,Arablefinance!$E$6:$X$126,Arablefinance!$X$2,FALSE)*D16),0)*IF(A16&gt;='Options and results'!$H$27,'Options and results'!$H$26,1))*IF(1+'Options and results'!$O$22*(A16-1)&gt;0,1+'Options and results'!$O$22*(A16-1),0)</f>
        <v>444.44444444444446</v>
      </c>
      <c r="M16" s="1442">
        <f>IF(D16&lt;=0,0,IF(A16&lt;='Options and results'!$W$20,'Options and results'!$C$27,0)*IF(A16&gt;='Options and results'!$H$27,'Options and results'!$H$26,1))*IF(1+'Options and results'!$O$21*(A16-1)&gt;0,1+'Options and results'!$O$21*(A16-1),0)</f>
        <v>14.6</v>
      </c>
      <c r="N16" s="1442">
        <f>IF(D16&lt;=0,0,IF(A16&lt;='Options and results'!$W$20,IF(C16&gt;0,VLOOKUP(B16,Arablefinance!$Z$6:$AH$105,Arablefinance!$AH$2,FALSE)*C16*D16,VLOOKUP(B16,Arablefinance!$E$6:$W$126,Arablefinance!$V$2,FALSE)*D16),0)*IF(A16&gt;='Options and results'!$H$25,'Options and results'!$H$24,1))</f>
        <v>11.632834596849463</v>
      </c>
      <c r="O16" s="1013">
        <f t="shared" si="129"/>
        <v>1267.4088295584465</v>
      </c>
      <c r="P16" s="1353">
        <f t="shared" si="130"/>
        <v>825.4912736799937</v>
      </c>
      <c r="Q16" s="1013">
        <f>IF(A16&lt;='Options and results'!$W$20,SUM(G$8:$G16),0)</f>
        <v>14246.073012814599</v>
      </c>
      <c r="R16" s="1441">
        <f>IF($A16&lt;='Options and results'!$W$20,SUM($H$8:H16),0)</f>
        <v>2116.8000000000002</v>
      </c>
      <c r="S16" s="1441">
        <f>IF($A16&lt;='Options and results'!$W$20,SUM($O$8:O16),0)</f>
        <v>10987.166207179114</v>
      </c>
      <c r="T16" s="1032">
        <f>IF(A16&lt;='Options and results'!$W$20,Q16+R16-S16,0)</f>
        <v>5375.7068056354838</v>
      </c>
      <c r="U16" s="405"/>
      <c r="V16" s="1010">
        <f t="shared" si="131"/>
        <v>9</v>
      </c>
      <c r="W16" s="173"/>
      <c r="X16" s="1036"/>
      <c r="Y16" s="1030">
        <f>IF(V16&lt;='Options and results'!$M$34,'Options and results'!$M$33,0)</f>
        <v>0</v>
      </c>
      <c r="Z16" s="1441">
        <f t="shared" si="132"/>
        <v>0</v>
      </c>
      <c r="AA16" s="1441">
        <f t="shared" si="133"/>
        <v>0</v>
      </c>
      <c r="AB16" s="1428">
        <f t="shared" si="134"/>
        <v>156</v>
      </c>
      <c r="AC16" s="1441">
        <f>IF($W$8=0,0,IF(HLOOKUP(CONCATENATE('Options and results'!$C$32," ",Forestrysystem!$C$8),Forestrysystem!$A$7:$IH$70,V16+4,FALSE)&lt;AB16,HLOOKUP(CONCATENATE('Options and results'!$C$32," ",Forestrysystem!$C$8),Forestrysystem!$A$7:$IH$70,V16+4,FALSE),0))</f>
        <v>0</v>
      </c>
      <c r="AD16" s="1441">
        <f>IF($W$8=0,0,IF(HLOOKUP(CONCATENATE('Options and results'!$C$32," ",Forestrysystem!$C$8),Forestrysystem!$A$7:$IH$70,V16+4,FALSE)&gt;=AB16,AB16,0))</f>
        <v>0</v>
      </c>
      <c r="AE16" s="1440">
        <f>IF($W$8=0,0,HLOOKUP(CONCATENATE('Options and results'!$C$32," ",Forestrysystem!$D$8),Forestrysystem!$A$7:$IH$70,$V16+4,FALSE))</f>
        <v>8.2687675058381345</v>
      </c>
      <c r="AF16" s="1037"/>
      <c r="AG16" s="1440">
        <f>IF($W$8=0,0,IF(V16=1,'Options and results'!$M$36,0)+IF('Options and results'!$M$39="yes",IF(AND(AG15+'Options and results'!$M$37&lt;=$AF$8,AG15+'Options and results'!$M$37+IF(V16=1,'Options and results'!$M$36,0)&lt;='Options and results'!$M$38*AE16),AG15+'Options and results'!$M$37,AG15),(HLOOKUP(CONCATENATE('Options and results'!$C$32," ",Forestrysystem!$E$8),Forestrysystem!$A$7:$IH$70,V16+4,FALSE))-IF(V16=1,'Options and results'!$M$36,0)))</f>
        <v>6</v>
      </c>
      <c r="AH16" s="1442">
        <f>IF(OR($W$8=0,AB16&lt;=0),0,(HLOOKUP(CONCATENATE('Options and results'!$C$32," ",Forestrysystem!$F$8),Forestrysystem!$A$7:$IH$70,$V16+4,FALSE)) * IF(V16&gt;='Options and results'!$I$19,'Options and results'!$I$18,1) )</f>
        <v>5.1431003603587255</v>
      </c>
      <c r="AI16" s="1452">
        <f t="shared" si="179"/>
        <v>3.2968592053581575E-2</v>
      </c>
      <c r="AJ16" s="1442">
        <f t="shared" si="135"/>
        <v>0</v>
      </c>
      <c r="AK16" s="1453">
        <f>IF(OR($W$8=0,AE16&lt;=0),0,(HLOOKUP(CONCATENATE('Options and results'!$C$32," ",Forestrysystem!$G$8),Forestrysystem!$A$7:$IH$70,$V16+4,FALSE)) * IF(Y16&gt;='Options and results'!$I$19,'Options and results'!$I$18,1) )</f>
        <v>2.2678371511521584</v>
      </c>
      <c r="AL16" s="1453">
        <f>IF($W$8=0,0,HLOOKUP(CONCATENATE('Options and results'!$C$32," ",Forestrysystem!$H$8),Forestrysystem!$A$7:$IH$70,$V16+4,FALSE)*IF(V16&gt;='Options and results'!$I$19,'Options and results'!$I$18,1))</f>
        <v>0</v>
      </c>
      <c r="AM16" s="1383">
        <f>IF($W$8=0,0,HLOOKUP(CONCATENATE('Options and results'!$C$32," ",Forestrysystem!$I$8),Forestrysystem!$A$7:$IH$70,$V16+4,FALSE)*IF(V16&gt;='Options and results'!$I$19,'Options and results'!$I$18,1))</f>
        <v>0</v>
      </c>
      <c r="AN16" s="1382">
        <f>IF(AI16&gt;0,HLOOKUP(AI16,Treevalue!$I$4:$BC$34,'Options and results'!$C$39+1),0)*IF(V16&gt;='Options and results'!$I$21,'Options and results'!$I$20,1)*IF(1+'Options and results'!$Q$20*(V16-1)&gt;0,1+'Options and results'!$Q$20*(V16-1),0)</f>
        <v>5.3528329601240143</v>
      </c>
      <c r="AO16" s="1454">
        <f t="shared" si="136"/>
        <v>27.530157126153885</v>
      </c>
      <c r="AP16" s="1454">
        <f t="shared" si="137"/>
        <v>0</v>
      </c>
      <c r="AQ16" s="1454">
        <f>(IF('Options and results'!$C$39&gt;0,IF(V16&lt;='Options and results'!$W$20,VLOOKUP('Options and results'!$C$39,Treevalue!$A$4:$F$34,5,FALSE),0),0)*AK16)*IF(V16&gt;='Options and results'!$I$21,'Options and results'!$I$20,1)*IF(1+'Options and results'!$Q$20*(V16-1)&gt;0,1+'Options and results'!$Q$20*(V16-1),0)-AR16</f>
        <v>56.69592877880396</v>
      </c>
      <c r="AR16" s="1441">
        <f>(IF('Options and results'!$C$39&gt;0,IF(V16&lt;='Options and results'!$W$20,VLOOKUP('Options and results'!$C$39,Treevalue!$A$4:$F$34,5,FALSE),0),0)*AL16)*IF(V16&gt;='Options and results'!$I$21,'Options and results'!$I$20,1)*IF(1+'Options and results'!$Q$20*(V16-1)&gt;0,1+'Options and results'!$Q$20*(V16-1),0)</f>
        <v>0</v>
      </c>
      <c r="AS16" s="1441">
        <f>(IF('Options and results'!$C$39&gt;0,IF(V16&lt;='Options and results'!$W$20,VLOOKUP('Options and results'!$C$39,Treevalue!$A$4:$F$34,6,FALSE),0),0)*AM16)*IF(V16&gt;='Options and results'!$I$21,'Options and results'!$I$20,1)*IF(1+'Options and results'!$Q$20*(V16-1)&gt;0,1+'Options and results'!$Q$20*(V16-1),0)</f>
        <v>0</v>
      </c>
      <c r="AT16" s="1441">
        <f>IF(V16&lt;='Options and results'!$W$20,(IF(AB16&lt;=0,0,IF('Options and results'!$C$43="cost",(IF(V16&lt;='Options and results'!$C$44,BZ16*SUM('Options and results'!$C$45:$C$46),0)),IF('Options and results'!$C$41&gt;0,(IF(VLOOKUP('Options and results'!$C$42,Treegrant!$B$6:$L$42,Treegrant!$C$2,FALSE)=V16,VLOOKUP('Options and results'!$C$42,Treegrant!$B$6:$L$42,Treegrant!$D$2,FALSE),0)+IF(VLOOKUP('Options and results'!$C$42,Treegrant!$B$6:$L$42,Treegrant!$E$2,FALSE)=V16,VLOOKUP('Options and results'!$C$42,Treegrant!$B$6:$L$42,Treegrant!$F$2,FALSE),0)+IF(VLOOKUP('Options and results'!$C$42,Treegrant!$B$6:$L$42,Treegrant!$G$2,FALSE)=V16,VLOOKUP('Options and results'!$C$42,Treegrant!$B$6:$L$42,Treegrant!$H$2,FALSE)))*IF('Options and results'!$C$43="area",1,'Options and results'!$C$43),0)))*IF(V16&gt;='Options and results'!$I$23,'Options and results'!$I$22,1)),0)*IF(1+'Options and results'!$Q$23*(V16-1)&gt;0,1+'Options and results'!$Q$23*(V16-1),0)</f>
        <v>0</v>
      </c>
      <c r="AU16" s="1441">
        <f>IF($W$8=0,0,IF(V16&lt;='Options and results'!$W$20,IF(AB16&lt;=0,0,IF('Options and results'!$C$41&gt;0,IF(AND(VLOOKUP('Options and results'!$C$42,Treegrant!$B$6:$L$42,Treegrant!$J$2,FALSE)&lt;=V16,VLOOKUP('Options and results'!$C$42,Treegrant!$B$6:$L$42,Treegrant!$K$2,FALSE)&gt;=V16),(VLOOKUP('Options and results'!$C$42,Treegrant!$B$6:$L$42,Treegrant!$L$2,FALSE)),0)*IF('Options and results'!$C$47="full",1,'Options and results'!$C$47))*IF(V16&gt;='Options and results'!$I$23,'Options and results'!$I$22,1)),0))*IF(1+'Options and results'!$Q$23*(V16-1)&gt;0,1+'Options and results'!$Q$23*(V16-1),0)</f>
        <v>0</v>
      </c>
      <c r="AV16" s="1032">
        <f>IF($W$8=0,0,IF(V16&lt;='Options and results'!$W$20,IF(AB16&lt;=0,0,(IF('Options and results'!$C$41&gt;0,(IF(AND(VLOOKUP('Options and results'!$C$42,Treegrant!$B$6:$O$42,Treegrant!$M$2,FALSE)&lt;=V16,VLOOKUP('Options and results'!$C$42,Treegrant!$B$6:$O$42,Treegrant!$N$2,FALSE)&gt;=V16),(VLOOKUP('Options and results'!$C$42,Treegrant!$B$6:$O$42,Treegrant!$O$2,FALSE)),0)*IF('Options and results'!$C$48="full",1,'Options and results'!$C$48))+(IF(AND(VLOOKUP('Options and results'!$C$42,Treegrant!$B$6:$R$42,Treegrant!$P$2,FALSE)&lt;=V16,VLOOKUP('Options and results'!$C$42,Treegrant!$B$6:$R$42,Treegrant!$Q$2,FALSE)&gt;=V16),(VLOOKUP('Options and results'!$C$42,Treegrant!$B$6:$R$42,Treegrant!$R$2,FALSE)),0))*IF('Options and results'!$C$49="full",1,'Options and results'!$C$49)))*IF(V16&gt;='Options and results'!$I$23,'Options and results'!$I$22,1)),0))*IF(1+'Options and results'!$Q$23*(V16-1)&gt;0,1+'Options and results'!$Q$23*(V16-1),0)</f>
        <v>0</v>
      </c>
      <c r="AW16" s="1033" t="s">
        <v>265</v>
      </c>
      <c r="AX16" s="1018">
        <f>'Options and results'!S42</f>
        <v>14.6</v>
      </c>
      <c r="AY16" s="1419">
        <f>IF($W$8=0,0,IF(V16=1,VLOOKUP($W$8,Treecost!$B$6:$AH$49,Treecost!$E$2,FALSE),0)*IF(V16&gt;='Options and results'!$I$25,'Options and results'!$I$24,1))</f>
        <v>0</v>
      </c>
      <c r="AZ16" s="889">
        <f>IF($W$8=0,0,IF(V16=1,VLOOKUP($W$8,Treecost!$B$6:$AH$49,Treecost!$F$2,FALSE),0)*IF(V16&gt;='Options and results'!$I$25,'Options and results'!$I$24,1))</f>
        <v>0</v>
      </c>
      <c r="BA16" s="889">
        <f>IF($W$8=0,0,IF(V16=1,VLOOKUP($W$8,Treecost!$B$6:$AH$49,Treecost!$G$2,FALSE),0)*IF(V16&gt;='Options and results'!$I$25,'Options and results'!$I$24,1))</f>
        <v>0</v>
      </c>
      <c r="BB16" s="889">
        <f>IF($W$8=0,0,IF(V16&lt;='Options and results'!$W$20,((VLOOKUP($W$8,Treecost!$B$6:$AH$49,Treecost!$H$2,FALSE)*(X16+AA16))/60)*IF(V16&gt;='Options and results'!$I$25,'Options and results'!$I$24,1),0))</f>
        <v>0</v>
      </c>
      <c r="BC16" s="889">
        <f>IF($W$8=0,0,IF(V16&lt;='Options and results'!$W$20,(((VLOOKUP($W$8,Treecost!$B$6:$AH$49,Treecost!$I$2,FALSE))*(X16+AA16))/60)*IF(V16&gt;='Options and results'!$I$25,'Options and results'!$I$24,1),0))</f>
        <v>0</v>
      </c>
      <c r="BD16" s="889">
        <f>IF($W$8=0,0,IF(V16&lt;='Options and results'!$W$20,(((VLOOKUP($W$8,Treecost!$B$6:$AH$49,Treecost!$J$2,FALSE))/60)*(X16+AA16))*IF(V16&gt;='Options and results'!$I$25,'Options and results'!$I$24,1),0))</f>
        <v>0</v>
      </c>
      <c r="BE16" s="1019">
        <f>IF($W$8=0,0,IF(V16&lt;='Options and results'!$W$20,(((VLOOKUP($W$8,Treecost!$B$6:$AH$49,Treecost!$C$2,FALSE)+VLOOKUP($W$8,Treecost!$B$6:$AH$49,Treecost!$D$2,FALSE))*(X16+AA16)*IF(1+'Options and results'!$Q$22*(V16-1)&gt;0,1+'Options and results'!$Q$22*(V16-1),0))+((AY16*$AX$8+AZ16*$AX$9+BA16*$AX$10+BB16*$AX$11+BC16*$AX$12+BD16*$AX$13)*IF(1+'Options and results'!$Q$21*(V16-1)&gt;0,1+'Options and results'!$Q$21*(V16-1),0)))*IF(V16&gt;='Options and results'!$I$27,'Options and results'!$I$26,1),0))</f>
        <v>0</v>
      </c>
      <c r="BF16" s="889">
        <f>IF($W$8=0,0,IF(V16&lt;='Options and results'!$W$20,IF(AND(VLOOKUP($W$8,Treecost!$B$6:$AH$49,Treecost!$K$2,FALSE)&lt;=V16,V16&lt;=(VLOOKUP($W$8,Treecost!$B$6:$AH$49,Treecost!$L$2,FALSE))),VLOOKUP($W$8,Treecost!$B$6:$AH$49,Treecost!$M$2,FALSE)*AB16/60,0)*IF(V16&gt;='Options and results'!$I$25,'Options and results'!$I$24,1),0))</f>
        <v>0</v>
      </c>
      <c r="BG16" s="1019">
        <f>IF(BF16&gt;0,(VLOOKUP($W$8,Treecost!$B$6:$AH$49,Treecost!$N$2,FALSE)*AB16*IF(1+'Options and results'!$Q$22*(V16-1)&gt;0,1+'Options and results'!$Q$22*(V16-1),0)+BF16*$AX$14*IF(1+'Options and results'!$Q$21*(V16-1)&gt;0,1+'Options and results'!$Q$21*(V16-1),0)),0)*IF(V16&gt;='Options and results'!$I$27,'Options and results'!$I$26,1)</f>
        <v>0</v>
      </c>
      <c r="BH16" s="889">
        <f>IF(V16&lt;='Options and results'!$W$20,IF(AND(AG16-AG15&gt;0,AG16&gt;'Options and results'!$M$36),(AB16-AC16)*(VLOOKUP($W$8,Treecost!$B$6:$AH$49,Treecost!$Y$2,FALSE)+(VLOOKUP($W$8,Treecost!$B$6:$AH$49,Treecost!$AA$2,FALSE)-VLOOKUP($W$8,Treecost!$B$6:$AH$49,Treecost!$Y$2,FALSE))/(VLOOKUP($W$8,Treecost!$B$6:$AH$49,Treecost!$Z$2,FALSE)-VLOOKUP($W$8,Treecost!$B$6:$AH$49,Treecost!$X$2,FALSE))*(AG16-VLOOKUP($W$8,Treecost!$B$6:$AH$49,Treecost!$X$2,FALSE)))/60,0)*IF(V16&gt;='Options and results'!$I$25,'Options and results'!$I$24,1),0)</f>
        <v>14.894285714285713</v>
      </c>
      <c r="BI16" s="303">
        <f>IF(V16&lt;='Options and results'!$W$20,IF(BH16&gt;0,VLOOKUP($W$8,Treecost!$B$6:$AH$49,Treecost!$AB$2,FALSE)/60*AB16,0)*IF(V16&gt;='Options and results'!$I$25,'Options and results'!$I$24,1),0)*((BH16-(MIN($BH$8:$BH$67)))/((MAX($BH$8:$BH$67))-(MIN($BH$8:$BH$67))))</f>
        <v>0.80161460836136478</v>
      </c>
      <c r="BJ16" s="740">
        <f>IF(BH16&gt;0,(BH16*$AX$15+BI16*$AX$19)*IF(1+'Options and results'!$Q$21*(V16-1)&gt;0,1+'Options and results'!$Q$21*(V16-1),0),0)*IF(V16&gt;='Options and results'!$I$27,'Options and results'!$I$26,1)</f>
        <v>229.16014471064733</v>
      </c>
      <c r="BK16" s="891">
        <f>IF($W$8=0,0,IF(V16&lt;='Options and results'!$W$20,IF(VLOOKUP($W$8,Treecost!$B$2:$AH$49,Treecost!$O$2,FALSE)=V16,VLOOKUP($W$8,Treecost!$B$2:$AH$49,Treecost!$P$2,FALSE),0)*IF(V16&gt;='Options and results'!$I$25,'Options and results'!$I$24,1),0))</f>
        <v>0</v>
      </c>
      <c r="BL16" s="889">
        <f>IF($W$8=0,0,IF(V16&lt;='Options and results'!$W$20,IF(AND(V16&gt;VLOOKUP($W$8,Treecost!$B$2:$AH$49,Treecost!$O$2,FALSE),V16&lt;=VLOOKUP($W$8,Treecost!$B$2:$AH$49,Treecost!$R$2,FALSE)),VLOOKUP($W$8,Treecost!$B$2:$AH$49,Treecost!$S$2,FALSE),0)*IF(V16&gt;='Options and results'!$I$25,'Options and results'!$I$24,1),0))</f>
        <v>0</v>
      </c>
      <c r="BM16" s="740">
        <f>IF($W$8=0,0,IF(V16&lt;='Options and results'!$W$20,((IF(VLOOKUP($W$8,Treecost!$B$2:$AH$49,Treecost!$O$2,FALSE)=V16,VLOOKUP($W$8,Treecost!$B$2:$AH$49,Treecost!$Q$2,FALSE),0)+IF(AND(V16&gt;VLOOKUP($W$8,Treecost!$B$2:$AH$49,Treecost!$O$2,FALSE),V16&lt;=VLOOKUP($W$8,Treecost!$B$2:$AH$49,Treecost!$R$2,FALSE)),VLOOKUP($W$8,Treecost!$B$2:$AH$49,Treecost!$T$2,FALSE),0)*IF(1+'Options and results'!$Q$22*(V16-1)&gt;0,1+'Options and results'!$Q$22*(V16-1),0))+(BK16*$AX$16+BL16*$AX$17)*IF(1+'Options and results'!$Q$21*(V16-1)&gt;0,1+'Options and results'!$Q$21*(V16-1),0))*IF(V16&gt;='Options and results'!$I$27,'Options and results'!$I$26,1),0))</f>
        <v>0</v>
      </c>
      <c r="BN16" s="894">
        <f>IF($W$8=0,0,IF(V16&lt;='Options and results'!$W$20,IF(AND(V16&gt;=VLOOKUP($W$8,Treecost!$B$2:$W$49,Treecost!$U$2,FALSE),V16&lt;=VLOOKUP($W$8,Treecost!$B$2:$W$49,Treecost!$V$2,FALSE)),(AB16*VLOOKUP($W$8,Treecost!$B$2:$W$49,Treecost!$W$2,FALSE)/60),0)*IF(V16&gt;='Options and results'!$I$25,'Options and results'!$I$24,1),0))</f>
        <v>0</v>
      </c>
      <c r="BO16" s="740">
        <f>BN16*$AX$18*IF(V16&gt;='Options and results'!$I$27,'Options and results'!$I$26,1)*IF(1+'Options and results'!$Q$21*(V16-1)&gt;0,1+'Options and results'!$Q$21*(V16-1),0)</f>
        <v>0</v>
      </c>
      <c r="BP16" s="894">
        <f>IF(V16&lt;='Options and results'!$W$20,IF(AB16&lt;=0,0,VLOOKUP($W$8,Treecost!$B$6:$AH$49,Treecost!$AC$2,FALSE)+VLOOKUP($W$8,Treecost!$B$6:$AH$49,Treecost!$AD$2,FALSE)+IF(AND(V16&gt;=VLOOKUP($W$8,Treecost!$B$2:$AK$49,Treecost!$AI$2,FALSE),V16&lt;=VLOOKUP($W$8,Treecost!$B$2:$AK$49,Treecost!$AJ$2,FALSE)),(VLOOKUP($W$8,Treecost!$B$2:$AK$49,Treecost!$AK$2,FALSE)),0))*IF(V16&gt;='Options and results'!$I$27,'Options and results'!$I$26,1),0)*IF(1+'Options and results'!$Q$22*(V16-1)&gt;0,1+'Options and results'!$Q$22*(V16-1),0)</f>
        <v>3</v>
      </c>
      <c r="BQ16" s="894">
        <f>IF(V16&lt;='Options and results'!$W$20,IF(AC16&gt;0,VLOOKUP($W$8,Treecost!$B$6:$AH$49,Treecost!$AE$2,FALSE)/60*AC16,0)*IF(V16&gt;='Options and results'!$I$25,'Options and results'!$I$24,1),0)</f>
        <v>0</v>
      </c>
      <c r="BR16" s="740">
        <f>IF(V16&lt;='Options and results'!$W$20,IF(AC16&gt;0,VLOOKUP($W$8,Treecost!$B$6:$AH$49,Treecost!$AF$2,FALSE)/60*AC16,0)*IF(V16&gt;='Options and results'!$I$25,'Options and results'!$I$24,1),0)</f>
        <v>0</v>
      </c>
      <c r="BS16" s="740">
        <f>(BQ16*$AX$20+BR16*$AX$21)*IF(V16&gt;='Options and results'!$I$27,'Options and results'!$I$26,1)*IF(1+'Options and results'!$Q$21*(V16-1)&gt;0,1+'Options and results'!$Q$21*(V16-1),0)</f>
        <v>0</v>
      </c>
      <c r="BT16" s="894">
        <f>IF(V16&lt;='Options and results'!$W$20,IF(AD16&gt;0,(VLOOKUP($W$8,Treecost!$B$6:$AH$49,Treecost!$AG$2,FALSE)/60*AD16)*IF(V16&gt;='Options and results'!$I$25,'Options and results'!$I$24,1),0),0)</f>
        <v>0</v>
      </c>
      <c r="BU16" s="740">
        <f>IF(V16&lt;='Options and results'!$W$20,IF(AD16&gt;0,(VLOOKUP($W$8,Treecost!$B$6:$AH$49,Treecost!$AH$2,FALSE)/60*AD16)*IF(V16&gt;='Options and results'!$I$25,'Options and results'!$I$24,1),0),0)</f>
        <v>0</v>
      </c>
      <c r="BV16" s="740">
        <f>(BT16*$AX$22+BU16*$AX$23)*IF(V16&gt;='Options and results'!$I$27,'Options and results'!$I$26,1)*IF(1+'Options and results'!$Q$21*(V16-1)&gt;0,1+'Options and results'!$Q$21*(V16-1),0)</f>
        <v>0</v>
      </c>
      <c r="BW16" s="1033">
        <f t="shared" si="138"/>
        <v>15.695900322647079</v>
      </c>
      <c r="BX16" s="1027">
        <f t="shared" si="139"/>
        <v>0</v>
      </c>
      <c r="BY16" s="1027">
        <f t="shared" si="140"/>
        <v>0</v>
      </c>
      <c r="BZ16" s="740">
        <f t="shared" si="124"/>
        <v>232.16014471064733</v>
      </c>
      <c r="CA16" s="740">
        <f t="shared" si="141"/>
        <v>-232.16014471064733</v>
      </c>
      <c r="CB16" s="894">
        <f>IF($V16&lt;='Options and results'!$W$20,SUM(BX$8:$BX16),0)</f>
        <v>0</v>
      </c>
      <c r="CC16" s="740">
        <f>IF($V16&lt;='Options and results'!$W$20,SUM($BY$8:BY16),0)</f>
        <v>0</v>
      </c>
      <c r="CD16" s="740">
        <f>IF($V16&lt;='Options and results'!$W$20,SUM($BZ$8:BZ16),0)</f>
        <v>1298.4362263272526</v>
      </c>
      <c r="CE16" s="740">
        <f>IF(V16&lt;='Options and results'!$W$20,CB16+CC16-CD16,0)</f>
        <v>-1298.4362263272526</v>
      </c>
      <c r="CF16" s="1381">
        <f t="shared" si="142"/>
        <v>41.559747578844295</v>
      </c>
      <c r="CG16" s="1027">
        <f t="shared" si="143"/>
        <v>-190.60039713180305</v>
      </c>
      <c r="CH16" s="1027">
        <f t="shared" si="144"/>
        <v>0</v>
      </c>
      <c r="CI16" s="1189">
        <f>IF(V16&lt;='Options and results'!$W$20,CE16+AO16,0)</f>
        <v>-1270.9060692010987</v>
      </c>
      <c r="CJ16" s="1023"/>
      <c r="CK16" s="895">
        <f t="shared" si="145"/>
        <v>9</v>
      </c>
      <c r="CL16" s="1011" t="str">
        <f>IF('Options and results'!$C$54="None",0,IF(AND(CK16&gt;='Options and results'!$K$57,CK15&lt;'Options and results'!$W$20),'Options and results'!$K$56,IF(Optimisation!$B$3="No",CONCATENATE('Options and results'!$C$60," ",(HLOOKUP(CONCATENATE('Options and results'!$C$54," ",Agroforestrysystem!$B$12),Agroforestrysystem!$B$11:$IM$74,$CK16+4,FALSE))),Optimisation!AA36)))</f>
        <v>UK - Agriculture (BPS: from 2015) Wheat</v>
      </c>
      <c r="CM16" s="1012">
        <f>IF(HLOOKUP(CONCATENATE('Options and results'!$C$54," ",Agroforestrysystem!$C$12),Agroforestrysystem!$B$11:$IM$74,$CK16+4,FALSE)="T",(VLOOKUP(CL16,Arablefinance!$Z$6:$AB$105,Arablefinance!$AB$2,FALSE)*CO16+VLOOKUP(CL16,Arablefinance!$Z$6:$AC$105,Arablefinance!$AC$2,FALSE)*CP16)/VLOOKUP(CL16,Arablefinance!$Z$6:$AA$105,Arablefinance!$AA$2,FALSE),0)</f>
        <v>0</v>
      </c>
      <c r="CN16" s="1012">
        <f>IF(CL16=0,0,HLOOKUP(CONCATENATE('Options and results'!$C$54," ",Agroforestrysystem!$D$12),Agroforestrysystem!$B$11:$IM$74,$CK16+4,FALSE))</f>
        <v>0.99</v>
      </c>
      <c r="CO16" s="1440">
        <f ca="1">IF(CL16=0,0,IF(AND(Optimisation!$B$3="yes",Optimisation!$B$4=1,CK16&gt;Optimisation!$B$9),0,HLOOKUP(CONCATENATE('Options and results'!$C$54," ",Agroforestrysystem!$E$12),Agroforestrysystem!$B$11:$IM$74,$CK16+4,FALSE)*IF(CK16&gt;='Options and results'!$J$19,'Options and results'!$J$18,1)))</f>
        <v>7.64</v>
      </c>
      <c r="CP16" s="1440">
        <f ca="1">IF(CL16=0,0,IF(AND(Optimisation!$B$3="yes",Optimisation!$B$4=1,CK16&gt;Optimisation!$B$9),0,HLOOKUP(CONCATENATE('Options and results'!$C$54," ",Agroforestrysystem!$F$12),Agroforestrysystem!$B$11:$IM$74,$CK16+4,FALSE)*IF(CK16&gt;='Options and results'!$J$19,'Options and results'!$J$18,1)))</f>
        <v>3.056</v>
      </c>
      <c r="CQ16" s="1013">
        <f ca="1">IF(CN16&lt;=0,0,IF(CK16&lt;='Options and results'!$W$20,IF(CM16&gt;0,VLOOKUP(CL16,Arablefinance!$Z$6:$AE$105,Arablefinance!$AD$2,FALSE)*CM16*CN16,((VLOOKUP(CL16,Arablefinance!$E$6:$H$126,2,FALSE)*CO16+VLOOKUP(CL16,Arablefinance!$E$6:$H$126,3,FALSE)*CP16)*CN16)),0)*IF(CK16&gt;='Options and results'!$J$21,'Options and results'!$J$20,1))*IF(1+'Options and results'!$O$20*(CK16-1)&gt;0,1+'Options and results'!$O$20*(CK16-1),0)</f>
        <v>1426.579</v>
      </c>
      <c r="CR16" s="1441">
        <f>IF(CN16&lt;=0,0,IF(AND(CM16&gt;0,VLOOKUP(CL16,Arablefinance!$Z$6:$AI$105,Arablefinance!$AI$2,FALSE)=2),VLOOKUP(CL16,Arablefinance!$Z$6:$AE$105,Arablefinance!$AE$2,FALSE)*CM16*CN16,IF('Options and results'!$C$62&gt;0,IF(VLOOKUP(CL16,Arablefinance!$E$6:$W$126,Arablefinance!$H$2,FALSE)*(1-Plot!DM16*'Options and results'!$C$62)&gt;0,VLOOKUP(CL16,Arablefinance!$E$6:$W$126,Arablefinance!$H$2,FALSE)*(1-Plot!DM16*'Options and results'!$C$62),0),IF(CK16&lt;='Options and results'!$W$20,(VLOOKUP(CL16,Arablefinance!$E$6:$W$126,Arablefinance!$H$2,FALSE)*IF('Options and results'!$C$61="area",CN16,'Options and results'!$C$61)),0)))*IF(CK16&gt;='Options and results'!$J$23,'Options and results'!$J$22,1))*IF(AND(1+'Options and results'!$O$23*(CK16-1)&gt;0,1+'Options and results'!$O$23*(CK16-1)&gt;'Options and results'!$S$24),1+'Options and results'!$O$23*(CK16-1),'Options and results'!$S$24)</f>
        <v>0</v>
      </c>
      <c r="CS16" s="1441">
        <f t="shared" ca="1" si="146"/>
        <v>1426.579</v>
      </c>
      <c r="CT16" s="1441">
        <f>IF(CN16&lt;=0,0,IF(CK16&lt;='Options and results'!$W$20,IF(CM16&gt;0,VLOOKUP(CL16,Arablefinance!$Z$6:$AF$105,Arablefinance!$AF$2,FALSE)*CM16*CN16,VLOOKUP(CL16,Arablefinance!$E$6:$X$126,Arablefinance!$R$2,FALSE)*CN16),0)*IF(CK16&gt;='Options and results'!$J$27,'Options and results'!$J$26,1))*IF(1+'Options and results'!$O$22*(CK16-1)&gt;0,1+'Options and results'!$O$22*(CK16-1),0)</f>
        <v>646.59374999999989</v>
      </c>
      <c r="CU16" s="1441">
        <f t="shared" ca="1" si="147"/>
        <v>779.98525000000006</v>
      </c>
      <c r="CV16" s="1441">
        <f>IF(CN16&lt;=0,0,IF(CK16&lt;='Options and results'!$W$20,IF(CM16&gt;0,VLOOKUP(CL16,Arablefinance!$Z$6:$AG$105,Arablefinance!$AG$2,FALSE)*CM16*CN16,VLOOKUP(CL16,Arablefinance!$E$6:$X$126,Arablefinance!$X$2,FALSE)*CN16),0)*IF(CK16&gt;='Options and results'!$J$27,'Options and results'!$J$26,1))*IF(1+'Options and results'!$O$22*(CK16-1)&gt;0,1+'Options and results'!$O$22*(CK16-1),0)</f>
        <v>440</v>
      </c>
      <c r="CW16" s="1442">
        <f>IF(CN16&lt;=0,0,IF(CK16&lt;='Options and results'!$W$20,'Options and results'!$C$27*IF(CK16&gt;='Options and results'!$J$27,'Options and results'!$J$26,1),0))*IF(1+'Options and results'!$O$21*(CK16-1)&gt;0,1+'Options and results'!$O$21*(CK16-1),0)</f>
        <v>14.6</v>
      </c>
      <c r="CX16" s="1442">
        <f>IF(CN16&lt;=0,0,IF(CK16&lt;='Options and results'!$W$20,IF(CM16&gt;0,VLOOKUP(CL16,Arablefinance!$Z$6:$AH$105,Arablefinance!$AH$2,FALSE)*CM16*CN16,VLOOKUP(CL16,Arablefinance!$E$6:$W$126,Arablefinance!$V$2,FALSE)*CN16),0)*IF(CK16&gt;='Options and results'!$J$25,'Options and results'!$J$24,1))</f>
        <v>11.516506250880969</v>
      </c>
      <c r="CY16" s="1013">
        <f t="shared" si="148"/>
        <v>1254.7347412628621</v>
      </c>
      <c r="CZ16" s="1353">
        <f t="shared" ca="1" si="149"/>
        <v>171.84425873713781</v>
      </c>
      <c r="DA16" s="1013">
        <f ca="1">IF($CK16&lt;='Options and results'!$W$20,SUM($CQ$8:CQ16),0)</f>
        <v>12792.52975</v>
      </c>
      <c r="DB16" s="1441">
        <f>IF($CK16&lt;='Options and results'!$W$20,SUM($CR$8:CR16),0)</f>
        <v>0</v>
      </c>
      <c r="DC16" s="1441">
        <f>IF($CK16&lt;='Options and results'!$W$20,SUM($CY$8:CY16),0)</f>
        <v>10877.294545107326</v>
      </c>
      <c r="DD16" s="1189">
        <f ca="1">IF(CK16&lt;='Options and results'!$W$20,DA16+DB16-DC16,0)</f>
        <v>1915.2352048926732</v>
      </c>
      <c r="DE16" s="401"/>
      <c r="DF16" s="895">
        <f t="shared" si="150"/>
        <v>9</v>
      </c>
      <c r="DG16" s="173"/>
      <c r="DH16" s="1422"/>
      <c r="DI16" s="1427">
        <f>IF(DF16&lt;='Options and results'!$M$61,'Options and results'!$M$60,0)</f>
        <v>0</v>
      </c>
      <c r="DJ16" s="740">
        <f t="shared" si="151"/>
        <v>0</v>
      </c>
      <c r="DK16" s="740">
        <f t="shared" si="152"/>
        <v>0</v>
      </c>
      <c r="DL16" s="1428">
        <f t="shared" si="153"/>
        <v>100</v>
      </c>
      <c r="DM16" s="1429">
        <f>IF($DG$8=0,0,HLOOKUP(CONCATENATE('Options and results'!$C$54," ",Agroforestrysystem!$J$12),Agroforestrysystem!$11:$74,DF16+3,FALSE))/100</f>
        <v>0.45100000000000001</v>
      </c>
      <c r="DN16" s="740">
        <f>IF($DG$8=0,0,IF(HLOOKUP(CONCATENATE('Options and results'!$C$54," ",Agroforestrysystem!$H$12),Agroforestrysystem!$11:$74,DF16+4,FALSE)&lt;DL16,HLOOKUP(CONCATENATE('Options and results'!$C$54," ",Agroforestrysystem!$H$12),Agroforestrysystem!$11:$74,DF16+4,FALSE),0))</f>
        <v>0</v>
      </c>
      <c r="DO16" s="1027">
        <f>IF($DG$8=0,0,IF(HLOOKUP(CONCATENATE('Options and results'!$C$54," ",Agroforestrysystem!$H$12),Agroforestrysystem!$11:$74,DF16+4,FALSE)&gt;=DL16,DL16,0))</f>
        <v>0</v>
      </c>
      <c r="DP16" s="1430">
        <f>IF($DG$8=0,0,HLOOKUP(CONCATENATE('Options and results'!$C$54," ",Agroforestrysystem!$I$12),Agroforestrysystem!$11:$74,DF16+4,FALSE))</f>
        <v>8.2960052997657101</v>
      </c>
      <c r="DQ16" s="1038"/>
      <c r="DR16" s="1390">
        <f>IF($DG$8=0,0,IF(DF16&gt;'Options and results'!$W$20,0,)+IF(DF16=1,'Options and results'!$M$64)+IF('Options and results'!$M$67="yes",IF(AND(DR15+'Options and results'!$M$65&lt;=$DQ$8,DR15+'Options and results'!$M$65+IF(DF16=1,'Options and results'!$M$64,0)&lt;='Options and results'!$M$66*DP16),DR15+'Options and results'!$M$65,DR15),(HLOOKUP(CONCATENATE('Options and results'!$C$54," ",Agroforestrysystem!$K$12),Agroforestrysystem!$11:$74,DF16+4,FALSE)-IF(DF16=1,'Options and results'!$M$64))))</f>
        <v>6</v>
      </c>
      <c r="DS16" s="1027">
        <f>IF(OR($DG$8=0,DL16=0),0,HLOOKUP(CONCATENATE('Options and results'!$C$54," ",Agroforestrysystem!$L$12),Agroforestrysystem!$11:$74,DF16+4,FALSE)*IF(DF16&gt;='Options and results'!$K$19,'Options and results'!$K$18,1))</f>
        <v>3.3295467733643926</v>
      </c>
      <c r="DT16" s="1431">
        <f t="shared" si="154"/>
        <v>3.3295467733643926E-2</v>
      </c>
      <c r="DU16" s="889">
        <f t="shared" si="155"/>
        <v>0</v>
      </c>
      <c r="DV16" s="1027">
        <f>IF($DG$8=0,0,(HLOOKUP(CONCATENATE('Options and results'!$C$54," ",Agroforestrysystem!$M$12),Agroforestrysystem!$11:$74,DF16+4,FALSE))*IF(DF16&gt;='Options and results'!$K$19,'Options and results'!$K$18,1))-DW16</f>
        <v>1.4681552643487403</v>
      </c>
      <c r="DW16" s="303">
        <f>IF($DG$8=0,0,(HLOOKUP(CONCATENATE('Options and results'!$C$54," ",Agroforestrysystem!$N$12),Agroforestrysystem!$11:$74,DF16+4,FALSE))*IF(DF16&gt;='Options and results'!$K$19,'Options and results'!$K$18,1))</f>
        <v>0</v>
      </c>
      <c r="DX16" s="303">
        <f>IF($DG$8=0,0,HLOOKUP(CONCATENATE('Options and results'!$C$54," ",Agroforestrysystem!$O$12),Agroforestrysystem!$11:$74,DF16+4,FALSE)*IF(DF16&gt;='Options and results'!$K$19,'Options and results'!$K$18,1))</f>
        <v>0</v>
      </c>
      <c r="DY16" s="1192">
        <f>IF(DT16&gt;0,HLOOKUP(DT16,Treevalue!$I$4:$BC$34,'Options and results'!$C$66+1),0)*IF(DF16&gt;='Options and results'!$K$21,'Options and results'!$K$20,1)*IF(1+'Options and results'!$Q$20*(DF16-1)&gt;0,1+'Options and results'!$Q$20*(DF16-1),0)</f>
        <v>5.3528329601240143</v>
      </c>
      <c r="DZ16" s="1027">
        <f t="shared" si="156"/>
        <v>17.822507710739483</v>
      </c>
      <c r="EA16" s="1027">
        <f t="shared" si="125"/>
        <v>0</v>
      </c>
      <c r="EB16" s="1027">
        <f>(IF('Options and results'!$C$66&gt;0,IF(DF16&lt;='Options and results'!$W$20,VLOOKUP('Options and results'!$C$66,Treevalue!$A$4:$F$34,5,FALSE),0),0)*DV16)*IF(DF16&gt;='Options and results'!$K$21,'Options and results'!$K$20,1)*IF(1+'Options and results'!$Q$20*(DF16-1)&gt;0,1+'Options and results'!$Q$20*(DF16-1),0)</f>
        <v>36.703881608718511</v>
      </c>
      <c r="EC16" s="740">
        <f>(IF('Options and results'!$C$66&gt;0,IF(DF16&lt;='Options and results'!$W$20,VLOOKUP('Options and results'!$C$66,Treevalue!$A$4:$F$34,5,FALSE),0),0)*DW16)*IF(DF16&gt;='Options and results'!$K$21,'Options and results'!$K$20,1)*IF(1+'Options and results'!$Q$20*(DF16-1)&gt;0,1+'Options and results'!$Q$20*(DF16-1),0)</f>
        <v>0</v>
      </c>
      <c r="ED16" s="889">
        <f>(IF('Options and results'!$C$66&gt;0,IF(DF16&lt;='Options and results'!$W$20,VLOOKUP('Options and results'!$C$66,Treevalue!$A$4:$F$34,6,FALSE),0),0)*DX16)*IF(DF16&gt;='Options and results'!$K$21,'Options and results'!$K$20,1)*IF(1+'Options and results'!$Q$20*(DF16-1)&gt;0,1+'Options and results'!$Q$20*(DF16-1),0)</f>
        <v>0</v>
      </c>
      <c r="EE16" s="740">
        <f>IF(DF16&lt;='Options and results'!$W$20,IF(DL16&lt;=0,0,IF('Options and results'!$C$70="cost",(IF(DF16&lt;='Options and results'!$C$71,FK16*SUM('Options and results'!$C$72:$C$73),0)),IF('Options and results'!$C$68&gt;0,(IF(VLOOKUP('Options and results'!$C$69,Treegrant!$B$6:$L$42,Treegrant!$C$2,FALSE)=DF16,VLOOKUP('Options and results'!$C$69,Treegrant!$B$6:$L$42,Treegrant!$D$2,FALSE),0)+IF(VLOOKUP('Options and results'!$C$69,Treegrant!$B$6:$L$42,Treegrant!$E$2,FALSE)=DF16,VLOOKUP('Options and results'!$C$69,Treegrant!$B$6:$L$42,Treegrant!$F$2,FALSE),0)+IF(VLOOKUP('Options and results'!$C$69,Treegrant!$B$6:$L$42,Treegrant!$G$2,FALSE)=DF16,VLOOKUP('Options and results'!$C$69,Treegrant!$B$6:$L$42,Treegrant!$H$2,FALSE)))*IF('Options and results'!$C$70="area",Unit!C17,'Options and results'!$C$70),0))*IF(DF16&gt;='Options and results'!$K$23,'Options and results'!$K$22,1)),0)*IF(1+'Options and results'!$Q$23*(DF16-1)&gt;0,1+'Options and results'!$Q$23*(DF16-1),0)</f>
        <v>0</v>
      </c>
      <c r="EF16" s="740">
        <f>IF($DG$8=0,0,IF(DF16&lt;='Options and results'!$W$20,IF(DL16&lt;=0,0,IF('Options and results'!$C$68&gt;0,IF(AND(VLOOKUP('Options and results'!$C$69,Treegrant!$B$6:$L$42,Treegrant!$J$2,FALSE)&lt;=DF16,VLOOKUP('Options and results'!$C$69,Treegrant!$B$6:$L$42,Treegrant!$K$2,FALSE)&gt;=DF16),(VLOOKUP('Options and results'!$C$69,Treegrant!$B$6:$L$42,Treegrant!$L$2,FALSE)),0)*IF('Options and results'!$C$74="area",Unit!C17,'Options and results'!$C$74))*IF(DF16&gt;='Options and results'!$K$23,'Options and results'!$K$22,1)),0))*IF(1+'Options and results'!$Q$23*(DF16-1)&gt;0,1+'Options and results'!$Q$23*(DF16-1),0)</f>
        <v>0</v>
      </c>
      <c r="EG16" s="1034">
        <f>IF($DG$8=0,0,IF(DF16&lt;='Options and results'!$W$20,IF(DL16&lt;=0,0,IF('Options and results'!$C$68&gt;0,((IF(AND(VLOOKUP('Options and results'!$C$69,Treegrant!$B$6:$O$42,Treegrant!$M$2,FALSE)&lt;=DF16,VLOOKUP('Options and results'!$C$69,Treegrant!$B$6:$O$42,Treegrant!$N$2,FALSE)&gt;=DF16),(VLOOKUP('Options and results'!$C$69,Treegrant!$B$6:$O$42,Treegrant!$O$2,FALSE)),0)*IF('Options and results'!$C$75="area",Unit!C17,'Options and results'!$C$75))+(IF(AND(VLOOKUP('Options and results'!$C$69,Treegrant!$B$6:$R$42,Treegrant!$P$2,FALSE)&lt;=DF16,VLOOKUP('Options and results'!$C$69,Treegrant!$B$6:$R$42,Treegrant!$Q$2,FALSE)&gt;=DF16),(VLOOKUP('Options and results'!$C$69,Treegrant!$B$6:$R$42,Treegrant!$R$2,FALSE)),0))*IF('Options and results'!$C$76="area",Unit!C17,'Options and results'!$C$76)))*IF(DF16&gt;='Options and results'!$K$23,'Options and results'!$K$22,1)),0))*IF(1+'Options and results'!$Q$23*(DF16-1)&gt;0,1+'Options and results'!$Q$23*(DF16-1),0)</f>
        <v>0</v>
      </c>
      <c r="EH16" s="1033" t="s">
        <v>265</v>
      </c>
      <c r="EI16" s="1018">
        <f>'Options and results'!$S42</f>
        <v>14.6</v>
      </c>
      <c r="EJ16" s="1419">
        <f>IF($DH$8+DK16&lt;1,0,IF(DF16=1,VLOOKUP($DG$8,Treecost!$B$6:$AH$49,Treecost!$E$2,FALSE),0)*IF(DF16&gt;='Options and results'!$K$25,'Options and results'!$K$24,1))</f>
        <v>0</v>
      </c>
      <c r="EK16" s="889">
        <f>IF($DH$8+DK16&lt;1,0,IF(DF16=1,VLOOKUP($DG$8,Treecost!$B$6:$AH$49,Treecost!$F$2,FALSE),0)*IF(DF16&gt;='Options and results'!$K$25,'Options and results'!$K$24,1))</f>
        <v>0</v>
      </c>
      <c r="EL16" s="889">
        <f>IF($DH$8+DK16&lt;1,0,IF(DF16=1,VLOOKUP($DG$8,Treecost!$B$6:$AH$49,Treecost!$G$2,FALSE),0)*IF(DF16&gt;='Options and results'!$K$25,'Options and results'!$K$24,1))</f>
        <v>0</v>
      </c>
      <c r="EM16" s="889">
        <f>IF($DG$8=0,0,IF(DF16&lt;='Options and results'!$W$20,((VLOOKUP($DG$8,Treecost!$B$6:$AH$49,Treecost!$H$2,FALSE)*(DH16+DK16))/60)*IF(DF16&gt;='Options and results'!$K$25,'Options and results'!$K$24,1),0))</f>
        <v>0</v>
      </c>
      <c r="EN16" s="889">
        <f>IF($DG$8=0,0,IF(DF16&lt;='Options and results'!$W$20,(((VLOOKUP($DG$8,Treecost!$B$6:$AH$49,Treecost!$I$2,FALSE))*(DH16+DK16))/60)*IF(DF16&gt;='Options and results'!$K$25,'Options and results'!$K$24,1),0))</f>
        <v>0</v>
      </c>
      <c r="EO16" s="889">
        <f>IF($DG$8=0,0,IF(DF16&lt;='Options and results'!$W$20,(((VLOOKUP($DG$8,Treecost!$B$6:$AH$49,Treecost!$J$2,FALSE))/60)*(DH16+DK16))*IF(DF16&gt;='Options and results'!$K$25,'Options and results'!$K$24,1),0))</f>
        <v>0</v>
      </c>
      <c r="EP16" s="1019">
        <f>IF($DG$8=0,0,IF(DF16&lt;='Options and results'!$W$20,(((VLOOKUP($DG$8,Treecost!$B$6:$AH$49,Treecost!$C$2,FALSE)+VLOOKUP($DG$8,Treecost!$B$6:$AH$49,Treecost!$D$2,FALSE))*(DH16+DK16)*IF(1+'Options and results'!$Q$22*(DF16-1)&gt;0,1+'Options and results'!$Q$22*(DF16-1),0))+(EJ16*$EI$8+EK16*$EI$9+EL16*$EI$10+EM16*$EI$11+EN16*$EI$12+EO16*$EI$13)*IF(1+'Options and results'!$Q$21*(DF16-1)&gt;0,1+'Options and results'!$Q$21*(DF16-1),0))*IF(DF16&gt;='Options and results'!$K$27,'Options and results'!$K$26,1),0))</f>
        <v>0</v>
      </c>
      <c r="EQ16" s="889">
        <f>IF($DG$8=0,0,IF(DF16&lt;='Options and results'!$W$20,IF(AND(VLOOKUP($DG$8,Treecost!$B$6:$AH$49,Treecost!$K$2,FALSE)&lt;=DF16,DF16&lt;=(VLOOKUP($DG$8,Treecost!$B$6:$AH$49,Treecost!$L$2,FALSE))),VLOOKUP($DG$8,Treecost!$B$6:$AH$49,Treecost!$M$2,FALSE)*DL16/60,0)*IF(DF16&gt;='Options and results'!$K$25,'Options and results'!$K$24,1),0))</f>
        <v>0</v>
      </c>
      <c r="ER16" s="1019">
        <f>IF(EQ16&gt;0,(VLOOKUP($DG$8,Treecost!$B$6:$AH$49,Treecost!$N$2,FALSE)*DL16*IF(1+'Options and results'!$Q$22*(DF16-1)&gt;0,1+'Options and results'!$Q$22*(DF16-1),0)+EQ16*$EI$14*IF(1+'Options and results'!$Q$21*(DF16-1)&gt;0,1+'Options and results'!$Q$21*(DF16-1),0)),0)*IF(DF16&gt;='Options and results'!$K$27,'Options and results'!$K$26,1)</f>
        <v>0</v>
      </c>
      <c r="ES16" s="889">
        <f>IF(DF16&lt;='Options and results'!$W$20,IF(AND(DR16-DR15&gt;0,DR16&gt;'Options and results'!$M$64),(DL16-DN16)*(VLOOKUP($DG$8,Treecost!$B$6:$AH$49,Treecost!$Y$2,FALSE)+(VLOOKUP($DG$8,Treecost!$B$6:$AH$49,Treecost!$AA$2,FALSE)-VLOOKUP($DG$8,Treecost!$B$6:$AH$49,Treecost!$Y$2,FALSE))/(VLOOKUP($DG$8,Treecost!$B$6:$AH$49,Treecost!$Z$2,FALSE)-VLOOKUP($DG$8,Treecost!$B$6:$AH$49,Treecost!$X$2,FALSE))*(DR16-VLOOKUP($DG$8,Treecost!$B$6:$AH$49,Treecost!$X$2,FALSE)))/60,0)*IF(DF16&gt;='Options and results'!$K$25,'Options and results'!$K$24,1),0)</f>
        <v>9.5476190476190474</v>
      </c>
      <c r="ET16" s="889">
        <f>IF(DF16&lt;='Options and results'!$W$20,IF(ES16&gt;0,VLOOKUP($DG$8,Treecost!$B$6:$AH$49,Treecost!$AB$2,FALSE)/60*DL16,0)*IF(DF16&gt;='Options and results'!$K$25,'Options and results'!$K$24,1),0)*((ES16-(MIN($ES$8:$ES$67)))/((MAX($ES$8:$ES$67))-(MIN($ES$8:$ES$67))))</f>
        <v>0.51385551818036213</v>
      </c>
      <c r="EU16" s="740">
        <f>IF(ES16&gt;0,(ES16*$EI$15+ET16*$EI$19)*IF(1+'Options and results'!$Q$21*(DF16-1)&gt;0,1+'Options and results'!$Q$21*(DF16-1),0),0)*IF(DF16&gt;='Options and results'!$K$27,'Options and results'!$K$26,1)</f>
        <v>146.89752866067138</v>
      </c>
      <c r="EV16" s="891">
        <f>IF($DG$8=0,0,IF(DF16&lt;='Options and results'!$W$20,IF(AND(VLOOKUP($DG$8,Treecost!$B$2:$AH$49,Treecost!$O$2,FALSE)=DF16,DF16&lt;=IF(AND(Optimisation!$B$3="Yes",Optimisation!$B$4=1),Optimisation!$B$9)),VLOOKUP($DG$8,Treecost!$B$2:$AH$49,Treecost!$P$2,FALSE)*(1-CN16),0)*IF(DF16&gt;='Options and results'!$K$25,'Options and results'!$K$24,1),0))</f>
        <v>0</v>
      </c>
      <c r="EW16" s="889">
        <f>IF($DG$8=0,0,IF(DF16&lt;='Options and results'!$W$20,IF(AND(DF16&gt;VLOOKUP($DG$8,Treecost!$B$2:$AH$49,Treecost!$O$2,FALSE),DF16&lt;=IF(AND(Optimisation!$B$3="Yes",Optimisation!$B$4=1),Optimisation!$B$9,VLOOKUP($DG$8,Treecost!$B$2:$AH$49,Treecost!$R$2,FALSE))),VLOOKUP($DG$8,Treecost!$B$2:$AH$49,Treecost!$S$2,FALSE)*(1-CN16),0)*IF(DF16&gt;='Options and results'!$K$25,'Options and results'!$K$24,1),0))</f>
        <v>0</v>
      </c>
      <c r="EX16" s="740">
        <f>IF($DG$8=0,0,IF(DF16&lt;='Options and results'!$W$20,(IF(AND(VLOOKUP($DG$8,Treecost!$B$2:$AH$49,Treecost!$O$2,FALSE)=DF16,DF16&lt;=IF(AND(Optimisation!$B$3="Yes",Optimisation!$B$4=1),Optimisation!$B$9)),VLOOKUP($DG$8,Treecost!$B$2:$AH$49,Treecost!$Q$2,FALSE),0)*(1-CN16)+IF(AND(DF16&gt;VLOOKUP($DG$8,Treecost!$B$2:$AH$49,Treecost!$O$2,FALSE),DF16&lt;=IF(AND(Optimisation!$B$3="Yes",Optimisation!$B$4=1),Optimisation!$B$9,VLOOKUP($DG$8,Treecost!$B$2:$AH$49,Treecost!$R$2,FALSE))),VLOOKUP($DG$8,Treecost!$B$2:$AH$49,Treecost!$T$2,FALSE),0)*(1-CN16)+(EV16*$EI$16+EW16*$EI$17))*IF(DF16&gt;='Options and results'!$K$27,'Options and results'!$K$26,1),0))*IF(1+'Options and results'!$Q$21*(DF16-1)&gt;0,1+'Options and results'!$Q$21*(DF16-1),0)</f>
        <v>0</v>
      </c>
      <c r="EY16" s="894">
        <f>IF($DG$8=0,0,IF(DF16&lt;='Options and results'!$W$20,IF(AND(DF16&gt;=VLOOKUP($DG$8,Treecost!$B$2:$W$49,Treecost!$U$2,FALSE),DF16&lt;=VLOOKUP($DG$8,Treecost!$B$2:$W$49,Treecost!$V$2,FALSE)),(DL16*VLOOKUP($DG$8,Treecost!$B$2:$W$49,Treecost!$W$2,FALSE)/60),0)*IF(DF16&gt;='Options and results'!$K$25,'Options and results'!$K$24,1),0))</f>
        <v>0</v>
      </c>
      <c r="EZ16" s="740">
        <f>EY16*$EI$18*IF(DF16&gt;='Options and results'!$K$27,'Options and results'!$K$26,1)*IF(1+'Options and results'!$Q$21*(DF16-1)&gt;0,1+'Options and results'!$Q$21*(DF16-1),0)</f>
        <v>0</v>
      </c>
      <c r="FA16" s="1025">
        <f>IF(DF16&lt;='Options and results'!$W$20,IF(DL16&lt;=0,0,VLOOKUP($DG$8,Treecost!$B$6:$AH$49,Treecost!$AC$2,FALSE)+VLOOKUP($DG$8,Treecost!$B$6:$AH$49,Treecost!$AD$2,FALSE)+IF(AND(DF16&gt;=VLOOKUP($DG$8,Treecost!$B$2:$AK$49,Treecost!$AI$2,FALSE),DF16&lt;=VLOOKUP($DG$8,Treecost!$B$2:$AK$49,Treecost!$AJ$2,FALSE)),VLOOKUP($DG$8,Treecost!$B$2:$AK$49,Treecost!$AK$2,FALSE)*(1-CN16),0))*IF(DF16&gt;='Options and results'!$K$27,'Options and results'!$K$26,1),0)*IF(1+'Options and results'!$Q$22*(DF16-1)&gt;0,1+'Options and results'!$Q$22*(DF16-1),0)</f>
        <v>3</v>
      </c>
      <c r="FB16" s="894">
        <f>IF(DF16&lt;='Options and results'!$W$20,IF(DN16&gt;0,VLOOKUP($DG$8,Treecost!$B$6:$AH$49,Treecost!$AE$2,FALSE)/60*DN16,0)*IF(DF16&gt;='Options and results'!$K$25,'Options and results'!$K$24,1),0)</f>
        <v>0</v>
      </c>
      <c r="FC16" s="740">
        <f>IF(DF16&lt;='Options and results'!$W$20,IF(DN16&gt;0,VLOOKUP($DG$8,Treecost!$B$6:$AH$49,Treecost!$AF$2,FALSE)/60*DN16,0)*IF(DF16&gt;='Options and results'!$K$25,'Options and results'!$K$24,1),0)</f>
        <v>0</v>
      </c>
      <c r="FD16" s="740">
        <f>(FB16*$EI$20+FC16*$EI$21)*IF(DF16&gt;='Options and results'!$K$27,'Options and results'!$K$26,1)*IF(1+'Options and results'!$Q$21*(DF16-1)&gt;0,1+'Options and results'!$Q$21*(DF16-1),0)</f>
        <v>0</v>
      </c>
      <c r="FE16" s="894">
        <f>IF(DF16&lt;='Options and results'!$W$20,IF(DO16&gt;0,(VLOOKUP($DG$8,Treecost!$B$6:$AH$49,Treecost!$AG$2,FALSE)/60*DO16)*IF(DF16&gt;='Options and results'!$K$25,'Options and results'!$K$24,1),0),0)</f>
        <v>0</v>
      </c>
      <c r="FF16" s="740">
        <f>IF(DF16&lt;='Options and results'!$W$20,IF(DO16&gt;0,(VLOOKUP($DG$8,Treecost!$B$6:$AH$49,Treecost!$AH$2,FALSE)/60*DO16)*IF(DF16&gt;='Options and results'!$K$25,'Options and results'!$K$24,1),0),0)</f>
        <v>0</v>
      </c>
      <c r="FG16" s="740">
        <f>(FE16*$EI$22+FF16*$EI$23)*IF(DF16&gt;='Options and results'!$K$27,'Options and results'!$K$26,1)*IF(1+'Options and results'!$Q$21*(DF16-1)&gt;0,1+'Options and results'!$Q$21*(DF16-1),0)</f>
        <v>0</v>
      </c>
      <c r="FH16" s="894">
        <f t="shared" si="157"/>
        <v>10.06147456579941</v>
      </c>
      <c r="FI16" s="1027">
        <f t="shared" si="158"/>
        <v>0</v>
      </c>
      <c r="FJ16" s="1027">
        <f t="shared" si="159"/>
        <v>0</v>
      </c>
      <c r="FK16" s="1027">
        <f t="shared" si="160"/>
        <v>149.89752866067138</v>
      </c>
      <c r="FL16" s="1027">
        <f t="shared" si="183"/>
        <v>-149.89752866067138</v>
      </c>
      <c r="FM16" s="1027">
        <f>IF($DF16&lt;='Options and results'!$W$20,SUM(FI$8:$FI16),0)</f>
        <v>0</v>
      </c>
      <c r="FN16" s="1027">
        <f>IF($DF16&lt;='Options and results'!$W$20,SUM($FJ$8:FJ16),0)</f>
        <v>0</v>
      </c>
      <c r="FO16" s="1027">
        <f>IF($DF16&lt;='Options and results'!$W$20,SUM($FK$8:FK16),0)</f>
        <v>876.4627324941597</v>
      </c>
      <c r="FP16" s="1027">
        <f>IF($DF16&lt;='Options and results'!$W$20,FM16+FN16-FO16,0)</f>
        <v>-876.4627324941597</v>
      </c>
      <c r="FQ16" s="1027">
        <f t="shared" si="162"/>
        <v>26.998648500612557</v>
      </c>
      <c r="FR16" s="1027">
        <f t="shared" si="163"/>
        <v>-122.89888016005882</v>
      </c>
      <c r="FS16" s="1027">
        <f t="shared" si="164"/>
        <v>0</v>
      </c>
      <c r="FT16" s="1189">
        <f>IF(DF16&lt;='Options and results'!$W$20,FP16+DZ16,0)</f>
        <v>-858.64022478342019</v>
      </c>
      <c r="FU16" s="401"/>
      <c r="FV16" s="895">
        <f t="shared" si="165"/>
        <v>9</v>
      </c>
      <c r="FW16" s="894">
        <f>G16/(1+'Options and results'!$W$33)^(FV16-1)</f>
        <v>1357.4032692675023</v>
      </c>
      <c r="FX16" s="740">
        <f>(AP16+AR16+AS16)/(1+'Options and results'!$W$33)^(FV16-1)</f>
        <v>0</v>
      </c>
      <c r="FY16" s="740">
        <f ca="1">CQ16/(1+'Options and results'!$W$33)^(FV16-1)</f>
        <v>1042.3873019615251</v>
      </c>
      <c r="FZ16" s="740">
        <f>(EA16+EC16+ED16)/(1+'Options and results'!$W$33)^(FV16-1)</f>
        <v>0</v>
      </c>
      <c r="GA16" s="1019">
        <f t="shared" ca="1" si="180"/>
        <v>1042.3873019615251</v>
      </c>
      <c r="GB16" s="1026">
        <f>(AO16+AQ16)/(1+'Options and results'!$W$33)^(FV16-1)+FX16</f>
        <v>61.543175976408342</v>
      </c>
      <c r="GC16" s="1027">
        <f>IF(FV16&gt;'Options and results'!$W$27,0,GB16-GB15)</f>
        <v>29.120265458288749</v>
      </c>
      <c r="GD16" s="1027">
        <f>(DZ16+EB16)/(1+'Options and results'!$W$33)^(FV16-1)+FZ16</f>
        <v>39.84189858985274</v>
      </c>
      <c r="GE16" s="1379">
        <f>IF(FV16&gt;'Options and results'!$W$27,0,GD16-GD15)</f>
        <v>18.923077984402539</v>
      </c>
      <c r="GF16" s="894">
        <f>IF(FV16&lt;='Options and results'!$W$20,SUM(FW$8:FW16),0)</f>
        <v>12274.545081325921</v>
      </c>
      <c r="GG16" s="740">
        <f>IF(FV16&lt;='Options and results'!$W$20,SUM(FX$8:FX16), 0)</f>
        <v>0</v>
      </c>
      <c r="GH16" s="740">
        <f ca="1">IF(FV16&lt;='Options and results'!$W$20,SUM(FY$8:FY16),0)</f>
        <v>11127.13908665019</v>
      </c>
      <c r="GI16" s="740">
        <f>IF(FV16&lt;='Options and results'!$W$20,SUM(FZ$8:FZ16),0)</f>
        <v>0</v>
      </c>
      <c r="GJ16" s="1019">
        <f t="shared" ca="1" si="166"/>
        <v>11127.13908665019</v>
      </c>
      <c r="GK16" s="894">
        <f>IF(FV16&gt;'Options and results'!$W$27,0,GG16+SUM(GC$8:GC16)-FX16)</f>
        <v>61.543175976408342</v>
      </c>
      <c r="GL16" s="740">
        <f>IF(FV16&lt;='Options and results'!$W$20,SUM(GD$8:GD16),0)</f>
        <v>85.030251209882508</v>
      </c>
      <c r="GM16" s="1034">
        <f t="shared" ca="1" si="167"/>
        <v>11212.169337860072</v>
      </c>
      <c r="GN16" s="401"/>
      <c r="GO16" s="895">
        <f t="shared" si="168"/>
        <v>9</v>
      </c>
      <c r="GP16" s="894">
        <f>H16/(1+'Options and results'!$W$33)^(GO16-1)</f>
        <v>171.85833621646657</v>
      </c>
      <c r="GQ16" s="740">
        <f>SUM(AT16:AV16)/(1+'Options and results'!$W$33)^(GO16-1)</f>
        <v>0</v>
      </c>
      <c r="GR16" s="740">
        <f>CR16/(1+'Options and results'!$W$33)^(GO16-1)</f>
        <v>0</v>
      </c>
      <c r="GS16" s="740">
        <f>SUM(EE16:EG16)/(1+'Options and results'!$W$33)^(GO16-1)</f>
        <v>0</v>
      </c>
      <c r="GT16" s="1019">
        <f t="shared" si="181"/>
        <v>0</v>
      </c>
      <c r="GU16" s="894">
        <f>IF(GO16&lt;='Options and results'!$W$20,SUM(GP$8:GP16),0)</f>
        <v>1818.7415945883333</v>
      </c>
      <c r="GV16" s="740">
        <f>IF(GO16&lt;='Options and results'!$W$20,SUM(GQ$8:GQ16),0)</f>
        <v>0</v>
      </c>
      <c r="GW16" s="740">
        <f>IF(GO16&lt;='Options and results'!$W$20,SUM(GR$8:GR16),0)</f>
        <v>0</v>
      </c>
      <c r="GX16" s="740">
        <f>IF(GO16&lt;='Options and results'!$W$20,SUM(GS$8:GS16),0)</f>
        <v>0</v>
      </c>
      <c r="GY16" s="1034">
        <f>IF(GO16&lt;='Options and results'!$W$20,SUM(GT$8:GT16),0)</f>
        <v>0</v>
      </c>
      <c r="GZ16" s="401"/>
      <c r="HA16" s="895">
        <f t="shared" si="169"/>
        <v>9</v>
      </c>
      <c r="HB16" s="1026">
        <f>(J16+L16+(M16*N16))/(1+'Options and results'!$W$33)^(HA16-1)</f>
        <v>926.08321749138565</v>
      </c>
      <c r="HC16" s="740">
        <f>BZ16/(1+'Options and results'!$W$33)^(HA16-1)</f>
        <v>169.63714373191311</v>
      </c>
      <c r="HD16" s="1027">
        <f>(CT16+CV16+(CW16*CX16))/(1+'Options and results'!$W$33)^(HA16-1)</f>
        <v>916.82238531647181</v>
      </c>
      <c r="HE16" s="740">
        <f>FK16/(1+'Options and results'!$W$33)^(HA16-1)</f>
        <v>109.52865594635671</v>
      </c>
      <c r="HF16" s="1019">
        <f t="shared" si="182"/>
        <v>1026.3510412628284</v>
      </c>
      <c r="HG16" s="894">
        <f>IF(HA16&lt;='Options and results'!$W$20,SUM(HB$8:HB16),0)</f>
        <v>9446.1315244323414</v>
      </c>
      <c r="HH16" s="740">
        <f>IF(HA16&lt;='Options and results'!$W$20,SUM(HC$8:HC16),0)</f>
        <v>1173.5542812393803</v>
      </c>
      <c r="HI16" s="740">
        <f>IF(HA16&lt;='Options and results'!$W$20,SUM(HD$8:HD16),0)</f>
        <v>9351.6702091880179</v>
      </c>
      <c r="HJ16" s="740">
        <f>IF(HA16&lt;='Options and results'!$W$20,SUM(HE$8:HE16),0)</f>
        <v>794.98629570552919</v>
      </c>
      <c r="HK16" s="1034">
        <f>IF(HA16&lt;='Options and results'!$W$20,SUM(HF$8:HF16),0)</f>
        <v>10146.656504893548</v>
      </c>
      <c r="HL16" s="405"/>
      <c r="HM16" s="895">
        <f t="shared" si="170"/>
        <v>9</v>
      </c>
      <c r="HN16" s="1026">
        <f t="shared" si="171"/>
        <v>603.17838799258323</v>
      </c>
      <c r="HO16" s="1027">
        <f t="shared" si="172"/>
        <v>-169.63714373191311</v>
      </c>
      <c r="HP16" s="1027">
        <f t="shared" ca="1" si="173"/>
        <v>125.56491664505324</v>
      </c>
      <c r="HQ16" s="1027">
        <f t="shared" si="174"/>
        <v>-109.52865594635671</v>
      </c>
      <c r="HR16" s="1027">
        <f t="shared" si="175"/>
        <v>-140.51687827362437</v>
      </c>
      <c r="HS16" s="1379">
        <f t="shared" si="176"/>
        <v>-90.605577961954168</v>
      </c>
      <c r="HT16" s="1026">
        <f>IF($HM16&lt;='Options and results'!$W$20,SUM(HN$8:HN16),0)</f>
        <v>4647.1551514819121</v>
      </c>
      <c r="HU16" s="1027">
        <f>IF($HM16&lt;='Options and results'!$W$20,SUM(HO$8:HO16),0)</f>
        <v>-1173.5542812393803</v>
      </c>
      <c r="HV16" s="1027">
        <f ca="1">IF($HM16&lt;='Options and results'!$W$20,SUM(HP$8:HP16),0)</f>
        <v>1775.4688774621693</v>
      </c>
      <c r="HW16" s="1027">
        <f>IF($HM16&lt;='Options and results'!$W$20,SUM(HQ$8:HQ16),0)</f>
        <v>-794.98629570552919</v>
      </c>
      <c r="HX16" s="1027">
        <f t="shared" ca="1" si="177"/>
        <v>980.48258175664012</v>
      </c>
      <c r="HY16" s="1027">
        <f>IF($HM16&lt;='Options and results'!$W$20,SUM(HR$8:HR16),0)</f>
        <v>-1112.0111052629718</v>
      </c>
      <c r="HZ16" s="1027">
        <f>IF($HM16&lt;='Options and results'!$W$20,SUM(HS$8:HS16),0)</f>
        <v>-755.14439711567638</v>
      </c>
      <c r="IA16" s="1189">
        <f t="shared" ca="1" si="178"/>
        <v>1020.3244803464929</v>
      </c>
    </row>
    <row r="17" spans="1:235" x14ac:dyDescent="0.25">
      <c r="A17" s="1010">
        <f t="shared" si="126"/>
        <v>10</v>
      </c>
      <c r="B17" s="1011" t="str">
        <f>IF('Options and results'!$C$17="None",0,CONCATENATE('Options and results'!$C$23," ",(HLOOKUP(CONCATENATE('Options and results'!$C$17," ",Arablesystem!$B$11),Arablesystem!$B$10:$ER$72,$A17+3,FALSE))))</f>
        <v>UK - Agriculture (BPS: from 2015) Wheat</v>
      </c>
      <c r="C17" s="1012">
        <f>IF(HLOOKUP(CONCATENATE('Options and results'!$C$17," ",Arablesystem!$C$11),Arablesystem!$B$10:$ER$72,$A17+3,FALSE)="T",(VLOOKUP(B17,Arablefinance!$Z$6:$AB$105,Arablefinance!$AB$2,FALSE)*E17+VLOOKUP(B17,Arablefinance!$Z$6:$AC$105,Arablefinance!$AC$2,FALSE)*F17)/VLOOKUP(B17,Arablefinance!$Z$6:$AA$105,Arablefinance!$AA$2,FALSE),0)</f>
        <v>0</v>
      </c>
      <c r="D17" s="1012">
        <f>IF(B17=0,0,HLOOKUP(CONCATENATE('Options and results'!$C$17," ",Arablesystem!$D$11),Arablesystem!$B$10:$ER$72,$A17+3,FALSE))</f>
        <v>1</v>
      </c>
      <c r="E17" s="1440">
        <f>IF(B17=0,0,HLOOKUP(CONCATENATE('Options and results'!$C$17," ",Arablesystem!$E$11),Arablesystem!$B$10:$ER$72,$A17+3,FALSE)*IF(A17&gt;='Options and results'!$H$19,'Options and results'!$H$18,1))</f>
        <v>8.790305531183721</v>
      </c>
      <c r="F17" s="1440">
        <f>IF(B17=0,0,HLOOKUP(CONCATENATE('Options and results'!$C$17," ",Arablesystem!$F$11),Arablesystem!$B$10:$ER$72,$A17+3,FALSE)*IF(A17&gt;='Options and results'!$H$19,'Options and results'!$H$18,1))</f>
        <v>3.5161222124734888</v>
      </c>
      <c r="G17" s="1013">
        <f>IF(D17&lt;=0,0,IF(A17&lt;='Options and results'!$W$20,IF(C17&gt;0,VLOOKUP(B17,Arablefinance!$Z$6:$AE$105,Arablefinance!$AD$2,FALSE)*C17*D17,((VLOOKUP(B17,Arablefinance!$E$6:$G$126,Arablefinance!$F$2,FALSE)*(E17*D17)+VLOOKUP(B17,Arablefinance!$E$6:$G$126,Arablefinance!$G$2,FALSE)*(F17*D17)))),0)*IF(A17&gt;='Options and results'!$H$21,'Options and results'!$H$20,1))*IF(1+'Options and results'!$O$20*(A17-1)&gt;0,1+'Options and results'!$O$20*(A17-1),0)</f>
        <v>1657.9492932427074</v>
      </c>
      <c r="H17" s="1441">
        <f>IF(D17&lt;=0,0,IF(A17&lt;='Options and results'!$W$20,IF(AND(C17&gt;0,VLOOKUP(B17,Arablefinance!$Z$6:$AI$105,Arablefinance!$AI$2,FALSE)=2),VLOOKUP(B17,Arablefinance!$Z$6:$AE$105,Arablefinance!$AE$2,FALSE)*C17*D17,(VLOOKUP(B17,Arablefinance!$E$6:$H$126,Arablefinance!$H$2,FALSE)*D17))*IF(A17&gt;='Options and results'!$H$23,'Options and results'!$H$22,1),0)*IF(AND(1+'Options and results'!$O$23*(A17-1)&gt;0,1+'Options and results'!$O$23*(A17-1)&gt;'Options and results'!$S$24),1+'Options and results'!$O$23*(A17-1),'Options and results'!$S$24))</f>
        <v>235.2</v>
      </c>
      <c r="I17" s="1441">
        <f t="shared" si="127"/>
        <v>1893.1492932427075</v>
      </c>
      <c r="J17" s="1441">
        <f>IF(D17&lt;=0,0,IF(A17&lt;='Options and results'!$W$20,IF(C17&gt;0,VLOOKUP(B17,Arablefinance!$Z$6:$AF$105,Arablefinance!$AF$2,FALSE)*C17*D17,(VLOOKUP(B17,Arablefinance!$E$6:$X$126,Arablefinance!$R$2,FALSE))*D17),0)*IF(A17&gt;='Options and results'!$H$27,'Options and results'!$H$26,1))*IF(1+'Options and results'!$O$22*(A17-1)&gt;0,1+'Options and results'!$O$22*(A17-1),0)</f>
        <v>653.12499999999989</v>
      </c>
      <c r="K17" s="1441">
        <f t="shared" si="128"/>
        <v>1240.0242932427077</v>
      </c>
      <c r="L17" s="1441">
        <f>IF(D17&lt;=0,0,IF(A17&lt;='Options and results'!$W$20,IF(C17&gt;0,VLOOKUP(B17,Arablefinance!$Z$6:$AG$105,Arablefinance!$AG$2,FALSE)*C17*D17,VLOOKUP(B17,Arablefinance!$E$6:$X$126,Arablefinance!$X$2,FALSE)*D17),0)*IF(A17&gt;='Options and results'!$H$27,'Options and results'!$H$26,1))*IF(1+'Options and results'!$O$22*(A17-1)&gt;0,1+'Options and results'!$O$22*(A17-1),0)</f>
        <v>444.44444444444446</v>
      </c>
      <c r="M17" s="1442">
        <f>IF(D17&lt;=0,0,IF(A17&lt;='Options and results'!$W$20,'Options and results'!$C$27,0)*IF(A17&gt;='Options and results'!$H$27,'Options and results'!$H$26,1))*IF(1+'Options and results'!$O$21*(A17-1)&gt;0,1+'Options and results'!$O$21*(A17-1),0)</f>
        <v>14.6</v>
      </c>
      <c r="N17" s="1442">
        <f>IF(D17&lt;=0,0,IF(A17&lt;='Options and results'!$W$20,IF(C17&gt;0,VLOOKUP(B17,Arablefinance!$Z$6:$AH$105,Arablefinance!$AH$2,FALSE)*C17*D17,VLOOKUP(B17,Arablefinance!$E$6:$W$126,Arablefinance!$V$2,FALSE)*D17),0)*IF(A17&gt;='Options and results'!$H$25,'Options and results'!$H$24,1))</f>
        <v>11.632834596849463</v>
      </c>
      <c r="O17" s="1013">
        <f t="shared" si="129"/>
        <v>1267.4088295584465</v>
      </c>
      <c r="P17" s="1353">
        <f t="shared" si="130"/>
        <v>625.74046368426104</v>
      </c>
      <c r="Q17" s="1013">
        <f>IF(A17&lt;='Options and results'!$W$20,SUM(G$8:$G17),0)</f>
        <v>15904.022306057306</v>
      </c>
      <c r="R17" s="1441">
        <f>IF($A17&lt;='Options and results'!$W$20,SUM($H$8:H17),0)</f>
        <v>2352</v>
      </c>
      <c r="S17" s="1441">
        <f>IF($A17&lt;='Options and results'!$W$20,SUM($O$8:O17),0)</f>
        <v>12254.57503673756</v>
      </c>
      <c r="T17" s="1032">
        <f>IF(A17&lt;='Options and results'!$W$20,Q17+R17-S17,0)</f>
        <v>6001.447269319744</v>
      </c>
      <c r="U17" s="405"/>
      <c r="V17" s="1010">
        <f t="shared" si="131"/>
        <v>10</v>
      </c>
      <c r="W17" s="173"/>
      <c r="X17" s="1036"/>
      <c r="Y17" s="1030">
        <f>IF(V17&lt;='Options and results'!$M$34,'Options and results'!$M$33,0)</f>
        <v>0</v>
      </c>
      <c r="Z17" s="1441">
        <f t="shared" si="132"/>
        <v>0</v>
      </c>
      <c r="AA17" s="1441">
        <f t="shared" si="133"/>
        <v>0</v>
      </c>
      <c r="AB17" s="1428">
        <f t="shared" si="134"/>
        <v>156</v>
      </c>
      <c r="AC17" s="1441">
        <f>IF($W$8=0,0,IF(HLOOKUP(CONCATENATE('Options and results'!$C$32," ",Forestrysystem!$C$8),Forestrysystem!$A$7:$IH$70,V17+4,FALSE)&lt;AB17,HLOOKUP(CONCATENATE('Options and results'!$C$32," ",Forestrysystem!$C$8),Forestrysystem!$A$7:$IH$70,V17+4,FALSE),0))</f>
        <v>0</v>
      </c>
      <c r="AD17" s="1441">
        <f>IF($W$8=0,0,IF(HLOOKUP(CONCATENATE('Options and results'!$C$32," ",Forestrysystem!$C$8),Forestrysystem!$A$7:$IH$70,V17+4,FALSE)&gt;=AB17,AB17,0))</f>
        <v>0</v>
      </c>
      <c r="AE17" s="1440">
        <f>IF($W$8=0,0,HLOOKUP(CONCATENATE('Options and results'!$C$32," ",Forestrysystem!$D$8),Forestrysystem!$A$7:$IH$70,$V17+4,FALSE))</f>
        <v>9.6730383950005265</v>
      </c>
      <c r="AF17" s="1037"/>
      <c r="AG17" s="1440">
        <f>IF($W$8=0,0,IF(V17=1,'Options and results'!$M$36,0)+IF('Options and results'!$M$39="yes",IF(AND(AG16+'Options and results'!$M$37&lt;=$AF$8,AG16+'Options and results'!$M$37+IF(V17=1,'Options and results'!$M$36,0)&lt;='Options and results'!$M$38*AE17),AG16+'Options and results'!$M$37,AG16),(HLOOKUP(CONCATENATE('Options and results'!$C$32," ",Forestrysystem!$E$8),Forestrysystem!$A$7:$IH$70,V17+4,FALSE))-IF(V17=1,'Options and results'!$M$36,0)))</f>
        <v>6</v>
      </c>
      <c r="AH17" s="1442">
        <f>IF(OR($W$8=0,AB17&lt;=0),0,(HLOOKUP(CONCATENATE('Options and results'!$C$32," ",Forestrysystem!$F$8),Forestrysystem!$A$7:$IH$70,$V17+4,FALSE)) * IF(V17&gt;='Options and results'!$I$19,'Options and results'!$I$18,1) )</f>
        <v>8.2336308346738214</v>
      </c>
      <c r="AI17" s="1452">
        <f t="shared" si="179"/>
        <v>5.2779684837652704E-2</v>
      </c>
      <c r="AJ17" s="1442">
        <f t="shared" si="135"/>
        <v>0</v>
      </c>
      <c r="AK17" s="1453">
        <f>IF(OR($W$8=0,AE17&lt;=0),0,(HLOOKUP(CONCATENATE('Options and results'!$C$32," ",Forestrysystem!$G$8),Forestrysystem!$A$7:$IH$70,$V17+4,FALSE)) * IF(Y17&gt;='Options and results'!$I$19,'Options and results'!$I$18,1) )</f>
        <v>3.6305987803906787</v>
      </c>
      <c r="AL17" s="1453">
        <f>IF($W$8=0,0,HLOOKUP(CONCATENATE('Options and results'!$C$32," ",Forestrysystem!$H$8),Forestrysystem!$A$7:$IH$70,$V17+4,FALSE)*IF(V17&gt;='Options and results'!$I$19,'Options and results'!$I$18,1))</f>
        <v>0</v>
      </c>
      <c r="AM17" s="1383">
        <f>IF($W$8=0,0,HLOOKUP(CONCATENATE('Options and results'!$C$32," ",Forestrysystem!$I$8),Forestrysystem!$A$7:$IH$70,$V17+4,FALSE)*IF(V17&gt;='Options and results'!$I$19,'Options and results'!$I$18,1))</f>
        <v>0</v>
      </c>
      <c r="AN17" s="1382">
        <f>IF(AI17&gt;0,HLOOKUP(AI17,Treevalue!$I$4:$BC$34,'Options and results'!$C$39+1),0)*IF(V17&gt;='Options and results'!$I$21,'Options and results'!$I$20,1)*IF(1+'Options and results'!$Q$20*(V17-1)&gt;0,1+'Options and results'!$Q$20*(V17-1),0)</f>
        <v>6.6656966304126186</v>
      </c>
      <c r="AO17" s="1454">
        <f t="shared" si="136"/>
        <v>54.88288531074673</v>
      </c>
      <c r="AP17" s="1454">
        <f t="shared" si="137"/>
        <v>0</v>
      </c>
      <c r="AQ17" s="1454">
        <f>(IF('Options and results'!$C$39&gt;0,IF(V17&lt;='Options and results'!$W$20,VLOOKUP('Options and results'!$C$39,Treevalue!$A$4:$F$34,5,FALSE),0),0)*AK17)*IF(V17&gt;='Options and results'!$I$21,'Options and results'!$I$20,1)*IF(1+'Options and results'!$Q$20*(V17-1)&gt;0,1+'Options and results'!$Q$20*(V17-1),0)-AR17</f>
        <v>90.764969509766971</v>
      </c>
      <c r="AR17" s="1441">
        <f>(IF('Options and results'!$C$39&gt;0,IF(V17&lt;='Options and results'!$W$20,VLOOKUP('Options and results'!$C$39,Treevalue!$A$4:$F$34,5,FALSE),0),0)*AL17)*IF(V17&gt;='Options and results'!$I$21,'Options and results'!$I$20,1)*IF(1+'Options and results'!$Q$20*(V17-1)&gt;0,1+'Options and results'!$Q$20*(V17-1),0)</f>
        <v>0</v>
      </c>
      <c r="AS17" s="1441">
        <f>(IF('Options and results'!$C$39&gt;0,IF(V17&lt;='Options and results'!$W$20,VLOOKUP('Options and results'!$C$39,Treevalue!$A$4:$F$34,6,FALSE),0),0)*AM17)*IF(V17&gt;='Options and results'!$I$21,'Options and results'!$I$20,1)*IF(1+'Options and results'!$Q$20*(V17-1)&gt;0,1+'Options and results'!$Q$20*(V17-1),0)</f>
        <v>0</v>
      </c>
      <c r="AT17" s="1441">
        <f>IF(V17&lt;='Options and results'!$W$20,(IF(AB17&lt;=0,0,IF('Options and results'!$C$43="cost",(IF(V17&lt;='Options and results'!$C$44,BZ17*SUM('Options and results'!$C$45:$C$46),0)),IF('Options and results'!$C$41&gt;0,(IF(VLOOKUP('Options and results'!$C$42,Treegrant!$B$6:$L$42,Treegrant!$C$2,FALSE)=V17,VLOOKUP('Options and results'!$C$42,Treegrant!$B$6:$L$42,Treegrant!$D$2,FALSE),0)+IF(VLOOKUP('Options and results'!$C$42,Treegrant!$B$6:$L$42,Treegrant!$E$2,FALSE)=V17,VLOOKUP('Options and results'!$C$42,Treegrant!$B$6:$L$42,Treegrant!$F$2,FALSE),0)+IF(VLOOKUP('Options and results'!$C$42,Treegrant!$B$6:$L$42,Treegrant!$G$2,FALSE)=V17,VLOOKUP('Options and results'!$C$42,Treegrant!$B$6:$L$42,Treegrant!$H$2,FALSE)))*IF('Options and results'!$C$43="area",1,'Options and results'!$C$43),0)))*IF(V17&gt;='Options and results'!$I$23,'Options and results'!$I$22,1)),0)*IF(1+'Options and results'!$Q$23*(V17-1)&gt;0,1+'Options and results'!$Q$23*(V17-1),0)</f>
        <v>0</v>
      </c>
      <c r="AU17" s="1441">
        <f>IF($W$8=0,0,IF(V17&lt;='Options and results'!$W$20,IF(AB17&lt;=0,0,IF('Options and results'!$C$41&gt;0,IF(AND(VLOOKUP('Options and results'!$C$42,Treegrant!$B$6:$L$42,Treegrant!$J$2,FALSE)&lt;=V17,VLOOKUP('Options and results'!$C$42,Treegrant!$B$6:$L$42,Treegrant!$K$2,FALSE)&gt;=V17),(VLOOKUP('Options and results'!$C$42,Treegrant!$B$6:$L$42,Treegrant!$L$2,FALSE)),0)*IF('Options and results'!$C$47="full",1,'Options and results'!$C$47))*IF(V17&gt;='Options and results'!$I$23,'Options and results'!$I$22,1)),0))*IF(1+'Options and results'!$Q$23*(V17-1)&gt;0,1+'Options and results'!$Q$23*(V17-1),0)</f>
        <v>0</v>
      </c>
      <c r="AV17" s="1032">
        <f>IF($W$8=0,0,IF(V17&lt;='Options and results'!$W$20,IF(AB17&lt;=0,0,(IF('Options and results'!$C$41&gt;0,(IF(AND(VLOOKUP('Options and results'!$C$42,Treegrant!$B$6:$O$42,Treegrant!$M$2,FALSE)&lt;=V17,VLOOKUP('Options and results'!$C$42,Treegrant!$B$6:$O$42,Treegrant!$N$2,FALSE)&gt;=V17),(VLOOKUP('Options and results'!$C$42,Treegrant!$B$6:$O$42,Treegrant!$O$2,FALSE)),0)*IF('Options and results'!$C$48="full",1,'Options and results'!$C$48))+(IF(AND(VLOOKUP('Options and results'!$C$42,Treegrant!$B$6:$R$42,Treegrant!$P$2,FALSE)&lt;=V17,VLOOKUP('Options and results'!$C$42,Treegrant!$B$6:$R$42,Treegrant!$Q$2,FALSE)&gt;=V17),(VLOOKUP('Options and results'!$C$42,Treegrant!$B$6:$R$42,Treegrant!$R$2,FALSE)),0))*IF('Options and results'!$C$49="full",1,'Options and results'!$C$49)))*IF(V17&gt;='Options and results'!$I$23,'Options and results'!$I$22,1)),0))*IF(1+'Options and results'!$Q$23*(V17-1)&gt;0,1+'Options and results'!$Q$23*(V17-1),0)</f>
        <v>0</v>
      </c>
      <c r="AW17" s="1033" t="s">
        <v>246</v>
      </c>
      <c r="AX17" s="1018">
        <f>'Options and results'!S43</f>
        <v>14.6</v>
      </c>
      <c r="AY17" s="1419">
        <f>IF($W$8=0,0,IF(V17=1,VLOOKUP($W$8,Treecost!$B$6:$AH$49,Treecost!$E$2,FALSE),0)*IF(V17&gt;='Options and results'!$I$25,'Options and results'!$I$24,1))</f>
        <v>0</v>
      </c>
      <c r="AZ17" s="889">
        <f>IF($W$8=0,0,IF(V17=1,VLOOKUP($W$8,Treecost!$B$6:$AH$49,Treecost!$F$2,FALSE),0)*IF(V17&gt;='Options and results'!$I$25,'Options and results'!$I$24,1))</f>
        <v>0</v>
      </c>
      <c r="BA17" s="889">
        <f>IF($W$8=0,0,IF(V17=1,VLOOKUP($W$8,Treecost!$B$6:$AH$49,Treecost!$G$2,FALSE),0)*IF(V17&gt;='Options and results'!$I$25,'Options and results'!$I$24,1))</f>
        <v>0</v>
      </c>
      <c r="BB17" s="889">
        <f>IF($W$8=0,0,IF(V17&lt;='Options and results'!$W$20,((VLOOKUP($W$8,Treecost!$B$6:$AH$49,Treecost!$H$2,FALSE)*(X17+AA17))/60)*IF(V17&gt;='Options and results'!$I$25,'Options and results'!$I$24,1),0))</f>
        <v>0</v>
      </c>
      <c r="BC17" s="889">
        <f>IF($W$8=0,0,IF(V17&lt;='Options and results'!$W$20,(((VLOOKUP($W$8,Treecost!$B$6:$AH$49,Treecost!$I$2,FALSE))*(X17+AA17))/60)*IF(V17&gt;='Options and results'!$I$25,'Options and results'!$I$24,1),0))</f>
        <v>0</v>
      </c>
      <c r="BD17" s="889">
        <f>IF($W$8=0,0,IF(V17&lt;='Options and results'!$W$20,(((VLOOKUP($W$8,Treecost!$B$6:$AH$49,Treecost!$J$2,FALSE))/60)*(X17+AA17))*IF(V17&gt;='Options and results'!$I$25,'Options and results'!$I$24,1),0))</f>
        <v>0</v>
      </c>
      <c r="BE17" s="1019">
        <f>IF($W$8=0,0,IF(V17&lt;='Options and results'!$W$20,(((VLOOKUP($W$8,Treecost!$B$6:$AH$49,Treecost!$C$2,FALSE)+VLOOKUP($W$8,Treecost!$B$6:$AH$49,Treecost!$D$2,FALSE))*(X17+AA17)*IF(1+'Options and results'!$Q$22*(V17-1)&gt;0,1+'Options and results'!$Q$22*(V17-1),0))+((AY17*$AX$8+AZ17*$AX$9+BA17*$AX$10+BB17*$AX$11+BC17*$AX$12+BD17*$AX$13)*IF(1+'Options and results'!$Q$21*(V17-1)&gt;0,1+'Options and results'!$Q$21*(V17-1),0)))*IF(V17&gt;='Options and results'!$I$27,'Options and results'!$I$26,1),0))</f>
        <v>0</v>
      </c>
      <c r="BF17" s="889">
        <f>IF($W$8=0,0,IF(V17&lt;='Options and results'!$W$20,IF(AND(VLOOKUP($W$8,Treecost!$B$6:$AH$49,Treecost!$K$2,FALSE)&lt;=V17,V17&lt;=(VLOOKUP($W$8,Treecost!$B$6:$AH$49,Treecost!$L$2,FALSE))),VLOOKUP($W$8,Treecost!$B$6:$AH$49,Treecost!$M$2,FALSE)*AB17/60,0)*IF(V17&gt;='Options and results'!$I$25,'Options and results'!$I$24,1),0))</f>
        <v>0</v>
      </c>
      <c r="BG17" s="1019">
        <f>IF(BF17&gt;0,(VLOOKUP($W$8,Treecost!$B$6:$AH$49,Treecost!$N$2,FALSE)*AB17*IF(1+'Options and results'!$Q$22*(V17-1)&gt;0,1+'Options and results'!$Q$22*(V17-1),0)+BF17*$AX$14*IF(1+'Options and results'!$Q$21*(V17-1)&gt;0,1+'Options and results'!$Q$21*(V17-1),0)),0)*IF(V17&gt;='Options and results'!$I$27,'Options and results'!$I$26,1)</f>
        <v>0</v>
      </c>
      <c r="BH17" s="889">
        <f>IF(V17&lt;='Options and results'!$W$20,IF(AND(AG17-AG16&gt;0,AG17&gt;'Options and results'!$M$36),(AB17-AC17)*(VLOOKUP($W$8,Treecost!$B$6:$AH$49,Treecost!$Y$2,FALSE)+(VLOOKUP($W$8,Treecost!$B$6:$AH$49,Treecost!$AA$2,FALSE)-VLOOKUP($W$8,Treecost!$B$6:$AH$49,Treecost!$Y$2,FALSE))/(VLOOKUP($W$8,Treecost!$B$6:$AH$49,Treecost!$Z$2,FALSE)-VLOOKUP($W$8,Treecost!$B$6:$AH$49,Treecost!$X$2,FALSE))*(AG17-VLOOKUP($W$8,Treecost!$B$6:$AH$49,Treecost!$X$2,FALSE)))/60,0)*IF(V17&gt;='Options and results'!$I$25,'Options and results'!$I$24,1),0)</f>
        <v>0</v>
      </c>
      <c r="BI17" s="303">
        <f>IF(V17&lt;='Options and results'!$W$20,IF(BH17&gt;0,VLOOKUP($W$8,Treecost!$B$6:$AH$49,Treecost!$AB$2,FALSE)/60*AB17,0)*IF(V17&gt;='Options and results'!$I$25,'Options and results'!$I$24,1),0)*((BH17-(MIN($BH$8:$BH$67)))/((MAX($BH$8:$BH$67))-(MIN($BH$8:$BH$67))))</f>
        <v>0</v>
      </c>
      <c r="BJ17" s="740">
        <f>IF(BH17&gt;0,(BH17*$AX$15+BI17*$AX$19)*IF(1+'Options and results'!$Q$21*(V17-1)&gt;0,1+'Options and results'!$Q$21*(V17-1),0),0)*IF(V17&gt;='Options and results'!$I$27,'Options and results'!$I$26,1)</f>
        <v>0</v>
      </c>
      <c r="BK17" s="891">
        <f>IF($W$8=0,0,IF(V17&lt;='Options and results'!$W$20,IF(VLOOKUP($W$8,Treecost!$B$2:$AH$49,Treecost!$O$2,FALSE)=V17,VLOOKUP($W$8,Treecost!$B$2:$AH$49,Treecost!$P$2,FALSE),0)*IF(V17&gt;='Options and results'!$I$25,'Options and results'!$I$24,1),0))</f>
        <v>0</v>
      </c>
      <c r="BL17" s="889">
        <f>IF($W$8=0,0,IF(V17&lt;='Options and results'!$W$20,IF(AND(V17&gt;VLOOKUP($W$8,Treecost!$B$2:$AH$49,Treecost!$O$2,FALSE),V17&lt;=VLOOKUP($W$8,Treecost!$B$2:$AH$49,Treecost!$R$2,FALSE)),VLOOKUP($W$8,Treecost!$B$2:$AH$49,Treecost!$S$2,FALSE),0)*IF(V17&gt;='Options and results'!$I$25,'Options and results'!$I$24,1),0))</f>
        <v>0</v>
      </c>
      <c r="BM17" s="740">
        <f>IF($W$8=0,0,IF(V17&lt;='Options and results'!$W$20,((IF(VLOOKUP($W$8,Treecost!$B$2:$AH$49,Treecost!$O$2,FALSE)=V17,VLOOKUP($W$8,Treecost!$B$2:$AH$49,Treecost!$Q$2,FALSE),0)+IF(AND(V17&gt;VLOOKUP($W$8,Treecost!$B$2:$AH$49,Treecost!$O$2,FALSE),V17&lt;=VLOOKUP($W$8,Treecost!$B$2:$AH$49,Treecost!$R$2,FALSE)),VLOOKUP($W$8,Treecost!$B$2:$AH$49,Treecost!$T$2,FALSE),0)*IF(1+'Options and results'!$Q$22*(V17-1)&gt;0,1+'Options and results'!$Q$22*(V17-1),0))+(BK17*$AX$16+BL17*$AX$17)*IF(1+'Options and results'!$Q$21*(V17-1)&gt;0,1+'Options and results'!$Q$21*(V17-1),0))*IF(V17&gt;='Options and results'!$I$27,'Options and results'!$I$26,1),0))</f>
        <v>0</v>
      </c>
      <c r="BN17" s="894">
        <f>IF($W$8=0,0,IF(V17&lt;='Options and results'!$W$20,IF(AND(V17&gt;=VLOOKUP($W$8,Treecost!$B$2:$W$49,Treecost!$U$2,FALSE),V17&lt;=VLOOKUP($W$8,Treecost!$B$2:$W$49,Treecost!$V$2,FALSE)),(AB17*VLOOKUP($W$8,Treecost!$B$2:$W$49,Treecost!$W$2,FALSE)/60),0)*IF(V17&gt;='Options and results'!$I$25,'Options and results'!$I$24,1),0))</f>
        <v>0</v>
      </c>
      <c r="BO17" s="740">
        <f>BN17*$AX$18*IF(V17&gt;='Options and results'!$I$27,'Options and results'!$I$26,1)*IF(1+'Options and results'!$Q$21*(V17-1)&gt;0,1+'Options and results'!$Q$21*(V17-1),0)</f>
        <v>0</v>
      </c>
      <c r="BP17" s="894">
        <f>IF(V17&lt;='Options and results'!$W$20,IF(AB17&lt;=0,0,VLOOKUP($W$8,Treecost!$B$6:$AH$49,Treecost!$AC$2,FALSE)+VLOOKUP($W$8,Treecost!$B$6:$AH$49,Treecost!$AD$2,FALSE)+IF(AND(V17&gt;=VLOOKUP($W$8,Treecost!$B$2:$AK$49,Treecost!$AI$2,FALSE),V17&lt;=VLOOKUP($W$8,Treecost!$B$2:$AK$49,Treecost!$AJ$2,FALSE)),(VLOOKUP($W$8,Treecost!$B$2:$AK$49,Treecost!$AK$2,FALSE)),0))*IF(V17&gt;='Options and results'!$I$27,'Options and results'!$I$26,1),0)*IF(1+'Options and results'!$Q$22*(V17-1)&gt;0,1+'Options and results'!$Q$22*(V17-1),0)</f>
        <v>3</v>
      </c>
      <c r="BQ17" s="894">
        <f>IF(V17&lt;='Options and results'!$W$20,IF(AC17&gt;0,VLOOKUP($W$8,Treecost!$B$6:$AH$49,Treecost!$AE$2,FALSE)/60*AC17,0)*IF(V17&gt;='Options and results'!$I$25,'Options and results'!$I$24,1),0)</f>
        <v>0</v>
      </c>
      <c r="BR17" s="740">
        <f>IF(V17&lt;='Options and results'!$W$20,IF(AC17&gt;0,VLOOKUP($W$8,Treecost!$B$6:$AH$49,Treecost!$AF$2,FALSE)/60*AC17,0)*IF(V17&gt;='Options and results'!$I$25,'Options and results'!$I$24,1),0)</f>
        <v>0</v>
      </c>
      <c r="BS17" s="740">
        <f>(BQ17*$AX$20+BR17*$AX$21)*IF(V17&gt;='Options and results'!$I$27,'Options and results'!$I$26,1)*IF(1+'Options and results'!$Q$21*(V17-1)&gt;0,1+'Options and results'!$Q$21*(V17-1),0)</f>
        <v>0</v>
      </c>
      <c r="BT17" s="894">
        <f>IF(V17&lt;='Options and results'!$W$20,IF(AD17&gt;0,(VLOOKUP($W$8,Treecost!$B$6:$AH$49,Treecost!$AG$2,FALSE)/60*AD17)*IF(V17&gt;='Options and results'!$I$25,'Options and results'!$I$24,1),0),0)</f>
        <v>0</v>
      </c>
      <c r="BU17" s="740">
        <f>IF(V17&lt;='Options and results'!$W$20,IF(AD17&gt;0,(VLOOKUP($W$8,Treecost!$B$6:$AH$49,Treecost!$AH$2,FALSE)/60*AD17)*IF(V17&gt;='Options and results'!$I$25,'Options and results'!$I$24,1),0),0)</f>
        <v>0</v>
      </c>
      <c r="BV17" s="740">
        <f>(BT17*$AX$22+BU17*$AX$23)*IF(V17&gt;='Options and results'!$I$27,'Options and results'!$I$26,1)*IF(1+'Options and results'!$Q$21*(V17-1)&gt;0,1+'Options and results'!$Q$21*(V17-1),0)</f>
        <v>0</v>
      </c>
      <c r="BW17" s="1033">
        <f t="shared" si="138"/>
        <v>0</v>
      </c>
      <c r="BX17" s="1027">
        <f t="shared" si="139"/>
        <v>0</v>
      </c>
      <c r="BY17" s="1027">
        <f t="shared" si="140"/>
        <v>0</v>
      </c>
      <c r="BZ17" s="740">
        <f t="shared" si="124"/>
        <v>3</v>
      </c>
      <c r="CA17" s="740">
        <f t="shared" si="141"/>
        <v>-3</v>
      </c>
      <c r="CB17" s="894">
        <f>IF($V17&lt;='Options and results'!$W$20,SUM(BX$8:$BX17),0)</f>
        <v>0</v>
      </c>
      <c r="CC17" s="740">
        <f>IF($V17&lt;='Options and results'!$W$20,SUM($BY$8:BY17),0)</f>
        <v>0</v>
      </c>
      <c r="CD17" s="740">
        <f>IF($V17&lt;='Options and results'!$W$20,SUM($BZ$8:BZ17),0)</f>
        <v>1301.4362263272526</v>
      </c>
      <c r="CE17" s="740">
        <f>IF(V17&lt;='Options and results'!$W$20,CB17+CC17-CD17,0)</f>
        <v>-1301.4362263272526</v>
      </c>
      <c r="CF17" s="1381">
        <f t="shared" si="142"/>
        <v>61.421768915555859</v>
      </c>
      <c r="CG17" s="1027">
        <f t="shared" si="143"/>
        <v>58.421768915555859</v>
      </c>
      <c r="CH17" s="1027">
        <f t="shared" si="144"/>
        <v>0</v>
      </c>
      <c r="CI17" s="1189">
        <f>IF(V17&lt;='Options and results'!$W$20,CE17+AO17,0)</f>
        <v>-1246.5533410165058</v>
      </c>
      <c r="CJ17" s="1023"/>
      <c r="CK17" s="895">
        <f t="shared" si="145"/>
        <v>10</v>
      </c>
      <c r="CL17" s="1011" t="str">
        <f>IF('Options and results'!$C$54="None",0,IF(AND(CK17&gt;='Options and results'!$K$57,CK16&lt;'Options and results'!$W$20),'Options and results'!$K$56,IF(Optimisation!$B$3="No",CONCATENATE('Options and results'!$C$60," ",(HLOOKUP(CONCATENATE('Options and results'!$C$54," ",Agroforestrysystem!$B$12),Agroforestrysystem!$B$11:$IM$74,$CK17+4,FALSE))),Optimisation!AA37)))</f>
        <v>UK - Agriculture (BPS: from 2015) Wheat</v>
      </c>
      <c r="CM17" s="1012">
        <f>IF(HLOOKUP(CONCATENATE('Options and results'!$C$54," ",Agroforestrysystem!$C$12),Agroforestrysystem!$B$11:$IM$74,$CK17+4,FALSE)="T",(VLOOKUP(CL17,Arablefinance!$Z$6:$AB$105,Arablefinance!$AB$2,FALSE)*CO17+VLOOKUP(CL17,Arablefinance!$Z$6:$AC$105,Arablefinance!$AC$2,FALSE)*CP17)/VLOOKUP(CL17,Arablefinance!$Z$6:$AA$105,Arablefinance!$AA$2,FALSE),0)</f>
        <v>0</v>
      </c>
      <c r="CN17" s="1012">
        <f>IF(CL17=0,0,HLOOKUP(CONCATENATE('Options and results'!$C$54," ",Agroforestrysystem!$D$12),Agroforestrysystem!$B$11:$IM$74,$CK17+4,FALSE))</f>
        <v>0.99</v>
      </c>
      <c r="CO17" s="1440">
        <f ca="1">IF(CL17=0,0,IF(AND(Optimisation!$B$3="yes",Optimisation!$B$4=1,CK17&gt;Optimisation!$B$9),0,HLOOKUP(CONCATENATE('Options and results'!$C$54," ",Agroforestrysystem!$E$12),Agroforestrysystem!$B$11:$IM$74,$CK17+4,FALSE)*IF(CK17&gt;='Options and results'!$J$19,'Options and results'!$J$18,1)))</f>
        <v>6.56</v>
      </c>
      <c r="CP17" s="1440">
        <f ca="1">IF(CL17=0,0,IF(AND(Optimisation!$B$3="yes",Optimisation!$B$4=1,CK17&gt;Optimisation!$B$9),0,HLOOKUP(CONCATENATE('Options and results'!$C$54," ",Agroforestrysystem!$F$12),Agroforestrysystem!$B$11:$IM$74,$CK17+4,FALSE)*IF(CK17&gt;='Options and results'!$J$19,'Options and results'!$J$18,1)))</f>
        <v>2.6240000000000001</v>
      </c>
      <c r="CQ17" s="1013">
        <f ca="1">IF(CN17&lt;=0,0,IF(CK17&lt;='Options and results'!$W$20,IF(CM17&gt;0,VLOOKUP(CL17,Arablefinance!$Z$6:$AE$105,Arablefinance!$AD$2,FALSE)*CM17*CN17,((VLOOKUP(CL17,Arablefinance!$E$6:$H$126,2,FALSE)*CO17+VLOOKUP(CL17,Arablefinance!$E$6:$H$126,3,FALSE)*CP17)*CN17)),0)*IF(CK17&gt;='Options and results'!$J$21,'Options and results'!$J$20,1))*IF(1+'Options and results'!$O$20*(CK17-1)&gt;0,1+'Options and results'!$O$20*(CK17-1),0)</f>
        <v>1224.9160000000002</v>
      </c>
      <c r="CR17" s="1441">
        <f>IF(CN17&lt;=0,0,IF(AND(CM17&gt;0,VLOOKUP(CL17,Arablefinance!$Z$6:$AI$105,Arablefinance!$AI$2,FALSE)=2),VLOOKUP(CL17,Arablefinance!$Z$6:$AE$105,Arablefinance!$AE$2,FALSE)*CM17*CN17,IF('Options and results'!$C$62&gt;0,IF(VLOOKUP(CL17,Arablefinance!$E$6:$W$126,Arablefinance!$H$2,FALSE)*(1-Plot!DM17*'Options and results'!$C$62)&gt;0,VLOOKUP(CL17,Arablefinance!$E$6:$W$126,Arablefinance!$H$2,FALSE)*(1-Plot!DM17*'Options and results'!$C$62),0),IF(CK17&lt;='Options and results'!$W$20,(VLOOKUP(CL17,Arablefinance!$E$6:$W$126,Arablefinance!$H$2,FALSE)*IF('Options and results'!$C$61="area",CN17,'Options and results'!$C$61)),0)))*IF(CK17&gt;='Options and results'!$J$23,'Options and results'!$J$22,1))*IF(AND(1+'Options and results'!$O$23*(CK17-1)&gt;0,1+'Options and results'!$O$23*(CK17-1)&gt;'Options and results'!$S$24),1+'Options and results'!$O$23*(CK17-1),'Options and results'!$S$24)</f>
        <v>0</v>
      </c>
      <c r="CS17" s="1441">
        <f t="shared" ca="1" si="146"/>
        <v>1224.9160000000002</v>
      </c>
      <c r="CT17" s="1441">
        <f>IF(CN17&lt;=0,0,IF(CK17&lt;='Options and results'!$W$20,IF(CM17&gt;0,VLOOKUP(CL17,Arablefinance!$Z$6:$AF$105,Arablefinance!$AF$2,FALSE)*CM17*CN17,VLOOKUP(CL17,Arablefinance!$E$6:$X$126,Arablefinance!$R$2,FALSE)*CN17),0)*IF(CK17&gt;='Options and results'!$J$27,'Options and results'!$J$26,1))*IF(1+'Options and results'!$O$22*(CK17-1)&gt;0,1+'Options and results'!$O$22*(CK17-1),0)</f>
        <v>646.59374999999989</v>
      </c>
      <c r="CU17" s="1441">
        <f t="shared" ca="1" si="147"/>
        <v>578.32225000000028</v>
      </c>
      <c r="CV17" s="1441">
        <f>IF(CN17&lt;=0,0,IF(CK17&lt;='Options and results'!$W$20,IF(CM17&gt;0,VLOOKUP(CL17,Arablefinance!$Z$6:$AG$105,Arablefinance!$AG$2,FALSE)*CM17*CN17,VLOOKUP(CL17,Arablefinance!$E$6:$X$126,Arablefinance!$X$2,FALSE)*CN17),0)*IF(CK17&gt;='Options and results'!$J$27,'Options and results'!$J$26,1))*IF(1+'Options and results'!$O$22*(CK17-1)&gt;0,1+'Options and results'!$O$22*(CK17-1),0)</f>
        <v>440</v>
      </c>
      <c r="CW17" s="1442">
        <f>IF(CN17&lt;=0,0,IF(CK17&lt;='Options and results'!$W$20,'Options and results'!$C$27*IF(CK17&gt;='Options and results'!$J$27,'Options and results'!$J$26,1),0))*IF(1+'Options and results'!$O$21*(CK17-1)&gt;0,1+'Options and results'!$O$21*(CK17-1),0)</f>
        <v>14.6</v>
      </c>
      <c r="CX17" s="1442">
        <f>IF(CN17&lt;=0,0,IF(CK17&lt;='Options and results'!$W$20,IF(CM17&gt;0,VLOOKUP(CL17,Arablefinance!$Z$6:$AH$105,Arablefinance!$AH$2,FALSE)*CM17*CN17,VLOOKUP(CL17,Arablefinance!$E$6:$W$126,Arablefinance!$V$2,FALSE)*CN17),0)*IF(CK17&gt;='Options and results'!$J$25,'Options and results'!$J$24,1))</f>
        <v>11.516506250880969</v>
      </c>
      <c r="CY17" s="1013">
        <f t="shared" si="148"/>
        <v>1254.7347412628621</v>
      </c>
      <c r="CZ17" s="1353">
        <f t="shared" ca="1" si="149"/>
        <v>-29.818741262861977</v>
      </c>
      <c r="DA17" s="1013">
        <f ca="1">IF($CK17&lt;='Options and results'!$W$20,SUM($CQ$8:CQ17),0)</f>
        <v>14017.445749999999</v>
      </c>
      <c r="DB17" s="1441">
        <f>IF($CK17&lt;='Options and results'!$W$20,SUM($CR$8:CR17),0)</f>
        <v>0</v>
      </c>
      <c r="DC17" s="1441">
        <f>IF($CK17&lt;='Options and results'!$W$20,SUM($CY$8:CY17),0)</f>
        <v>12132.029286370189</v>
      </c>
      <c r="DD17" s="1189">
        <f ca="1">IF(CK17&lt;='Options and results'!$W$20,DA17+DB17-DC17,0)</f>
        <v>1885.4164636298101</v>
      </c>
      <c r="DE17" s="401"/>
      <c r="DF17" s="895">
        <f t="shared" si="150"/>
        <v>10</v>
      </c>
      <c r="DG17" s="173"/>
      <c r="DH17" s="1422"/>
      <c r="DI17" s="1427">
        <f>IF(DF17&lt;='Options and results'!$M$61,'Options and results'!$M$60,0)</f>
        <v>0</v>
      </c>
      <c r="DJ17" s="740">
        <f t="shared" si="151"/>
        <v>0</v>
      </c>
      <c r="DK17" s="740">
        <f t="shared" si="152"/>
        <v>0</v>
      </c>
      <c r="DL17" s="1428">
        <f t="shared" si="153"/>
        <v>100</v>
      </c>
      <c r="DM17" s="1429">
        <f>IF($DG$8=0,0,HLOOKUP(CONCATENATE('Options and results'!$C$54," ",Agroforestrysystem!$J$12),Agroforestrysystem!$11:$74,DF17+3,FALSE))/100</f>
        <v>0.65200000000000002</v>
      </c>
      <c r="DN17" s="740">
        <f>IF($DG$8=0,0,IF(HLOOKUP(CONCATENATE('Options and results'!$C$54," ",Agroforestrysystem!$H$12),Agroforestrysystem!$11:$74,DF17+4,FALSE)&lt;DL17,HLOOKUP(CONCATENATE('Options and results'!$C$54," ",Agroforestrysystem!$H$12),Agroforestrysystem!$11:$74,DF17+4,FALSE),0))</f>
        <v>0</v>
      </c>
      <c r="DO17" s="1027">
        <f>IF($DG$8=0,0,IF(HLOOKUP(CONCATENATE('Options and results'!$C$54," ",Agroforestrysystem!$H$12),Agroforestrysystem!$11:$74,DF17+4,FALSE)&gt;=DL17,DL17,0))</f>
        <v>0</v>
      </c>
      <c r="DP17" s="1430">
        <f>IF($DG$8=0,0,HLOOKUP(CONCATENATE('Options and results'!$C$54," ",Agroforestrysystem!$I$12),Agroforestrysystem!$11:$74,DF17+4,FALSE))</f>
        <v>9.7233292241840541</v>
      </c>
      <c r="DQ17" s="1038"/>
      <c r="DR17" s="1390">
        <f>IF($DG$8=0,0,IF(DF17&gt;'Options and results'!$W$20,0,)+IF(DF17=1,'Options and results'!$M$64)+IF('Options and results'!$M$67="yes",IF(AND(DR16+'Options and results'!$M$65&lt;=$DQ$8,DR16+'Options and results'!$M$65+IF(DF17=1,'Options and results'!$M$64,0)&lt;='Options and results'!$M$66*DP17),DR16+'Options and results'!$M$65,DR16),(HLOOKUP(CONCATENATE('Options and results'!$C$54," ",Agroforestrysystem!$K$12),Agroforestrysystem!$11:$74,DF17+4,FALSE)-IF(DF17=1,'Options and results'!$M$64))))</f>
        <v>6</v>
      </c>
      <c r="DS17" s="1027">
        <f>IF(OR($DG$8=0,DL17=0),0,HLOOKUP(CONCATENATE('Options and results'!$C$54," ",Agroforestrysystem!$L$12),Agroforestrysystem!$11:$74,DF17+4,FALSE)*IF(DF17&gt;='Options and results'!$K$19,'Options and results'!$K$18,1))</f>
        <v>5.3607188460803448</v>
      </c>
      <c r="DT17" s="1431">
        <f t="shared" si="154"/>
        <v>5.3607188460803451E-2</v>
      </c>
      <c r="DU17" s="889">
        <f t="shared" si="155"/>
        <v>0</v>
      </c>
      <c r="DV17" s="1027">
        <f>IF($DG$8=0,0,(HLOOKUP(CONCATENATE('Options and results'!$C$54," ",Agroforestrysystem!$M$12),Agroforestrysystem!$11:$74,DF17+4,FALSE))*IF(DF17&gt;='Options and results'!$K$19,'Options and results'!$K$18,1))-DW17</f>
        <v>2.3637954743653071</v>
      </c>
      <c r="DW17" s="303">
        <f>IF($DG$8=0,0,(HLOOKUP(CONCATENATE('Options and results'!$C$54," ",Agroforestrysystem!$N$12),Agroforestrysystem!$11:$74,DF17+4,FALSE))*IF(DF17&gt;='Options and results'!$K$19,'Options and results'!$K$18,1))</f>
        <v>0</v>
      </c>
      <c r="DX17" s="303">
        <f>IF($DG$8=0,0,HLOOKUP(CONCATENATE('Options and results'!$C$54," ",Agroforestrysystem!$O$12),Agroforestrysystem!$11:$74,DF17+4,FALSE)*IF(DF17&gt;='Options and results'!$K$19,'Options and results'!$K$18,1))</f>
        <v>0</v>
      </c>
      <c r="DY17" s="1192">
        <f>IF(DT17&gt;0,HLOOKUP(DT17,Treevalue!$I$4:$BC$34,'Options and results'!$C$66+1),0)*IF(DF17&gt;='Options and results'!$K$21,'Options and results'!$K$20,1)*IF(1+'Options and results'!$Q$20*(DF17-1)&gt;0,1+'Options and results'!$Q$20*(DF17-1),0)</f>
        <v>6.6656966304126186</v>
      </c>
      <c r="DZ17" s="1027">
        <f t="shared" si="156"/>
        <v>35.732925548907183</v>
      </c>
      <c r="EA17" s="1027">
        <f t="shared" si="125"/>
        <v>0</v>
      </c>
      <c r="EB17" s="1027">
        <f>(IF('Options and results'!$C$66&gt;0,IF(DF17&lt;='Options and results'!$W$20,VLOOKUP('Options and results'!$C$66,Treevalue!$A$4:$F$34,5,FALSE),0),0)*DV17)*IF(DF17&gt;='Options and results'!$K$21,'Options and results'!$K$20,1)*IF(1+'Options and results'!$Q$20*(DF17-1)&gt;0,1+'Options and results'!$Q$20*(DF17-1),0)</f>
        <v>59.094886859132679</v>
      </c>
      <c r="EC17" s="740">
        <f>(IF('Options and results'!$C$66&gt;0,IF(DF17&lt;='Options and results'!$W$20,VLOOKUP('Options and results'!$C$66,Treevalue!$A$4:$F$34,5,FALSE),0),0)*DW17)*IF(DF17&gt;='Options and results'!$K$21,'Options and results'!$K$20,1)*IF(1+'Options and results'!$Q$20*(DF17-1)&gt;0,1+'Options and results'!$Q$20*(DF17-1),0)</f>
        <v>0</v>
      </c>
      <c r="ED17" s="889">
        <f>(IF('Options and results'!$C$66&gt;0,IF(DF17&lt;='Options and results'!$W$20,VLOOKUP('Options and results'!$C$66,Treevalue!$A$4:$F$34,6,FALSE),0),0)*DX17)*IF(DF17&gt;='Options and results'!$K$21,'Options and results'!$K$20,1)*IF(1+'Options and results'!$Q$20*(DF17-1)&gt;0,1+'Options and results'!$Q$20*(DF17-1),0)</f>
        <v>0</v>
      </c>
      <c r="EE17" s="740">
        <f>IF(DF17&lt;='Options and results'!$W$20,IF(DL17&lt;=0,0,IF('Options and results'!$C$70="cost",(IF(DF17&lt;='Options and results'!$C$71,FK17*SUM('Options and results'!$C$72:$C$73),0)),IF('Options and results'!$C$68&gt;0,(IF(VLOOKUP('Options and results'!$C$69,Treegrant!$B$6:$L$42,Treegrant!$C$2,FALSE)=DF17,VLOOKUP('Options and results'!$C$69,Treegrant!$B$6:$L$42,Treegrant!$D$2,FALSE),0)+IF(VLOOKUP('Options and results'!$C$69,Treegrant!$B$6:$L$42,Treegrant!$E$2,FALSE)=DF17,VLOOKUP('Options and results'!$C$69,Treegrant!$B$6:$L$42,Treegrant!$F$2,FALSE),0)+IF(VLOOKUP('Options and results'!$C$69,Treegrant!$B$6:$L$42,Treegrant!$G$2,FALSE)=DF17,VLOOKUP('Options and results'!$C$69,Treegrant!$B$6:$L$42,Treegrant!$H$2,FALSE)))*IF('Options and results'!$C$70="area",Unit!C18,'Options and results'!$C$70),0))*IF(DF17&gt;='Options and results'!$K$23,'Options and results'!$K$22,1)),0)*IF(1+'Options and results'!$Q$23*(DF17-1)&gt;0,1+'Options and results'!$Q$23*(DF17-1),0)</f>
        <v>0</v>
      </c>
      <c r="EF17" s="740">
        <f>IF($DG$8=0,0,IF(DF17&lt;='Options and results'!$W$20,IF(DL17&lt;=0,0,IF('Options and results'!$C$68&gt;0,IF(AND(VLOOKUP('Options and results'!$C$69,Treegrant!$B$6:$L$42,Treegrant!$J$2,FALSE)&lt;=DF17,VLOOKUP('Options and results'!$C$69,Treegrant!$B$6:$L$42,Treegrant!$K$2,FALSE)&gt;=DF17),(VLOOKUP('Options and results'!$C$69,Treegrant!$B$6:$L$42,Treegrant!$L$2,FALSE)),0)*IF('Options and results'!$C$74="area",Unit!C18,'Options and results'!$C$74))*IF(DF17&gt;='Options and results'!$K$23,'Options and results'!$K$22,1)),0))*IF(1+'Options and results'!$Q$23*(DF17-1)&gt;0,1+'Options and results'!$Q$23*(DF17-1),0)</f>
        <v>0</v>
      </c>
      <c r="EG17" s="1034">
        <f>IF($DG$8=0,0,IF(DF17&lt;='Options and results'!$W$20,IF(DL17&lt;=0,0,IF('Options and results'!$C$68&gt;0,((IF(AND(VLOOKUP('Options and results'!$C$69,Treegrant!$B$6:$O$42,Treegrant!$M$2,FALSE)&lt;=DF17,VLOOKUP('Options and results'!$C$69,Treegrant!$B$6:$O$42,Treegrant!$N$2,FALSE)&gt;=DF17),(VLOOKUP('Options and results'!$C$69,Treegrant!$B$6:$O$42,Treegrant!$O$2,FALSE)),0)*IF('Options and results'!$C$75="area",Unit!C18,'Options and results'!$C$75))+(IF(AND(VLOOKUP('Options and results'!$C$69,Treegrant!$B$6:$R$42,Treegrant!$P$2,FALSE)&lt;=DF17,VLOOKUP('Options and results'!$C$69,Treegrant!$B$6:$R$42,Treegrant!$Q$2,FALSE)&gt;=DF17),(VLOOKUP('Options and results'!$C$69,Treegrant!$B$6:$R$42,Treegrant!$R$2,FALSE)),0))*IF('Options and results'!$C$76="area",Unit!C18,'Options and results'!$C$76)))*IF(DF17&gt;='Options and results'!$K$23,'Options and results'!$K$22,1)),0))*IF(1+'Options and results'!$Q$23*(DF17-1)&gt;0,1+'Options and results'!$Q$23*(DF17-1),0)</f>
        <v>0</v>
      </c>
      <c r="EH17" s="1033" t="s">
        <v>246</v>
      </c>
      <c r="EI17" s="1018">
        <f>'Options and results'!$S43</f>
        <v>14.6</v>
      </c>
      <c r="EJ17" s="1419">
        <f>IF($DH$8+DK17&lt;1,0,IF(DF17=1,VLOOKUP($DG$8,Treecost!$B$6:$AH$49,Treecost!$E$2,FALSE),0)*IF(DF17&gt;='Options and results'!$K$25,'Options and results'!$K$24,1))</f>
        <v>0</v>
      </c>
      <c r="EK17" s="889">
        <f>IF($DH$8+DK17&lt;1,0,IF(DF17=1,VLOOKUP($DG$8,Treecost!$B$6:$AH$49,Treecost!$F$2,FALSE),0)*IF(DF17&gt;='Options and results'!$K$25,'Options and results'!$K$24,1))</f>
        <v>0</v>
      </c>
      <c r="EL17" s="889">
        <f>IF($DH$8+DK17&lt;1,0,IF(DF17=1,VLOOKUP($DG$8,Treecost!$B$6:$AH$49,Treecost!$G$2,FALSE),0)*IF(DF17&gt;='Options and results'!$K$25,'Options and results'!$K$24,1))</f>
        <v>0</v>
      </c>
      <c r="EM17" s="889">
        <f>IF($DG$8=0,0,IF(DF17&lt;='Options and results'!$W$20,((VLOOKUP($DG$8,Treecost!$B$6:$AH$49,Treecost!$H$2,FALSE)*(DH17+DK17))/60)*IF(DF17&gt;='Options and results'!$K$25,'Options and results'!$K$24,1),0))</f>
        <v>0</v>
      </c>
      <c r="EN17" s="889">
        <f>IF($DG$8=0,0,IF(DF17&lt;='Options and results'!$W$20,(((VLOOKUP($DG$8,Treecost!$B$6:$AH$49,Treecost!$I$2,FALSE))*(DH17+DK17))/60)*IF(DF17&gt;='Options and results'!$K$25,'Options and results'!$K$24,1),0))</f>
        <v>0</v>
      </c>
      <c r="EO17" s="889">
        <f>IF($DG$8=0,0,IF(DF17&lt;='Options and results'!$W$20,(((VLOOKUP($DG$8,Treecost!$B$6:$AH$49,Treecost!$J$2,FALSE))/60)*(DH17+DK17))*IF(DF17&gt;='Options and results'!$K$25,'Options and results'!$K$24,1),0))</f>
        <v>0</v>
      </c>
      <c r="EP17" s="1019">
        <f>IF($DG$8=0,0,IF(DF17&lt;='Options and results'!$W$20,(((VLOOKUP($DG$8,Treecost!$B$6:$AH$49,Treecost!$C$2,FALSE)+VLOOKUP($DG$8,Treecost!$B$6:$AH$49,Treecost!$D$2,FALSE))*(DH17+DK17)*IF(1+'Options and results'!$Q$22*(DF17-1)&gt;0,1+'Options and results'!$Q$22*(DF17-1),0))+(EJ17*$EI$8+EK17*$EI$9+EL17*$EI$10+EM17*$EI$11+EN17*$EI$12+EO17*$EI$13)*IF(1+'Options and results'!$Q$21*(DF17-1)&gt;0,1+'Options and results'!$Q$21*(DF17-1),0))*IF(DF17&gt;='Options and results'!$K$27,'Options and results'!$K$26,1),0))</f>
        <v>0</v>
      </c>
      <c r="EQ17" s="889">
        <f>IF($DG$8=0,0,IF(DF17&lt;='Options and results'!$W$20,IF(AND(VLOOKUP($DG$8,Treecost!$B$6:$AH$49,Treecost!$K$2,FALSE)&lt;=DF17,DF17&lt;=(VLOOKUP($DG$8,Treecost!$B$6:$AH$49,Treecost!$L$2,FALSE))),VLOOKUP($DG$8,Treecost!$B$6:$AH$49,Treecost!$M$2,FALSE)*DL17/60,0)*IF(DF17&gt;='Options and results'!$K$25,'Options and results'!$K$24,1),0))</f>
        <v>0</v>
      </c>
      <c r="ER17" s="1019">
        <f>IF(EQ17&gt;0,(VLOOKUP($DG$8,Treecost!$B$6:$AH$49,Treecost!$N$2,FALSE)*DL17*IF(1+'Options and results'!$Q$22*(DF17-1)&gt;0,1+'Options and results'!$Q$22*(DF17-1),0)+EQ17*$EI$14*IF(1+'Options and results'!$Q$21*(DF17-1)&gt;0,1+'Options and results'!$Q$21*(DF17-1),0)),0)*IF(DF17&gt;='Options and results'!$K$27,'Options and results'!$K$26,1)</f>
        <v>0</v>
      </c>
      <c r="ES17" s="889">
        <f>IF(DF17&lt;='Options and results'!$W$20,IF(AND(DR17-DR16&gt;0,DR17&gt;'Options and results'!$M$64),(DL17-DN17)*(VLOOKUP($DG$8,Treecost!$B$6:$AH$49,Treecost!$Y$2,FALSE)+(VLOOKUP($DG$8,Treecost!$B$6:$AH$49,Treecost!$AA$2,FALSE)-VLOOKUP($DG$8,Treecost!$B$6:$AH$49,Treecost!$Y$2,FALSE))/(VLOOKUP($DG$8,Treecost!$B$6:$AH$49,Treecost!$Z$2,FALSE)-VLOOKUP($DG$8,Treecost!$B$6:$AH$49,Treecost!$X$2,FALSE))*(DR17-VLOOKUP($DG$8,Treecost!$B$6:$AH$49,Treecost!$X$2,FALSE)))/60,0)*IF(DF17&gt;='Options and results'!$K$25,'Options and results'!$K$24,1),0)</f>
        <v>0</v>
      </c>
      <c r="ET17" s="889">
        <f>IF(DF17&lt;='Options and results'!$W$20,IF(ES17&gt;0,VLOOKUP($DG$8,Treecost!$B$6:$AH$49,Treecost!$AB$2,FALSE)/60*DL17,0)*IF(DF17&gt;='Options and results'!$K$25,'Options and results'!$K$24,1),0)*((ES17-(MIN($ES$8:$ES$67)))/((MAX($ES$8:$ES$67))-(MIN($ES$8:$ES$67))))</f>
        <v>0</v>
      </c>
      <c r="EU17" s="740">
        <f>IF(ES17&gt;0,(ES17*$EI$15+ET17*$EI$19)*IF(1+'Options and results'!$Q$21*(DF17-1)&gt;0,1+'Options and results'!$Q$21*(DF17-1),0),0)*IF(DF17&gt;='Options and results'!$K$27,'Options and results'!$K$26,1)</f>
        <v>0</v>
      </c>
      <c r="EV17" s="891">
        <f>IF($DG$8=0,0,IF(DF17&lt;='Options and results'!$W$20,IF(AND(VLOOKUP($DG$8,Treecost!$B$2:$AH$49,Treecost!$O$2,FALSE)=DF17,DF17&lt;=IF(AND(Optimisation!$B$3="Yes",Optimisation!$B$4=1),Optimisation!$B$9)),VLOOKUP($DG$8,Treecost!$B$2:$AH$49,Treecost!$P$2,FALSE)*(1-CN17),0)*IF(DF17&gt;='Options and results'!$K$25,'Options and results'!$K$24,1),0))</f>
        <v>0</v>
      </c>
      <c r="EW17" s="889">
        <f>IF($DG$8=0,0,IF(DF17&lt;='Options and results'!$W$20,IF(AND(DF17&gt;VLOOKUP($DG$8,Treecost!$B$2:$AH$49,Treecost!$O$2,FALSE),DF17&lt;=IF(AND(Optimisation!$B$3="Yes",Optimisation!$B$4=1),Optimisation!$B$9,VLOOKUP($DG$8,Treecost!$B$2:$AH$49,Treecost!$R$2,FALSE))),VLOOKUP($DG$8,Treecost!$B$2:$AH$49,Treecost!$S$2,FALSE)*(1-CN17),0)*IF(DF17&gt;='Options and results'!$K$25,'Options and results'!$K$24,1),0))</f>
        <v>0</v>
      </c>
      <c r="EX17" s="740">
        <f>IF($DG$8=0,0,IF(DF17&lt;='Options and results'!$W$20,(IF(AND(VLOOKUP($DG$8,Treecost!$B$2:$AH$49,Treecost!$O$2,FALSE)=DF17,DF17&lt;=IF(AND(Optimisation!$B$3="Yes",Optimisation!$B$4=1),Optimisation!$B$9)),VLOOKUP($DG$8,Treecost!$B$2:$AH$49,Treecost!$Q$2,FALSE),0)*(1-CN17)+IF(AND(DF17&gt;VLOOKUP($DG$8,Treecost!$B$2:$AH$49,Treecost!$O$2,FALSE),DF17&lt;=IF(AND(Optimisation!$B$3="Yes",Optimisation!$B$4=1),Optimisation!$B$9,VLOOKUP($DG$8,Treecost!$B$2:$AH$49,Treecost!$R$2,FALSE))),VLOOKUP($DG$8,Treecost!$B$2:$AH$49,Treecost!$T$2,FALSE),0)*(1-CN17)+(EV17*$EI$16+EW17*$EI$17))*IF(DF17&gt;='Options and results'!$K$27,'Options and results'!$K$26,1),0))*IF(1+'Options and results'!$Q$21*(DF17-1)&gt;0,1+'Options and results'!$Q$21*(DF17-1),0)</f>
        <v>0</v>
      </c>
      <c r="EY17" s="894">
        <f>IF($DG$8=0,0,IF(DF17&lt;='Options and results'!$W$20,IF(AND(DF17&gt;=VLOOKUP($DG$8,Treecost!$B$2:$W$49,Treecost!$U$2,FALSE),DF17&lt;=VLOOKUP($DG$8,Treecost!$B$2:$W$49,Treecost!$V$2,FALSE)),(DL17*VLOOKUP($DG$8,Treecost!$B$2:$W$49,Treecost!$W$2,FALSE)/60),0)*IF(DF17&gt;='Options and results'!$K$25,'Options and results'!$K$24,1),0))</f>
        <v>0</v>
      </c>
      <c r="EZ17" s="740">
        <f>EY17*$EI$18*IF(DF17&gt;='Options and results'!$K$27,'Options and results'!$K$26,1)*IF(1+'Options and results'!$Q$21*(DF17-1)&gt;0,1+'Options and results'!$Q$21*(DF17-1),0)</f>
        <v>0</v>
      </c>
      <c r="FA17" s="1025">
        <f>IF(DF17&lt;='Options and results'!$W$20,IF(DL17&lt;=0,0,VLOOKUP($DG$8,Treecost!$B$6:$AH$49,Treecost!$AC$2,FALSE)+VLOOKUP($DG$8,Treecost!$B$6:$AH$49,Treecost!$AD$2,FALSE)+IF(AND(DF17&gt;=VLOOKUP($DG$8,Treecost!$B$2:$AK$49,Treecost!$AI$2,FALSE),DF17&lt;=VLOOKUP($DG$8,Treecost!$B$2:$AK$49,Treecost!$AJ$2,FALSE)),VLOOKUP($DG$8,Treecost!$B$2:$AK$49,Treecost!$AK$2,FALSE)*(1-CN17),0))*IF(DF17&gt;='Options and results'!$K$27,'Options and results'!$K$26,1),0)*IF(1+'Options and results'!$Q$22*(DF17-1)&gt;0,1+'Options and results'!$Q$22*(DF17-1),0)</f>
        <v>3</v>
      </c>
      <c r="FB17" s="894">
        <f>IF(DF17&lt;='Options and results'!$W$20,IF(DN17&gt;0,VLOOKUP($DG$8,Treecost!$B$6:$AH$49,Treecost!$AE$2,FALSE)/60*DN17,0)*IF(DF17&gt;='Options and results'!$K$25,'Options and results'!$K$24,1),0)</f>
        <v>0</v>
      </c>
      <c r="FC17" s="740">
        <f>IF(DF17&lt;='Options and results'!$W$20,IF(DN17&gt;0,VLOOKUP($DG$8,Treecost!$B$6:$AH$49,Treecost!$AF$2,FALSE)/60*DN17,0)*IF(DF17&gt;='Options and results'!$K$25,'Options and results'!$K$24,1),0)</f>
        <v>0</v>
      </c>
      <c r="FD17" s="740">
        <f>(FB17*$EI$20+FC17*$EI$21)*IF(DF17&gt;='Options and results'!$K$27,'Options and results'!$K$26,1)*IF(1+'Options and results'!$Q$21*(DF17-1)&gt;0,1+'Options and results'!$Q$21*(DF17-1),0)</f>
        <v>0</v>
      </c>
      <c r="FE17" s="894">
        <f>IF(DF17&lt;='Options and results'!$W$20,IF(DO17&gt;0,(VLOOKUP($DG$8,Treecost!$B$6:$AH$49,Treecost!$AG$2,FALSE)/60*DO17)*IF(DF17&gt;='Options and results'!$K$25,'Options and results'!$K$24,1),0),0)</f>
        <v>0</v>
      </c>
      <c r="FF17" s="740">
        <f>IF(DF17&lt;='Options and results'!$W$20,IF(DO17&gt;0,(VLOOKUP($DG$8,Treecost!$B$6:$AH$49,Treecost!$AH$2,FALSE)/60*DO17)*IF(DF17&gt;='Options and results'!$K$25,'Options and results'!$K$24,1),0),0)</f>
        <v>0</v>
      </c>
      <c r="FG17" s="740">
        <f>(FE17*$EI$22+FF17*$EI$23)*IF(DF17&gt;='Options and results'!$K$27,'Options and results'!$K$26,1)*IF(1+'Options and results'!$Q$21*(DF17-1)&gt;0,1+'Options and results'!$Q$21*(DF17-1),0)</f>
        <v>0</v>
      </c>
      <c r="FH17" s="894">
        <f t="shared" si="157"/>
        <v>0</v>
      </c>
      <c r="FI17" s="1027">
        <f t="shared" si="158"/>
        <v>0</v>
      </c>
      <c r="FJ17" s="1027">
        <f t="shared" si="159"/>
        <v>0</v>
      </c>
      <c r="FK17" s="1027">
        <f t="shared" si="160"/>
        <v>3</v>
      </c>
      <c r="FL17" s="1027">
        <f t="shared" si="183"/>
        <v>-3</v>
      </c>
      <c r="FM17" s="1027">
        <f>IF($DF17&lt;='Options and results'!$W$20,SUM(FI$8:$FI17),0)</f>
        <v>0</v>
      </c>
      <c r="FN17" s="1027">
        <f>IF($DF17&lt;='Options and results'!$W$20,SUM($FJ$8:FJ17),0)</f>
        <v>0</v>
      </c>
      <c r="FO17" s="1027">
        <f>IF($DF17&lt;='Options and results'!$W$20,SUM($FK$8:FK17),0)</f>
        <v>879.4627324941597</v>
      </c>
      <c r="FP17" s="1027">
        <f>IF($DF17&lt;='Options and results'!$W$20,FM17+FN17-FO17,0)</f>
        <v>-879.4627324941597</v>
      </c>
      <c r="FQ17" s="1027">
        <f t="shared" si="162"/>
        <v>40.301423088581871</v>
      </c>
      <c r="FR17" s="1027">
        <f t="shared" si="163"/>
        <v>37.301423088581871</v>
      </c>
      <c r="FS17" s="1027">
        <f t="shared" si="164"/>
        <v>0</v>
      </c>
      <c r="FT17" s="1189">
        <f>IF(DF17&lt;='Options and results'!$W$20,FP17+DZ17,0)</f>
        <v>-843.72980694525256</v>
      </c>
      <c r="FU17" s="401"/>
      <c r="FV17" s="895">
        <f t="shared" si="165"/>
        <v>10</v>
      </c>
      <c r="FW17" s="894">
        <f>G17/(1+'Options and results'!$W$33)^(FV17-1)</f>
        <v>1164.8531816946229</v>
      </c>
      <c r="FX17" s="740">
        <f>(AP17+AR17+AS17)/(1+'Options and results'!$W$33)^(FV17-1)</f>
        <v>0</v>
      </c>
      <c r="FY17" s="740">
        <f ca="1">CQ17/(1+'Options and results'!$W$33)^(FV17-1)</f>
        <v>860.60973379827885</v>
      </c>
      <c r="FZ17" s="740">
        <f>(EA17+EC17+ED17)/(1+'Options and results'!$W$33)^(FV17-1)</f>
        <v>0</v>
      </c>
      <c r="GA17" s="1019">
        <f t="shared" ca="1" si="180"/>
        <v>860.60973379827885</v>
      </c>
      <c r="GB17" s="1026">
        <f>(AO17+AQ17)/(1+'Options and results'!$W$33)^(FV17-1)+FX17</f>
        <v>102.33025086240416</v>
      </c>
      <c r="GC17" s="1027">
        <f>IF(FV17&gt;'Options and results'!$W$27,0,GB17-GB16)</f>
        <v>40.787074885995814</v>
      </c>
      <c r="GD17" s="1027">
        <f>(DZ17+EB17)/(1+'Options and results'!$W$33)^(FV17-1)+FZ17</f>
        <v>66.624763161846445</v>
      </c>
      <c r="GE17" s="1379">
        <f>IF(FV17&gt;'Options and results'!$W$27,0,GD17-GD16)</f>
        <v>26.782864571993706</v>
      </c>
      <c r="GF17" s="894">
        <f>IF(FV17&lt;='Options and results'!$W$20,SUM(FW$8:FW17),0)</f>
        <v>13439.398263020545</v>
      </c>
      <c r="GG17" s="740">
        <f>IF(FV17&lt;='Options and results'!$W$20,SUM(FX$8:FX17), 0)</f>
        <v>0</v>
      </c>
      <c r="GH17" s="740">
        <f ca="1">IF(FV17&lt;='Options and results'!$W$20,SUM(FY$8:FY17),0)</f>
        <v>11987.748820448469</v>
      </c>
      <c r="GI17" s="740">
        <f>IF(FV17&lt;='Options and results'!$W$20,SUM(FZ$8:FZ17),0)</f>
        <v>0</v>
      </c>
      <c r="GJ17" s="1019">
        <f t="shared" ca="1" si="166"/>
        <v>11987.748820448469</v>
      </c>
      <c r="GK17" s="894">
        <f>IF(FV17&gt;'Options and results'!$W$27,0,GG17+SUM(GC$8:GC17)-FX17)</f>
        <v>102.33025086240416</v>
      </c>
      <c r="GL17" s="740">
        <f>IF(FV17&lt;='Options and results'!$W$20,SUM(GD$8:GD17),0)</f>
        <v>151.65501437172895</v>
      </c>
      <c r="GM17" s="1034">
        <f t="shared" ca="1" si="167"/>
        <v>12139.403834820198</v>
      </c>
      <c r="GN17" s="401"/>
      <c r="GO17" s="895">
        <f t="shared" si="168"/>
        <v>10</v>
      </c>
      <c r="GP17" s="894">
        <f>H17/(1+'Options and results'!$W$33)^(GO17-1)</f>
        <v>165.24840020814094</v>
      </c>
      <c r="GQ17" s="740">
        <f>SUM(AT17:AV17)/(1+'Options and results'!$W$33)^(GO17-1)</f>
        <v>0</v>
      </c>
      <c r="GR17" s="740">
        <f>CR17/(1+'Options and results'!$W$33)^(GO17-1)</f>
        <v>0</v>
      </c>
      <c r="GS17" s="740">
        <f>SUM(EE17:EG17)/(1+'Options and results'!$W$33)^(GO17-1)</f>
        <v>0</v>
      </c>
      <c r="GT17" s="1019">
        <f t="shared" si="181"/>
        <v>0</v>
      </c>
      <c r="GU17" s="894">
        <f>IF(GO17&lt;='Options and results'!$W$20,SUM(GP$8:GP17),0)</f>
        <v>1983.9899947964743</v>
      </c>
      <c r="GV17" s="740">
        <f>IF(GO17&lt;='Options and results'!$W$20,SUM(GQ$8:GQ17),0)</f>
        <v>0</v>
      </c>
      <c r="GW17" s="740">
        <f>IF(GO17&lt;='Options and results'!$W$20,SUM(GR$8:GR17),0)</f>
        <v>0</v>
      </c>
      <c r="GX17" s="740">
        <f>IF(GO17&lt;='Options and results'!$W$20,SUM(GS$8:GS17),0)</f>
        <v>0</v>
      </c>
      <c r="GY17" s="1034">
        <f>IF(GO17&lt;='Options and results'!$W$20,SUM(GT$8:GT17),0)</f>
        <v>0</v>
      </c>
      <c r="GZ17" s="401"/>
      <c r="HA17" s="895">
        <f t="shared" si="169"/>
        <v>10</v>
      </c>
      <c r="HB17" s="1026">
        <f>(J17+L17+(M17*N17))/(1+'Options and results'!$W$33)^(HA17-1)</f>
        <v>890.46463220325529</v>
      </c>
      <c r="HC17" s="740">
        <f>BZ17/(1+'Options and results'!$W$33)^(HA17-1)</f>
        <v>2.1077602067364913</v>
      </c>
      <c r="HD17" s="1027">
        <f>(CT17+CV17+(CW17*CX17))/(1+'Options and results'!$W$33)^(HA17-1)</f>
        <v>881.55998588122281</v>
      </c>
      <c r="HE17" s="740">
        <f>FK17/(1+'Options and results'!$W$33)^(HA17-1)</f>
        <v>2.1077602067364913</v>
      </c>
      <c r="HF17" s="1019">
        <f t="shared" si="182"/>
        <v>883.66774608795936</v>
      </c>
      <c r="HG17" s="894">
        <f>IF(HA17&lt;='Options and results'!$W$20,SUM(HB$8:HB17),0)</f>
        <v>10336.596156635596</v>
      </c>
      <c r="HH17" s="740">
        <f>IF(HA17&lt;='Options and results'!$W$20,SUM(HC$8:HC17),0)</f>
        <v>1175.6620414461167</v>
      </c>
      <c r="HI17" s="740">
        <f>IF(HA17&lt;='Options and results'!$W$20,SUM(HD$8:HD17),0)</f>
        <v>10233.23019506924</v>
      </c>
      <c r="HJ17" s="740">
        <f>IF(HA17&lt;='Options and results'!$W$20,SUM(HE$8:HE17),0)</f>
        <v>797.09405591226573</v>
      </c>
      <c r="HK17" s="1034">
        <f>IF(HA17&lt;='Options and results'!$W$20,SUM(HF$8:HF17),0)</f>
        <v>11030.324250981508</v>
      </c>
      <c r="HL17" s="405"/>
      <c r="HM17" s="895">
        <f t="shared" si="170"/>
        <v>10</v>
      </c>
      <c r="HN17" s="1026">
        <f t="shared" si="171"/>
        <v>439.63694969950859</v>
      </c>
      <c r="HO17" s="1027">
        <f t="shared" si="172"/>
        <v>-2.1077602067364913</v>
      </c>
      <c r="HP17" s="1027">
        <f t="shared" ca="1" si="173"/>
        <v>-20.950252082943962</v>
      </c>
      <c r="HQ17" s="1027">
        <f t="shared" si="174"/>
        <v>-2.1077602067364913</v>
      </c>
      <c r="HR17" s="1027">
        <f t="shared" si="175"/>
        <v>38.679314679259321</v>
      </c>
      <c r="HS17" s="1379">
        <f t="shared" si="176"/>
        <v>24.675104365257216</v>
      </c>
      <c r="HT17" s="1026">
        <f>IF($HM17&lt;='Options and results'!$W$20,SUM(HN$8:HN17),0)</f>
        <v>5086.7921011814205</v>
      </c>
      <c r="HU17" s="1027">
        <f>IF($HM17&lt;='Options and results'!$W$20,SUM(HO$8:HO17),0)</f>
        <v>-1175.6620414461167</v>
      </c>
      <c r="HV17" s="1027">
        <f ca="1">IF($HM17&lt;='Options and results'!$W$20,SUM(HP$8:HP17),0)</f>
        <v>1754.5186253792253</v>
      </c>
      <c r="HW17" s="1027">
        <f>IF($HM17&lt;='Options and results'!$W$20,SUM(HQ$8:HQ17),0)</f>
        <v>-797.09405591226573</v>
      </c>
      <c r="HX17" s="1027">
        <f t="shared" ca="1" si="177"/>
        <v>957.42456946695961</v>
      </c>
      <c r="HY17" s="1027">
        <f>IF($HM17&lt;='Options and results'!$W$20,SUM(HR$8:HR17),0)</f>
        <v>-1073.3317905837125</v>
      </c>
      <c r="HZ17" s="1027">
        <f>IF($HM17&lt;='Options and results'!$W$20,SUM(HS$8:HS17),0)</f>
        <v>-730.46929275041919</v>
      </c>
      <c r="IA17" s="1189">
        <f t="shared" ca="1" si="178"/>
        <v>1024.049332628806</v>
      </c>
    </row>
    <row r="18" spans="1:235" x14ac:dyDescent="0.25">
      <c r="A18" s="1010">
        <f t="shared" si="126"/>
        <v>11</v>
      </c>
      <c r="B18" s="1011" t="str">
        <f>IF('Options and results'!$C$17="None",0,CONCATENATE('Options and results'!$C$23," ",(HLOOKUP(CONCATENATE('Options and results'!$C$17," ",Arablesystem!$B$11),Arablesystem!$B$10:$ER$72,$A18+3,FALSE))))</f>
        <v>UK - Agriculture (BPS: from 2015) Barley</v>
      </c>
      <c r="C18" s="1012">
        <f>IF(HLOOKUP(CONCATENATE('Options and results'!$C$17," ",Arablesystem!$C$11),Arablesystem!$B$10:$ER$72,$A18+3,FALSE)="T",(VLOOKUP(B18,Arablefinance!$Z$6:$AB$105,Arablefinance!$AB$2,FALSE)*E18+VLOOKUP(B18,Arablefinance!$Z$6:$AC$105,Arablefinance!$AC$2,FALSE)*F18)/VLOOKUP(B18,Arablefinance!$Z$6:$AA$105,Arablefinance!$AA$2,FALSE),0)</f>
        <v>0</v>
      </c>
      <c r="D18" s="1012">
        <f>IF(B18=0,0,HLOOKUP(CONCATENATE('Options and results'!$C$17," ",Arablesystem!$D$11),Arablesystem!$B$10:$ER$72,$A18+3,FALSE))</f>
        <v>1</v>
      </c>
      <c r="E18" s="1440">
        <f>IF(B18=0,0,HLOOKUP(CONCATENATE('Options and results'!$C$17," ",Arablesystem!$E$11),Arablesystem!$B$10:$ER$72,$A18+3,FALSE)*IF(A18&gt;='Options and results'!$H$19,'Options and results'!$H$18,1))</f>
        <v>9.3097413610737618</v>
      </c>
      <c r="F18" s="1440">
        <f>IF(B18=0,0,HLOOKUP(CONCATENATE('Options and results'!$C$17," ",Arablesystem!$F$11),Arablesystem!$B$10:$ER$72,$A18+3,FALSE)*IF(A18&gt;='Options and results'!$H$19,'Options and results'!$H$18,1))</f>
        <v>5.5858448166442569</v>
      </c>
      <c r="G18" s="1013">
        <f>IF(D18&lt;=0,0,IF(A18&lt;='Options and results'!$W$20,IF(C18&gt;0,VLOOKUP(B18,Arablefinance!$Z$6:$AE$105,Arablefinance!$AD$2,FALSE)*C18*D18,((VLOOKUP(B18,Arablefinance!$E$6:$G$126,Arablefinance!$F$2,FALSE)*(E18*D18)+VLOOKUP(B18,Arablefinance!$E$6:$G$126,Arablefinance!$G$2,FALSE)*(F18*D18)))),0)*IF(A18&gt;='Options and results'!$H$21,'Options and results'!$H$20,1))*IF(1+'Options and results'!$O$20*(A18-1)&gt;0,1+'Options and results'!$O$20*(A18-1),0)</f>
        <v>1794.1940434202711</v>
      </c>
      <c r="H18" s="1441">
        <f>IF(D18&lt;=0,0,IF(A18&lt;='Options and results'!$W$20,IF(AND(C18&gt;0,VLOOKUP(B18,Arablefinance!$Z$6:$AI$105,Arablefinance!$AI$2,FALSE)=2),VLOOKUP(B18,Arablefinance!$Z$6:$AE$105,Arablefinance!$AE$2,FALSE)*C18*D18,(VLOOKUP(B18,Arablefinance!$E$6:$H$126,Arablefinance!$H$2,FALSE)*D18))*IF(A18&gt;='Options and results'!$H$23,'Options and results'!$H$22,1),0)*IF(AND(1+'Options and results'!$O$23*(A18-1)&gt;0,1+'Options and results'!$O$23*(A18-1)&gt;'Options and results'!$S$24),1+'Options and results'!$O$23*(A18-1),'Options and results'!$S$24))</f>
        <v>235.2</v>
      </c>
      <c r="I18" s="1441">
        <f t="shared" si="127"/>
        <v>2029.3940434202711</v>
      </c>
      <c r="J18" s="1441">
        <f>IF(D18&lt;=0,0,IF(A18&lt;='Options and results'!$W$20,IF(C18&gt;0,VLOOKUP(B18,Arablefinance!$Z$6:$AF$105,Arablefinance!$AF$2,FALSE)*C18*D18,(VLOOKUP(B18,Arablefinance!$E$6:$X$126,Arablefinance!$R$2,FALSE))*D18),0)*IF(A18&gt;='Options and results'!$H$27,'Options and results'!$H$26,1))*IF(1+'Options and results'!$O$22*(A18-1)&gt;0,1+'Options and results'!$O$22*(A18-1),0)</f>
        <v>535.20833333333326</v>
      </c>
      <c r="K18" s="1441">
        <f t="shared" si="128"/>
        <v>1494.1857100869379</v>
      </c>
      <c r="L18" s="1441">
        <f>IF(D18&lt;=0,0,IF(A18&lt;='Options and results'!$W$20,IF(C18&gt;0,VLOOKUP(B18,Arablefinance!$Z$6:$AG$105,Arablefinance!$AG$2,FALSE)*C18*D18,VLOOKUP(B18,Arablefinance!$E$6:$X$126,Arablefinance!$X$2,FALSE)*D18),0)*IF(A18&gt;='Options and results'!$H$27,'Options and results'!$H$26,1))*IF(1+'Options and results'!$O$22*(A18-1)&gt;0,1+'Options and results'!$O$22*(A18-1),0)</f>
        <v>444.44444444444446</v>
      </c>
      <c r="M18" s="1442">
        <f>IF(D18&lt;=0,0,IF(A18&lt;='Options and results'!$W$20,'Options and results'!$C$27,0)*IF(A18&gt;='Options and results'!$H$27,'Options and results'!$H$26,1))*IF(1+'Options and results'!$O$21*(A18-1)&gt;0,1+'Options and results'!$O$21*(A18-1),0)</f>
        <v>14.6</v>
      </c>
      <c r="N18" s="1442">
        <f>IF(D18&lt;=0,0,IF(A18&lt;='Options and results'!$W$20,IF(C18&gt;0,VLOOKUP(B18,Arablefinance!$Z$6:$AH$105,Arablefinance!$AH$2,FALSE)*C18*D18,VLOOKUP(B18,Arablefinance!$E$6:$W$126,Arablefinance!$V$2,FALSE)*D18),0)*IF(A18&gt;='Options and results'!$H$25,'Options and results'!$H$24,1))</f>
        <v>10.833689569810836</v>
      </c>
      <c r="O18" s="1013">
        <f t="shared" si="129"/>
        <v>1137.8246454970158</v>
      </c>
      <c r="P18" s="1353">
        <f t="shared" si="130"/>
        <v>891.56939792325534</v>
      </c>
      <c r="Q18" s="1013">
        <f>IF(A18&lt;='Options and results'!$W$20,SUM(G$8:$G18),0)</f>
        <v>17698.216349477578</v>
      </c>
      <c r="R18" s="1441">
        <f>IF($A18&lt;='Options and results'!$W$20,SUM($H$8:H18),0)</f>
        <v>2587.1999999999998</v>
      </c>
      <c r="S18" s="1441">
        <f>IF($A18&lt;='Options and results'!$W$20,SUM($O$8:O18),0)</f>
        <v>13392.399682234576</v>
      </c>
      <c r="T18" s="1032">
        <f>IF(A18&lt;='Options and results'!$W$20,Q18+R18-S18,0)</f>
        <v>6893.0166672430023</v>
      </c>
      <c r="U18" s="405"/>
      <c r="V18" s="1010">
        <f t="shared" si="131"/>
        <v>11</v>
      </c>
      <c r="W18" s="173"/>
      <c r="X18" s="1036"/>
      <c r="Y18" s="1030">
        <f>IF(V18&lt;='Options and results'!$M$34,'Options and results'!$M$33,0)</f>
        <v>0</v>
      </c>
      <c r="Z18" s="1441">
        <f t="shared" si="132"/>
        <v>0</v>
      </c>
      <c r="AA18" s="1441">
        <f t="shared" si="133"/>
        <v>0</v>
      </c>
      <c r="AB18" s="1428">
        <f t="shared" si="134"/>
        <v>156</v>
      </c>
      <c r="AC18" s="1441">
        <f>IF($W$8=0,0,IF(HLOOKUP(CONCATENATE('Options and results'!$C$32," ",Forestrysystem!$C$8),Forestrysystem!$A$7:$IH$70,V18+4,FALSE)&lt;AB18,HLOOKUP(CONCATENATE('Options and results'!$C$32," ",Forestrysystem!$C$8),Forestrysystem!$A$7:$IH$70,V18+4,FALSE),0))</f>
        <v>0</v>
      </c>
      <c r="AD18" s="1441">
        <f>IF($W$8=0,0,IF(HLOOKUP(CONCATENATE('Options and results'!$C$32," ",Forestrysystem!$C$8),Forestrysystem!$A$7:$IH$70,V18+4,FALSE)&gt;=AB18,AB18,0))</f>
        <v>0</v>
      </c>
      <c r="AE18" s="1440">
        <f>IF($W$8=0,0,HLOOKUP(CONCATENATE('Options and results'!$C$32," ",Forestrysystem!$D$8),Forestrysystem!$A$7:$IH$70,$V18+4,FALSE))</f>
        <v>11.115801998941063</v>
      </c>
      <c r="AF18" s="1037"/>
      <c r="AG18" s="1440">
        <f>IF($W$8=0,0,IF(V18=1,'Options and results'!$M$36,0)+IF('Options and results'!$M$39="yes",IF(AND(AG17+'Options and results'!$M$37&lt;=$AF$8,AG17+'Options and results'!$M$37+IF(V18=1,'Options and results'!$M$36,0)&lt;='Options and results'!$M$38*AE18),AG17+'Options and results'!$M$37,AG17),(HLOOKUP(CONCATENATE('Options and results'!$C$32," ",Forestrysystem!$E$8),Forestrysystem!$A$7:$IH$70,V18+4,FALSE))-IF(V18=1,'Options and results'!$M$36,0)))</f>
        <v>7.5</v>
      </c>
      <c r="AH18" s="1442">
        <f>IF(OR($W$8=0,AB18&lt;=0),0,(HLOOKUP(CONCATENATE('Options and results'!$C$32," ",Forestrysystem!$F$8),Forestrysystem!$A$7:$IH$70,$V18+4,FALSE)) * IF(V18&gt;='Options and results'!$I$19,'Options and results'!$I$18,1) )</f>
        <v>12.494677842039225</v>
      </c>
      <c r="AI18" s="1452">
        <f t="shared" si="179"/>
        <v>8.0094088731020668E-2</v>
      </c>
      <c r="AJ18" s="1442">
        <f t="shared" si="135"/>
        <v>0</v>
      </c>
      <c r="AK18" s="1453">
        <f>IF(OR($W$8=0,AE18&lt;=0),0,(HLOOKUP(CONCATENATE('Options and results'!$C$32," ",Forestrysystem!$G$8),Forestrysystem!$A$7:$IH$70,$V18+4,FALSE)) * IF(Y18&gt;='Options and results'!$I$19,'Options and results'!$I$18,1) )</f>
        <v>5.5094967269660353</v>
      </c>
      <c r="AL18" s="1453">
        <f>IF($W$8=0,0,HLOOKUP(CONCATENATE('Options and results'!$C$32," ",Forestrysystem!$H$8),Forestrysystem!$A$7:$IH$70,$V18+4,FALSE)*IF(V18&gt;='Options and results'!$I$19,'Options and results'!$I$18,1))</f>
        <v>0</v>
      </c>
      <c r="AM18" s="1383">
        <f>IF($W$8=0,0,HLOOKUP(CONCATENATE('Options and results'!$C$32," ",Forestrysystem!$I$8),Forestrysystem!$A$7:$IH$70,$V18+4,FALSE)*IF(V18&gt;='Options and results'!$I$19,'Options and results'!$I$18,1))</f>
        <v>0</v>
      </c>
      <c r="AN18" s="1382">
        <f>IF(AI18&gt;0,HLOOKUP(AI18,Treevalue!$I$4:$BC$34,'Options and results'!$C$39+1),0)*IF(V18&gt;='Options and results'!$I$21,'Options and results'!$I$20,1)*IF(1+'Options and results'!$Q$20*(V18-1)&gt;0,1+'Options and results'!$Q$20*(V18-1),0)</f>
        <v>8.1563276701851759</v>
      </c>
      <c r="AO18" s="1454">
        <f>AI18*AN18*(AB18-(AC18+AD18))</f>
        <v>101.91068661307413</v>
      </c>
      <c r="AP18" s="1454">
        <f t="shared" si="137"/>
        <v>0</v>
      </c>
      <c r="AQ18" s="1454">
        <f>(IF('Options and results'!$C$39&gt;0,IF(V18&lt;='Options and results'!$W$20,VLOOKUP('Options and results'!$C$39,Treevalue!$A$4:$F$34,5,FALSE),0),0)*AK18)*IF(V18&gt;='Options and results'!$I$21,'Options and results'!$I$20,1)*IF(1+'Options and results'!$Q$20*(V18-1)&gt;0,1+'Options and results'!$Q$20*(V18-1),0)-AR18</f>
        <v>137.73741817415089</v>
      </c>
      <c r="AR18" s="1441">
        <f>(IF('Options and results'!$C$39&gt;0,IF(V18&lt;='Options and results'!$W$20,VLOOKUP('Options and results'!$C$39,Treevalue!$A$4:$F$34,5,FALSE),0),0)*AL18)*IF(V18&gt;='Options and results'!$I$21,'Options and results'!$I$20,1)*IF(1+'Options and results'!$Q$20*(V18-1)&gt;0,1+'Options and results'!$Q$20*(V18-1),0)</f>
        <v>0</v>
      </c>
      <c r="AS18" s="1441">
        <f>(IF('Options and results'!$C$39&gt;0,IF(V18&lt;='Options and results'!$W$20,VLOOKUP('Options and results'!$C$39,Treevalue!$A$4:$F$34,6,FALSE),0),0)*AM18)*IF(V18&gt;='Options and results'!$I$21,'Options and results'!$I$20,1)*IF(1+'Options and results'!$Q$20*(V18-1)&gt;0,1+'Options and results'!$Q$20*(V18-1),0)</f>
        <v>0</v>
      </c>
      <c r="AT18" s="1441">
        <f>IF(V18&lt;='Options and results'!$W$20,(IF(AB18&lt;=0,0,IF('Options and results'!$C$43="cost",(IF(V18&lt;='Options and results'!$C$44,BZ18*SUM('Options and results'!$C$45:$C$46),0)),IF('Options and results'!$C$41&gt;0,(IF(VLOOKUP('Options and results'!$C$42,Treegrant!$B$6:$L$42,Treegrant!$C$2,FALSE)=V18,VLOOKUP('Options and results'!$C$42,Treegrant!$B$6:$L$42,Treegrant!$D$2,FALSE),0)+IF(VLOOKUP('Options and results'!$C$42,Treegrant!$B$6:$L$42,Treegrant!$E$2,FALSE)=V18,VLOOKUP('Options and results'!$C$42,Treegrant!$B$6:$L$42,Treegrant!$F$2,FALSE),0)+IF(VLOOKUP('Options and results'!$C$42,Treegrant!$B$6:$L$42,Treegrant!$G$2,FALSE)=V18,VLOOKUP('Options and results'!$C$42,Treegrant!$B$6:$L$42,Treegrant!$H$2,FALSE)))*IF('Options and results'!$C$43="area",1,'Options and results'!$C$43),0)))*IF(V18&gt;='Options and results'!$I$23,'Options and results'!$I$22,1)),0)*IF(1+'Options and results'!$Q$23*(V18-1)&gt;0,1+'Options and results'!$Q$23*(V18-1),0)</f>
        <v>0</v>
      </c>
      <c r="AU18" s="1441">
        <f>IF($W$8=0,0,IF(V18&lt;='Options and results'!$W$20,IF(AB18&lt;=0,0,IF('Options and results'!$C$41&gt;0,IF(AND(VLOOKUP('Options and results'!$C$42,Treegrant!$B$6:$L$42,Treegrant!$J$2,FALSE)&lt;=V18,VLOOKUP('Options and results'!$C$42,Treegrant!$B$6:$L$42,Treegrant!$K$2,FALSE)&gt;=V18),(VLOOKUP('Options and results'!$C$42,Treegrant!$B$6:$L$42,Treegrant!$L$2,FALSE)),0)*IF('Options and results'!$C$47="full",1,'Options and results'!$C$47))*IF(V18&gt;='Options and results'!$I$23,'Options and results'!$I$22,1)),0))*IF(1+'Options and results'!$Q$23*(V18-1)&gt;0,1+'Options and results'!$Q$23*(V18-1),0)</f>
        <v>0</v>
      </c>
      <c r="AV18" s="1032">
        <f>IF($W$8=0,0,IF(V18&lt;='Options and results'!$W$20,IF(AB18&lt;=0,0,(IF('Options and results'!$C$41&gt;0,(IF(AND(VLOOKUP('Options and results'!$C$42,Treegrant!$B$6:$O$42,Treegrant!$M$2,FALSE)&lt;=V18,VLOOKUP('Options and results'!$C$42,Treegrant!$B$6:$O$42,Treegrant!$N$2,FALSE)&gt;=V18),(VLOOKUP('Options and results'!$C$42,Treegrant!$B$6:$O$42,Treegrant!$O$2,FALSE)),0)*IF('Options and results'!$C$48="full",1,'Options and results'!$C$48))+(IF(AND(VLOOKUP('Options and results'!$C$42,Treegrant!$B$6:$R$42,Treegrant!$P$2,FALSE)&lt;=V18,VLOOKUP('Options and results'!$C$42,Treegrant!$B$6:$R$42,Treegrant!$Q$2,FALSE)&gt;=V18),(VLOOKUP('Options and results'!$C$42,Treegrant!$B$6:$R$42,Treegrant!$R$2,FALSE)),0))*IF('Options and results'!$C$49="full",1,'Options and results'!$C$49)))*IF(V18&gt;='Options and results'!$I$23,'Options and results'!$I$22,1)),0))*IF(1+'Options and results'!$Q$23*(V18-1)&gt;0,1+'Options and results'!$Q$23*(V18-1),0)</f>
        <v>0</v>
      </c>
      <c r="AW18" s="1033" t="s">
        <v>247</v>
      </c>
      <c r="AX18" s="1018">
        <f>'Options and results'!S44</f>
        <v>14.6</v>
      </c>
      <c r="AY18" s="1419">
        <f>IF($W$8=0,0,IF(V18=1,VLOOKUP($W$8,Treecost!$B$6:$AH$49,Treecost!$E$2,FALSE),0)*IF(V18&gt;='Options and results'!$I$25,'Options and results'!$I$24,1))</f>
        <v>0</v>
      </c>
      <c r="AZ18" s="889">
        <f>IF($W$8=0,0,IF(V18=1,VLOOKUP($W$8,Treecost!$B$6:$AH$49,Treecost!$F$2,FALSE),0)*IF(V18&gt;='Options and results'!$I$25,'Options and results'!$I$24,1))</f>
        <v>0</v>
      </c>
      <c r="BA18" s="889">
        <f>IF($W$8=0,0,IF(V18=1,VLOOKUP($W$8,Treecost!$B$6:$AH$49,Treecost!$G$2,FALSE),0)*IF(V18&gt;='Options and results'!$I$25,'Options and results'!$I$24,1))</f>
        <v>0</v>
      </c>
      <c r="BB18" s="889">
        <f>IF($W$8=0,0,IF(V18&lt;='Options and results'!$W$20,((VLOOKUP($W$8,Treecost!$B$6:$AH$49,Treecost!$H$2,FALSE)*(X18+AA18))/60)*IF(V18&gt;='Options and results'!$I$25,'Options and results'!$I$24,1),0))</f>
        <v>0</v>
      </c>
      <c r="BC18" s="889">
        <f>IF($W$8=0,0,IF(V18&lt;='Options and results'!$W$20,(((VLOOKUP($W$8,Treecost!$B$6:$AH$49,Treecost!$I$2,FALSE))*(X18+AA18))/60)*IF(V18&gt;='Options and results'!$I$25,'Options and results'!$I$24,1),0))</f>
        <v>0</v>
      </c>
      <c r="BD18" s="889">
        <f>IF($W$8=0,0,IF(V18&lt;='Options and results'!$W$20,(((VLOOKUP($W$8,Treecost!$B$6:$AH$49,Treecost!$J$2,FALSE))/60)*(X18+AA18))*IF(V18&gt;='Options and results'!$I$25,'Options and results'!$I$24,1),0))</f>
        <v>0</v>
      </c>
      <c r="BE18" s="1019">
        <f>IF($W$8=0,0,IF(V18&lt;='Options and results'!$W$20,(((VLOOKUP($W$8,Treecost!$B$6:$AH$49,Treecost!$C$2,FALSE)+VLOOKUP($W$8,Treecost!$B$6:$AH$49,Treecost!$D$2,FALSE))*(X18+AA18)*IF(1+'Options and results'!$Q$22*(V18-1)&gt;0,1+'Options and results'!$Q$22*(V18-1),0))+((AY18*$AX$8+AZ18*$AX$9+BA18*$AX$10+BB18*$AX$11+BC18*$AX$12+BD18*$AX$13)*IF(1+'Options and results'!$Q$21*(V18-1)&gt;0,1+'Options and results'!$Q$21*(V18-1),0)))*IF(V18&gt;='Options and results'!$I$27,'Options and results'!$I$26,1),0))</f>
        <v>0</v>
      </c>
      <c r="BF18" s="889">
        <f>IF($W$8=0,0,IF(V18&lt;='Options and results'!$W$20,IF(AND(VLOOKUP($W$8,Treecost!$B$6:$AH$49,Treecost!$K$2,FALSE)&lt;=V18,V18&lt;=(VLOOKUP($W$8,Treecost!$B$6:$AH$49,Treecost!$L$2,FALSE))),VLOOKUP($W$8,Treecost!$B$6:$AH$49,Treecost!$M$2,FALSE)*AB18/60,0)*IF(V18&gt;='Options and results'!$I$25,'Options and results'!$I$24,1),0))</f>
        <v>0</v>
      </c>
      <c r="BG18" s="1019">
        <f>IF(BF18&gt;0,(VLOOKUP($W$8,Treecost!$B$6:$AH$49,Treecost!$N$2,FALSE)*AB18*IF(1+'Options and results'!$Q$22*(V18-1)&gt;0,1+'Options and results'!$Q$22*(V18-1),0)+BF18*$AX$14*IF(1+'Options and results'!$Q$21*(V18-1)&gt;0,1+'Options and results'!$Q$21*(V18-1),0)),0)*IF(V18&gt;='Options and results'!$I$27,'Options and results'!$I$26,1)</f>
        <v>0</v>
      </c>
      <c r="BH18" s="889">
        <f>IF(V18&lt;='Options and results'!$W$20,IF(AND(AG18-AG17&gt;0,AG18&gt;'Options and results'!$M$36),(AB18-AC18)*(VLOOKUP($W$8,Treecost!$B$6:$AH$49,Treecost!$Y$2,FALSE)+(VLOOKUP($W$8,Treecost!$B$6:$AH$49,Treecost!$AA$2,FALSE)-VLOOKUP($W$8,Treecost!$B$6:$AH$49,Treecost!$Y$2,FALSE))/(VLOOKUP($W$8,Treecost!$B$6:$AH$49,Treecost!$Z$2,FALSE)-VLOOKUP($W$8,Treecost!$B$6:$AH$49,Treecost!$X$2,FALSE))*(AG18-VLOOKUP($W$8,Treecost!$B$6:$AH$49,Treecost!$X$2,FALSE)))/60,0)*IF(V18&gt;='Options and results'!$I$25,'Options and results'!$I$24,1),0)</f>
        <v>19.323571428571427</v>
      </c>
      <c r="BI18" s="303">
        <f>IF(V18&lt;='Options and results'!$W$20,IF(BH18&gt;0,VLOOKUP($W$8,Treecost!$B$6:$AH$49,Treecost!$AB$2,FALSE)/60*AB18,0)*IF(V18&gt;='Options and results'!$I$25,'Options and results'!$I$24,1),0)*((BH18-(MIN($BH$8:$BH$67)))/((MAX($BH$8:$BH$67))-(MIN($BH$8:$BH$67))))</f>
        <v>1.04</v>
      </c>
      <c r="BJ18" s="740">
        <f>IF(BH18&gt;0,(BH18*$AX$15+BI18*$AX$19)*IF(1+'Options and results'!$Q$21*(V18-1)&gt;0,1+'Options and results'!$Q$21*(V18-1),0),0)*IF(V18&gt;='Options and results'!$I$27,'Options and results'!$I$26,1)</f>
        <v>297.30814285714285</v>
      </c>
      <c r="BK18" s="891">
        <f>IF($W$8=0,0,IF(V18&lt;='Options and results'!$W$20,IF(VLOOKUP($W$8,Treecost!$B$2:$AH$49,Treecost!$O$2,FALSE)=V18,VLOOKUP($W$8,Treecost!$B$2:$AH$49,Treecost!$P$2,FALSE),0)*IF(V18&gt;='Options and results'!$I$25,'Options and results'!$I$24,1),0))</f>
        <v>0</v>
      </c>
      <c r="BL18" s="889">
        <f>IF($W$8=0,0,IF(V18&lt;='Options and results'!$W$20,IF(AND(V18&gt;VLOOKUP($W$8,Treecost!$B$2:$AH$49,Treecost!$O$2,FALSE),V18&lt;=VLOOKUP($W$8,Treecost!$B$2:$AH$49,Treecost!$R$2,FALSE)),VLOOKUP($W$8,Treecost!$B$2:$AH$49,Treecost!$S$2,FALSE),0)*IF(V18&gt;='Options and results'!$I$25,'Options and results'!$I$24,1),0))</f>
        <v>0</v>
      </c>
      <c r="BM18" s="740">
        <f>IF($W$8=0,0,IF(V18&lt;='Options and results'!$W$20,((IF(VLOOKUP($W$8,Treecost!$B$2:$AH$49,Treecost!$O$2,FALSE)=V18,VLOOKUP($W$8,Treecost!$B$2:$AH$49,Treecost!$Q$2,FALSE),0)+IF(AND(V18&gt;VLOOKUP($W$8,Treecost!$B$2:$AH$49,Treecost!$O$2,FALSE),V18&lt;=VLOOKUP($W$8,Treecost!$B$2:$AH$49,Treecost!$R$2,FALSE)),VLOOKUP($W$8,Treecost!$B$2:$AH$49,Treecost!$T$2,FALSE),0)*IF(1+'Options and results'!$Q$22*(V18-1)&gt;0,1+'Options and results'!$Q$22*(V18-1),0))+(BK18*$AX$16+BL18*$AX$17)*IF(1+'Options and results'!$Q$21*(V18-1)&gt;0,1+'Options and results'!$Q$21*(V18-1),0))*IF(V18&gt;='Options and results'!$I$27,'Options and results'!$I$26,1),0))</f>
        <v>0</v>
      </c>
      <c r="BN18" s="894">
        <f>IF($W$8=0,0,IF(V18&lt;='Options and results'!$W$20,IF(AND(V18&gt;=VLOOKUP($W$8,Treecost!$B$2:$W$49,Treecost!$U$2,FALSE),V18&lt;=VLOOKUP($W$8,Treecost!$B$2:$W$49,Treecost!$V$2,FALSE)),(AB18*VLOOKUP($W$8,Treecost!$B$2:$W$49,Treecost!$W$2,FALSE)/60),0)*IF(V18&gt;='Options and results'!$I$25,'Options and results'!$I$24,1),0))</f>
        <v>0</v>
      </c>
      <c r="BO18" s="740">
        <f>BN18*$AX$18*IF(V18&gt;='Options and results'!$I$27,'Options and results'!$I$26,1)*IF(1+'Options and results'!$Q$21*(V18-1)&gt;0,1+'Options and results'!$Q$21*(V18-1),0)</f>
        <v>0</v>
      </c>
      <c r="BP18" s="894">
        <f>IF(V18&lt;='Options and results'!$W$20,IF(AB18&lt;=0,0,VLOOKUP($W$8,Treecost!$B$6:$AH$49,Treecost!$AC$2,FALSE)+VLOOKUP($W$8,Treecost!$B$6:$AH$49,Treecost!$AD$2,FALSE)+IF(AND(V18&gt;=VLOOKUP($W$8,Treecost!$B$2:$AK$49,Treecost!$AI$2,FALSE),V18&lt;=VLOOKUP($W$8,Treecost!$B$2:$AK$49,Treecost!$AJ$2,FALSE)),(VLOOKUP($W$8,Treecost!$B$2:$AK$49,Treecost!$AK$2,FALSE)),0))*IF(V18&gt;='Options and results'!$I$27,'Options and results'!$I$26,1),0)*IF(1+'Options and results'!$Q$22*(V18-1)&gt;0,1+'Options and results'!$Q$22*(V18-1),0)</f>
        <v>3</v>
      </c>
      <c r="BQ18" s="894">
        <f>IF(V18&lt;='Options and results'!$W$20,IF(AC18&gt;0,VLOOKUP($W$8,Treecost!$B$6:$AH$49,Treecost!$AE$2,FALSE)/60*AC18,0)*IF(V18&gt;='Options and results'!$I$25,'Options and results'!$I$24,1),0)</f>
        <v>0</v>
      </c>
      <c r="BR18" s="740">
        <f>IF(V18&lt;='Options and results'!$W$20,IF(AC18&gt;0,VLOOKUP($W$8,Treecost!$B$6:$AH$49,Treecost!$AF$2,FALSE)/60*AC18,0)*IF(V18&gt;='Options and results'!$I$25,'Options and results'!$I$24,1),0)</f>
        <v>0</v>
      </c>
      <c r="BS18" s="740">
        <f>(BQ18*$AX$20+BR18*$AX$21)*IF(V18&gt;='Options and results'!$I$27,'Options and results'!$I$26,1)*IF(1+'Options and results'!$Q$21*(V18-1)&gt;0,1+'Options and results'!$Q$21*(V18-1),0)</f>
        <v>0</v>
      </c>
      <c r="BT18" s="894">
        <f>IF(V18&lt;='Options and results'!$W$20,IF(AD18&gt;0,(VLOOKUP($W$8,Treecost!$B$6:$AH$49,Treecost!$AG$2,FALSE)/60*AD18)*IF(V18&gt;='Options and results'!$I$25,'Options and results'!$I$24,1),0),0)</f>
        <v>0</v>
      </c>
      <c r="BU18" s="740">
        <f>IF(V18&lt;='Options and results'!$W$20,IF(AD18&gt;0,(VLOOKUP($W$8,Treecost!$B$6:$AH$49,Treecost!$AH$2,FALSE)/60*AD18)*IF(V18&gt;='Options and results'!$I$25,'Options and results'!$I$24,1),0),0)</f>
        <v>0</v>
      </c>
      <c r="BV18" s="740">
        <f>(BT18*$AX$22+BU18*$AX$23)*IF(V18&gt;='Options and results'!$I$27,'Options and results'!$I$26,1)*IF(1+'Options and results'!$Q$21*(V18-1)&gt;0,1+'Options and results'!$Q$21*(V18-1),0)</f>
        <v>0</v>
      </c>
      <c r="BW18" s="1033">
        <f t="shared" si="138"/>
        <v>20.363571428571426</v>
      </c>
      <c r="BX18" s="1027">
        <f t="shared" si="139"/>
        <v>0</v>
      </c>
      <c r="BY18" s="1027">
        <f t="shared" si="140"/>
        <v>0</v>
      </c>
      <c r="BZ18" s="740">
        <f t="shared" si="124"/>
        <v>300.30814285714285</v>
      </c>
      <c r="CA18" s="740">
        <f t="shared" si="141"/>
        <v>-300.30814285714285</v>
      </c>
      <c r="CB18" s="894">
        <f>IF($V18&lt;='Options and results'!$W$20,SUM(BX$8:$BX18),0)</f>
        <v>0</v>
      </c>
      <c r="CC18" s="740">
        <f>IF($V18&lt;='Options and results'!$W$20,SUM($BY$8:BY18),0)</f>
        <v>0</v>
      </c>
      <c r="CD18" s="740">
        <f>IF($V18&lt;='Options and results'!$W$20,SUM($BZ$8:BZ18),0)</f>
        <v>1601.7443691843955</v>
      </c>
      <c r="CE18" s="740">
        <f>IF(V18&lt;='Options and results'!$W$20,CB18+CC18-CD18,0)</f>
        <v>-1601.7443691843955</v>
      </c>
      <c r="CF18" s="1381">
        <f t="shared" si="142"/>
        <v>94.000249966711323</v>
      </c>
      <c r="CG18" s="1027">
        <f t="shared" si="143"/>
        <v>-206.30789289043153</v>
      </c>
      <c r="CH18" s="1027">
        <f t="shared" si="144"/>
        <v>0</v>
      </c>
      <c r="CI18" s="1189">
        <f>IF(V18&lt;='Options and results'!$W$20,CE18+AO18,0)</f>
        <v>-1499.8336825713213</v>
      </c>
      <c r="CJ18" s="1023"/>
      <c r="CK18" s="895">
        <f t="shared" si="145"/>
        <v>11</v>
      </c>
      <c r="CL18" s="1011" t="str">
        <f>IF('Options and results'!$C$54="None",0,IF(AND(CK18&gt;='Options and results'!$K$57,CK17&lt;'Options and results'!$W$20),'Options and results'!$K$56,IF(Optimisation!$B$3="No",CONCATENATE('Options and results'!$C$60," ",(HLOOKUP(CONCATENATE('Options and results'!$C$54," ",Agroforestrysystem!$B$12),Agroforestrysystem!$B$11:$IM$74,$CK18+4,FALSE))),Optimisation!AA38)))</f>
        <v>UK - Agriculture (BPS: from 2015) Barley</v>
      </c>
      <c r="CM18" s="1012">
        <f>IF(HLOOKUP(CONCATENATE('Options and results'!$C$54," ",Agroforestrysystem!$C$12),Agroforestrysystem!$B$11:$IM$74,$CK18+4,FALSE)="T",(VLOOKUP(CL18,Arablefinance!$Z$6:$AB$105,Arablefinance!$AB$2,FALSE)*CO18+VLOOKUP(CL18,Arablefinance!$Z$6:$AC$105,Arablefinance!$AC$2,FALSE)*CP18)/VLOOKUP(CL18,Arablefinance!$Z$6:$AA$105,Arablefinance!$AA$2,FALSE),0)</f>
        <v>0</v>
      </c>
      <c r="CN18" s="1012">
        <f>IF(CL18=0,0,HLOOKUP(CONCATENATE('Options and results'!$C$54," ",Agroforestrysystem!$D$12),Agroforestrysystem!$B$11:$IM$74,$CK18+4,FALSE))</f>
        <v>0.99</v>
      </c>
      <c r="CO18" s="1440">
        <f ca="1">IF(CL18=0,0,IF(AND(Optimisation!$B$3="yes",Optimisation!$B$4=1,CK18&gt;Optimisation!$B$9),0,HLOOKUP(CONCATENATE('Options and results'!$C$54," ",Agroforestrysystem!$E$12),Agroforestrysystem!$B$11:$IM$74,$CK18+4,FALSE)*IF(CK18&gt;='Options and results'!$J$19,'Options and results'!$J$18,1)))</f>
        <v>5.13</v>
      </c>
      <c r="CP18" s="1440">
        <f ca="1">IF(CL18=0,0,IF(AND(Optimisation!$B$3="yes",Optimisation!$B$4=1,CK18&gt;Optimisation!$B$9),0,HLOOKUP(CONCATENATE('Options and results'!$C$54," ",Agroforestrysystem!$F$12),Agroforestrysystem!$B$11:$IM$74,$CK18+4,FALSE)*IF(CK18&gt;='Options and results'!$J$19,'Options and results'!$J$18,1)))</f>
        <v>3.0779999999999998</v>
      </c>
      <c r="CQ18" s="1013">
        <f ca="1">IF(CN18&lt;=0,0,IF(CK18&lt;='Options and results'!$W$20,IF(CM18&gt;0,VLOOKUP(CL18,Arablefinance!$Z$6:$AE$105,Arablefinance!$AD$2,FALSE)*CM18*CN18,((VLOOKUP(CL18,Arablefinance!$E$6:$H$126,2,FALSE)*CO18+VLOOKUP(CL18,Arablefinance!$E$6:$H$126,3,FALSE)*CP18)*CN18)),0)*IF(CK18&gt;='Options and results'!$J$21,'Options and results'!$J$20,1))*IF(1+'Options and results'!$O$20*(CK18-1)&gt;0,1+'Options and results'!$O$20*(CK18-1),0)</f>
        <v>978.77834999999993</v>
      </c>
      <c r="CR18" s="1441">
        <f>IF(CN18&lt;=0,0,IF(AND(CM18&gt;0,VLOOKUP(CL18,Arablefinance!$Z$6:$AI$105,Arablefinance!$AI$2,FALSE)=2),VLOOKUP(CL18,Arablefinance!$Z$6:$AE$105,Arablefinance!$AE$2,FALSE)*CM18*CN18,IF('Options and results'!$C$62&gt;0,IF(VLOOKUP(CL18,Arablefinance!$E$6:$W$126,Arablefinance!$H$2,FALSE)*(1-Plot!DM18*'Options and results'!$C$62)&gt;0,VLOOKUP(CL18,Arablefinance!$E$6:$W$126,Arablefinance!$H$2,FALSE)*(1-Plot!DM18*'Options and results'!$C$62),0),IF(CK18&lt;='Options and results'!$W$20,(VLOOKUP(CL18,Arablefinance!$E$6:$W$126,Arablefinance!$H$2,FALSE)*IF('Options and results'!$C$61="area",CN18,'Options and results'!$C$61)),0)))*IF(CK18&gt;='Options and results'!$J$23,'Options and results'!$J$22,1))*IF(AND(1+'Options and results'!$O$23*(CK18-1)&gt;0,1+'Options and results'!$O$23*(CK18-1)&gt;'Options and results'!$S$24),1+'Options and results'!$O$23*(CK18-1),'Options and results'!$S$24)</f>
        <v>0</v>
      </c>
      <c r="CS18" s="1441">
        <f t="shared" ca="1" si="146"/>
        <v>978.77834999999993</v>
      </c>
      <c r="CT18" s="1441">
        <f>IF(CN18&lt;=0,0,IF(CK18&lt;='Options and results'!$W$20,IF(CM18&gt;0,VLOOKUP(CL18,Arablefinance!$Z$6:$AF$105,Arablefinance!$AF$2,FALSE)*CM18*CN18,VLOOKUP(CL18,Arablefinance!$E$6:$X$126,Arablefinance!$R$2,FALSE)*CN18),0)*IF(CK18&gt;='Options and results'!$J$27,'Options and results'!$J$26,1))*IF(1+'Options and results'!$O$22*(CK18-1)&gt;0,1+'Options and results'!$O$22*(CK18-1),0)</f>
        <v>529.85624999999993</v>
      </c>
      <c r="CU18" s="1441">
        <f t="shared" ca="1" si="147"/>
        <v>448.9221</v>
      </c>
      <c r="CV18" s="1441">
        <f>IF(CN18&lt;=0,0,IF(CK18&lt;='Options and results'!$W$20,IF(CM18&gt;0,VLOOKUP(CL18,Arablefinance!$Z$6:$AG$105,Arablefinance!$AG$2,FALSE)*CM18*CN18,VLOOKUP(CL18,Arablefinance!$E$6:$X$126,Arablefinance!$X$2,FALSE)*CN18),0)*IF(CK18&gt;='Options and results'!$J$27,'Options and results'!$J$26,1))*IF(1+'Options and results'!$O$22*(CK18-1)&gt;0,1+'Options and results'!$O$22*(CK18-1),0)</f>
        <v>440</v>
      </c>
      <c r="CW18" s="1442">
        <f>IF(CN18&lt;=0,0,IF(CK18&lt;='Options and results'!$W$20,'Options and results'!$C$27*IF(CK18&gt;='Options and results'!$J$27,'Options and results'!$J$26,1),0))*IF(1+'Options and results'!$O$21*(CK18-1)&gt;0,1+'Options and results'!$O$21*(CK18-1),0)</f>
        <v>14.6</v>
      </c>
      <c r="CX18" s="1442">
        <f>IF(CN18&lt;=0,0,IF(CK18&lt;='Options and results'!$W$20,IF(CM18&gt;0,VLOOKUP(CL18,Arablefinance!$Z$6:$AH$105,Arablefinance!$AH$2,FALSE)*CM18*CN18,VLOOKUP(CL18,Arablefinance!$E$6:$W$126,Arablefinance!$V$2,FALSE)*CN18),0)*IF(CK18&gt;='Options and results'!$J$25,'Options and results'!$J$24,1))</f>
        <v>10.725352674112727</v>
      </c>
      <c r="CY18" s="1013">
        <f t="shared" si="148"/>
        <v>1126.4463990420459</v>
      </c>
      <c r="CZ18" s="1353">
        <f t="shared" ca="1" si="149"/>
        <v>-147.66804904204594</v>
      </c>
      <c r="DA18" s="1013">
        <f ca="1">IF($CK18&lt;='Options and results'!$W$20,SUM($CQ$8:CQ18),0)</f>
        <v>14996.224099999999</v>
      </c>
      <c r="DB18" s="1441">
        <f>IF($CK18&lt;='Options and results'!$W$20,SUM($CR$8:CR18),0)</f>
        <v>0</v>
      </c>
      <c r="DC18" s="1441">
        <f>IF($CK18&lt;='Options and results'!$W$20,SUM($CY$8:CY18),0)</f>
        <v>13258.475685412235</v>
      </c>
      <c r="DD18" s="1189">
        <f ca="1">IF(CK18&lt;='Options and results'!$W$20,DA18+DB18-DC18,0)</f>
        <v>1737.7484145877643</v>
      </c>
      <c r="DE18" s="401"/>
      <c r="DF18" s="895">
        <f t="shared" si="150"/>
        <v>11</v>
      </c>
      <c r="DG18" s="173"/>
      <c r="DH18" s="1422"/>
      <c r="DI18" s="1427">
        <f>IF(DF18&lt;='Options and results'!$M$61,'Options and results'!$M$60,0)</f>
        <v>0</v>
      </c>
      <c r="DJ18" s="740">
        <f t="shared" si="151"/>
        <v>0</v>
      </c>
      <c r="DK18" s="740">
        <f t="shared" si="152"/>
        <v>0</v>
      </c>
      <c r="DL18" s="1428">
        <f t="shared" si="153"/>
        <v>100</v>
      </c>
      <c r="DM18" s="1429">
        <f>IF($DG$8=0,0,HLOOKUP(CONCATENATE('Options and results'!$C$54," ",Agroforestrysystem!$J$12),Agroforestrysystem!$11:$74,DF18+3,FALSE))/100</f>
        <v>0.65200000000000002</v>
      </c>
      <c r="DN18" s="740">
        <f>IF($DG$8=0,0,IF(HLOOKUP(CONCATENATE('Options and results'!$C$54," ",Agroforestrysystem!$H$12),Agroforestrysystem!$11:$74,DF18+4,FALSE)&lt;DL18,HLOOKUP(CONCATENATE('Options and results'!$C$54," ",Agroforestrysystem!$H$12),Agroforestrysystem!$11:$74,DF18+4,FALSE),0))</f>
        <v>0</v>
      </c>
      <c r="DO18" s="1027">
        <f>IF($DG$8=0,0,IF(HLOOKUP(CONCATENATE('Options and results'!$C$54," ",Agroforestrysystem!$H$12),Agroforestrysystem!$11:$74,DF18+4,FALSE)&gt;=DL18,DL18,0))</f>
        <v>0</v>
      </c>
      <c r="DP18" s="1430">
        <f>IF($DG$8=0,0,HLOOKUP(CONCATENATE('Options and results'!$C$54," ",Agroforestrysystem!$I$12),Agroforestrysystem!$11:$74,DF18+4,FALSE))</f>
        <v>11.193071661185297</v>
      </c>
      <c r="DQ18" s="1038"/>
      <c r="DR18" s="1390">
        <f>IF($DG$8=0,0,IF(DF18&gt;'Options and results'!$W$20,0,)+IF(DF18=1,'Options and results'!$M$64)+IF('Options and results'!$M$67="yes",IF(AND(DR17+'Options and results'!$M$65&lt;=$DQ$8,DR17+'Options and results'!$M$65+IF(DF18=1,'Options and results'!$M$64,0)&lt;='Options and results'!$M$66*DP18),DR17+'Options and results'!$M$65,DR17),(HLOOKUP(CONCATENATE('Options and results'!$C$54," ",Agroforestrysystem!$K$12),Agroforestrysystem!$11:$74,DF18+4,FALSE)-IF(DF18=1,'Options and results'!$M$64))))</f>
        <v>6</v>
      </c>
      <c r="DS18" s="1027">
        <f>IF(OR($DG$8=0,DL18=0),0,HLOOKUP(CONCATENATE('Options and results'!$C$54," ",Agroforestrysystem!$L$12),Agroforestrysystem!$11:$74,DF18+4,FALSE)*IF(DF18&gt;='Options and results'!$K$19,'Options and results'!$K$18,1))</f>
        <v>8.1776008827282425</v>
      </c>
      <c r="DT18" s="1431">
        <f t="shared" si="154"/>
        <v>8.177600882728242E-2</v>
      </c>
      <c r="DU18" s="889">
        <f t="shared" si="155"/>
        <v>0</v>
      </c>
      <c r="DV18" s="1027">
        <f>IF($DG$8=0,0,(HLOOKUP(CONCATENATE('Options and results'!$C$54," ",Agroforestrysystem!$M$12),Agroforestrysystem!$11:$74,DF18+4,FALSE))*IF(DF18&gt;='Options and results'!$K$19,'Options and results'!$K$18,1))-DW18</f>
        <v>3.6058925141900731</v>
      </c>
      <c r="DW18" s="303">
        <f>IF($DG$8=0,0,(HLOOKUP(CONCATENATE('Options and results'!$C$54," ",Agroforestrysystem!$N$12),Agroforestrysystem!$11:$74,DF18+4,FALSE))*IF(DF18&gt;='Options and results'!$K$19,'Options and results'!$K$18,1))</f>
        <v>0</v>
      </c>
      <c r="DX18" s="303">
        <f>IF($DG$8=0,0,HLOOKUP(CONCATENATE('Options and results'!$C$54," ",Agroforestrysystem!$O$12),Agroforestrysystem!$11:$74,DF18+4,FALSE)*IF(DF18&gt;='Options and results'!$K$19,'Options and results'!$K$18,1))</f>
        <v>0</v>
      </c>
      <c r="DY18" s="1192">
        <f>IF(DT18&gt;0,HLOOKUP(DT18,Treevalue!$I$4:$BC$34,'Options and results'!$C$66+1),0)*IF(DF18&gt;='Options and results'!$K$21,'Options and results'!$K$20,1)*IF(1+'Options and results'!$Q$20*(DF18-1)&gt;0,1+'Options and results'!$Q$20*(DF18-1),0)</f>
        <v>8.1563276701851759</v>
      </c>
      <c r="DZ18" s="1027">
        <f t="shared" si="156"/>
        <v>66.699192355527089</v>
      </c>
      <c r="EA18" s="1027">
        <f t="shared" si="125"/>
        <v>0</v>
      </c>
      <c r="EB18" s="1027">
        <f>(IF('Options and results'!$C$66&gt;0,IF(DF18&lt;='Options and results'!$W$20,VLOOKUP('Options and results'!$C$66,Treevalue!$A$4:$F$34,5,FALSE),0),0)*DV18)*IF(DF18&gt;='Options and results'!$K$21,'Options and results'!$K$20,1)*IF(1+'Options and results'!$Q$20*(DF18-1)&gt;0,1+'Options and results'!$Q$20*(DF18-1),0)</f>
        <v>90.147312854751831</v>
      </c>
      <c r="EC18" s="740">
        <f>(IF('Options and results'!$C$66&gt;0,IF(DF18&lt;='Options and results'!$W$20,VLOOKUP('Options and results'!$C$66,Treevalue!$A$4:$F$34,5,FALSE),0),0)*DW18)*IF(DF18&gt;='Options and results'!$K$21,'Options and results'!$K$20,1)*IF(1+'Options and results'!$Q$20*(DF18-1)&gt;0,1+'Options and results'!$Q$20*(DF18-1),0)</f>
        <v>0</v>
      </c>
      <c r="ED18" s="889">
        <f>(IF('Options and results'!$C$66&gt;0,IF(DF18&lt;='Options and results'!$W$20,VLOOKUP('Options and results'!$C$66,Treevalue!$A$4:$F$34,6,FALSE),0),0)*DX18)*IF(DF18&gt;='Options and results'!$K$21,'Options and results'!$K$20,1)*IF(1+'Options and results'!$Q$20*(DF18-1)&gt;0,1+'Options and results'!$Q$20*(DF18-1),0)</f>
        <v>0</v>
      </c>
      <c r="EE18" s="740">
        <f>IF(DF18&lt;='Options and results'!$W$20,IF(DL18&lt;=0,0,IF('Options and results'!$C$70="cost",(IF(DF18&lt;='Options and results'!$C$71,FK18*SUM('Options and results'!$C$72:$C$73),0)),IF('Options and results'!$C$68&gt;0,(IF(VLOOKUP('Options and results'!$C$69,Treegrant!$B$6:$L$42,Treegrant!$C$2,FALSE)=DF18,VLOOKUP('Options and results'!$C$69,Treegrant!$B$6:$L$42,Treegrant!$D$2,FALSE),0)+IF(VLOOKUP('Options and results'!$C$69,Treegrant!$B$6:$L$42,Treegrant!$E$2,FALSE)=DF18,VLOOKUP('Options and results'!$C$69,Treegrant!$B$6:$L$42,Treegrant!$F$2,FALSE),0)+IF(VLOOKUP('Options and results'!$C$69,Treegrant!$B$6:$L$42,Treegrant!$G$2,FALSE)=DF18,VLOOKUP('Options and results'!$C$69,Treegrant!$B$6:$L$42,Treegrant!$H$2,FALSE)))*IF('Options and results'!$C$70="area",Unit!C19,'Options and results'!$C$70),0))*IF(DF18&gt;='Options and results'!$K$23,'Options and results'!$K$22,1)),0)*IF(1+'Options and results'!$Q$23*(DF18-1)&gt;0,1+'Options and results'!$Q$23*(DF18-1),0)</f>
        <v>0</v>
      </c>
      <c r="EF18" s="740">
        <f>IF($DG$8=0,0,IF(DF18&lt;='Options and results'!$W$20,IF(DL18&lt;=0,0,IF('Options and results'!$C$68&gt;0,IF(AND(VLOOKUP('Options and results'!$C$69,Treegrant!$B$6:$L$42,Treegrant!$J$2,FALSE)&lt;=DF18,VLOOKUP('Options and results'!$C$69,Treegrant!$B$6:$L$42,Treegrant!$K$2,FALSE)&gt;=DF18),(VLOOKUP('Options and results'!$C$69,Treegrant!$B$6:$L$42,Treegrant!$L$2,FALSE)),0)*IF('Options and results'!$C$74="area",Unit!C19,'Options and results'!$C$74))*IF(DF18&gt;='Options and results'!$K$23,'Options and results'!$K$22,1)),0))*IF(1+'Options and results'!$Q$23*(DF18-1)&gt;0,1+'Options and results'!$Q$23*(DF18-1),0)</f>
        <v>0</v>
      </c>
      <c r="EG18" s="1034">
        <f>IF($DG$8=0,0,IF(DF18&lt;='Options and results'!$W$20,IF(DL18&lt;=0,0,IF('Options and results'!$C$68&gt;0,((IF(AND(VLOOKUP('Options and results'!$C$69,Treegrant!$B$6:$O$42,Treegrant!$M$2,FALSE)&lt;=DF18,VLOOKUP('Options and results'!$C$69,Treegrant!$B$6:$O$42,Treegrant!$N$2,FALSE)&gt;=DF18),(VLOOKUP('Options and results'!$C$69,Treegrant!$B$6:$O$42,Treegrant!$O$2,FALSE)),0)*IF('Options and results'!$C$75="area",Unit!C19,'Options and results'!$C$75))+(IF(AND(VLOOKUP('Options and results'!$C$69,Treegrant!$B$6:$R$42,Treegrant!$P$2,FALSE)&lt;=DF18,VLOOKUP('Options and results'!$C$69,Treegrant!$B$6:$R$42,Treegrant!$Q$2,FALSE)&gt;=DF18),(VLOOKUP('Options and results'!$C$69,Treegrant!$B$6:$R$42,Treegrant!$R$2,FALSE)),0))*IF('Options and results'!$C$76="area",Unit!C19,'Options and results'!$C$76)))*IF(DF18&gt;='Options and results'!$K$23,'Options and results'!$K$22,1)),0))*IF(1+'Options and results'!$Q$23*(DF18-1)&gt;0,1+'Options and results'!$Q$23*(DF18-1),0)</f>
        <v>0</v>
      </c>
      <c r="EH18" s="1033" t="s">
        <v>247</v>
      </c>
      <c r="EI18" s="1018">
        <f>'Options and results'!$S44</f>
        <v>14.6</v>
      </c>
      <c r="EJ18" s="1419">
        <f>IF($DH$8+DK18&lt;1,0,IF(DF18=1,VLOOKUP($DG$8,Treecost!$B$6:$AH$49,Treecost!$E$2,FALSE),0)*IF(DF18&gt;='Options and results'!$K$25,'Options and results'!$K$24,1))</f>
        <v>0</v>
      </c>
      <c r="EK18" s="889">
        <f>IF($DH$8+DK18&lt;1,0,IF(DF18=1,VLOOKUP($DG$8,Treecost!$B$6:$AH$49,Treecost!$F$2,FALSE),0)*IF(DF18&gt;='Options and results'!$K$25,'Options and results'!$K$24,1))</f>
        <v>0</v>
      </c>
      <c r="EL18" s="889">
        <f>IF($DH$8+DK18&lt;1,0,IF(DF18=1,VLOOKUP($DG$8,Treecost!$B$6:$AH$49,Treecost!$G$2,FALSE),0)*IF(DF18&gt;='Options and results'!$K$25,'Options and results'!$K$24,1))</f>
        <v>0</v>
      </c>
      <c r="EM18" s="889">
        <f>IF($DG$8=0,0,IF(DF18&lt;='Options and results'!$W$20,((VLOOKUP($DG$8,Treecost!$B$6:$AH$49,Treecost!$H$2,FALSE)*(DH18+DK18))/60)*IF(DF18&gt;='Options and results'!$K$25,'Options and results'!$K$24,1),0))</f>
        <v>0</v>
      </c>
      <c r="EN18" s="889">
        <f>IF($DG$8=0,0,IF(DF18&lt;='Options and results'!$W$20,(((VLOOKUP($DG$8,Treecost!$B$6:$AH$49,Treecost!$I$2,FALSE))*(DH18+DK18))/60)*IF(DF18&gt;='Options and results'!$K$25,'Options and results'!$K$24,1),0))</f>
        <v>0</v>
      </c>
      <c r="EO18" s="889">
        <f>IF($DG$8=0,0,IF(DF18&lt;='Options and results'!$W$20,(((VLOOKUP($DG$8,Treecost!$B$6:$AH$49,Treecost!$J$2,FALSE))/60)*(DH18+DK18))*IF(DF18&gt;='Options and results'!$K$25,'Options and results'!$K$24,1),0))</f>
        <v>0</v>
      </c>
      <c r="EP18" s="1019">
        <f>IF($DG$8=0,0,IF(DF18&lt;='Options and results'!$W$20,(((VLOOKUP($DG$8,Treecost!$B$6:$AH$49,Treecost!$C$2,FALSE)+VLOOKUP($DG$8,Treecost!$B$6:$AH$49,Treecost!$D$2,FALSE))*(DH18+DK18)*IF(1+'Options and results'!$Q$22*(DF18-1)&gt;0,1+'Options and results'!$Q$22*(DF18-1),0))+(EJ18*$EI$8+EK18*$EI$9+EL18*$EI$10+EM18*$EI$11+EN18*$EI$12+EO18*$EI$13)*IF(1+'Options and results'!$Q$21*(DF18-1)&gt;0,1+'Options and results'!$Q$21*(DF18-1),0))*IF(DF18&gt;='Options and results'!$K$27,'Options and results'!$K$26,1),0))</f>
        <v>0</v>
      </c>
      <c r="EQ18" s="740">
        <f>IF($DG$8=0,0,IF(DF18&lt;='Options and results'!$W$20,IF(AND(VLOOKUP($DG$8,Treecost!$B$6:$AH$49,Treecost!$K$2,FALSE)&lt;=DF18,DF18&lt;=(VLOOKUP($DG$8,Treecost!$B$6:$AH$49,Treecost!$L$2,FALSE))),VLOOKUP($DG$8,Treecost!$B$6:$AH$49,Treecost!$M$2,FALSE)*DL18/60,0)*IF(DF18&gt;='Options and results'!$K$25,'Options and results'!$K$24,1),0))</f>
        <v>0</v>
      </c>
      <c r="ER18" s="1019">
        <f>IF(EQ18&gt;0,(VLOOKUP($DG$8,Treecost!$B$6:$AH$49,Treecost!$N$2,FALSE)*DL18*IF(1+'Options and results'!$Q$22*(DF18-1)&gt;0,1+'Options and results'!$Q$22*(DF18-1),0)+EQ18*$EI$14*IF(1+'Options and results'!$Q$21*(DF18-1)&gt;0,1+'Options and results'!$Q$21*(DF18-1),0)),0)*IF(DF18&gt;='Options and results'!$K$27,'Options and results'!$K$26,1)</f>
        <v>0</v>
      </c>
      <c r="ES18" s="889">
        <f>IF(DF18&lt;='Options and results'!$W$20,IF(AND(DR18-DR17&gt;0,DR18&gt;'Options and results'!$M$64),(DL18-DN18)*(VLOOKUP($DG$8,Treecost!$B$6:$AH$49,Treecost!$Y$2,FALSE)+(VLOOKUP($DG$8,Treecost!$B$6:$AH$49,Treecost!$AA$2,FALSE)-VLOOKUP($DG$8,Treecost!$B$6:$AH$49,Treecost!$Y$2,FALSE))/(VLOOKUP($DG$8,Treecost!$B$6:$AH$49,Treecost!$Z$2,FALSE)-VLOOKUP($DG$8,Treecost!$B$6:$AH$49,Treecost!$X$2,FALSE))*(DR18-VLOOKUP($DG$8,Treecost!$B$6:$AH$49,Treecost!$X$2,FALSE)))/60,0)*IF(DF18&gt;='Options and results'!$K$25,'Options and results'!$K$24,1),0)</f>
        <v>0</v>
      </c>
      <c r="ET18" s="889">
        <f>IF(DF18&lt;='Options and results'!$W$20,IF(ES18&gt;0,VLOOKUP($DG$8,Treecost!$B$6:$AH$49,Treecost!$AB$2,FALSE)/60*DL18,0)*IF(DF18&gt;='Options and results'!$K$25,'Options and results'!$K$24,1),0)*((ES18-(MIN($ES$8:$ES$67)))/((MAX($ES$8:$ES$67))-(MIN($ES$8:$ES$67))))</f>
        <v>0</v>
      </c>
      <c r="EU18" s="740">
        <f>IF(ES18&gt;0,(ES18*$EI$15+ET18*$EI$19)*IF(1+'Options and results'!$Q$21*(DF18-1)&gt;0,1+'Options and results'!$Q$21*(DF18-1),0),0)*IF(DF18&gt;='Options and results'!$K$27,'Options and results'!$K$26,1)</f>
        <v>0</v>
      </c>
      <c r="EV18" s="891">
        <f>IF($DG$8=0,0,IF(DF18&lt;='Options and results'!$W$20,IF(AND(VLOOKUP($DG$8,Treecost!$B$2:$AH$49,Treecost!$O$2,FALSE)=DF18,DF18&lt;=IF(AND(Optimisation!$B$3="Yes",Optimisation!$B$4=1),Optimisation!$B$9)),VLOOKUP($DG$8,Treecost!$B$2:$AH$49,Treecost!$P$2,FALSE)*(1-CN18),0)*IF(DF18&gt;='Options and results'!$K$25,'Options and results'!$K$24,1),0))</f>
        <v>0</v>
      </c>
      <c r="EW18" s="889">
        <f>IF($DG$8=0,0,IF(DF18&lt;='Options and results'!$W$20,IF(AND(DF18&gt;VLOOKUP($DG$8,Treecost!$B$2:$AH$49,Treecost!$O$2,FALSE),DF18&lt;=IF(AND(Optimisation!$B$3="Yes",Optimisation!$B$4=1),Optimisation!$B$9,VLOOKUP($DG$8,Treecost!$B$2:$AH$49,Treecost!$R$2,FALSE))),VLOOKUP($DG$8,Treecost!$B$2:$AH$49,Treecost!$S$2,FALSE)*(1-CN18),0)*IF(DF18&gt;='Options and results'!$K$25,'Options and results'!$K$24,1),0))</f>
        <v>0</v>
      </c>
      <c r="EX18" s="740">
        <f>IF($DG$8=0,0,IF(DF18&lt;='Options and results'!$W$20,(IF(AND(VLOOKUP($DG$8,Treecost!$B$2:$AH$49,Treecost!$O$2,FALSE)=DF18,DF18&lt;=IF(AND(Optimisation!$B$3="Yes",Optimisation!$B$4=1),Optimisation!$B$9)),VLOOKUP($DG$8,Treecost!$B$2:$AH$49,Treecost!$Q$2,FALSE),0)*(1-CN18)+IF(AND(DF18&gt;VLOOKUP($DG$8,Treecost!$B$2:$AH$49,Treecost!$O$2,FALSE),DF18&lt;=IF(AND(Optimisation!$B$3="Yes",Optimisation!$B$4=1),Optimisation!$B$9,VLOOKUP($DG$8,Treecost!$B$2:$AH$49,Treecost!$R$2,FALSE))),VLOOKUP($DG$8,Treecost!$B$2:$AH$49,Treecost!$T$2,FALSE),0)*(1-CN18)+(EV18*$EI$16+EW18*$EI$17))*IF(DF18&gt;='Options and results'!$K$27,'Options and results'!$K$26,1),0))*IF(1+'Options and results'!$Q$21*(DF18-1)&gt;0,1+'Options and results'!$Q$21*(DF18-1),0)</f>
        <v>0</v>
      </c>
      <c r="EY18" s="894">
        <f>IF($DG$8=0,0,IF(DF18&lt;='Options and results'!$W$20,IF(AND(DF18&gt;=VLOOKUP($DG$8,Treecost!$B$2:$W$49,Treecost!$U$2,FALSE),DF18&lt;=VLOOKUP($DG$8,Treecost!$B$2:$W$49,Treecost!$V$2,FALSE)),(DL18*VLOOKUP($DG$8,Treecost!$B$2:$W$49,Treecost!$W$2,FALSE)/60),0)*IF(DF18&gt;='Options and results'!$K$25,'Options and results'!$K$24,1),0))</f>
        <v>0</v>
      </c>
      <c r="EZ18" s="740">
        <f>EY18*$EI$18*IF(DF18&gt;='Options and results'!$K$27,'Options and results'!$K$26,1)*IF(1+'Options and results'!$Q$21*(DF18-1)&gt;0,1+'Options and results'!$Q$21*(DF18-1),0)</f>
        <v>0</v>
      </c>
      <c r="FA18" s="1025">
        <f>IF(DF18&lt;='Options and results'!$W$20,IF(DL18&lt;=0,0,VLOOKUP($DG$8,Treecost!$B$6:$AH$49,Treecost!$AC$2,FALSE)+VLOOKUP($DG$8,Treecost!$B$6:$AH$49,Treecost!$AD$2,FALSE)+IF(AND(DF18&gt;=VLOOKUP($DG$8,Treecost!$B$2:$AK$49,Treecost!$AI$2,FALSE),DF18&lt;=VLOOKUP($DG$8,Treecost!$B$2:$AK$49,Treecost!$AJ$2,FALSE)),VLOOKUP($DG$8,Treecost!$B$2:$AK$49,Treecost!$AK$2,FALSE)*(1-CN18),0))*IF(DF18&gt;='Options and results'!$K$27,'Options and results'!$K$26,1),0)*IF(1+'Options and results'!$Q$22*(DF18-1)&gt;0,1+'Options and results'!$Q$22*(DF18-1),0)</f>
        <v>3</v>
      </c>
      <c r="FB18" s="894">
        <f>IF(DF18&lt;='Options and results'!$W$20,IF(DN18&gt;0,VLOOKUP($DG$8,Treecost!$B$6:$AH$49,Treecost!$AE$2,FALSE)/60*DN18,0)*IF(DF18&gt;='Options and results'!$K$25,'Options and results'!$K$24,1),0)</f>
        <v>0</v>
      </c>
      <c r="FC18" s="740">
        <f>IF(DF18&lt;='Options and results'!$W$20,IF(DN18&gt;0,VLOOKUP($DG$8,Treecost!$B$6:$AH$49,Treecost!$AF$2,FALSE)/60*DN18,0)*IF(DF18&gt;='Options and results'!$K$25,'Options and results'!$K$24,1),0)</f>
        <v>0</v>
      </c>
      <c r="FD18" s="740">
        <f>(FB18*$EI$20+FC18*$EI$21)*IF(DF18&gt;='Options and results'!$K$27,'Options and results'!$K$26,1)*IF(1+'Options and results'!$Q$21*(DF18-1)&gt;0,1+'Options and results'!$Q$21*(DF18-1),0)</f>
        <v>0</v>
      </c>
      <c r="FE18" s="894">
        <f>IF(DF18&lt;='Options and results'!$W$20,IF(DO18&gt;0,(VLOOKUP($DG$8,Treecost!$B$6:$AH$49,Treecost!$AG$2,FALSE)/60*DO18)*IF(DF18&gt;='Options and results'!$K$25,'Options and results'!$K$24,1),0),0)</f>
        <v>0</v>
      </c>
      <c r="FF18" s="740">
        <f>IF(DF18&lt;='Options and results'!$W$20,IF(DO18&gt;0,(VLOOKUP($DG$8,Treecost!$B$6:$AH$49,Treecost!$AH$2,FALSE)/60*DO18)*IF(DF18&gt;='Options and results'!$K$25,'Options and results'!$K$24,1),0),0)</f>
        <v>0</v>
      </c>
      <c r="FG18" s="740">
        <f>(FE18*$EI$22+FF18*$EI$23)*IF(DF18&gt;='Options and results'!$K$27,'Options and results'!$K$26,1)*IF(1+'Options and results'!$Q$21*(DF18-1)&gt;0,1+'Options and results'!$Q$21*(DF18-1),0)</f>
        <v>0</v>
      </c>
      <c r="FH18" s="894">
        <f t="shared" si="157"/>
        <v>0</v>
      </c>
      <c r="FI18" s="1027">
        <f t="shared" si="158"/>
        <v>0</v>
      </c>
      <c r="FJ18" s="1027">
        <f t="shared" si="159"/>
        <v>0</v>
      </c>
      <c r="FK18" s="1027">
        <f t="shared" si="160"/>
        <v>3</v>
      </c>
      <c r="FL18" s="1027">
        <f t="shared" si="183"/>
        <v>-3</v>
      </c>
      <c r="FM18" s="1027">
        <f>IF($DF18&lt;='Options and results'!$W$20,SUM(FI$8:$FI18),0)</f>
        <v>0</v>
      </c>
      <c r="FN18" s="1027">
        <f>IF($DF18&lt;='Options and results'!$W$20,SUM($FJ$8:FJ18),0)</f>
        <v>0</v>
      </c>
      <c r="FO18" s="1027">
        <f>IF($DF18&lt;='Options and results'!$W$20,SUM($FK$8:FK18),0)</f>
        <v>882.4627324941597</v>
      </c>
      <c r="FP18" s="1027">
        <f>IF($DF18&lt;='Options and results'!$W$20,FM18+FN18-FO18,0)</f>
        <v>-882.4627324941597</v>
      </c>
      <c r="FQ18" s="1027">
        <f t="shared" si="162"/>
        <v>62.018692802239059</v>
      </c>
      <c r="FR18" s="1027">
        <f t="shared" si="163"/>
        <v>59.018692802239059</v>
      </c>
      <c r="FS18" s="1027">
        <f t="shared" si="164"/>
        <v>0</v>
      </c>
      <c r="FT18" s="1189">
        <f>IF(DF18&lt;='Options and results'!$W$20,FP18+DZ18,0)</f>
        <v>-815.76354013863261</v>
      </c>
      <c r="FU18" s="401"/>
      <c r="FV18" s="895">
        <f t="shared" si="165"/>
        <v>11</v>
      </c>
      <c r="FW18" s="894">
        <f>G18/(1+'Options and results'!$W$33)^(FV18-1)</f>
        <v>1212.0932076554141</v>
      </c>
      <c r="FX18" s="740">
        <f>(AP18+AR18+AS18)/(1+'Options and results'!$W$33)^(FV18-1)</f>
        <v>0</v>
      </c>
      <c r="FY18" s="740">
        <f ca="1">CQ18/(1+'Options and results'!$W$33)^(FV18-1)</f>
        <v>661.22758248243645</v>
      </c>
      <c r="FZ18" s="740">
        <f>(EA18+EC18+ED18)/(1+'Options and results'!$W$33)^(FV18-1)</f>
        <v>0</v>
      </c>
      <c r="GA18" s="1019">
        <f t="shared" ca="1" si="180"/>
        <v>661.22758248243645</v>
      </c>
      <c r="GB18" s="1026">
        <f>(AO18+AQ18)/(1+'Options and results'!$W$33)^(FV18-1)+FX18</f>
        <v>161.89767272125954</v>
      </c>
      <c r="GC18" s="1027">
        <f>IF(FV18&gt;'Options and results'!$W$27,0,GB18-GB17)</f>
        <v>59.567421858855383</v>
      </c>
      <c r="GD18" s="1027">
        <f>(DZ18+EB18)/(1+'Options and results'!$W$33)^(FV18-1)+FZ18</f>
        <v>105.95987892561335</v>
      </c>
      <c r="GE18" s="1379">
        <f>IF(FV18&gt;'Options and results'!$W$27,0,GD18-GD17)</f>
        <v>39.335115763766908</v>
      </c>
      <c r="GF18" s="894">
        <f>IF(FV18&lt;='Options and results'!$W$20,SUM(FW$8:FW18),0)</f>
        <v>14651.491470675959</v>
      </c>
      <c r="GG18" s="740">
        <f>IF(FV18&lt;='Options and results'!$W$20,SUM(FX$8:FX18), 0)</f>
        <v>0</v>
      </c>
      <c r="GH18" s="740">
        <f ca="1">IF(FV18&lt;='Options and results'!$W$20,SUM(FY$8:FY18),0)</f>
        <v>12648.976402930904</v>
      </c>
      <c r="GI18" s="740">
        <f>IF(FV18&lt;='Options and results'!$W$20,SUM(FZ$8:FZ18),0)</f>
        <v>0</v>
      </c>
      <c r="GJ18" s="1019">
        <f t="shared" ca="1" si="166"/>
        <v>12648.976402930904</v>
      </c>
      <c r="GK18" s="894">
        <f>IF(FV18&gt;'Options and results'!$W$27,0,GG18+SUM(GC$8:GC18)-FX18)</f>
        <v>161.89767272125954</v>
      </c>
      <c r="GL18" s="740">
        <f>IF(FV18&lt;='Options and results'!$W$20,SUM(GD$8:GD18),0)</f>
        <v>257.61489329734229</v>
      </c>
      <c r="GM18" s="1034">
        <f t="shared" ca="1" si="167"/>
        <v>12906.591296228247</v>
      </c>
      <c r="GN18" s="401"/>
      <c r="GO18" s="895">
        <f t="shared" si="168"/>
        <v>11</v>
      </c>
      <c r="GP18" s="894">
        <f>H18/(1+'Options and results'!$W$33)^(GO18-1)</f>
        <v>158.8926925078278</v>
      </c>
      <c r="GQ18" s="740">
        <f>SUM(AT18:AV18)/(1+'Options and results'!$W$33)^(GO18-1)</f>
        <v>0</v>
      </c>
      <c r="GR18" s="740">
        <f>CR18/(1+'Options and results'!$W$33)^(GO18-1)</f>
        <v>0</v>
      </c>
      <c r="GS18" s="740">
        <f>SUM(EE18:EG18)/(1+'Options and results'!$W$33)^(GO18-1)</f>
        <v>0</v>
      </c>
      <c r="GT18" s="1019">
        <f t="shared" si="181"/>
        <v>0</v>
      </c>
      <c r="GU18" s="894">
        <f>IF(GO18&lt;='Options and results'!$W$20,SUM(GP$8:GP18),0)</f>
        <v>2142.8826873043022</v>
      </c>
      <c r="GV18" s="740">
        <f>IF(GO18&lt;='Options and results'!$W$20,SUM(GQ$8:GQ18),0)</f>
        <v>0</v>
      </c>
      <c r="GW18" s="740">
        <f>IF(GO18&lt;='Options and results'!$W$20,SUM(GR$8:GR18),0)</f>
        <v>0</v>
      </c>
      <c r="GX18" s="740">
        <f>IF(GO18&lt;='Options and results'!$W$20,SUM(GS$8:GS18),0)</f>
        <v>0</v>
      </c>
      <c r="GY18" s="1034">
        <f>IF(GO18&lt;='Options and results'!$W$20,SUM(GT$8:GT18),0)</f>
        <v>0</v>
      </c>
      <c r="GZ18" s="401"/>
      <c r="HA18" s="895">
        <f t="shared" si="169"/>
        <v>11</v>
      </c>
      <c r="HB18" s="1026">
        <f>(J18+L18+(M18*N18))/(1+'Options and results'!$W$33)^(HA18-1)</f>
        <v>768.67356090470037</v>
      </c>
      <c r="HC18" s="740">
        <f>BZ18/(1+'Options and results'!$W$33)^(HA18-1)</f>
        <v>202.87742092090488</v>
      </c>
      <c r="HD18" s="1027">
        <f>(CT18+CV18+(CW18*CX18))/(1+'Options and results'!$W$33)^(HA18-1)</f>
        <v>760.98682529565349</v>
      </c>
      <c r="HE18" s="740">
        <f>FK18/(1+'Options and results'!$W$33)^(HA18-1)</f>
        <v>2.0266925064773957</v>
      </c>
      <c r="HF18" s="1019">
        <f t="shared" si="182"/>
        <v>763.01351780213088</v>
      </c>
      <c r="HG18" s="894">
        <f>IF(HA18&lt;='Options and results'!$W$20,SUM(HB$8:HB18),0)</f>
        <v>11105.269717540297</v>
      </c>
      <c r="HH18" s="740">
        <f>IF(HA18&lt;='Options and results'!$W$20,SUM(HC$8:HC18),0)</f>
        <v>1378.5394623670215</v>
      </c>
      <c r="HI18" s="740">
        <f>IF(HA18&lt;='Options and results'!$W$20,SUM(HD$8:HD18),0)</f>
        <v>10994.217020364893</v>
      </c>
      <c r="HJ18" s="740">
        <f>IF(HA18&lt;='Options and results'!$W$20,SUM(HE$8:HE18),0)</f>
        <v>799.12074841874312</v>
      </c>
      <c r="HK18" s="1034">
        <f>IF(HA18&lt;='Options and results'!$W$20,SUM(HF$8:HF18),0)</f>
        <v>11793.337768783638</v>
      </c>
      <c r="HL18" s="405"/>
      <c r="HM18" s="895">
        <f t="shared" si="170"/>
        <v>11</v>
      </c>
      <c r="HN18" s="1026">
        <f t="shared" si="171"/>
        <v>602.31233925854156</v>
      </c>
      <c r="HO18" s="1027">
        <f t="shared" si="172"/>
        <v>-202.87742092090488</v>
      </c>
      <c r="HP18" s="1027">
        <f t="shared" ca="1" si="173"/>
        <v>-99.759242813217043</v>
      </c>
      <c r="HQ18" s="1027">
        <f t="shared" si="174"/>
        <v>-2.0266925064773957</v>
      </c>
      <c r="HR18" s="1027">
        <f t="shared" si="175"/>
        <v>-143.30999906204949</v>
      </c>
      <c r="HS18" s="1379">
        <f t="shared" si="176"/>
        <v>37.308423257289512</v>
      </c>
      <c r="HT18" s="1026">
        <f>IF($HM18&lt;='Options and results'!$W$20,SUM(HN$8:HN18),0)</f>
        <v>5689.1044404399618</v>
      </c>
      <c r="HU18" s="1027">
        <f>IF($HM18&lt;='Options and results'!$W$20,SUM(HO$8:HO18),0)</f>
        <v>-1378.5394623670215</v>
      </c>
      <c r="HV18" s="1027">
        <f ca="1">IF($HM18&lt;='Options and results'!$W$20,SUM(HP$8:HP18),0)</f>
        <v>1654.7593825660083</v>
      </c>
      <c r="HW18" s="1027">
        <f>IF($HM18&lt;='Options and results'!$W$20,SUM(HQ$8:HQ18),0)</f>
        <v>-799.12074841874312</v>
      </c>
      <c r="HX18" s="1027">
        <f t="shared" ca="1" si="177"/>
        <v>855.63863414726518</v>
      </c>
      <c r="HY18" s="1027">
        <f>IF($HM18&lt;='Options and results'!$W$20,SUM(HR$8:HR18),0)</f>
        <v>-1216.6417896457619</v>
      </c>
      <c r="HZ18" s="1027">
        <f>IF($HM18&lt;='Options and results'!$W$20,SUM(HS$8:HS18),0)</f>
        <v>-693.16086949312967</v>
      </c>
      <c r="IA18" s="1189">
        <f t="shared" ca="1" si="178"/>
        <v>961.59851307287863</v>
      </c>
    </row>
    <row r="19" spans="1:235" x14ac:dyDescent="0.25">
      <c r="A19" s="1010">
        <f t="shared" si="126"/>
        <v>12</v>
      </c>
      <c r="B19" s="1011" t="str">
        <f>IF('Options and results'!$C$17="None",0,CONCATENATE('Options and results'!$C$23," ",(HLOOKUP(CONCATENATE('Options and results'!$C$17," ",Arablesystem!$B$11),Arablesystem!$B$10:$ER$72,$A19+3,FALSE))))</f>
        <v>UK - Agriculture (BPS: from 2015) Oilseed</v>
      </c>
      <c r="C19" s="1012">
        <f>IF(HLOOKUP(CONCATENATE('Options and results'!$C$17," ",Arablesystem!$C$11),Arablesystem!$B$10:$ER$72,$A19+3,FALSE)="T",(VLOOKUP(B19,Arablefinance!$Z$6:$AB$105,Arablefinance!$AB$2,FALSE)*E19+VLOOKUP(B19,Arablefinance!$Z$6:$AC$105,Arablefinance!$AC$2,FALSE)*F19)/VLOOKUP(B19,Arablefinance!$Z$6:$AA$105,Arablefinance!$AA$2,FALSE),0)</f>
        <v>0</v>
      </c>
      <c r="D19" s="1012">
        <f>IF(B19=0,0,HLOOKUP(CONCATENATE('Options and results'!$C$17," ",Arablesystem!$D$11),Arablesystem!$B$10:$ER$72,$A19+3,FALSE))</f>
        <v>1</v>
      </c>
      <c r="E19" s="1440">
        <f>IF(B19=0,0,HLOOKUP(CONCATENATE('Options and results'!$C$17," ",Arablesystem!$E$11),Arablesystem!$B$10:$ER$72,$A19+3,FALSE)*IF(A19&gt;='Options and results'!$H$19,'Options and results'!$H$18,1))</f>
        <v>3.5467265073385787</v>
      </c>
      <c r="F19" s="1440">
        <f>IF(B19=0,0,HLOOKUP(CONCATENATE('Options and results'!$C$17," ",Arablesystem!$F$11),Arablesystem!$B$10:$ER$72,$A19+3,FALSE)*IF(A19&gt;='Options and results'!$H$19,'Options and results'!$H$18,1))</f>
        <v>1.7733632536692894</v>
      </c>
      <c r="G19" s="1013">
        <f>IF(D19&lt;=0,0,IF(A19&lt;='Options and results'!$W$20,IF(C19&gt;0,VLOOKUP(B19,Arablefinance!$Z$6:$AE$105,Arablefinance!$AD$2,FALSE)*C19*D19,((VLOOKUP(B19,Arablefinance!$E$6:$G$126,Arablefinance!$F$2,FALSE)*(E19*D19)+VLOOKUP(B19,Arablefinance!$E$6:$G$126,Arablefinance!$G$2,FALSE)*(F19*D19)))),0)*IF(A19&gt;='Options and results'!$H$21,'Options and results'!$H$20,1))*IF(1+'Options and results'!$O$20*(A19-1)&gt;0,1+'Options and results'!$O$20*(A19-1),0)</f>
        <v>1280.7623498722644</v>
      </c>
      <c r="H19" s="1441">
        <f>IF(D19&lt;=0,0,IF(A19&lt;='Options and results'!$W$20,IF(AND(C19&gt;0,VLOOKUP(B19,Arablefinance!$Z$6:$AI$105,Arablefinance!$AI$2,FALSE)=2),VLOOKUP(B19,Arablefinance!$Z$6:$AE$105,Arablefinance!$AE$2,FALSE)*C19*D19,(VLOOKUP(B19,Arablefinance!$E$6:$H$126,Arablefinance!$H$2,FALSE)*D19))*IF(A19&gt;='Options and results'!$H$23,'Options and results'!$H$22,1),0)*IF(AND(1+'Options and results'!$O$23*(A19-1)&gt;0,1+'Options and results'!$O$23*(A19-1)&gt;'Options and results'!$S$24),1+'Options and results'!$O$23*(A19-1),'Options and results'!$S$24))</f>
        <v>235.2</v>
      </c>
      <c r="I19" s="1441">
        <f t="shared" si="127"/>
        <v>1515.9623498722644</v>
      </c>
      <c r="J19" s="1441">
        <f>IF(D19&lt;=0,0,IF(A19&lt;='Options and results'!$W$20,IF(C19&gt;0,VLOOKUP(B19,Arablefinance!$Z$6:$AF$105,Arablefinance!$AF$2,FALSE)*C19*D19,(VLOOKUP(B19,Arablefinance!$E$6:$X$126,Arablefinance!$R$2,FALSE))*D19),0)*IF(A19&gt;='Options and results'!$H$27,'Options and results'!$H$26,1))*IF(1+'Options and results'!$O$22*(A19-1)&gt;0,1+'Options and results'!$O$22*(A19-1),0)</f>
        <v>633.88888888888891</v>
      </c>
      <c r="K19" s="1441">
        <f t="shared" si="128"/>
        <v>882.07346098337553</v>
      </c>
      <c r="L19" s="1441">
        <f>IF(D19&lt;=0,0,IF(A19&lt;='Options and results'!$W$20,IF(C19&gt;0,VLOOKUP(B19,Arablefinance!$Z$6:$AG$105,Arablefinance!$AG$2,FALSE)*C19*D19,VLOOKUP(B19,Arablefinance!$E$6:$X$126,Arablefinance!$X$2,FALSE)*D19),0)*IF(A19&gt;='Options and results'!$H$27,'Options and results'!$H$26,1))*IF(1+'Options and results'!$O$22*(A19-1)&gt;0,1+'Options and results'!$O$22*(A19-1),0)</f>
        <v>444.44444444444446</v>
      </c>
      <c r="M19" s="1442">
        <f>IF(D19&lt;=0,0,IF(A19&lt;='Options and results'!$W$20,'Options and results'!$C$27,0)*IF(A19&gt;='Options and results'!$H$27,'Options and results'!$H$26,1))*IF(1+'Options and results'!$O$21*(A19-1)&gt;0,1+'Options and results'!$O$21*(A19-1),0)</f>
        <v>14.6</v>
      </c>
      <c r="N19" s="1442">
        <f>IF(D19&lt;=0,0,IF(A19&lt;='Options and results'!$W$20,IF(C19&gt;0,VLOOKUP(B19,Arablefinance!$Z$6:$AH$105,Arablefinance!$AH$2,FALSE)*C19*D19,VLOOKUP(B19,Arablefinance!$E$6:$W$126,Arablefinance!$V$2,FALSE)*D19),0)*IF(A19&gt;='Options and results'!$H$25,'Options and results'!$H$24,1))</f>
        <v>7.4591130728145263</v>
      </c>
      <c r="O19" s="1013">
        <f t="shared" si="129"/>
        <v>1187.2363841964257</v>
      </c>
      <c r="P19" s="1353">
        <f t="shared" si="130"/>
        <v>328.72596567583901</v>
      </c>
      <c r="Q19" s="1013">
        <f>IF(A19&lt;='Options and results'!$W$20,SUM(G$8:$G19),0)</f>
        <v>18978.978699349842</v>
      </c>
      <c r="R19" s="1441">
        <f>IF($A19&lt;='Options and results'!$W$20,SUM($H$8:H19),0)</f>
        <v>2822.3999999999996</v>
      </c>
      <c r="S19" s="1441">
        <f>IF($A19&lt;='Options and results'!$W$20,SUM($O$8:O19),0)</f>
        <v>14579.636066431001</v>
      </c>
      <c r="T19" s="1032">
        <f>IF(A19&lt;='Options and results'!$W$20,Q19+R19-S19,0)</f>
        <v>7221.742632918842</v>
      </c>
      <c r="U19" s="405"/>
      <c r="V19" s="1010">
        <f t="shared" si="131"/>
        <v>12</v>
      </c>
      <c r="W19" s="173"/>
      <c r="X19" s="1036"/>
      <c r="Y19" s="1030">
        <f>IF(V19&lt;='Options and results'!$M$34,'Options and results'!$M$33,0)</f>
        <v>0</v>
      </c>
      <c r="Z19" s="1441">
        <f t="shared" si="132"/>
        <v>0</v>
      </c>
      <c r="AA19" s="1441">
        <f t="shared" si="133"/>
        <v>0</v>
      </c>
      <c r="AB19" s="1428">
        <f t="shared" si="134"/>
        <v>156</v>
      </c>
      <c r="AC19" s="1441">
        <f>IF($W$8=0,0,IF(HLOOKUP(CONCATENATE('Options and results'!$C$32," ",Forestrysystem!$C$8),Forestrysystem!$A$7:$IH$70,V19+4,FALSE)&lt;AB19,HLOOKUP(CONCATENATE('Options and results'!$C$32," ",Forestrysystem!$C$8),Forestrysystem!$A$7:$IH$70,V19+4,FALSE),0))</f>
        <v>0</v>
      </c>
      <c r="AD19" s="1441">
        <f>IF($W$8=0,0,IF(HLOOKUP(CONCATENATE('Options and results'!$C$32," ",Forestrysystem!$C$8),Forestrysystem!$A$7:$IH$70,V19+4,FALSE)&gt;=AB19,AB19,0))</f>
        <v>0</v>
      </c>
      <c r="AE19" s="1440">
        <f>IF($W$8=0,0,HLOOKUP(CONCATENATE('Options and results'!$C$32," ",Forestrysystem!$D$8),Forestrysystem!$A$7:$IH$70,$V19+4,FALSE))</f>
        <v>12.487749425796061</v>
      </c>
      <c r="AF19" s="1037"/>
      <c r="AG19" s="1440">
        <f>IF($W$8=0,0,IF(V19=1,'Options and results'!$M$36,0)+IF('Options and results'!$M$39="yes",IF(AND(AG18+'Options and results'!$M$37&lt;=$AF$8,AG18+'Options and results'!$M$37+IF(V19=1,'Options and results'!$M$36,0)&lt;='Options and results'!$M$38*AE19),AG18+'Options and results'!$M$37,AG18),(HLOOKUP(CONCATENATE('Options and results'!$C$32," ",Forestrysystem!$E$8),Forestrysystem!$A$7:$IH$70,V19+4,FALSE))-IF(V19=1,'Options and results'!$M$36,0)))</f>
        <v>7.5</v>
      </c>
      <c r="AH19" s="1442">
        <f>IF(OR($W$8=0,AB19&lt;=0),0,(HLOOKUP(CONCATENATE('Options and results'!$C$32," ",Forestrysystem!$F$8),Forestrysystem!$A$7:$IH$70,$V19+4,FALSE)) * IF(V19&gt;='Options and results'!$I$19,'Options and results'!$I$18,1) )</f>
        <v>17.715572163609639</v>
      </c>
      <c r="AI19" s="1452">
        <f t="shared" si="179"/>
        <v>0.11356136002313871</v>
      </c>
      <c r="AJ19" s="1442">
        <f t="shared" si="135"/>
        <v>0</v>
      </c>
      <c r="AK19" s="1453">
        <f>IF(OR($W$8=0,AE19&lt;=0),0,(HLOOKUP(CONCATENATE('Options and results'!$C$32," ",Forestrysystem!$G$8),Forestrysystem!$A$7:$IH$70,$V19+4,FALSE)) * IF(Y19&gt;='Options and results'!$I$19,'Options and results'!$I$18,1) )</f>
        <v>7.8116369293926695</v>
      </c>
      <c r="AL19" s="1453">
        <f>IF($W$8=0,0,HLOOKUP(CONCATENATE('Options and results'!$C$32," ",Forestrysystem!$H$8),Forestrysystem!$A$7:$IH$70,$V19+4,FALSE)*IF(V19&gt;='Options and results'!$I$19,'Options and results'!$I$18,1))</f>
        <v>0</v>
      </c>
      <c r="AM19" s="1383">
        <f>IF($W$8=0,0,HLOOKUP(CONCATENATE('Options and results'!$C$32," ",Forestrysystem!$I$8),Forestrysystem!$A$7:$IH$70,$V19+4,FALSE)*IF(V19&gt;='Options and results'!$I$19,'Options and results'!$I$18,1))</f>
        <v>0</v>
      </c>
      <c r="AN19" s="1382">
        <f>IF(AI19&gt;0,HLOOKUP(AI19,Treevalue!$I$4:$BC$34,'Options and results'!$C$39+1),0)*IF(V19&gt;='Options and results'!$I$21,'Options and results'!$I$20,1)*IF(1+'Options and results'!$Q$20*(V19-1)&gt;0,1+'Options and results'!$Q$20*(V19-1),0)</f>
        <v>9.3515121678087496</v>
      </c>
      <c r="AO19" s="1454">
        <f t="shared" si="136"/>
        <v>165.66738864768951</v>
      </c>
      <c r="AP19" s="1454">
        <f t="shared" si="137"/>
        <v>0</v>
      </c>
      <c r="AQ19" s="1454">
        <f>(IF('Options and results'!$C$39&gt;0,IF(V19&lt;='Options and results'!$W$20,VLOOKUP('Options and results'!$C$39,Treevalue!$A$4:$F$34,5,FALSE),0),0)*AK19)*IF(V19&gt;='Options and results'!$I$21,'Options and results'!$I$20,1)*IF(1+'Options and results'!$Q$20*(V19-1)&gt;0,1+'Options and results'!$Q$20*(V19-1),0)-AR19</f>
        <v>195.29092323481674</v>
      </c>
      <c r="AR19" s="1441">
        <f>(IF('Options and results'!$C$39&gt;0,IF(V19&lt;='Options and results'!$W$20,VLOOKUP('Options and results'!$C$39,Treevalue!$A$4:$F$34,5,FALSE),0),0)*AL19)*IF(V19&gt;='Options and results'!$I$21,'Options and results'!$I$20,1)*IF(1+'Options and results'!$Q$20*(V19-1)&gt;0,1+'Options and results'!$Q$20*(V19-1),0)</f>
        <v>0</v>
      </c>
      <c r="AS19" s="1441">
        <f>(IF('Options and results'!$C$39&gt;0,IF(V19&lt;='Options and results'!$W$20,VLOOKUP('Options and results'!$C$39,Treevalue!$A$4:$F$34,6,FALSE),0),0)*AM19)*IF(V19&gt;='Options and results'!$I$21,'Options and results'!$I$20,1)*IF(1+'Options and results'!$Q$20*(V19-1)&gt;0,1+'Options and results'!$Q$20*(V19-1),0)</f>
        <v>0</v>
      </c>
      <c r="AT19" s="1441">
        <f>IF(V19&lt;='Options and results'!$W$20,(IF(AB19&lt;=0,0,IF('Options and results'!$C$43="cost",(IF(V19&lt;='Options and results'!$C$44,BZ19*SUM('Options and results'!$C$45:$C$46),0)),IF('Options and results'!$C$41&gt;0,(IF(VLOOKUP('Options and results'!$C$42,Treegrant!$B$6:$L$42,Treegrant!$C$2,FALSE)=V19,VLOOKUP('Options and results'!$C$42,Treegrant!$B$6:$L$42,Treegrant!$D$2,FALSE),0)+IF(VLOOKUP('Options and results'!$C$42,Treegrant!$B$6:$L$42,Treegrant!$E$2,FALSE)=V19,VLOOKUP('Options and results'!$C$42,Treegrant!$B$6:$L$42,Treegrant!$F$2,FALSE),0)+IF(VLOOKUP('Options and results'!$C$42,Treegrant!$B$6:$L$42,Treegrant!$G$2,FALSE)=V19,VLOOKUP('Options and results'!$C$42,Treegrant!$B$6:$L$42,Treegrant!$H$2,FALSE)))*IF('Options and results'!$C$43="area",1,'Options and results'!$C$43),0)))*IF(V19&gt;='Options and results'!$I$23,'Options and results'!$I$22,1)),0)*IF(1+'Options and results'!$Q$23*(V19-1)&gt;0,1+'Options and results'!$Q$23*(V19-1),0)</f>
        <v>0</v>
      </c>
      <c r="AU19" s="1441">
        <f>IF($W$8=0,0,IF(V19&lt;='Options and results'!$W$20,IF(AB19&lt;=0,0,IF('Options and results'!$C$41&gt;0,IF(AND(VLOOKUP('Options and results'!$C$42,Treegrant!$B$6:$L$42,Treegrant!$J$2,FALSE)&lt;=V19,VLOOKUP('Options and results'!$C$42,Treegrant!$B$6:$L$42,Treegrant!$K$2,FALSE)&gt;=V19),(VLOOKUP('Options and results'!$C$42,Treegrant!$B$6:$L$42,Treegrant!$L$2,FALSE)),0)*IF('Options and results'!$C$47="full",1,'Options and results'!$C$47))*IF(V19&gt;='Options and results'!$I$23,'Options and results'!$I$22,1)),0))*IF(1+'Options and results'!$Q$23*(V19-1)&gt;0,1+'Options and results'!$Q$23*(V19-1),0)</f>
        <v>0</v>
      </c>
      <c r="AV19" s="1032">
        <f>IF($W$8=0,0,IF(V19&lt;='Options and results'!$W$20,IF(AB19&lt;=0,0,(IF('Options and results'!$C$41&gt;0,(IF(AND(VLOOKUP('Options and results'!$C$42,Treegrant!$B$6:$O$42,Treegrant!$M$2,FALSE)&lt;=V19,VLOOKUP('Options and results'!$C$42,Treegrant!$B$6:$O$42,Treegrant!$N$2,FALSE)&gt;=V19),(VLOOKUP('Options and results'!$C$42,Treegrant!$B$6:$O$42,Treegrant!$O$2,FALSE)),0)*IF('Options and results'!$C$48="full",1,'Options and results'!$C$48))+(IF(AND(VLOOKUP('Options and results'!$C$42,Treegrant!$B$6:$R$42,Treegrant!$P$2,FALSE)&lt;=V19,VLOOKUP('Options and results'!$C$42,Treegrant!$B$6:$R$42,Treegrant!$Q$2,FALSE)&gt;=V19),(VLOOKUP('Options and results'!$C$42,Treegrant!$B$6:$R$42,Treegrant!$R$2,FALSE)),0))*IF('Options and results'!$C$49="full",1,'Options and results'!$C$49)))*IF(V19&gt;='Options and results'!$I$23,'Options and results'!$I$22,1)),0))*IF(1+'Options and results'!$Q$23*(V19-1)&gt;0,1+'Options and results'!$Q$23*(V19-1),0)</f>
        <v>0</v>
      </c>
      <c r="AW19" s="1033" t="s">
        <v>95</v>
      </c>
      <c r="AX19" s="1018">
        <f>'Options and results'!S41</f>
        <v>14.6</v>
      </c>
      <c r="AY19" s="1419">
        <f>IF($W$8=0,0,IF(V19=1,VLOOKUP($W$8,Treecost!$B$6:$AH$49,Treecost!$E$2,FALSE),0)*IF(V19&gt;='Options and results'!$I$25,'Options and results'!$I$24,1))</f>
        <v>0</v>
      </c>
      <c r="AZ19" s="889">
        <f>IF($W$8=0,0,IF(V19=1,VLOOKUP($W$8,Treecost!$B$6:$AH$49,Treecost!$F$2,FALSE),0)*IF(V19&gt;='Options and results'!$I$25,'Options and results'!$I$24,1))</f>
        <v>0</v>
      </c>
      <c r="BA19" s="889">
        <f>IF($W$8=0,0,IF(V19=1,VLOOKUP($W$8,Treecost!$B$6:$AH$49,Treecost!$G$2,FALSE),0)*IF(V19&gt;='Options and results'!$I$25,'Options and results'!$I$24,1))</f>
        <v>0</v>
      </c>
      <c r="BB19" s="889">
        <f>IF($W$8=0,0,IF(V19&lt;='Options and results'!$W$20,((VLOOKUP($W$8,Treecost!$B$6:$AH$49,Treecost!$H$2,FALSE)*(X19+AA19))/60)*IF(V19&gt;='Options and results'!$I$25,'Options and results'!$I$24,1),0))</f>
        <v>0</v>
      </c>
      <c r="BC19" s="889">
        <f>IF($W$8=0,0,IF(V19&lt;='Options and results'!$W$20,(((VLOOKUP($W$8,Treecost!$B$6:$AH$49,Treecost!$I$2,FALSE))*(X19+AA19))/60)*IF(V19&gt;='Options and results'!$I$25,'Options and results'!$I$24,1),0))</f>
        <v>0</v>
      </c>
      <c r="BD19" s="889">
        <f>IF($W$8=0,0,IF(V19&lt;='Options and results'!$W$20,(((VLOOKUP($W$8,Treecost!$B$6:$AH$49,Treecost!$J$2,FALSE))/60)*(X19+AA19))*IF(V19&gt;='Options and results'!$I$25,'Options and results'!$I$24,1),0))</f>
        <v>0</v>
      </c>
      <c r="BE19" s="1019">
        <f>IF($W$8=0,0,IF(V19&lt;='Options and results'!$W$20,(((VLOOKUP($W$8,Treecost!$B$6:$AH$49,Treecost!$C$2,FALSE)+VLOOKUP($W$8,Treecost!$B$6:$AH$49,Treecost!$D$2,FALSE))*(X19+AA19)*IF(1+'Options and results'!$Q$22*(V19-1)&gt;0,1+'Options and results'!$Q$22*(V19-1),0))+((AY19*$AX$8+AZ19*$AX$9+BA19*$AX$10+BB19*$AX$11+BC19*$AX$12+BD19*$AX$13)*IF(1+'Options and results'!$Q$21*(V19-1)&gt;0,1+'Options and results'!$Q$21*(V19-1),0)))*IF(V19&gt;='Options and results'!$I$27,'Options and results'!$I$26,1),0))</f>
        <v>0</v>
      </c>
      <c r="BF19" s="889">
        <f>IF($W$8=0,0,IF(V19&lt;='Options and results'!$W$20,IF(AND(VLOOKUP($W$8,Treecost!$B$6:$AH$49,Treecost!$K$2,FALSE)&lt;=V19,V19&lt;=(VLOOKUP($W$8,Treecost!$B$6:$AH$49,Treecost!$L$2,FALSE))),VLOOKUP($W$8,Treecost!$B$6:$AH$49,Treecost!$M$2,FALSE)*AB19/60,0)*IF(V19&gt;='Options and results'!$I$25,'Options and results'!$I$24,1),0))</f>
        <v>0</v>
      </c>
      <c r="BG19" s="1019">
        <f>IF(BF19&gt;0,(VLOOKUP($W$8,Treecost!$B$6:$AH$49,Treecost!$N$2,FALSE)*AB19*IF(1+'Options and results'!$Q$22*(V19-1)&gt;0,1+'Options and results'!$Q$22*(V19-1),0)+BF19*$AX$14*IF(1+'Options and results'!$Q$21*(V19-1)&gt;0,1+'Options and results'!$Q$21*(V19-1),0)),0)*IF(V19&gt;='Options and results'!$I$27,'Options and results'!$I$26,1)</f>
        <v>0</v>
      </c>
      <c r="BH19" s="889">
        <f>IF(V19&lt;='Options and results'!$W$20,IF(AND(AG19-AG18&gt;0,AG19&gt;'Options and results'!$M$36),(AB19-AC19)*(VLOOKUP($W$8,Treecost!$B$6:$AH$49,Treecost!$Y$2,FALSE)+(VLOOKUP($W$8,Treecost!$B$6:$AH$49,Treecost!$AA$2,FALSE)-VLOOKUP($W$8,Treecost!$B$6:$AH$49,Treecost!$Y$2,FALSE))/(VLOOKUP($W$8,Treecost!$B$6:$AH$49,Treecost!$Z$2,FALSE)-VLOOKUP($W$8,Treecost!$B$6:$AH$49,Treecost!$X$2,FALSE))*(AG19-VLOOKUP($W$8,Treecost!$B$6:$AH$49,Treecost!$X$2,FALSE)))/60,0)*IF(V19&gt;='Options and results'!$I$25,'Options and results'!$I$24,1),0)</f>
        <v>0</v>
      </c>
      <c r="BI19" s="303">
        <f>IF(V19&lt;='Options and results'!$W$20,IF(BH19&gt;0,VLOOKUP($W$8,Treecost!$B$6:$AH$49,Treecost!$AB$2,FALSE)/60*AB19,0)*IF(V19&gt;='Options and results'!$I$25,'Options and results'!$I$24,1),0)*((BH19-(MIN($BH$8:$BH$67)))/((MAX($BH$8:$BH$67))-(MIN($BH$8:$BH$67))))</f>
        <v>0</v>
      </c>
      <c r="BJ19" s="740">
        <f>IF(BH19&gt;0,(BH19*$AX$15+BI19*$AX$19)*IF(1+'Options and results'!$Q$21*(V19-1)&gt;0,1+'Options and results'!$Q$21*(V19-1),0),0)*IF(V19&gt;='Options and results'!$I$27,'Options and results'!$I$26,1)</f>
        <v>0</v>
      </c>
      <c r="BK19" s="891">
        <f>IF($W$8=0,0,IF(V19&lt;='Options and results'!$W$20,IF(VLOOKUP($W$8,Treecost!$B$2:$AH$49,Treecost!$O$2,FALSE)=V19,VLOOKUP($W$8,Treecost!$B$2:$AH$49,Treecost!$P$2,FALSE),0)*IF(V19&gt;='Options and results'!$I$25,'Options and results'!$I$24,1),0))</f>
        <v>0</v>
      </c>
      <c r="BL19" s="889">
        <f>IF($W$8=0,0,IF(V19&lt;='Options and results'!$W$20,IF(AND(V19&gt;VLOOKUP($W$8,Treecost!$B$2:$AH$49,Treecost!$O$2,FALSE),V19&lt;=VLOOKUP($W$8,Treecost!$B$2:$AH$49,Treecost!$R$2,FALSE)),VLOOKUP($W$8,Treecost!$B$2:$AH$49,Treecost!$S$2,FALSE),0)*IF(V19&gt;='Options and results'!$I$25,'Options and results'!$I$24,1),0))</f>
        <v>0</v>
      </c>
      <c r="BM19" s="740">
        <f>IF($W$8=0,0,IF(V19&lt;='Options and results'!$W$20,((IF(VLOOKUP($W$8,Treecost!$B$2:$AH$49,Treecost!$O$2,FALSE)=V19,VLOOKUP($W$8,Treecost!$B$2:$AH$49,Treecost!$Q$2,FALSE),0)+IF(AND(V19&gt;VLOOKUP($W$8,Treecost!$B$2:$AH$49,Treecost!$O$2,FALSE),V19&lt;=VLOOKUP($W$8,Treecost!$B$2:$AH$49,Treecost!$R$2,FALSE)),VLOOKUP($W$8,Treecost!$B$2:$AH$49,Treecost!$T$2,FALSE),0)*IF(1+'Options and results'!$Q$22*(V19-1)&gt;0,1+'Options and results'!$Q$22*(V19-1),0))+(BK19*$AX$16+BL19*$AX$17)*IF(1+'Options and results'!$Q$21*(V19-1)&gt;0,1+'Options and results'!$Q$21*(V19-1),0))*IF(V19&gt;='Options and results'!$I$27,'Options and results'!$I$26,1),0))</f>
        <v>0</v>
      </c>
      <c r="BN19" s="894">
        <f>IF($W$8=0,0,IF(V19&lt;='Options and results'!$W$20,IF(AND(V19&gt;=VLOOKUP($W$8,Treecost!$B$2:$W$49,Treecost!$U$2,FALSE),V19&lt;=VLOOKUP($W$8,Treecost!$B$2:$W$49,Treecost!$V$2,FALSE)),(AB19*VLOOKUP($W$8,Treecost!$B$2:$W$49,Treecost!$W$2,FALSE)/60),0)*IF(V19&gt;='Options and results'!$I$25,'Options and results'!$I$24,1),0))</f>
        <v>0</v>
      </c>
      <c r="BO19" s="740">
        <f>BN19*$AX$18*IF(V19&gt;='Options and results'!$I$27,'Options and results'!$I$26,1)*IF(1+'Options and results'!$Q$21*(V19-1)&gt;0,1+'Options and results'!$Q$21*(V19-1),0)</f>
        <v>0</v>
      </c>
      <c r="BP19" s="894">
        <f>IF(V19&lt;='Options and results'!$W$20,IF(AB19&lt;=0,0,VLOOKUP($W$8,Treecost!$B$6:$AH$49,Treecost!$AC$2,FALSE)+VLOOKUP($W$8,Treecost!$B$6:$AH$49,Treecost!$AD$2,FALSE)+IF(AND(V19&gt;=VLOOKUP($W$8,Treecost!$B$2:$AK$49,Treecost!$AI$2,FALSE),V19&lt;=VLOOKUP($W$8,Treecost!$B$2:$AK$49,Treecost!$AJ$2,FALSE)),(VLOOKUP($W$8,Treecost!$B$2:$AK$49,Treecost!$AK$2,FALSE)),0))*IF(V19&gt;='Options and results'!$I$27,'Options and results'!$I$26,1),0)*IF(1+'Options and results'!$Q$22*(V19-1)&gt;0,1+'Options and results'!$Q$22*(V19-1),0)</f>
        <v>3</v>
      </c>
      <c r="BQ19" s="894">
        <f>IF(V19&lt;='Options and results'!$W$20,IF(AC19&gt;0,VLOOKUP($W$8,Treecost!$B$6:$AH$49,Treecost!$AE$2,FALSE)/60*AC19,0)*IF(V19&gt;='Options and results'!$I$25,'Options and results'!$I$24,1),0)</f>
        <v>0</v>
      </c>
      <c r="BR19" s="740">
        <f>IF(V19&lt;='Options and results'!$W$20,IF(AC19&gt;0,VLOOKUP($W$8,Treecost!$B$6:$AH$49,Treecost!$AF$2,FALSE)/60*AC19,0)*IF(V19&gt;='Options and results'!$I$25,'Options and results'!$I$24,1),0)</f>
        <v>0</v>
      </c>
      <c r="BS19" s="740">
        <f>(BQ19*$AX$20+BR19*$AX$21)*IF(V19&gt;='Options and results'!$I$27,'Options and results'!$I$26,1)*IF(1+'Options and results'!$Q$21*(V19-1)&gt;0,1+'Options and results'!$Q$21*(V19-1),0)</f>
        <v>0</v>
      </c>
      <c r="BT19" s="894">
        <f>IF(V19&lt;='Options and results'!$W$20,IF(AD19&gt;0,(VLOOKUP($W$8,Treecost!$B$6:$AH$49,Treecost!$AG$2,FALSE)/60*AD19)*IF(V19&gt;='Options and results'!$I$25,'Options and results'!$I$24,1),0),0)</f>
        <v>0</v>
      </c>
      <c r="BU19" s="740">
        <f>IF(V19&lt;='Options and results'!$W$20,IF(AD19&gt;0,(VLOOKUP($W$8,Treecost!$B$6:$AH$49,Treecost!$AH$2,FALSE)/60*AD19)*IF(V19&gt;='Options and results'!$I$25,'Options and results'!$I$24,1),0),0)</f>
        <v>0</v>
      </c>
      <c r="BV19" s="740">
        <f>(BT19*$AX$22+BU19*$AX$23)*IF(V19&gt;='Options and results'!$I$27,'Options and results'!$I$26,1)*IF(1+'Options and results'!$Q$21*(V19-1)&gt;0,1+'Options and results'!$Q$21*(V19-1),0)</f>
        <v>0</v>
      </c>
      <c r="BW19" s="1033">
        <f t="shared" si="138"/>
        <v>0</v>
      </c>
      <c r="BX19" s="1027">
        <f t="shared" si="139"/>
        <v>0</v>
      </c>
      <c r="BY19" s="1027">
        <f t="shared" si="140"/>
        <v>0</v>
      </c>
      <c r="BZ19" s="740">
        <f t="shared" si="124"/>
        <v>3</v>
      </c>
      <c r="CA19" s="740">
        <f t="shared" si="141"/>
        <v>-3</v>
      </c>
      <c r="CB19" s="894">
        <f>IF($V19&lt;='Options and results'!$W$20,SUM(BX$8:$BX19),0)</f>
        <v>0</v>
      </c>
      <c r="CC19" s="740">
        <f>IF($V19&lt;='Options and results'!$W$20,SUM($BY$8:BY19),0)</f>
        <v>0</v>
      </c>
      <c r="CD19" s="740">
        <f>IF($V19&lt;='Options and results'!$W$20,SUM($BZ$8:BZ19),0)</f>
        <v>1604.7443691843955</v>
      </c>
      <c r="CE19" s="740">
        <f>IF(V19&lt;='Options and results'!$W$20,CB19+CC19-CD19,0)</f>
        <v>-1604.7443691843955</v>
      </c>
      <c r="CF19" s="1381">
        <f t="shared" si="142"/>
        <v>121.31020709528123</v>
      </c>
      <c r="CG19" s="1027">
        <f t="shared" si="143"/>
        <v>118.31020709528123</v>
      </c>
      <c r="CH19" s="1027">
        <f t="shared" si="144"/>
        <v>0</v>
      </c>
      <c r="CI19" s="1189">
        <f>IF(V19&lt;='Options and results'!$W$20,CE19+AO19,0)</f>
        <v>-1439.0769805367061</v>
      </c>
      <c r="CJ19" s="1023"/>
      <c r="CK19" s="895">
        <f t="shared" si="145"/>
        <v>12</v>
      </c>
      <c r="CL19" s="1011" t="str">
        <f>IF('Options and results'!$C$54="None",0,IF(AND(CK19&gt;='Options and results'!$K$57,CK18&lt;'Options and results'!$W$20),'Options and results'!$K$56,IF(Optimisation!$B$3="No",CONCATENATE('Options and results'!$C$60," ",(HLOOKUP(CONCATENATE('Options and results'!$C$54," ",Agroforestrysystem!$B$12),Agroforestrysystem!$B$11:$IM$74,$CK19+4,FALSE))),Optimisation!AA39)))</f>
        <v>UK - Agriculture (BPS: from 2015) Oilseed</v>
      </c>
      <c r="CM19" s="1012">
        <f>IF(HLOOKUP(CONCATENATE('Options and results'!$C$54," ",Agroforestrysystem!$C$12),Agroforestrysystem!$B$11:$IM$74,$CK19+4,FALSE)="T",(VLOOKUP(CL19,Arablefinance!$Z$6:$AB$105,Arablefinance!$AB$2,FALSE)*CO19+VLOOKUP(CL19,Arablefinance!$Z$6:$AC$105,Arablefinance!$AC$2,FALSE)*CP19)/VLOOKUP(CL19,Arablefinance!$Z$6:$AA$105,Arablefinance!$AA$2,FALSE),0)</f>
        <v>0</v>
      </c>
      <c r="CN19" s="1012">
        <f>IF(CL19=0,0,HLOOKUP(CONCATENATE('Options and results'!$C$54," ",Agroforestrysystem!$D$12),Agroforestrysystem!$B$11:$IM$74,$CK19+4,FALSE))</f>
        <v>0.99</v>
      </c>
      <c r="CO19" s="1440">
        <f ca="1">IF(CL19=0,0,IF(AND(Optimisation!$B$3="yes",Optimisation!$B$4=1,CK19&gt;Optimisation!$B$9),0,HLOOKUP(CONCATENATE('Options and results'!$C$54," ",Agroforestrysystem!$E$12),Agroforestrysystem!$B$11:$IM$74,$CK19+4,FALSE)*IF(CK19&gt;='Options and results'!$J$19,'Options and results'!$J$18,1)))</f>
        <v>3.22</v>
      </c>
      <c r="CP19" s="1440">
        <f ca="1">IF(CL19=0,0,IF(AND(Optimisation!$B$3="yes",Optimisation!$B$4=1,CK19&gt;Optimisation!$B$9),0,HLOOKUP(CONCATENATE('Options and results'!$C$54," ",Agroforestrysystem!$F$12),Agroforestrysystem!$B$11:$IM$74,$CK19+4,FALSE)*IF(CK19&gt;='Options and results'!$J$19,'Options and results'!$J$18,1)))</f>
        <v>1.61</v>
      </c>
      <c r="CQ19" s="1013">
        <f ca="1">IF(CN19&lt;=0,0,IF(CK19&lt;='Options and results'!$W$20,IF(CM19&gt;0,VLOOKUP(CL19,Arablefinance!$Z$6:$AE$105,Arablefinance!$AD$2,FALSE)*CM19*CN19,((VLOOKUP(CL19,Arablefinance!$E$6:$H$126,2,FALSE)*CO19+VLOOKUP(CL19,Arablefinance!$E$6:$H$126,3,FALSE)*CP19)*CN19)),0)*IF(CK19&gt;='Options and results'!$J$21,'Options and results'!$J$20,1))*IF(1+'Options and results'!$O$20*(CK19-1)&gt;0,1+'Options and results'!$O$20*(CK19-1),0)</f>
        <v>1151.1500000000001</v>
      </c>
      <c r="CR19" s="1441">
        <f>IF(CN19&lt;=0,0,IF(AND(CM19&gt;0,VLOOKUP(CL19,Arablefinance!$Z$6:$AI$105,Arablefinance!$AI$2,FALSE)=2),VLOOKUP(CL19,Arablefinance!$Z$6:$AE$105,Arablefinance!$AE$2,FALSE)*CM19*CN19,IF('Options and results'!$C$62&gt;0,IF(VLOOKUP(CL19,Arablefinance!$E$6:$W$126,Arablefinance!$H$2,FALSE)*(1-Plot!DM19*'Options and results'!$C$62)&gt;0,VLOOKUP(CL19,Arablefinance!$E$6:$W$126,Arablefinance!$H$2,FALSE)*(1-Plot!DM19*'Options and results'!$C$62),0),IF(CK19&lt;='Options and results'!$W$20,(VLOOKUP(CL19,Arablefinance!$E$6:$W$126,Arablefinance!$H$2,FALSE)*IF('Options and results'!$C$61="area",CN19,'Options and results'!$C$61)),0)))*IF(CK19&gt;='Options and results'!$J$23,'Options and results'!$J$22,1))*IF(AND(1+'Options and results'!$O$23*(CK19-1)&gt;0,1+'Options and results'!$O$23*(CK19-1)&gt;'Options and results'!$S$24),1+'Options and results'!$O$23*(CK19-1),'Options and results'!$S$24)</f>
        <v>0</v>
      </c>
      <c r="CS19" s="1441">
        <f t="shared" ca="1" si="146"/>
        <v>1151.1500000000001</v>
      </c>
      <c r="CT19" s="1441">
        <f>IF(CN19&lt;=0,0,IF(CK19&lt;='Options and results'!$W$20,IF(CM19&gt;0,VLOOKUP(CL19,Arablefinance!$Z$6:$AF$105,Arablefinance!$AF$2,FALSE)*CM19*CN19,VLOOKUP(CL19,Arablefinance!$E$6:$X$126,Arablefinance!$R$2,FALSE)*CN19),0)*IF(CK19&gt;='Options and results'!$J$27,'Options and results'!$J$26,1))*IF(1+'Options and results'!$O$22*(CK19-1)&gt;0,1+'Options and results'!$O$22*(CK19-1),0)</f>
        <v>627.55000000000007</v>
      </c>
      <c r="CU19" s="1441">
        <f t="shared" ca="1" si="147"/>
        <v>523.6</v>
      </c>
      <c r="CV19" s="1441">
        <f>IF(CN19&lt;=0,0,IF(CK19&lt;='Options and results'!$W$20,IF(CM19&gt;0,VLOOKUP(CL19,Arablefinance!$Z$6:$AG$105,Arablefinance!$AG$2,FALSE)*CM19*CN19,VLOOKUP(CL19,Arablefinance!$E$6:$X$126,Arablefinance!$X$2,FALSE)*CN19),0)*IF(CK19&gt;='Options and results'!$J$27,'Options and results'!$J$26,1))*IF(1+'Options and results'!$O$22*(CK19-1)&gt;0,1+'Options and results'!$O$22*(CK19-1),0)</f>
        <v>440</v>
      </c>
      <c r="CW19" s="1442">
        <f>IF(CN19&lt;=0,0,IF(CK19&lt;='Options and results'!$W$20,'Options and results'!$C$27*IF(CK19&gt;='Options and results'!$J$27,'Options and results'!$J$26,1),0))*IF(1+'Options and results'!$O$21*(CK19-1)&gt;0,1+'Options and results'!$O$21*(CK19-1),0)</f>
        <v>14.6</v>
      </c>
      <c r="CX19" s="1442">
        <f>IF(CN19&lt;=0,0,IF(CK19&lt;='Options and results'!$W$20,IF(CM19&gt;0,VLOOKUP(CL19,Arablefinance!$Z$6:$AH$105,Arablefinance!$AH$2,FALSE)*CM19*CN19,VLOOKUP(CL19,Arablefinance!$E$6:$W$126,Arablefinance!$V$2,FALSE)*CN19),0)*IF(CK19&gt;='Options and results'!$J$25,'Options and results'!$J$24,1))</f>
        <v>7.3845219420863808</v>
      </c>
      <c r="CY19" s="1013">
        <f t="shared" si="148"/>
        <v>1175.3640203544614</v>
      </c>
      <c r="CZ19" s="1353">
        <f t="shared" ca="1" si="149"/>
        <v>-24.214020354461354</v>
      </c>
      <c r="DA19" s="1013">
        <f ca="1">IF($CK19&lt;='Options and results'!$W$20,SUM($CQ$8:CQ19),0)</f>
        <v>16147.374099999999</v>
      </c>
      <c r="DB19" s="1441">
        <f>IF($CK19&lt;='Options and results'!$W$20,SUM($CR$8:CR19),0)</f>
        <v>0</v>
      </c>
      <c r="DC19" s="1441">
        <f>IF($CK19&lt;='Options and results'!$W$20,SUM($CY$8:CY19),0)</f>
        <v>14433.839705766697</v>
      </c>
      <c r="DD19" s="1189">
        <f ca="1">IF(CK19&lt;='Options and results'!$W$20,DA19+DB19-DC19,0)</f>
        <v>1713.534394233302</v>
      </c>
      <c r="DE19" s="401"/>
      <c r="DF19" s="895">
        <f t="shared" si="150"/>
        <v>12</v>
      </c>
      <c r="DG19" s="173"/>
      <c r="DH19" s="1422"/>
      <c r="DI19" s="1427">
        <f>IF(DF19&lt;='Options and results'!$M$61,'Options and results'!$M$60,0)</f>
        <v>0</v>
      </c>
      <c r="DJ19" s="740">
        <f t="shared" si="151"/>
        <v>0</v>
      </c>
      <c r="DK19" s="740">
        <f t="shared" si="152"/>
        <v>0</v>
      </c>
      <c r="DL19" s="1428">
        <f t="shared" si="153"/>
        <v>100</v>
      </c>
      <c r="DM19" s="1429">
        <f>IF($DG$8=0,0,HLOOKUP(CONCATENATE('Options and results'!$C$54," ",Agroforestrysystem!$J$12),Agroforestrysystem!$11:$74,DF19+3,FALSE))/100</f>
        <v>0.68799999999999994</v>
      </c>
      <c r="DN19" s="740">
        <f>IF($DG$8=0,0,IF(HLOOKUP(CONCATENATE('Options and results'!$C$54," ",Agroforestrysystem!$H$12),Agroforestrysystem!$11:$74,DF19+4,FALSE)&lt;DL19,HLOOKUP(CONCATENATE('Options and results'!$C$54," ",Agroforestrysystem!$H$12),Agroforestrysystem!$11:$74,DF19+4,FALSE),0))</f>
        <v>0</v>
      </c>
      <c r="DO19" s="1027">
        <f>IF($DG$8=0,0,IF(HLOOKUP(CONCATENATE('Options and results'!$C$54," ",Agroforestrysystem!$H$12),Agroforestrysystem!$11:$74,DF19+4,FALSE)&gt;=DL19,DL19,0))</f>
        <v>0</v>
      </c>
      <c r="DP19" s="1430">
        <f>IF($DG$8=0,0,HLOOKUP(CONCATENATE('Options and results'!$C$54," ",Agroforestrysystem!$I$12),Agroforestrysystem!$11:$74,DF19+4,FALSE))</f>
        <v>12.615289678822272</v>
      </c>
      <c r="DQ19" s="1038"/>
      <c r="DR19" s="1390">
        <f>IF($DG$8=0,0,IF(DF19&gt;'Options and results'!$W$20,0,)+IF(DF19=1,'Options and results'!$M$64)+IF('Options and results'!$M$67="yes",IF(AND(DR18+'Options and results'!$M$65&lt;=$DQ$8,DR18+'Options and results'!$M$65+IF(DF19=1,'Options and results'!$M$64,0)&lt;='Options and results'!$M$66*DP19),DR18+'Options and results'!$M$65,DR18),(HLOOKUP(CONCATENATE('Options and results'!$C$54," ",Agroforestrysystem!$K$12),Agroforestrysystem!$11:$74,DF19+4,FALSE)-IF(DF19=1,'Options and results'!$M$64))))</f>
        <v>7.5</v>
      </c>
      <c r="DS19" s="1027">
        <f>IF(OR($DG$8=0,DL19=0),0,HLOOKUP(CONCATENATE('Options and results'!$C$54," ",Agroforestrysystem!$L$12),Agroforestrysystem!$11:$74,DF19+4,FALSE)*IF(DF19&gt;='Options and results'!$K$19,'Options and results'!$K$18,1))</f>
        <v>11.707650253869144</v>
      </c>
      <c r="DT19" s="1431">
        <f t="shared" si="154"/>
        <v>0.11707650253869144</v>
      </c>
      <c r="DU19" s="889">
        <f t="shared" si="155"/>
        <v>0</v>
      </c>
      <c r="DV19" s="1027">
        <f>IF($DG$8=0,0,(HLOOKUP(CONCATENATE('Options and results'!$C$54," ",Agroforestrysystem!$M$12),Agroforestrysystem!$11:$74,DF19+4,FALSE))*IF(DF19&gt;='Options and results'!$K$19,'Options and results'!$K$18,1))-DW19</f>
        <v>5.1624588940684291</v>
      </c>
      <c r="DW19" s="303">
        <f>IF($DG$8=0,0,(HLOOKUP(CONCATENATE('Options and results'!$C$54," ",Agroforestrysystem!$N$12),Agroforestrysystem!$11:$74,DF19+4,FALSE))*IF(DF19&gt;='Options and results'!$K$19,'Options and results'!$K$18,1))</f>
        <v>0</v>
      </c>
      <c r="DX19" s="303">
        <f>IF($DG$8=0,0,HLOOKUP(CONCATENATE('Options and results'!$C$54," ",Agroforestrysystem!$O$12),Agroforestrysystem!$11:$74,DF19+4,FALSE)*IF(DF19&gt;='Options and results'!$K$19,'Options and results'!$K$18,1))</f>
        <v>0</v>
      </c>
      <c r="DY19" s="1192">
        <f>IF(DT19&gt;0,HLOOKUP(DT19,Treevalue!$I$4:$BC$34,'Options and results'!$C$66+1),0)*IF(DF19&gt;='Options and results'!$K$21,'Options and results'!$K$20,1)*IF(1+'Options and results'!$Q$20*(DF19-1)&gt;0,1+'Options and results'!$Q$20*(DF19-1),0)</f>
        <v>9.3515121678087496</v>
      </c>
      <c r="DZ19" s="1027">
        <f t="shared" si="156"/>
        <v>109.48423380550649</v>
      </c>
      <c r="EA19" s="1027">
        <f t="shared" si="125"/>
        <v>0</v>
      </c>
      <c r="EB19" s="1027">
        <f>(IF('Options and results'!$C$66&gt;0,IF(DF19&lt;='Options and results'!$W$20,VLOOKUP('Options and results'!$C$66,Treevalue!$A$4:$F$34,5,FALSE),0),0)*DV19)*IF(DF19&gt;='Options and results'!$K$21,'Options and results'!$K$20,1)*IF(1+'Options and results'!$Q$20*(DF19-1)&gt;0,1+'Options and results'!$Q$20*(DF19-1),0)</f>
        <v>129.06147235171073</v>
      </c>
      <c r="EC19" s="740">
        <f>(IF('Options and results'!$C$66&gt;0,IF(DF19&lt;='Options and results'!$W$20,VLOOKUP('Options and results'!$C$66,Treevalue!$A$4:$F$34,5,FALSE),0),0)*DW19)*IF(DF19&gt;='Options and results'!$K$21,'Options and results'!$K$20,1)*IF(1+'Options and results'!$Q$20*(DF19-1)&gt;0,1+'Options and results'!$Q$20*(DF19-1),0)</f>
        <v>0</v>
      </c>
      <c r="ED19" s="889">
        <f>(IF('Options and results'!$C$66&gt;0,IF(DF19&lt;='Options and results'!$W$20,VLOOKUP('Options and results'!$C$66,Treevalue!$A$4:$F$34,6,FALSE),0),0)*DX19)*IF(DF19&gt;='Options and results'!$K$21,'Options and results'!$K$20,1)*IF(1+'Options and results'!$Q$20*(DF19-1)&gt;0,1+'Options and results'!$Q$20*(DF19-1),0)</f>
        <v>0</v>
      </c>
      <c r="EE19" s="740">
        <f>IF(DF19&lt;='Options and results'!$W$20,IF(DL19&lt;=0,0,IF('Options and results'!$C$70="cost",(IF(DF19&lt;='Options and results'!$C$71,FK19*SUM('Options and results'!$C$72:$C$73),0)),IF('Options and results'!$C$68&gt;0,(IF(VLOOKUP('Options and results'!$C$69,Treegrant!$B$6:$L$42,Treegrant!$C$2,FALSE)=DF19,VLOOKUP('Options and results'!$C$69,Treegrant!$B$6:$L$42,Treegrant!$D$2,FALSE),0)+IF(VLOOKUP('Options and results'!$C$69,Treegrant!$B$6:$L$42,Treegrant!$E$2,FALSE)=DF19,VLOOKUP('Options and results'!$C$69,Treegrant!$B$6:$L$42,Treegrant!$F$2,FALSE),0)+IF(VLOOKUP('Options and results'!$C$69,Treegrant!$B$6:$L$42,Treegrant!$G$2,FALSE)=DF19,VLOOKUP('Options and results'!$C$69,Treegrant!$B$6:$L$42,Treegrant!$H$2,FALSE)))*IF('Options and results'!$C$70="area",Unit!C20,'Options and results'!$C$70),0))*IF(DF19&gt;='Options and results'!$K$23,'Options and results'!$K$22,1)),0)*IF(1+'Options and results'!$Q$23*(DF19-1)&gt;0,1+'Options and results'!$Q$23*(DF19-1),0)</f>
        <v>0</v>
      </c>
      <c r="EF19" s="740">
        <f>IF($DG$8=0,0,IF(DF19&lt;='Options and results'!$W$20,IF(DL19&lt;=0,0,IF('Options and results'!$C$68&gt;0,IF(AND(VLOOKUP('Options and results'!$C$69,Treegrant!$B$6:$L$42,Treegrant!$J$2,FALSE)&lt;=DF19,VLOOKUP('Options and results'!$C$69,Treegrant!$B$6:$L$42,Treegrant!$K$2,FALSE)&gt;=DF19),(VLOOKUP('Options and results'!$C$69,Treegrant!$B$6:$L$42,Treegrant!$L$2,FALSE)),0)*IF('Options and results'!$C$74="area",Unit!C20,'Options and results'!$C$74))*IF(DF19&gt;='Options and results'!$K$23,'Options and results'!$K$22,1)),0))*IF(1+'Options and results'!$Q$23*(DF19-1)&gt;0,1+'Options and results'!$Q$23*(DF19-1),0)</f>
        <v>0</v>
      </c>
      <c r="EG19" s="1034">
        <f>IF($DG$8=0,0,IF(DF19&lt;='Options and results'!$W$20,IF(DL19&lt;=0,0,IF('Options and results'!$C$68&gt;0,((IF(AND(VLOOKUP('Options and results'!$C$69,Treegrant!$B$6:$O$42,Treegrant!$M$2,FALSE)&lt;=DF19,VLOOKUP('Options and results'!$C$69,Treegrant!$B$6:$O$42,Treegrant!$N$2,FALSE)&gt;=DF19),(VLOOKUP('Options and results'!$C$69,Treegrant!$B$6:$O$42,Treegrant!$O$2,FALSE)),0)*IF('Options and results'!$C$75="area",Unit!C20,'Options and results'!$C$75))+(IF(AND(VLOOKUP('Options and results'!$C$69,Treegrant!$B$6:$R$42,Treegrant!$P$2,FALSE)&lt;=DF19,VLOOKUP('Options and results'!$C$69,Treegrant!$B$6:$R$42,Treegrant!$Q$2,FALSE)&gt;=DF19),(VLOOKUP('Options and results'!$C$69,Treegrant!$B$6:$R$42,Treegrant!$R$2,FALSE)),0))*IF('Options and results'!$C$76="area",Unit!C20,'Options and results'!$C$76)))*IF(DF19&gt;='Options and results'!$K$23,'Options and results'!$K$22,1)),0))*IF(1+'Options and results'!$Q$23*(DF19-1)&gt;0,1+'Options and results'!$Q$23*(DF19-1),0)</f>
        <v>0</v>
      </c>
      <c r="EH19" s="1033" t="s">
        <v>95</v>
      </c>
      <c r="EI19" s="1018">
        <f>'Options and results'!$S41</f>
        <v>14.6</v>
      </c>
      <c r="EJ19" s="1419">
        <f>IF($DH$8+DK19&lt;1,0,IF(DF19=1,VLOOKUP($DG$8,Treecost!$B$6:$AH$49,Treecost!$E$2,FALSE),0)*IF(DF19&gt;='Options and results'!$K$25,'Options and results'!$K$24,1))</f>
        <v>0</v>
      </c>
      <c r="EK19" s="889">
        <f>IF($DH$8+DK19&lt;1,0,IF(DF19=1,VLOOKUP($DG$8,Treecost!$B$6:$AH$49,Treecost!$F$2,FALSE),0)*IF(DF19&gt;='Options and results'!$K$25,'Options and results'!$K$24,1))</f>
        <v>0</v>
      </c>
      <c r="EL19" s="889">
        <f>IF($DH$8+DK19&lt;1,0,IF(DF19=1,VLOOKUP($DG$8,Treecost!$B$6:$AH$49,Treecost!$G$2,FALSE),0)*IF(DF19&gt;='Options and results'!$K$25,'Options and results'!$K$24,1))</f>
        <v>0</v>
      </c>
      <c r="EM19" s="889">
        <f>IF($DG$8=0,0,IF(DF19&lt;='Options and results'!$W$20,((VLOOKUP($DG$8,Treecost!$B$6:$AH$49,Treecost!$H$2,FALSE)*(DH19+DK19))/60)*IF(DF19&gt;='Options and results'!$K$25,'Options and results'!$K$24,1),0))</f>
        <v>0</v>
      </c>
      <c r="EN19" s="889">
        <f>IF($DG$8=0,0,IF(DF19&lt;='Options and results'!$W$20,(((VLOOKUP($DG$8,Treecost!$B$6:$AH$49,Treecost!$I$2,FALSE))*(DH19+DK19))/60)*IF(DF19&gt;='Options and results'!$K$25,'Options and results'!$K$24,1),0))</f>
        <v>0</v>
      </c>
      <c r="EO19" s="889">
        <f>IF($DG$8=0,0,IF(DF19&lt;='Options and results'!$W$20,(((VLOOKUP($DG$8,Treecost!$B$6:$AH$49,Treecost!$J$2,FALSE))/60)*(DH19+DK19))*IF(DF19&gt;='Options and results'!$K$25,'Options and results'!$K$24,1),0))</f>
        <v>0</v>
      </c>
      <c r="EP19" s="1019">
        <f>IF($DG$8=0,0,IF(DF19&lt;='Options and results'!$W$20,(((VLOOKUP($DG$8,Treecost!$B$6:$AH$49,Treecost!$C$2,FALSE)+VLOOKUP($DG$8,Treecost!$B$6:$AH$49,Treecost!$D$2,FALSE))*(DH19+DK19)*IF(1+'Options and results'!$Q$22*(DF19-1)&gt;0,1+'Options and results'!$Q$22*(DF19-1),0))+(EJ19*$EI$8+EK19*$EI$9+EL19*$EI$10+EM19*$EI$11+EN19*$EI$12+EO19*$EI$13)*IF(1+'Options and results'!$Q$21*(DF19-1)&gt;0,1+'Options and results'!$Q$21*(DF19-1),0))*IF(DF19&gt;='Options and results'!$K$27,'Options and results'!$K$26,1),0))</f>
        <v>0</v>
      </c>
      <c r="EQ19" s="740">
        <f>IF($DG$8=0,0,IF(DF19&lt;='Options and results'!$W$20,IF(AND(VLOOKUP($DG$8,Treecost!$B$6:$AH$49,Treecost!$K$2,FALSE)&lt;=DF19,DF19&lt;=(VLOOKUP($DG$8,Treecost!$B$6:$AH$49,Treecost!$L$2,FALSE))),VLOOKUP($DG$8,Treecost!$B$6:$AH$49,Treecost!$M$2,FALSE)*DL19/60,0)*IF(DF19&gt;='Options and results'!$K$25,'Options and results'!$K$24,1),0))</f>
        <v>0</v>
      </c>
      <c r="ER19" s="1019">
        <f>IF(EQ19&gt;0,(VLOOKUP($DG$8,Treecost!$B$6:$AH$49,Treecost!$N$2,FALSE)*DL19*IF(1+'Options and results'!$Q$22*(DF19-1)&gt;0,1+'Options and results'!$Q$22*(DF19-1),0)+EQ19*$EI$14*IF(1+'Options and results'!$Q$21*(DF19-1)&gt;0,1+'Options and results'!$Q$21*(DF19-1),0)),0)*IF(DF19&gt;='Options and results'!$K$27,'Options and results'!$K$26,1)</f>
        <v>0</v>
      </c>
      <c r="ES19" s="889">
        <f>IF(DF19&lt;='Options and results'!$W$20,IF(AND(DR19-DR18&gt;0,DR19&gt;'Options and results'!$M$64),(DL19-DN19)*(VLOOKUP($DG$8,Treecost!$B$6:$AH$49,Treecost!$Y$2,FALSE)+(VLOOKUP($DG$8,Treecost!$B$6:$AH$49,Treecost!$AA$2,FALSE)-VLOOKUP($DG$8,Treecost!$B$6:$AH$49,Treecost!$Y$2,FALSE))/(VLOOKUP($DG$8,Treecost!$B$6:$AH$49,Treecost!$Z$2,FALSE)-VLOOKUP($DG$8,Treecost!$B$6:$AH$49,Treecost!$X$2,FALSE))*(DR19-VLOOKUP($DG$8,Treecost!$B$6:$AH$49,Treecost!$X$2,FALSE)))/60,0)*IF(DF19&gt;='Options and results'!$K$25,'Options and results'!$K$24,1),0)</f>
        <v>12.386904761904761</v>
      </c>
      <c r="ET19" s="889">
        <f>IF(DF19&lt;='Options and results'!$W$20,IF(ES19&gt;0,VLOOKUP($DG$8,Treecost!$B$6:$AH$49,Treecost!$AB$2,FALSE)/60*DL19,0)*IF(DF19&gt;='Options and results'!$K$25,'Options and results'!$K$24,1),0)*((ES19-(MIN($ES$8:$ES$67)))/((MAX($ES$8:$ES$67))-(MIN($ES$8:$ES$67))))</f>
        <v>0.66666666666666674</v>
      </c>
      <c r="EU19" s="740">
        <f>IF(ES19&gt;0,(ES19*$EI$15+ET19*$EI$19)*IF(1+'Options and results'!$Q$21*(DF19-1)&gt;0,1+'Options and results'!$Q$21*(DF19-1),0),0)*IF(DF19&gt;='Options and results'!$K$27,'Options and results'!$K$26,1)</f>
        <v>190.58214285714286</v>
      </c>
      <c r="EV19" s="891">
        <f>IF($DG$8=0,0,IF(DF19&lt;='Options and results'!$W$20,IF(AND(VLOOKUP($DG$8,Treecost!$B$2:$AH$49,Treecost!$O$2,FALSE)=DF19,DF19&lt;=IF(AND(Optimisation!$B$3="Yes",Optimisation!$B$4=1),Optimisation!$B$9)),VLOOKUP($DG$8,Treecost!$B$2:$AH$49,Treecost!$P$2,FALSE)*(1-CN19),0)*IF(DF19&gt;='Options and results'!$K$25,'Options and results'!$K$24,1),0))</f>
        <v>0</v>
      </c>
      <c r="EW19" s="889">
        <f>IF($DG$8=0,0,IF(DF19&lt;='Options and results'!$W$20,IF(AND(DF19&gt;VLOOKUP($DG$8,Treecost!$B$2:$AH$49,Treecost!$O$2,FALSE),DF19&lt;=IF(AND(Optimisation!$B$3="Yes",Optimisation!$B$4=1),Optimisation!$B$9,VLOOKUP($DG$8,Treecost!$B$2:$AH$49,Treecost!$R$2,FALSE))),VLOOKUP($DG$8,Treecost!$B$2:$AH$49,Treecost!$S$2,FALSE)*(1-CN19),0)*IF(DF19&gt;='Options and results'!$K$25,'Options and results'!$K$24,1),0))</f>
        <v>0</v>
      </c>
      <c r="EX19" s="740">
        <f>IF($DG$8=0,0,IF(DF19&lt;='Options and results'!$W$20,(IF(AND(VLOOKUP($DG$8,Treecost!$B$2:$AH$49,Treecost!$O$2,FALSE)=DF19,DF19&lt;=IF(AND(Optimisation!$B$3="Yes",Optimisation!$B$4=1),Optimisation!$B$9)),VLOOKUP($DG$8,Treecost!$B$2:$AH$49,Treecost!$Q$2,FALSE),0)*(1-CN19)+IF(AND(DF19&gt;VLOOKUP($DG$8,Treecost!$B$2:$AH$49,Treecost!$O$2,FALSE),DF19&lt;=IF(AND(Optimisation!$B$3="Yes",Optimisation!$B$4=1),Optimisation!$B$9,VLOOKUP($DG$8,Treecost!$B$2:$AH$49,Treecost!$R$2,FALSE))),VLOOKUP($DG$8,Treecost!$B$2:$AH$49,Treecost!$T$2,FALSE),0)*(1-CN19)+(EV19*$EI$16+EW19*$EI$17))*IF(DF19&gt;='Options and results'!$K$27,'Options and results'!$K$26,1),0))*IF(1+'Options and results'!$Q$21*(DF19-1)&gt;0,1+'Options and results'!$Q$21*(DF19-1),0)</f>
        <v>0</v>
      </c>
      <c r="EY19" s="894">
        <f>IF($DG$8=0,0,IF(DF19&lt;='Options and results'!$W$20,IF(AND(DF19&gt;=VLOOKUP($DG$8,Treecost!$B$2:$W$49,Treecost!$U$2,FALSE),DF19&lt;=VLOOKUP($DG$8,Treecost!$B$2:$W$49,Treecost!$V$2,FALSE)),(DL19*VLOOKUP($DG$8,Treecost!$B$2:$W$49,Treecost!$W$2,FALSE)/60),0)*IF(DF19&gt;='Options and results'!$K$25,'Options and results'!$K$24,1),0))</f>
        <v>0</v>
      </c>
      <c r="EZ19" s="740">
        <f>EY19*$EI$18*IF(DF19&gt;='Options and results'!$K$27,'Options and results'!$K$26,1)*IF(1+'Options and results'!$Q$21*(DF19-1)&gt;0,1+'Options and results'!$Q$21*(DF19-1),0)</f>
        <v>0</v>
      </c>
      <c r="FA19" s="1025">
        <f>IF(DF19&lt;='Options and results'!$W$20,IF(DL19&lt;=0,0,VLOOKUP($DG$8,Treecost!$B$6:$AH$49,Treecost!$AC$2,FALSE)+VLOOKUP($DG$8,Treecost!$B$6:$AH$49,Treecost!$AD$2,FALSE)+IF(AND(DF19&gt;=VLOOKUP($DG$8,Treecost!$B$2:$AK$49,Treecost!$AI$2,FALSE),DF19&lt;=VLOOKUP($DG$8,Treecost!$B$2:$AK$49,Treecost!$AJ$2,FALSE)),VLOOKUP($DG$8,Treecost!$B$2:$AK$49,Treecost!$AK$2,FALSE)*(1-CN19),0))*IF(DF19&gt;='Options and results'!$K$27,'Options and results'!$K$26,1),0)*IF(1+'Options and results'!$Q$22*(DF19-1)&gt;0,1+'Options and results'!$Q$22*(DF19-1),0)</f>
        <v>3</v>
      </c>
      <c r="FB19" s="894">
        <f>IF(DF19&lt;='Options and results'!$W$20,IF(DN19&gt;0,VLOOKUP($DG$8,Treecost!$B$6:$AH$49,Treecost!$AE$2,FALSE)/60*DN19,0)*IF(DF19&gt;='Options and results'!$K$25,'Options and results'!$K$24,1),0)</f>
        <v>0</v>
      </c>
      <c r="FC19" s="740">
        <f>IF(DF19&lt;='Options and results'!$W$20,IF(DN19&gt;0,VLOOKUP($DG$8,Treecost!$B$6:$AH$49,Treecost!$AF$2,FALSE)/60*DN19,0)*IF(DF19&gt;='Options and results'!$K$25,'Options and results'!$K$24,1),0)</f>
        <v>0</v>
      </c>
      <c r="FD19" s="740">
        <f>(FB19*$EI$20+FC19*$EI$21)*IF(DF19&gt;='Options and results'!$K$27,'Options and results'!$K$26,1)*IF(1+'Options and results'!$Q$21*(DF19-1)&gt;0,1+'Options and results'!$Q$21*(DF19-1),0)</f>
        <v>0</v>
      </c>
      <c r="FE19" s="894">
        <f>IF(DF19&lt;='Options and results'!$W$20,IF(DO19&gt;0,(VLOOKUP($DG$8,Treecost!$B$6:$AH$49,Treecost!$AG$2,FALSE)/60*DO19)*IF(DF19&gt;='Options and results'!$K$25,'Options and results'!$K$24,1),0),0)</f>
        <v>0</v>
      </c>
      <c r="FF19" s="740">
        <f>IF(DF19&lt;='Options and results'!$W$20,IF(DO19&gt;0,(VLOOKUP($DG$8,Treecost!$B$6:$AH$49,Treecost!$AH$2,FALSE)/60*DO19)*IF(DF19&gt;='Options and results'!$K$25,'Options and results'!$K$24,1),0),0)</f>
        <v>0</v>
      </c>
      <c r="FG19" s="740">
        <f>(FE19*$EI$22+FF19*$EI$23)*IF(DF19&gt;='Options and results'!$K$27,'Options and results'!$K$26,1)*IF(1+'Options and results'!$Q$21*(DF19-1)&gt;0,1+'Options and results'!$Q$21*(DF19-1),0)</f>
        <v>0</v>
      </c>
      <c r="FH19" s="894">
        <f t="shared" si="157"/>
        <v>13.053571428571427</v>
      </c>
      <c r="FI19" s="1027">
        <f t="shared" si="158"/>
        <v>0</v>
      </c>
      <c r="FJ19" s="1027">
        <f t="shared" si="159"/>
        <v>0</v>
      </c>
      <c r="FK19" s="1027">
        <f t="shared" si="160"/>
        <v>193.58214285714286</v>
      </c>
      <c r="FL19" s="1027">
        <f t="shared" si="183"/>
        <v>-193.58214285714286</v>
      </c>
      <c r="FM19" s="1027">
        <f>IF($DF19&lt;='Options and results'!$W$20,SUM(FI$8:$FI19),0)</f>
        <v>0</v>
      </c>
      <c r="FN19" s="1027">
        <f>IF($DF19&lt;='Options and results'!$W$20,SUM($FJ$8:FJ19),0)</f>
        <v>0</v>
      </c>
      <c r="FO19" s="1027">
        <f>IF($DF19&lt;='Options and results'!$W$20,SUM($FK$8:FK19),0)</f>
        <v>1076.0448753513026</v>
      </c>
      <c r="FP19" s="1027">
        <f>IF($DF19&lt;='Options and results'!$W$20,FM19+FN19-FO19,0)</f>
        <v>-1076.0448753513026</v>
      </c>
      <c r="FQ19" s="1027">
        <f t="shared" si="162"/>
        <v>81.699200946938305</v>
      </c>
      <c r="FR19" s="1027">
        <f t="shared" si="163"/>
        <v>-111.88294191020455</v>
      </c>
      <c r="FS19" s="1027">
        <f t="shared" si="164"/>
        <v>0</v>
      </c>
      <c r="FT19" s="1189">
        <f>IF(DF19&lt;='Options and results'!$W$20,FP19+DZ19,0)</f>
        <v>-966.5606415457961</v>
      </c>
      <c r="FU19" s="401"/>
      <c r="FV19" s="895">
        <f t="shared" si="165"/>
        <v>12</v>
      </c>
      <c r="FW19" s="894">
        <f>G19/(1+'Options and results'!$W$33)^(FV19-1)</f>
        <v>831.95880034118557</v>
      </c>
      <c r="FX19" s="740">
        <f>(AP19+AR19+AS19)/(1+'Options and results'!$W$33)^(FV19-1)</f>
        <v>0</v>
      </c>
      <c r="FY19" s="740">
        <f ca="1">CQ19/(1+'Options and results'!$W$33)^(FV19-1)</f>
        <v>747.76508936905589</v>
      </c>
      <c r="FZ19" s="740">
        <f>(EA19+EC19+ED19)/(1+'Options and results'!$W$33)^(FV19-1)</f>
        <v>0</v>
      </c>
      <c r="GA19" s="1019">
        <f t="shared" ca="1" si="180"/>
        <v>747.76508936905589</v>
      </c>
      <c r="GB19" s="1026">
        <f>(AO19+AQ19)/(1+'Options and results'!$W$33)^(FV19-1)+FX19</f>
        <v>234.47163648814299</v>
      </c>
      <c r="GC19" s="1027">
        <f>IF(FV19&gt;'Options and results'!$W$27,0,GB19-GB18)</f>
        <v>72.573963766883452</v>
      </c>
      <c r="GD19" s="1027">
        <f>(DZ19+EB19)/(1+'Options and results'!$W$33)^(FV19-1)+FZ19</f>
        <v>154.95474202602276</v>
      </c>
      <c r="GE19" s="1379">
        <f>IF(FV19&gt;'Options and results'!$W$27,0,GD19-GD18)</f>
        <v>48.994863100409404</v>
      </c>
      <c r="GF19" s="894">
        <f>IF(FV19&lt;='Options and results'!$W$20,SUM(FW$8:FW19),0)</f>
        <v>15483.450271017145</v>
      </c>
      <c r="GG19" s="740">
        <f>IF(FV19&lt;='Options and results'!$W$20,SUM(FX$8:FX19), 0)</f>
        <v>0</v>
      </c>
      <c r="GH19" s="740">
        <f ca="1">IF(FV19&lt;='Options and results'!$W$20,SUM(FY$8:FY19),0)</f>
        <v>13396.74149229996</v>
      </c>
      <c r="GI19" s="740">
        <f>IF(FV19&lt;='Options and results'!$W$20,SUM(FZ$8:FZ19),0)</f>
        <v>0</v>
      </c>
      <c r="GJ19" s="1019">
        <f t="shared" ca="1" si="166"/>
        <v>13396.74149229996</v>
      </c>
      <c r="GK19" s="894">
        <f>IF(FV19&gt;'Options and results'!$W$27,0,GG19+SUM(GC$8:GC19)-FX19)</f>
        <v>234.47163648814299</v>
      </c>
      <c r="GL19" s="740">
        <f>IF(FV19&lt;='Options and results'!$W$20,SUM(GD$8:GD19),0)</f>
        <v>412.56963532336505</v>
      </c>
      <c r="GM19" s="1034">
        <f t="shared" ca="1" si="167"/>
        <v>13809.311127623325</v>
      </c>
      <c r="GN19" s="401"/>
      <c r="GO19" s="895">
        <f t="shared" si="168"/>
        <v>12</v>
      </c>
      <c r="GP19" s="894">
        <f>H19/(1+'Options and results'!$W$33)^(GO19-1)</f>
        <v>152.78143510368059</v>
      </c>
      <c r="GQ19" s="740">
        <f>SUM(AT19:AV19)/(1+'Options and results'!$W$33)^(GO19-1)</f>
        <v>0</v>
      </c>
      <c r="GR19" s="740">
        <f>CR19/(1+'Options and results'!$W$33)^(GO19-1)</f>
        <v>0</v>
      </c>
      <c r="GS19" s="740">
        <f>SUM(EE19:EG19)/(1+'Options and results'!$W$33)^(GO19-1)</f>
        <v>0</v>
      </c>
      <c r="GT19" s="1019">
        <f t="shared" si="181"/>
        <v>0</v>
      </c>
      <c r="GU19" s="894">
        <f>IF(GO19&lt;='Options and results'!$W$20,SUM(GP$8:GP19),0)</f>
        <v>2295.6641224079826</v>
      </c>
      <c r="GV19" s="740">
        <f>IF(GO19&lt;='Options and results'!$W$20,SUM(GQ$8:GQ19),0)</f>
        <v>0</v>
      </c>
      <c r="GW19" s="740">
        <f>IF(GO19&lt;='Options and results'!$W$20,SUM(GR$8:GR19),0)</f>
        <v>0</v>
      </c>
      <c r="GX19" s="740">
        <f>IF(GO19&lt;='Options and results'!$W$20,SUM(GS$8:GS19),0)</f>
        <v>0</v>
      </c>
      <c r="GY19" s="1034">
        <f>IF(GO19&lt;='Options and results'!$W$20,SUM(GT$8:GT19),0)</f>
        <v>0</v>
      </c>
      <c r="GZ19" s="401"/>
      <c r="HA19" s="895">
        <f t="shared" si="169"/>
        <v>12</v>
      </c>
      <c r="HB19" s="1026">
        <f>(J19+L19+(M19*N19))/(1+'Options and results'!$W$33)^(HA19-1)</f>
        <v>771.20611643211998</v>
      </c>
      <c r="HC19" s="740">
        <f>BZ19/(1+'Options and results'!$W$33)^(HA19-1)</f>
        <v>1.9487427946898037</v>
      </c>
      <c r="HD19" s="1027">
        <f>(CT19+CV19+(CW19*CX19))/(1+'Options and results'!$W$33)^(HA19-1)</f>
        <v>763.49405526779879</v>
      </c>
      <c r="HE19" s="740">
        <f>FK19/(1+'Options and results'!$W$33)^(HA19-1)</f>
        <v>125.74726869115646</v>
      </c>
      <c r="HF19" s="1019">
        <f t="shared" si="182"/>
        <v>889.24132395895526</v>
      </c>
      <c r="HG19" s="894">
        <f>IF(HA19&lt;='Options and results'!$W$20,SUM(HB$8:HB19),0)</f>
        <v>11876.475833972418</v>
      </c>
      <c r="HH19" s="740">
        <f>IF(HA19&lt;='Options and results'!$W$20,SUM(HC$8:HC19),0)</f>
        <v>1380.4882051617114</v>
      </c>
      <c r="HI19" s="740">
        <f>IF(HA19&lt;='Options and results'!$W$20,SUM(HD$8:HD19),0)</f>
        <v>11757.711075632691</v>
      </c>
      <c r="HJ19" s="740">
        <f>IF(HA19&lt;='Options and results'!$W$20,SUM(HE$8:HE19),0)</f>
        <v>924.8680171098996</v>
      </c>
      <c r="HK19" s="1034">
        <f>IF(HA19&lt;='Options and results'!$W$20,SUM(HF$8:HF19),0)</f>
        <v>12682.579092742593</v>
      </c>
      <c r="HL19" s="405"/>
      <c r="HM19" s="895">
        <f t="shared" si="170"/>
        <v>12</v>
      </c>
      <c r="HN19" s="1026">
        <f t="shared" si="171"/>
        <v>213.53411901274615</v>
      </c>
      <c r="HO19" s="1027">
        <f t="shared" si="172"/>
        <v>-1.9487427946898037</v>
      </c>
      <c r="HP19" s="1027">
        <f t="shared" ca="1" si="173"/>
        <v>-15.728965898742899</v>
      </c>
      <c r="HQ19" s="1027">
        <f t="shared" si="174"/>
        <v>-125.74726869115646</v>
      </c>
      <c r="HR19" s="1027">
        <f t="shared" si="175"/>
        <v>70.625220972193645</v>
      </c>
      <c r="HS19" s="1379">
        <f t="shared" si="176"/>
        <v>-76.75240559074706</v>
      </c>
      <c r="HT19" s="1026">
        <f>IF($HM19&lt;='Options and results'!$W$20,SUM(HN$8:HN19),0)</f>
        <v>5902.6385594527083</v>
      </c>
      <c r="HU19" s="1027">
        <f>IF($HM19&lt;='Options and results'!$W$20,SUM(HO$8:HO19),0)</f>
        <v>-1380.4882051617114</v>
      </c>
      <c r="HV19" s="1027">
        <f ca="1">IF($HM19&lt;='Options and results'!$W$20,SUM(HP$8:HP19),0)</f>
        <v>1639.0304166672654</v>
      </c>
      <c r="HW19" s="1027">
        <f>IF($HM19&lt;='Options and results'!$W$20,SUM(HQ$8:HQ19),0)</f>
        <v>-924.8680171098996</v>
      </c>
      <c r="HX19" s="1027">
        <f t="shared" ca="1" si="177"/>
        <v>714.1623995573658</v>
      </c>
      <c r="HY19" s="1027">
        <f>IF($HM19&lt;='Options and results'!$W$20,SUM(HR$8:HR19),0)</f>
        <v>-1146.0165686735684</v>
      </c>
      <c r="HZ19" s="1027">
        <f>IF($HM19&lt;='Options and results'!$W$20,SUM(HS$8:HS19),0)</f>
        <v>-769.91327508387667</v>
      </c>
      <c r="IA19" s="1189">
        <f t="shared" ca="1" si="178"/>
        <v>869.11714158338873</v>
      </c>
    </row>
    <row r="20" spans="1:235" x14ac:dyDescent="0.25">
      <c r="A20" s="1010">
        <f t="shared" si="126"/>
        <v>13</v>
      </c>
      <c r="B20" s="1011" t="str">
        <f>IF('Options and results'!$C$17="None",0,CONCATENATE('Options and results'!$C$23," ",(HLOOKUP(CONCATENATE('Options and results'!$C$17," ",Arablesystem!$B$11),Arablesystem!$B$10:$ER$72,$A20+3,FALSE))))</f>
        <v>UK - Agriculture (BPS: from 2015) Wheat</v>
      </c>
      <c r="C20" s="1012">
        <f>IF(HLOOKUP(CONCATENATE('Options and results'!$C$17," ",Arablesystem!$C$11),Arablesystem!$B$10:$ER$72,$A20+3,FALSE)="T",(VLOOKUP(B20,Arablefinance!$Z$6:$AB$105,Arablefinance!$AB$2,FALSE)*E20+VLOOKUP(B20,Arablefinance!$Z$6:$AC$105,Arablefinance!$AC$2,FALSE)*F20)/VLOOKUP(B20,Arablefinance!$Z$6:$AA$105,Arablefinance!$AA$2,FALSE),0)</f>
        <v>0</v>
      </c>
      <c r="D20" s="1012">
        <f>IF(B20=0,0,HLOOKUP(CONCATENATE('Options and results'!$C$17," ",Arablesystem!$D$11),Arablesystem!$B$10:$ER$72,$A20+3,FALSE))</f>
        <v>1</v>
      </c>
      <c r="E20" s="1440">
        <f>IF(B20=0,0,HLOOKUP(CONCATENATE('Options and results'!$C$17," ",Arablesystem!$E$11),Arablesystem!$B$10:$ER$72,$A20+3,FALSE)*IF(A20&gt;='Options and results'!$H$19,'Options and results'!$H$18,1))</f>
        <v>7.9761913966210409</v>
      </c>
      <c r="F20" s="1440">
        <f>IF(B20=0,0,HLOOKUP(CONCATENATE('Options and results'!$C$17," ",Arablesystem!$F$11),Arablesystem!$B$10:$ER$72,$A20+3,FALSE)*IF(A20&gt;='Options and results'!$H$19,'Options and results'!$H$18,1))</f>
        <v>3.1904765586484167</v>
      </c>
      <c r="G20" s="1013">
        <f>IF(D20&lt;=0,0,IF(A20&lt;='Options and results'!$W$20,IF(C20&gt;0,VLOOKUP(B20,Arablefinance!$Z$6:$AE$105,Arablefinance!$AD$2,FALSE)*C20*D20,((VLOOKUP(B20,Arablefinance!$E$6:$G$126,Arablefinance!$F$2,FALSE)*(E20*D20)+VLOOKUP(B20,Arablefinance!$E$6:$G$126,Arablefinance!$G$2,FALSE)*(F20*D20)))),0)*IF(A20&gt;='Options and results'!$H$21,'Options and results'!$H$20,1))*IF(1+'Options and results'!$O$20*(A20-1)&gt;0,1+'Options and results'!$O$20*(A20-1),0)</f>
        <v>1504.3983217515797</v>
      </c>
      <c r="H20" s="1441">
        <f>IF(D20&lt;=0,0,IF(A20&lt;='Options and results'!$W$20,IF(AND(C20&gt;0,VLOOKUP(B20,Arablefinance!$Z$6:$AI$105,Arablefinance!$AI$2,FALSE)=2),VLOOKUP(B20,Arablefinance!$Z$6:$AE$105,Arablefinance!$AE$2,FALSE)*C20*D20,(VLOOKUP(B20,Arablefinance!$E$6:$H$126,Arablefinance!$H$2,FALSE)*D20))*IF(A20&gt;='Options and results'!$H$23,'Options and results'!$H$22,1),0)*IF(AND(1+'Options and results'!$O$23*(A20-1)&gt;0,1+'Options and results'!$O$23*(A20-1)&gt;'Options and results'!$S$24),1+'Options and results'!$O$23*(A20-1),'Options and results'!$S$24))</f>
        <v>235.2</v>
      </c>
      <c r="I20" s="1441">
        <f t="shared" si="127"/>
        <v>1739.5983217515798</v>
      </c>
      <c r="J20" s="1441">
        <f>IF(D20&lt;=0,0,IF(A20&lt;='Options and results'!$W$20,IF(C20&gt;0,VLOOKUP(B20,Arablefinance!$Z$6:$AF$105,Arablefinance!$AF$2,FALSE)*C20*D20,(VLOOKUP(B20,Arablefinance!$E$6:$X$126,Arablefinance!$R$2,FALSE))*D20),0)*IF(A20&gt;='Options and results'!$H$27,'Options and results'!$H$26,1))*IF(1+'Options and results'!$O$22*(A20-1)&gt;0,1+'Options and results'!$O$22*(A20-1),0)</f>
        <v>653.12499999999989</v>
      </c>
      <c r="K20" s="1441">
        <f t="shared" si="128"/>
        <v>1086.47332175158</v>
      </c>
      <c r="L20" s="1441">
        <f>IF(D20&lt;=0,0,IF(A20&lt;='Options and results'!$W$20,IF(C20&gt;0,VLOOKUP(B20,Arablefinance!$Z$6:$AG$105,Arablefinance!$AG$2,FALSE)*C20*D20,VLOOKUP(B20,Arablefinance!$E$6:$X$126,Arablefinance!$X$2,FALSE)*D20),0)*IF(A20&gt;='Options and results'!$H$27,'Options and results'!$H$26,1))*IF(1+'Options and results'!$O$22*(A20-1)&gt;0,1+'Options and results'!$O$22*(A20-1),0)</f>
        <v>444.44444444444446</v>
      </c>
      <c r="M20" s="1442">
        <f>IF(D20&lt;=0,0,IF(A20&lt;='Options and results'!$W$20,'Options and results'!$C$27,0)*IF(A20&gt;='Options and results'!$H$27,'Options and results'!$H$26,1))*IF(1+'Options and results'!$O$21*(A20-1)&gt;0,1+'Options and results'!$O$21*(A20-1),0)</f>
        <v>14.6</v>
      </c>
      <c r="N20" s="1442">
        <f>IF(D20&lt;=0,0,IF(A20&lt;='Options and results'!$W$20,IF(C20&gt;0,VLOOKUP(B20,Arablefinance!$Z$6:$AH$105,Arablefinance!$AH$2,FALSE)*C20*D20,VLOOKUP(B20,Arablefinance!$E$6:$W$126,Arablefinance!$V$2,FALSE)*D20),0)*IF(A20&gt;='Options and results'!$H$25,'Options and results'!$H$24,1))</f>
        <v>11.632834596849463</v>
      </c>
      <c r="O20" s="1013">
        <f t="shared" si="129"/>
        <v>1267.4088295584465</v>
      </c>
      <c r="P20" s="1353">
        <f t="shared" si="130"/>
        <v>472.18949219313333</v>
      </c>
      <c r="Q20" s="1013">
        <f>IF(A20&lt;='Options and results'!$W$20,SUM(G$8:$G20),0)</f>
        <v>20483.37702110142</v>
      </c>
      <c r="R20" s="1441">
        <f>IF($A20&lt;='Options and results'!$W$20,SUM($H$8:H20),0)</f>
        <v>3057.5999999999995</v>
      </c>
      <c r="S20" s="1441">
        <f>IF($A20&lt;='Options and results'!$W$20,SUM($O$8:O20),0)</f>
        <v>15847.044895989447</v>
      </c>
      <c r="T20" s="1032">
        <f>IF(A20&lt;='Options and results'!$W$20,Q20+R20-S20,0)</f>
        <v>7693.9321251119709</v>
      </c>
      <c r="U20" s="405"/>
      <c r="V20" s="1010">
        <f t="shared" si="131"/>
        <v>13</v>
      </c>
      <c r="W20" s="173"/>
      <c r="X20" s="1036"/>
      <c r="Y20" s="1030">
        <f>IF(V20&lt;='Options and results'!$M$34,'Options and results'!$M$33,0)</f>
        <v>0</v>
      </c>
      <c r="Z20" s="1441">
        <f t="shared" si="132"/>
        <v>0</v>
      </c>
      <c r="AA20" s="1441">
        <f t="shared" si="133"/>
        <v>0</v>
      </c>
      <c r="AB20" s="1428">
        <f t="shared" si="134"/>
        <v>156</v>
      </c>
      <c r="AC20" s="1441">
        <f>IF($W$8=0,0,IF(HLOOKUP(CONCATENATE('Options and results'!$C$32," ",Forestrysystem!$C$8),Forestrysystem!$A$7:$IH$70,V20+4,FALSE)&lt;AB20,HLOOKUP(CONCATENATE('Options and results'!$C$32," ",Forestrysystem!$C$8),Forestrysystem!$A$7:$IH$70,V20+4,FALSE),0))</f>
        <v>0</v>
      </c>
      <c r="AD20" s="1441">
        <f>IF($W$8=0,0,IF(HLOOKUP(CONCATENATE('Options and results'!$C$32," ",Forestrysystem!$C$8),Forestrysystem!$A$7:$IH$70,V20+4,FALSE)&gt;=AB20,AB20,0))</f>
        <v>0</v>
      </c>
      <c r="AE20" s="1440">
        <f>IF($W$8=0,0,HLOOKUP(CONCATENATE('Options and results'!$C$32," ",Forestrysystem!$D$8),Forestrysystem!$A$7:$IH$70,$V20+4,FALSE))</f>
        <v>14.033605794248535</v>
      </c>
      <c r="AF20" s="1037"/>
      <c r="AG20" s="1440">
        <f>IF($W$8=0,0,IF(V20=1,'Options and results'!$M$36,0)+IF('Options and results'!$M$39="yes",IF(AND(AG19+'Options and results'!$M$37&lt;=$AF$8,AG19+'Options and results'!$M$37+IF(V20=1,'Options and results'!$M$36,0)&lt;='Options and results'!$M$38*AE20),AG19+'Options and results'!$M$37,AG19),(HLOOKUP(CONCATENATE('Options and results'!$C$32," ",Forestrysystem!$E$8),Forestrysystem!$A$7:$IH$70,V20+4,FALSE))-IF(V20=1,'Options and results'!$M$36,0)))</f>
        <v>7.5</v>
      </c>
      <c r="AH20" s="1442">
        <f>IF(OR($W$8=0,AB20&lt;=0),0,(HLOOKUP(CONCATENATE('Options and results'!$C$32," ",Forestrysystem!$F$8),Forestrysystem!$A$7:$IH$70,$V20+4,FALSE)) * IF(V20&gt;='Options and results'!$I$19,'Options and results'!$I$18,1) )</f>
        <v>25.142616726174616</v>
      </c>
      <c r="AI20" s="1452">
        <f t="shared" si="179"/>
        <v>0.16117062003958088</v>
      </c>
      <c r="AJ20" s="1442">
        <f t="shared" si="135"/>
        <v>0</v>
      </c>
      <c r="AK20" s="1453">
        <f>IF(OR($W$8=0,AE20&lt;=0),0,(HLOOKUP(CONCATENATE('Options and results'!$C$32," ",Forestrysystem!$G$8),Forestrysystem!$A$7:$IH$70,$V20+4,FALSE)) * IF(Y20&gt;='Options and results'!$I$19,'Options and results'!$I$18,1) )</f>
        <v>11.086573524460919</v>
      </c>
      <c r="AL20" s="1453">
        <f>IF($W$8=0,0,HLOOKUP(CONCATENATE('Options and results'!$C$32," ",Forestrysystem!$H$8),Forestrysystem!$A$7:$IH$70,$V20+4,FALSE)*IF(V20&gt;='Options and results'!$I$19,'Options and results'!$I$18,1))</f>
        <v>0</v>
      </c>
      <c r="AM20" s="1383">
        <f>IF($W$8=0,0,HLOOKUP(CONCATENATE('Options and results'!$C$32," ",Forestrysystem!$I$8),Forestrysystem!$A$7:$IH$70,$V20+4,FALSE)*IF(V20&gt;='Options and results'!$I$19,'Options and results'!$I$18,1))</f>
        <v>0</v>
      </c>
      <c r="AN20" s="1382">
        <f>IF(AI20&gt;0,HLOOKUP(AI20,Treevalue!$I$4:$BC$34,'Options and results'!$C$39+1),0)*IF(V20&gt;='Options and results'!$I$21,'Options and results'!$I$20,1)*IF(1+'Options and results'!$Q$20*(V20-1)&gt;0,1+'Options and results'!$Q$20*(V20-1),0)</f>
        <v>10.983909471625973</v>
      </c>
      <c r="AO20" s="1454">
        <f t="shared" si="136"/>
        <v>276.16422600009099</v>
      </c>
      <c r="AP20" s="1454">
        <f t="shared" si="137"/>
        <v>0</v>
      </c>
      <c r="AQ20" s="1454">
        <f>(IF('Options and results'!$C$39&gt;0,IF(V20&lt;='Options and results'!$W$20,VLOOKUP('Options and results'!$C$39,Treevalue!$A$4:$F$34,5,FALSE),0),0)*AK20)*IF(V20&gt;='Options and results'!$I$21,'Options and results'!$I$20,1)*IF(1+'Options and results'!$Q$20*(V20-1)&gt;0,1+'Options and results'!$Q$20*(V20-1),0)-AR20</f>
        <v>277.16433811152297</v>
      </c>
      <c r="AR20" s="1441">
        <f>(IF('Options and results'!$C$39&gt;0,IF(V20&lt;='Options and results'!$W$20,VLOOKUP('Options and results'!$C$39,Treevalue!$A$4:$F$34,5,FALSE),0),0)*AL20)*IF(V20&gt;='Options and results'!$I$21,'Options and results'!$I$20,1)*IF(1+'Options and results'!$Q$20*(V20-1)&gt;0,1+'Options and results'!$Q$20*(V20-1),0)</f>
        <v>0</v>
      </c>
      <c r="AS20" s="1441">
        <f>(IF('Options and results'!$C$39&gt;0,IF(V20&lt;='Options and results'!$W$20,VLOOKUP('Options and results'!$C$39,Treevalue!$A$4:$F$34,6,FALSE),0),0)*AM20)*IF(V20&gt;='Options and results'!$I$21,'Options and results'!$I$20,1)*IF(1+'Options and results'!$Q$20*(V20-1)&gt;0,1+'Options and results'!$Q$20*(V20-1),0)</f>
        <v>0</v>
      </c>
      <c r="AT20" s="1441">
        <f>IF(V20&lt;='Options and results'!$W$20,(IF(AB20&lt;=0,0,IF('Options and results'!$C$43="cost",(IF(V20&lt;='Options and results'!$C$44,BZ20*SUM('Options and results'!$C$45:$C$46),0)),IF('Options and results'!$C$41&gt;0,(IF(VLOOKUP('Options and results'!$C$42,Treegrant!$B$6:$L$42,Treegrant!$C$2,FALSE)=V20,VLOOKUP('Options and results'!$C$42,Treegrant!$B$6:$L$42,Treegrant!$D$2,FALSE),0)+IF(VLOOKUP('Options and results'!$C$42,Treegrant!$B$6:$L$42,Treegrant!$E$2,FALSE)=V20,VLOOKUP('Options and results'!$C$42,Treegrant!$B$6:$L$42,Treegrant!$F$2,FALSE),0)+IF(VLOOKUP('Options and results'!$C$42,Treegrant!$B$6:$L$42,Treegrant!$G$2,FALSE)=V20,VLOOKUP('Options and results'!$C$42,Treegrant!$B$6:$L$42,Treegrant!$H$2,FALSE)))*IF('Options and results'!$C$43="area",1,'Options and results'!$C$43),0)))*IF(V20&gt;='Options and results'!$I$23,'Options and results'!$I$22,1)),0)*IF(1+'Options and results'!$Q$23*(V20-1)&gt;0,1+'Options and results'!$Q$23*(V20-1),0)</f>
        <v>0</v>
      </c>
      <c r="AU20" s="1441">
        <f>IF($W$8=0,0,IF(V20&lt;='Options and results'!$W$20,IF(AB20&lt;=0,0,IF('Options and results'!$C$41&gt;0,IF(AND(VLOOKUP('Options and results'!$C$42,Treegrant!$B$6:$L$42,Treegrant!$J$2,FALSE)&lt;=V20,VLOOKUP('Options and results'!$C$42,Treegrant!$B$6:$L$42,Treegrant!$K$2,FALSE)&gt;=V20),(VLOOKUP('Options and results'!$C$42,Treegrant!$B$6:$L$42,Treegrant!$L$2,FALSE)),0)*IF('Options and results'!$C$47="full",1,'Options and results'!$C$47))*IF(V20&gt;='Options and results'!$I$23,'Options and results'!$I$22,1)),0))*IF(1+'Options and results'!$Q$23*(V20-1)&gt;0,1+'Options and results'!$Q$23*(V20-1),0)</f>
        <v>0</v>
      </c>
      <c r="AV20" s="1032">
        <f>IF($W$8=0,0,IF(V20&lt;='Options and results'!$W$20,IF(AB20&lt;=0,0,(IF('Options and results'!$C$41&gt;0,(IF(AND(VLOOKUP('Options and results'!$C$42,Treegrant!$B$6:$O$42,Treegrant!$M$2,FALSE)&lt;=V20,VLOOKUP('Options and results'!$C$42,Treegrant!$B$6:$O$42,Treegrant!$N$2,FALSE)&gt;=V20),(VLOOKUP('Options and results'!$C$42,Treegrant!$B$6:$O$42,Treegrant!$O$2,FALSE)),0)*IF('Options and results'!$C$48="full",1,'Options and results'!$C$48))+(IF(AND(VLOOKUP('Options and results'!$C$42,Treegrant!$B$6:$R$42,Treegrant!$P$2,FALSE)&lt;=V20,VLOOKUP('Options and results'!$C$42,Treegrant!$B$6:$R$42,Treegrant!$Q$2,FALSE)&gt;=V20),(VLOOKUP('Options and results'!$C$42,Treegrant!$B$6:$R$42,Treegrant!$R$2,FALSE)),0))*IF('Options and results'!$C$49="full",1,'Options and results'!$C$49)))*IF(V20&gt;='Options and results'!$I$23,'Options and results'!$I$22,1)),0))*IF(1+'Options and results'!$Q$23*(V20-1)&gt;0,1+'Options and results'!$Q$23*(V20-1),0)</f>
        <v>0</v>
      </c>
      <c r="AW20" s="1033" t="s">
        <v>304</v>
      </c>
      <c r="AX20" s="1018">
        <f>'Options and results'!S45</f>
        <v>14.6</v>
      </c>
      <c r="AY20" s="1419">
        <f>IF($W$8=0,0,IF(V20=1,VLOOKUP($W$8,Treecost!$B$6:$AH$49,Treecost!$E$2,FALSE),0)*IF(V20&gt;='Options and results'!$I$25,'Options and results'!$I$24,1))</f>
        <v>0</v>
      </c>
      <c r="AZ20" s="889">
        <f>IF($W$8=0,0,IF(V20=1,VLOOKUP($W$8,Treecost!$B$6:$AH$49,Treecost!$F$2,FALSE),0)*IF(V20&gt;='Options and results'!$I$25,'Options and results'!$I$24,1))</f>
        <v>0</v>
      </c>
      <c r="BA20" s="889">
        <f>IF($W$8=0,0,IF(V20=1,VLOOKUP($W$8,Treecost!$B$6:$AH$49,Treecost!$G$2,FALSE),0)*IF(V20&gt;='Options and results'!$I$25,'Options and results'!$I$24,1))</f>
        <v>0</v>
      </c>
      <c r="BB20" s="889">
        <f>IF($W$8=0,0,IF(V20&lt;='Options and results'!$W$20,((VLOOKUP($W$8,Treecost!$B$6:$AH$49,Treecost!$H$2,FALSE)*(X20+AA20))/60)*IF(V20&gt;='Options and results'!$I$25,'Options and results'!$I$24,1),0))</f>
        <v>0</v>
      </c>
      <c r="BC20" s="889">
        <f>IF($W$8=0,0,IF(V20&lt;='Options and results'!$W$20,(((VLOOKUP($W$8,Treecost!$B$6:$AH$49,Treecost!$I$2,FALSE))*(X20+AA20))/60)*IF(V20&gt;='Options and results'!$I$25,'Options and results'!$I$24,1),0))</f>
        <v>0</v>
      </c>
      <c r="BD20" s="889">
        <f>IF($W$8=0,0,IF(V20&lt;='Options and results'!$W$20,(((VLOOKUP($W$8,Treecost!$B$6:$AH$49,Treecost!$J$2,FALSE))/60)*(X20+AA20))*IF(V20&gt;='Options and results'!$I$25,'Options and results'!$I$24,1),0))</f>
        <v>0</v>
      </c>
      <c r="BE20" s="1019">
        <f>IF($W$8=0,0,IF(V20&lt;='Options and results'!$W$20,(((VLOOKUP($W$8,Treecost!$B$6:$AH$49,Treecost!$C$2,FALSE)+VLOOKUP($W$8,Treecost!$B$6:$AH$49,Treecost!$D$2,FALSE))*(X20+AA20)*IF(1+'Options and results'!$Q$22*(V20-1)&gt;0,1+'Options and results'!$Q$22*(V20-1),0))+((AY20*$AX$8+AZ20*$AX$9+BA20*$AX$10+BB20*$AX$11+BC20*$AX$12+BD20*$AX$13)*IF(1+'Options and results'!$Q$21*(V20-1)&gt;0,1+'Options and results'!$Q$21*(V20-1),0)))*IF(V20&gt;='Options and results'!$I$27,'Options and results'!$I$26,1),0))</f>
        <v>0</v>
      </c>
      <c r="BF20" s="889">
        <f>IF($W$8=0,0,IF(V20&lt;='Options and results'!$W$20,IF(AND(VLOOKUP($W$8,Treecost!$B$6:$AH$49,Treecost!$K$2,FALSE)&lt;=V20,V20&lt;=(VLOOKUP($W$8,Treecost!$B$6:$AH$49,Treecost!$L$2,FALSE))),VLOOKUP($W$8,Treecost!$B$6:$AH$49,Treecost!$M$2,FALSE)*AB20/60,0)*IF(V20&gt;='Options and results'!$I$25,'Options and results'!$I$24,1),0))</f>
        <v>0</v>
      </c>
      <c r="BG20" s="1019">
        <f>IF(BF20&gt;0,(VLOOKUP($W$8,Treecost!$B$6:$AH$49,Treecost!$N$2,FALSE)*AB20*IF(1+'Options and results'!$Q$22*(V20-1)&gt;0,1+'Options and results'!$Q$22*(V20-1),0)+BF20*$AX$14*IF(1+'Options and results'!$Q$21*(V20-1)&gt;0,1+'Options and results'!$Q$21*(V20-1),0)),0)*IF(V20&gt;='Options and results'!$I$27,'Options and results'!$I$26,1)</f>
        <v>0</v>
      </c>
      <c r="BH20" s="889">
        <f>IF(V20&lt;='Options and results'!$W$20,IF(AND(AG20-AG19&gt;0,AG20&gt;'Options and results'!$M$36),(AB20-AC20)*(VLOOKUP($W$8,Treecost!$B$6:$AH$49,Treecost!$Y$2,FALSE)+(VLOOKUP($W$8,Treecost!$B$6:$AH$49,Treecost!$AA$2,FALSE)-VLOOKUP($W$8,Treecost!$B$6:$AH$49,Treecost!$Y$2,FALSE))/(VLOOKUP($W$8,Treecost!$B$6:$AH$49,Treecost!$Z$2,FALSE)-VLOOKUP($W$8,Treecost!$B$6:$AH$49,Treecost!$X$2,FALSE))*(AG20-VLOOKUP($W$8,Treecost!$B$6:$AH$49,Treecost!$X$2,FALSE)))/60,0)*IF(V20&gt;='Options and results'!$I$25,'Options and results'!$I$24,1),0)</f>
        <v>0</v>
      </c>
      <c r="BI20" s="303">
        <f>IF(V20&lt;='Options and results'!$W$20,IF(BH20&gt;0,VLOOKUP($W$8,Treecost!$B$6:$AH$49,Treecost!$AB$2,FALSE)/60*AB20,0)*IF(V20&gt;='Options and results'!$I$25,'Options and results'!$I$24,1),0)*((BH20-(MIN($BH$8:$BH$67)))/((MAX($BH$8:$BH$67))-(MIN($BH$8:$BH$67))))</f>
        <v>0</v>
      </c>
      <c r="BJ20" s="740">
        <f>IF(BH20&gt;0,(BH20*$AX$15+BI20*$AX$19)*IF(1+'Options and results'!$Q$21*(V20-1)&gt;0,1+'Options and results'!$Q$21*(V20-1),0),0)*IF(V20&gt;='Options and results'!$I$27,'Options and results'!$I$26,1)</f>
        <v>0</v>
      </c>
      <c r="BK20" s="891">
        <f>IF($W$8=0,0,IF(V20&lt;='Options and results'!$W$20,IF(VLOOKUP($W$8,Treecost!$B$2:$AH$49,Treecost!$O$2,FALSE)=V20,VLOOKUP($W$8,Treecost!$B$2:$AH$49,Treecost!$P$2,FALSE),0)*IF(V20&gt;='Options and results'!$I$25,'Options and results'!$I$24,1),0))</f>
        <v>0</v>
      </c>
      <c r="BL20" s="889">
        <f>IF($W$8=0,0,IF(V20&lt;='Options and results'!$W$20,IF(AND(V20&gt;VLOOKUP($W$8,Treecost!$B$2:$AH$49,Treecost!$O$2,FALSE),V20&lt;=VLOOKUP($W$8,Treecost!$B$2:$AH$49,Treecost!$R$2,FALSE)),VLOOKUP($W$8,Treecost!$B$2:$AH$49,Treecost!$S$2,FALSE),0)*IF(V20&gt;='Options and results'!$I$25,'Options and results'!$I$24,1),0))</f>
        <v>0</v>
      </c>
      <c r="BM20" s="740">
        <f>IF($W$8=0,0,IF(V20&lt;='Options and results'!$W$20,((IF(VLOOKUP($W$8,Treecost!$B$2:$AH$49,Treecost!$O$2,FALSE)=V20,VLOOKUP($W$8,Treecost!$B$2:$AH$49,Treecost!$Q$2,FALSE),0)+IF(AND(V20&gt;VLOOKUP($W$8,Treecost!$B$2:$AH$49,Treecost!$O$2,FALSE),V20&lt;=VLOOKUP($W$8,Treecost!$B$2:$AH$49,Treecost!$R$2,FALSE)),VLOOKUP($W$8,Treecost!$B$2:$AH$49,Treecost!$T$2,FALSE),0)*IF(1+'Options and results'!$Q$22*(V20-1)&gt;0,1+'Options and results'!$Q$22*(V20-1),0))+(BK20*$AX$16+BL20*$AX$17)*IF(1+'Options and results'!$Q$21*(V20-1)&gt;0,1+'Options and results'!$Q$21*(V20-1),0))*IF(V20&gt;='Options and results'!$I$27,'Options and results'!$I$26,1),0))</f>
        <v>0</v>
      </c>
      <c r="BN20" s="894">
        <f>IF($W$8=0,0,IF(V20&lt;='Options and results'!$W$20,IF(AND(V20&gt;=VLOOKUP($W$8,Treecost!$B$2:$W$49,Treecost!$U$2,FALSE),V20&lt;=VLOOKUP($W$8,Treecost!$B$2:$W$49,Treecost!$V$2,FALSE)),(AB20*VLOOKUP($W$8,Treecost!$B$2:$W$49,Treecost!$W$2,FALSE)/60),0)*IF(V20&gt;='Options and results'!$I$25,'Options and results'!$I$24,1),0))</f>
        <v>0</v>
      </c>
      <c r="BO20" s="740">
        <f>BN20*$AX$18*IF(V20&gt;='Options and results'!$I$27,'Options and results'!$I$26,1)*IF(1+'Options and results'!$Q$21*(V20-1)&gt;0,1+'Options and results'!$Q$21*(V20-1),0)</f>
        <v>0</v>
      </c>
      <c r="BP20" s="894">
        <f>IF(V20&lt;='Options and results'!$W$20,IF(AB20&lt;=0,0,VLOOKUP($W$8,Treecost!$B$6:$AH$49,Treecost!$AC$2,FALSE)+VLOOKUP($W$8,Treecost!$B$6:$AH$49,Treecost!$AD$2,FALSE)+IF(AND(V20&gt;=VLOOKUP($W$8,Treecost!$B$2:$AK$49,Treecost!$AI$2,FALSE),V20&lt;=VLOOKUP($W$8,Treecost!$B$2:$AK$49,Treecost!$AJ$2,FALSE)),(VLOOKUP($W$8,Treecost!$B$2:$AK$49,Treecost!$AK$2,FALSE)),0))*IF(V20&gt;='Options and results'!$I$27,'Options and results'!$I$26,1),0)*IF(1+'Options and results'!$Q$22*(V20-1)&gt;0,1+'Options and results'!$Q$22*(V20-1),0)</f>
        <v>3</v>
      </c>
      <c r="BQ20" s="894">
        <f>IF(V20&lt;='Options and results'!$W$20,IF(AC20&gt;0,VLOOKUP($W$8,Treecost!$B$6:$AH$49,Treecost!$AE$2,FALSE)/60*AC20,0)*IF(V20&gt;='Options and results'!$I$25,'Options and results'!$I$24,1),0)</f>
        <v>0</v>
      </c>
      <c r="BR20" s="740">
        <f>IF(V20&lt;='Options and results'!$W$20,IF(AC20&gt;0,VLOOKUP($W$8,Treecost!$B$6:$AH$49,Treecost!$AF$2,FALSE)/60*AC20,0)*IF(V20&gt;='Options and results'!$I$25,'Options and results'!$I$24,1),0)</f>
        <v>0</v>
      </c>
      <c r="BS20" s="740">
        <f>(BQ20*$AX$20+BR20*$AX$21)*IF(V20&gt;='Options and results'!$I$27,'Options and results'!$I$26,1)*IF(1+'Options and results'!$Q$21*(V20-1)&gt;0,1+'Options and results'!$Q$21*(V20-1),0)</f>
        <v>0</v>
      </c>
      <c r="BT20" s="894">
        <f>IF(V20&lt;='Options and results'!$W$20,IF(AD20&gt;0,(VLOOKUP($W$8,Treecost!$B$6:$AH$49,Treecost!$AG$2,FALSE)/60*AD20)*IF(V20&gt;='Options and results'!$I$25,'Options and results'!$I$24,1),0),0)</f>
        <v>0</v>
      </c>
      <c r="BU20" s="740">
        <f>IF(V20&lt;='Options and results'!$W$20,IF(AD20&gt;0,(VLOOKUP($W$8,Treecost!$B$6:$AH$49,Treecost!$AH$2,FALSE)/60*AD20)*IF(V20&gt;='Options and results'!$I$25,'Options and results'!$I$24,1),0),0)</f>
        <v>0</v>
      </c>
      <c r="BV20" s="740">
        <f>(BT20*$AX$22+BU20*$AX$23)*IF(V20&gt;='Options and results'!$I$27,'Options and results'!$I$26,1)*IF(1+'Options and results'!$Q$21*(V20-1)&gt;0,1+'Options and results'!$Q$21*(V20-1),0)</f>
        <v>0</v>
      </c>
      <c r="BW20" s="1033">
        <f t="shared" si="138"/>
        <v>0</v>
      </c>
      <c r="BX20" s="1027">
        <f t="shared" si="139"/>
        <v>0</v>
      </c>
      <c r="BY20" s="1027">
        <f t="shared" si="140"/>
        <v>0</v>
      </c>
      <c r="BZ20" s="740">
        <f t="shared" si="124"/>
        <v>3</v>
      </c>
      <c r="CA20" s="740">
        <f t="shared" si="141"/>
        <v>-3</v>
      </c>
      <c r="CB20" s="894">
        <f>IF($V20&lt;='Options and results'!$W$20,SUM(BX$8:$BX20),0)</f>
        <v>0</v>
      </c>
      <c r="CC20" s="740">
        <f>IF($V20&lt;='Options and results'!$W$20,SUM($BY$8:BY20),0)</f>
        <v>0</v>
      </c>
      <c r="CD20" s="740">
        <f>IF($V20&lt;='Options and results'!$W$20,SUM($BZ$8:BZ20),0)</f>
        <v>1607.7443691843955</v>
      </c>
      <c r="CE20" s="740">
        <f>IF(V20&lt;='Options and results'!$W$20,CB20+CC20-CD20,0)</f>
        <v>-1607.7443691843955</v>
      </c>
      <c r="CF20" s="1381">
        <f t="shared" si="142"/>
        <v>192.37025222910771</v>
      </c>
      <c r="CG20" s="1027">
        <f t="shared" si="143"/>
        <v>189.37025222910771</v>
      </c>
      <c r="CH20" s="1027">
        <f t="shared" si="144"/>
        <v>0</v>
      </c>
      <c r="CI20" s="1189">
        <f>IF(V20&lt;='Options and results'!$W$20,CE20+AO20,0)</f>
        <v>-1331.5801431843045</v>
      </c>
      <c r="CJ20" s="1023"/>
      <c r="CK20" s="895">
        <f t="shared" si="145"/>
        <v>13</v>
      </c>
      <c r="CL20" s="1011" t="str">
        <f>IF('Options and results'!$C$54="None",0,IF(AND(CK20&gt;='Options and results'!$K$57,CK19&lt;'Options and results'!$W$20),'Options and results'!$K$56,IF(Optimisation!$B$3="No",CONCATENATE('Options and results'!$C$60," ",(HLOOKUP(CONCATENATE('Options and results'!$C$54," ",Agroforestrysystem!$B$12),Agroforestrysystem!$B$11:$IM$74,$CK20+4,FALSE))),Optimisation!AA40)))</f>
        <v>UK - Agriculture (BPS: from 2015) Wheat</v>
      </c>
      <c r="CM20" s="1012">
        <f>IF(HLOOKUP(CONCATENATE('Options and results'!$C$54," ",Agroforestrysystem!$C$12),Agroforestrysystem!$B$11:$IM$74,$CK20+4,FALSE)="T",(VLOOKUP(CL20,Arablefinance!$Z$6:$AB$105,Arablefinance!$AB$2,FALSE)*CO20+VLOOKUP(CL20,Arablefinance!$Z$6:$AC$105,Arablefinance!$AC$2,FALSE)*CP20)/VLOOKUP(CL20,Arablefinance!$Z$6:$AA$105,Arablefinance!$AA$2,FALSE),0)</f>
        <v>0</v>
      </c>
      <c r="CN20" s="1012">
        <f>IF(CL20=0,0,HLOOKUP(CONCATENATE('Options and results'!$C$54," ",Agroforestrysystem!$D$12),Agroforestrysystem!$B$11:$IM$74,$CK20+4,FALSE))</f>
        <v>0.99</v>
      </c>
      <c r="CO20" s="1440">
        <f ca="1">IF(CL20=0,0,IF(AND(Optimisation!$B$3="yes",Optimisation!$B$4=1,CK20&gt;Optimisation!$B$9),0,HLOOKUP(CONCATENATE('Options and results'!$C$54," ",Agroforestrysystem!$E$12),Agroforestrysystem!$B$11:$IM$74,$CK20+4,FALSE)*IF(CK20&gt;='Options and results'!$J$19,'Options and results'!$J$18,1)))</f>
        <v>5.99</v>
      </c>
      <c r="CP20" s="1440">
        <f ca="1">IF(CL20=0,0,IF(AND(Optimisation!$B$3="yes",Optimisation!$B$4=1,CK20&gt;Optimisation!$B$9),0,HLOOKUP(CONCATENATE('Options and results'!$C$54," ",Agroforestrysystem!$F$12),Agroforestrysystem!$B$11:$IM$74,$CK20+4,FALSE)*IF(CK20&gt;='Options and results'!$J$19,'Options and results'!$J$18,1)))</f>
        <v>2.3960000000000004</v>
      </c>
      <c r="CQ20" s="1013">
        <f ca="1">IF(CN20&lt;=0,0,IF(CK20&lt;='Options and results'!$W$20,IF(CM20&gt;0,VLOOKUP(CL20,Arablefinance!$Z$6:$AE$105,Arablefinance!$AD$2,FALSE)*CM20*CN20,((VLOOKUP(CL20,Arablefinance!$E$6:$H$126,2,FALSE)*CO20+VLOOKUP(CL20,Arablefinance!$E$6:$H$126,3,FALSE)*CP20)*CN20)),0)*IF(CK20&gt;='Options and results'!$J$21,'Options and results'!$J$20,1))*IF(1+'Options and results'!$O$20*(CK20-1)&gt;0,1+'Options and results'!$O$20*(CK20-1),0)</f>
        <v>1118.4827499999999</v>
      </c>
      <c r="CR20" s="1441">
        <f>IF(CN20&lt;=0,0,IF(AND(CM20&gt;0,VLOOKUP(CL20,Arablefinance!$Z$6:$AI$105,Arablefinance!$AI$2,FALSE)=2),VLOOKUP(CL20,Arablefinance!$Z$6:$AE$105,Arablefinance!$AE$2,FALSE)*CM20*CN20,IF('Options and results'!$C$62&gt;0,IF(VLOOKUP(CL20,Arablefinance!$E$6:$W$126,Arablefinance!$H$2,FALSE)*(1-Plot!DM20*'Options and results'!$C$62)&gt;0,VLOOKUP(CL20,Arablefinance!$E$6:$W$126,Arablefinance!$H$2,FALSE)*(1-Plot!DM20*'Options and results'!$C$62),0),IF(CK20&lt;='Options and results'!$W$20,(VLOOKUP(CL20,Arablefinance!$E$6:$W$126,Arablefinance!$H$2,FALSE)*IF('Options and results'!$C$61="area",CN20,'Options and results'!$C$61)),0)))*IF(CK20&gt;='Options and results'!$J$23,'Options and results'!$J$22,1))*IF(AND(1+'Options and results'!$O$23*(CK20-1)&gt;0,1+'Options and results'!$O$23*(CK20-1)&gt;'Options and results'!$S$24),1+'Options and results'!$O$23*(CK20-1),'Options and results'!$S$24)</f>
        <v>0</v>
      </c>
      <c r="CS20" s="1441">
        <f t="shared" ca="1" si="146"/>
        <v>1118.4827499999999</v>
      </c>
      <c r="CT20" s="1441">
        <f>IF(CN20&lt;=0,0,IF(CK20&lt;='Options and results'!$W$20,IF(CM20&gt;0,VLOOKUP(CL20,Arablefinance!$Z$6:$AF$105,Arablefinance!$AF$2,FALSE)*CM20*CN20,VLOOKUP(CL20,Arablefinance!$E$6:$X$126,Arablefinance!$R$2,FALSE)*CN20),0)*IF(CK20&gt;='Options and results'!$J$27,'Options and results'!$J$26,1))*IF(1+'Options and results'!$O$22*(CK20-1)&gt;0,1+'Options and results'!$O$22*(CK20-1),0)</f>
        <v>646.59374999999989</v>
      </c>
      <c r="CU20" s="1441">
        <f t="shared" ca="1" si="147"/>
        <v>471.88900000000001</v>
      </c>
      <c r="CV20" s="1441">
        <f>IF(CN20&lt;=0,0,IF(CK20&lt;='Options and results'!$W$20,IF(CM20&gt;0,VLOOKUP(CL20,Arablefinance!$Z$6:$AG$105,Arablefinance!$AG$2,FALSE)*CM20*CN20,VLOOKUP(CL20,Arablefinance!$E$6:$X$126,Arablefinance!$X$2,FALSE)*CN20),0)*IF(CK20&gt;='Options and results'!$J$27,'Options and results'!$J$26,1))*IF(1+'Options and results'!$O$22*(CK20-1)&gt;0,1+'Options and results'!$O$22*(CK20-1),0)</f>
        <v>440</v>
      </c>
      <c r="CW20" s="1442">
        <f>IF(CN20&lt;=0,0,IF(CK20&lt;='Options and results'!$W$20,'Options and results'!$C$27*IF(CK20&gt;='Options and results'!$J$27,'Options and results'!$J$26,1),0))*IF(1+'Options and results'!$O$21*(CK20-1)&gt;0,1+'Options and results'!$O$21*(CK20-1),0)</f>
        <v>14.6</v>
      </c>
      <c r="CX20" s="1442">
        <f>IF(CN20&lt;=0,0,IF(CK20&lt;='Options and results'!$W$20,IF(CM20&gt;0,VLOOKUP(CL20,Arablefinance!$Z$6:$AH$105,Arablefinance!$AH$2,FALSE)*CM20*CN20,VLOOKUP(CL20,Arablefinance!$E$6:$W$126,Arablefinance!$V$2,FALSE)*CN20),0)*IF(CK20&gt;='Options and results'!$J$25,'Options and results'!$J$24,1))</f>
        <v>11.516506250880969</v>
      </c>
      <c r="CY20" s="1013">
        <f t="shared" si="148"/>
        <v>1254.7347412628621</v>
      </c>
      <c r="CZ20" s="1353">
        <f t="shared" ca="1" si="149"/>
        <v>-136.25199126286225</v>
      </c>
      <c r="DA20" s="1013">
        <f ca="1">IF($CK20&lt;='Options and results'!$W$20,SUM($CQ$8:CQ20),0)</f>
        <v>17265.85685</v>
      </c>
      <c r="DB20" s="1441">
        <f>IF($CK20&lt;='Options and results'!$W$20,SUM($CR$8:CR20),0)</f>
        <v>0</v>
      </c>
      <c r="DC20" s="1441">
        <f>IF($CK20&lt;='Options and results'!$W$20,SUM($CY$8:CY20),0)</f>
        <v>15688.574447029559</v>
      </c>
      <c r="DD20" s="1189">
        <f ca="1">IF(CK20&lt;='Options and results'!$W$20,DA20+DB20-DC20,0)</f>
        <v>1577.2824029704407</v>
      </c>
      <c r="DE20" s="401"/>
      <c r="DF20" s="895">
        <f t="shared" si="150"/>
        <v>13</v>
      </c>
      <c r="DG20" s="173"/>
      <c r="DH20" s="1422"/>
      <c r="DI20" s="1427">
        <f>IF(DF20&lt;='Options and results'!$M$61,'Options and results'!$M$60,0)</f>
        <v>0</v>
      </c>
      <c r="DJ20" s="740">
        <f t="shared" si="151"/>
        <v>0</v>
      </c>
      <c r="DK20" s="740">
        <f t="shared" si="152"/>
        <v>0</v>
      </c>
      <c r="DL20" s="1428">
        <f t="shared" si="153"/>
        <v>100</v>
      </c>
      <c r="DM20" s="1429">
        <f>IF($DG$8=0,0,HLOOKUP(CONCATENATE('Options and results'!$C$54," ",Agroforestrysystem!$J$12),Agroforestrysystem!$11:$74,DF20+3,FALSE))/100</f>
        <v>0.83900000000000008</v>
      </c>
      <c r="DN20" s="740">
        <f>IF($DG$8=0,0,IF(HLOOKUP(CONCATENATE('Options and results'!$C$54," ",Agroforestrysystem!$H$12),Agroforestrysystem!$11:$74,DF20+4,FALSE)&lt;DL20,HLOOKUP(CONCATENATE('Options and results'!$C$54," ",Agroforestrysystem!$H$12),Agroforestrysystem!$11:$74,DF20+4,FALSE),0))</f>
        <v>0</v>
      </c>
      <c r="DO20" s="1027">
        <f>IF($DG$8=0,0,IF(HLOOKUP(CONCATENATE('Options and results'!$C$54," ",Agroforestrysystem!$H$12),Agroforestrysystem!$11:$74,DF20+4,FALSE)&gt;=DL20,DL20,0))</f>
        <v>0</v>
      </c>
      <c r="DP20" s="1430">
        <f>IF($DG$8=0,0,HLOOKUP(CONCATENATE('Options and results'!$C$54," ",Agroforestrysystem!$I$12),Agroforestrysystem!$11:$74,DF20+4,FALSE))</f>
        <v>14.210891258682691</v>
      </c>
      <c r="DQ20" s="1038"/>
      <c r="DR20" s="1390">
        <f>IF($DG$8=0,0,IF(DF20&gt;'Options and results'!$W$20,0,)+IF(DF20=1,'Options and results'!$M$64)+IF('Options and results'!$M$67="yes",IF(AND(DR19+'Options and results'!$M$65&lt;=$DQ$8,DR19+'Options and results'!$M$65+IF(DF20=1,'Options and results'!$M$64,0)&lt;='Options and results'!$M$66*DP20),DR19+'Options and results'!$M$65,DR19),(HLOOKUP(CONCATENATE('Options and results'!$C$54," ",Agroforestrysystem!$K$12),Agroforestrysystem!$11:$74,DF20+4,FALSE)-IF(DF20=1,'Options and results'!$M$64))))</f>
        <v>7.5</v>
      </c>
      <c r="DS20" s="1027">
        <f>IF(OR($DG$8=0,DL20=0),0,HLOOKUP(CONCATENATE('Options and results'!$C$54," ",Agroforestrysystem!$L$12),Agroforestrysystem!$11:$74,DF20+4,FALSE)*IF(DF20&gt;='Options and results'!$K$19,'Options and results'!$K$18,1))</f>
        <v>16.735627719780698</v>
      </c>
      <c r="DT20" s="1431">
        <f t="shared" si="154"/>
        <v>0.16735627719780699</v>
      </c>
      <c r="DU20" s="889">
        <f t="shared" si="155"/>
        <v>0</v>
      </c>
      <c r="DV20" s="1027">
        <f>IF($DG$8=0,0,(HLOOKUP(CONCATENATE('Options and results'!$C$54," ",Agroforestrysystem!$M$12),Agroforestrysystem!$11:$74,DF20+4,FALSE))*IF(DF20&gt;='Options and results'!$K$19,'Options and results'!$K$18,1))-DW20</f>
        <v>7.3795328948477552</v>
      </c>
      <c r="DW20" s="303">
        <f>IF($DG$8=0,0,(HLOOKUP(CONCATENATE('Options and results'!$C$54," ",Agroforestrysystem!$N$12),Agroforestrysystem!$11:$74,DF20+4,FALSE))*IF(DF20&gt;='Options and results'!$K$19,'Options and results'!$K$18,1))</f>
        <v>0</v>
      </c>
      <c r="DX20" s="303">
        <f>IF($DG$8=0,0,HLOOKUP(CONCATENATE('Options and results'!$C$54," ",Agroforestrysystem!$O$12),Agroforestrysystem!$11:$74,DF20+4,FALSE)*IF(DF20&gt;='Options and results'!$K$19,'Options and results'!$K$18,1))</f>
        <v>0</v>
      </c>
      <c r="DY20" s="1192">
        <f>IF(DT20&gt;0,HLOOKUP(DT20,Treevalue!$I$4:$BC$34,'Options and results'!$C$66+1),0)*IF(DF20&gt;='Options and results'!$K$21,'Options and results'!$K$20,1)*IF(1+'Options and results'!$Q$20*(DF20-1)&gt;0,1+'Options and results'!$Q$20*(DF20-1),0)</f>
        <v>10.983909471625973</v>
      </c>
      <c r="DZ20" s="1027">
        <f t="shared" si="156"/>
        <v>183.82261982490539</v>
      </c>
      <c r="EA20" s="1027">
        <f t="shared" si="125"/>
        <v>0</v>
      </c>
      <c r="EB20" s="1027">
        <f>(IF('Options and results'!$C$66&gt;0,IF(DF20&lt;='Options and results'!$W$20,VLOOKUP('Options and results'!$C$66,Treevalue!$A$4:$F$34,5,FALSE),0),0)*DV20)*IF(DF20&gt;='Options and results'!$K$21,'Options and results'!$K$20,1)*IF(1+'Options and results'!$Q$20*(DF20-1)&gt;0,1+'Options and results'!$Q$20*(DF20-1),0)</f>
        <v>184.48832237119387</v>
      </c>
      <c r="EC20" s="740">
        <f>(IF('Options and results'!$C$66&gt;0,IF(DF20&lt;='Options and results'!$W$20,VLOOKUP('Options and results'!$C$66,Treevalue!$A$4:$F$34,5,FALSE),0),0)*DW20)*IF(DF20&gt;='Options and results'!$K$21,'Options and results'!$K$20,1)*IF(1+'Options and results'!$Q$20*(DF20-1)&gt;0,1+'Options and results'!$Q$20*(DF20-1),0)</f>
        <v>0</v>
      </c>
      <c r="ED20" s="889">
        <f>(IF('Options and results'!$C$66&gt;0,IF(DF20&lt;='Options and results'!$W$20,VLOOKUP('Options and results'!$C$66,Treevalue!$A$4:$F$34,6,FALSE),0),0)*DX20)*IF(DF20&gt;='Options and results'!$K$21,'Options and results'!$K$20,1)*IF(1+'Options and results'!$Q$20*(DF20-1)&gt;0,1+'Options and results'!$Q$20*(DF20-1),0)</f>
        <v>0</v>
      </c>
      <c r="EE20" s="740">
        <f>IF(DF20&lt;='Options and results'!$W$20,IF(DL20&lt;=0,0,IF('Options and results'!$C$70="cost",(IF(DF20&lt;='Options and results'!$C$71,FK20*SUM('Options and results'!$C$72:$C$73),0)),IF('Options and results'!$C$68&gt;0,(IF(VLOOKUP('Options and results'!$C$69,Treegrant!$B$6:$L$42,Treegrant!$C$2,FALSE)=DF20,VLOOKUP('Options and results'!$C$69,Treegrant!$B$6:$L$42,Treegrant!$D$2,FALSE),0)+IF(VLOOKUP('Options and results'!$C$69,Treegrant!$B$6:$L$42,Treegrant!$E$2,FALSE)=DF20,VLOOKUP('Options and results'!$C$69,Treegrant!$B$6:$L$42,Treegrant!$F$2,FALSE),0)+IF(VLOOKUP('Options and results'!$C$69,Treegrant!$B$6:$L$42,Treegrant!$G$2,FALSE)=DF20,VLOOKUP('Options and results'!$C$69,Treegrant!$B$6:$L$42,Treegrant!$H$2,FALSE)))*IF('Options and results'!$C$70="area",Unit!C21,'Options and results'!$C$70),0))*IF(DF20&gt;='Options and results'!$K$23,'Options and results'!$K$22,1)),0)*IF(1+'Options and results'!$Q$23*(DF20-1)&gt;0,1+'Options and results'!$Q$23*(DF20-1),0)</f>
        <v>0</v>
      </c>
      <c r="EF20" s="740">
        <f>IF($DG$8=0,0,IF(DF20&lt;='Options and results'!$W$20,IF(DL20&lt;=0,0,IF('Options and results'!$C$68&gt;0,IF(AND(VLOOKUP('Options and results'!$C$69,Treegrant!$B$6:$L$42,Treegrant!$J$2,FALSE)&lt;=DF20,VLOOKUP('Options and results'!$C$69,Treegrant!$B$6:$L$42,Treegrant!$K$2,FALSE)&gt;=DF20),(VLOOKUP('Options and results'!$C$69,Treegrant!$B$6:$L$42,Treegrant!$L$2,FALSE)),0)*IF('Options and results'!$C$74="area",Unit!C21,'Options and results'!$C$74))*IF(DF20&gt;='Options and results'!$K$23,'Options and results'!$K$22,1)),0))*IF(1+'Options and results'!$Q$23*(DF20-1)&gt;0,1+'Options and results'!$Q$23*(DF20-1),0)</f>
        <v>0</v>
      </c>
      <c r="EG20" s="1034">
        <f>IF($DG$8=0,0,IF(DF20&lt;='Options and results'!$W$20,IF(DL20&lt;=0,0,IF('Options and results'!$C$68&gt;0,((IF(AND(VLOOKUP('Options and results'!$C$69,Treegrant!$B$6:$O$42,Treegrant!$M$2,FALSE)&lt;=DF20,VLOOKUP('Options and results'!$C$69,Treegrant!$B$6:$O$42,Treegrant!$N$2,FALSE)&gt;=DF20),(VLOOKUP('Options and results'!$C$69,Treegrant!$B$6:$O$42,Treegrant!$O$2,FALSE)),0)*IF('Options and results'!$C$75="area",Unit!C21,'Options and results'!$C$75))+(IF(AND(VLOOKUP('Options and results'!$C$69,Treegrant!$B$6:$R$42,Treegrant!$P$2,FALSE)&lt;=DF20,VLOOKUP('Options and results'!$C$69,Treegrant!$B$6:$R$42,Treegrant!$Q$2,FALSE)&gt;=DF20),(VLOOKUP('Options and results'!$C$69,Treegrant!$B$6:$R$42,Treegrant!$R$2,FALSE)),0))*IF('Options and results'!$C$76="area",Unit!C21,'Options and results'!$C$76)))*IF(DF20&gt;='Options and results'!$K$23,'Options and results'!$K$22,1)),0))*IF(1+'Options and results'!$Q$23*(DF20-1)&gt;0,1+'Options and results'!$Q$23*(DF20-1),0)</f>
        <v>0</v>
      </c>
      <c r="EH20" s="1033" t="s">
        <v>304</v>
      </c>
      <c r="EI20" s="1018">
        <f>'Options and results'!$S45</f>
        <v>14.6</v>
      </c>
      <c r="EJ20" s="1419">
        <f>IF($DH$8+DK20&lt;1,0,IF(DF20=1,VLOOKUP($DG$8,Treecost!$B$6:$AH$49,Treecost!$E$2,FALSE),0)*IF(DF20&gt;='Options and results'!$K$25,'Options and results'!$K$24,1))</f>
        <v>0</v>
      </c>
      <c r="EK20" s="889">
        <f>IF($DH$8+DK20&lt;1,0,IF(DF20=1,VLOOKUP($DG$8,Treecost!$B$6:$AH$49,Treecost!$F$2,FALSE),0)*IF(DF20&gt;='Options and results'!$K$25,'Options and results'!$K$24,1))</f>
        <v>0</v>
      </c>
      <c r="EL20" s="889">
        <f>IF($DH$8+DK20&lt;1,0,IF(DF20=1,VLOOKUP($DG$8,Treecost!$B$6:$AH$49,Treecost!$G$2,FALSE),0)*IF(DF20&gt;='Options and results'!$K$25,'Options and results'!$K$24,1))</f>
        <v>0</v>
      </c>
      <c r="EM20" s="889">
        <f>IF($DG$8=0,0,IF(DF20&lt;='Options and results'!$W$20,((VLOOKUP($DG$8,Treecost!$B$6:$AH$49,Treecost!$H$2,FALSE)*(DH20+DK20))/60)*IF(DF20&gt;='Options and results'!$K$25,'Options and results'!$K$24,1),0))</f>
        <v>0</v>
      </c>
      <c r="EN20" s="889">
        <f>IF($DG$8=0,0,IF(DF20&lt;='Options and results'!$W$20,(((VLOOKUP($DG$8,Treecost!$B$6:$AH$49,Treecost!$I$2,FALSE))*(DH20+DK20))/60)*IF(DF20&gt;='Options and results'!$K$25,'Options and results'!$K$24,1),0))</f>
        <v>0</v>
      </c>
      <c r="EO20" s="889">
        <f>IF($DG$8=0,0,IF(DF20&lt;='Options and results'!$W$20,(((VLOOKUP($DG$8,Treecost!$B$6:$AH$49,Treecost!$J$2,FALSE))/60)*(DH20+DK20))*IF(DF20&gt;='Options and results'!$K$25,'Options and results'!$K$24,1),0))</f>
        <v>0</v>
      </c>
      <c r="EP20" s="1019">
        <f>IF($DG$8=0,0,IF(DF20&lt;='Options and results'!$W$20,(((VLOOKUP($DG$8,Treecost!$B$6:$AH$49,Treecost!$C$2,FALSE)+VLOOKUP($DG$8,Treecost!$B$6:$AH$49,Treecost!$D$2,FALSE))*(DH20+DK20)*IF(1+'Options and results'!$Q$22*(DF20-1)&gt;0,1+'Options and results'!$Q$22*(DF20-1),0))+(EJ20*$EI$8+EK20*$EI$9+EL20*$EI$10+EM20*$EI$11+EN20*$EI$12+EO20*$EI$13)*IF(1+'Options and results'!$Q$21*(DF20-1)&gt;0,1+'Options and results'!$Q$21*(DF20-1),0))*IF(DF20&gt;='Options and results'!$K$27,'Options and results'!$K$26,1),0))</f>
        <v>0</v>
      </c>
      <c r="EQ20" s="740">
        <f>IF($DG$8=0,0,IF(DF20&lt;='Options and results'!$W$20,IF(AND(VLOOKUP($DG$8,Treecost!$B$6:$AH$49,Treecost!$K$2,FALSE)&lt;=DF20,DF20&lt;=(VLOOKUP($DG$8,Treecost!$B$6:$AH$49,Treecost!$L$2,FALSE))),VLOOKUP($DG$8,Treecost!$B$6:$AH$49,Treecost!$M$2,FALSE)*DL20/60,0)*IF(DF20&gt;='Options and results'!$K$25,'Options and results'!$K$24,1),0))</f>
        <v>0</v>
      </c>
      <c r="ER20" s="1019">
        <f>IF(EQ20&gt;0,(VLOOKUP($DG$8,Treecost!$B$6:$AH$49,Treecost!$N$2,FALSE)*DL20*IF(1+'Options and results'!$Q$22*(DF20-1)&gt;0,1+'Options and results'!$Q$22*(DF20-1),0)+EQ20*$EI$14*IF(1+'Options and results'!$Q$21*(DF20-1)&gt;0,1+'Options and results'!$Q$21*(DF20-1),0)),0)*IF(DF20&gt;='Options and results'!$K$27,'Options and results'!$K$26,1)</f>
        <v>0</v>
      </c>
      <c r="ES20" s="889">
        <f>IF(DF20&lt;='Options and results'!$W$20,IF(AND(DR20-DR19&gt;0,DR20&gt;'Options and results'!$M$64),(DL20-DN20)*(VLOOKUP($DG$8,Treecost!$B$6:$AH$49,Treecost!$Y$2,FALSE)+(VLOOKUP($DG$8,Treecost!$B$6:$AH$49,Treecost!$AA$2,FALSE)-VLOOKUP($DG$8,Treecost!$B$6:$AH$49,Treecost!$Y$2,FALSE))/(VLOOKUP($DG$8,Treecost!$B$6:$AH$49,Treecost!$Z$2,FALSE)-VLOOKUP($DG$8,Treecost!$B$6:$AH$49,Treecost!$X$2,FALSE))*(DR20-VLOOKUP($DG$8,Treecost!$B$6:$AH$49,Treecost!$X$2,FALSE)))/60,0)*IF(DF20&gt;='Options and results'!$K$25,'Options and results'!$K$24,1),0)</f>
        <v>0</v>
      </c>
      <c r="ET20" s="889">
        <f>IF(DF20&lt;='Options and results'!$W$20,IF(ES20&gt;0,VLOOKUP($DG$8,Treecost!$B$6:$AH$49,Treecost!$AB$2,FALSE)/60*DL20,0)*IF(DF20&gt;='Options and results'!$K$25,'Options and results'!$K$24,1),0)*((ES20-(MIN($ES$8:$ES$67)))/((MAX($ES$8:$ES$67))-(MIN($ES$8:$ES$67))))</f>
        <v>0</v>
      </c>
      <c r="EU20" s="740">
        <f>IF(ES20&gt;0,(ES20*$EI$15+ET20*$EI$19)*IF(1+'Options and results'!$Q$21*(DF20-1)&gt;0,1+'Options and results'!$Q$21*(DF20-1),0),0)*IF(DF20&gt;='Options and results'!$K$27,'Options and results'!$K$26,1)</f>
        <v>0</v>
      </c>
      <c r="EV20" s="891">
        <f>IF($DG$8=0,0,IF(DF20&lt;='Options and results'!$W$20,IF(AND(VLOOKUP($DG$8,Treecost!$B$2:$AH$49,Treecost!$O$2,FALSE)=DF20,DF20&lt;=IF(AND(Optimisation!$B$3="Yes",Optimisation!$B$4=1),Optimisation!$B$9)),VLOOKUP($DG$8,Treecost!$B$2:$AH$49,Treecost!$P$2,FALSE)*(1-CN20),0)*IF(DF20&gt;='Options and results'!$K$25,'Options and results'!$K$24,1),0))</f>
        <v>0</v>
      </c>
      <c r="EW20" s="889">
        <f>IF($DG$8=0,0,IF(DF20&lt;='Options and results'!$W$20,IF(AND(DF20&gt;VLOOKUP($DG$8,Treecost!$B$2:$AH$49,Treecost!$O$2,FALSE),DF20&lt;=IF(AND(Optimisation!$B$3="Yes",Optimisation!$B$4=1),Optimisation!$B$9,VLOOKUP($DG$8,Treecost!$B$2:$AH$49,Treecost!$R$2,FALSE))),VLOOKUP($DG$8,Treecost!$B$2:$AH$49,Treecost!$S$2,FALSE)*(1-CN20),0)*IF(DF20&gt;='Options and results'!$K$25,'Options and results'!$K$24,1),0))</f>
        <v>0</v>
      </c>
      <c r="EX20" s="740">
        <f>IF($DG$8=0,0,IF(DF20&lt;='Options and results'!$W$20,(IF(AND(VLOOKUP($DG$8,Treecost!$B$2:$AH$49,Treecost!$O$2,FALSE)=DF20,DF20&lt;=IF(AND(Optimisation!$B$3="Yes",Optimisation!$B$4=1),Optimisation!$B$9)),VLOOKUP($DG$8,Treecost!$B$2:$AH$49,Treecost!$Q$2,FALSE),0)*(1-CN20)+IF(AND(DF20&gt;VLOOKUP($DG$8,Treecost!$B$2:$AH$49,Treecost!$O$2,FALSE),DF20&lt;=IF(AND(Optimisation!$B$3="Yes",Optimisation!$B$4=1),Optimisation!$B$9,VLOOKUP($DG$8,Treecost!$B$2:$AH$49,Treecost!$R$2,FALSE))),VLOOKUP($DG$8,Treecost!$B$2:$AH$49,Treecost!$T$2,FALSE),0)*(1-CN20)+(EV20*$EI$16+EW20*$EI$17))*IF(DF20&gt;='Options and results'!$K$27,'Options and results'!$K$26,1),0))*IF(1+'Options and results'!$Q$21*(DF20-1)&gt;0,1+'Options and results'!$Q$21*(DF20-1),0)</f>
        <v>0</v>
      </c>
      <c r="EY20" s="894">
        <f>IF($DG$8=0,0,IF(DF20&lt;='Options and results'!$W$20,IF(AND(DF20&gt;=VLOOKUP($DG$8,Treecost!$B$2:$W$49,Treecost!$U$2,FALSE),DF20&lt;=VLOOKUP($DG$8,Treecost!$B$2:$W$49,Treecost!$V$2,FALSE)),(DL20*VLOOKUP($DG$8,Treecost!$B$2:$W$49,Treecost!$W$2,FALSE)/60),0)*IF(DF20&gt;='Options and results'!$K$25,'Options and results'!$K$24,1),0))</f>
        <v>0</v>
      </c>
      <c r="EZ20" s="740">
        <f>EY20*$EI$18*IF(DF20&gt;='Options and results'!$K$27,'Options and results'!$K$26,1)*IF(1+'Options and results'!$Q$21*(DF20-1)&gt;0,1+'Options and results'!$Q$21*(DF20-1),0)</f>
        <v>0</v>
      </c>
      <c r="FA20" s="1025">
        <f>IF(DF20&lt;='Options and results'!$W$20,IF(DL20&lt;=0,0,VLOOKUP($DG$8,Treecost!$B$6:$AH$49,Treecost!$AC$2,FALSE)+VLOOKUP($DG$8,Treecost!$B$6:$AH$49,Treecost!$AD$2,FALSE)+IF(AND(DF20&gt;=VLOOKUP($DG$8,Treecost!$B$2:$AK$49,Treecost!$AI$2,FALSE),DF20&lt;=VLOOKUP($DG$8,Treecost!$B$2:$AK$49,Treecost!$AJ$2,FALSE)),VLOOKUP($DG$8,Treecost!$B$2:$AK$49,Treecost!$AK$2,FALSE)*(1-CN20),0))*IF(DF20&gt;='Options and results'!$K$27,'Options and results'!$K$26,1),0)*IF(1+'Options and results'!$Q$22*(DF20-1)&gt;0,1+'Options and results'!$Q$22*(DF20-1),0)</f>
        <v>3</v>
      </c>
      <c r="FB20" s="894">
        <f>IF(DF20&lt;='Options and results'!$W$20,IF(DN20&gt;0,VLOOKUP($DG$8,Treecost!$B$6:$AH$49,Treecost!$AE$2,FALSE)/60*DN20,0)*IF(DF20&gt;='Options and results'!$K$25,'Options and results'!$K$24,1),0)</f>
        <v>0</v>
      </c>
      <c r="FC20" s="740">
        <f>IF(DF20&lt;='Options and results'!$W$20,IF(DN20&gt;0,VLOOKUP($DG$8,Treecost!$B$6:$AH$49,Treecost!$AF$2,FALSE)/60*DN20,0)*IF(DF20&gt;='Options and results'!$K$25,'Options and results'!$K$24,1),0)</f>
        <v>0</v>
      </c>
      <c r="FD20" s="740">
        <f>(FB20*$EI$20+FC20*$EI$21)*IF(DF20&gt;='Options and results'!$K$27,'Options and results'!$K$26,1)*IF(1+'Options and results'!$Q$21*(DF20-1)&gt;0,1+'Options and results'!$Q$21*(DF20-1),0)</f>
        <v>0</v>
      </c>
      <c r="FE20" s="894">
        <f>IF(DF20&lt;='Options and results'!$W$20,IF(DO20&gt;0,(VLOOKUP($DG$8,Treecost!$B$6:$AH$49,Treecost!$AG$2,FALSE)/60*DO20)*IF(DF20&gt;='Options and results'!$K$25,'Options and results'!$K$24,1),0),0)</f>
        <v>0</v>
      </c>
      <c r="FF20" s="740">
        <f>IF(DF20&lt;='Options and results'!$W$20,IF(DO20&gt;0,(VLOOKUP($DG$8,Treecost!$B$6:$AH$49,Treecost!$AH$2,FALSE)/60*DO20)*IF(DF20&gt;='Options and results'!$K$25,'Options and results'!$K$24,1),0),0)</f>
        <v>0</v>
      </c>
      <c r="FG20" s="740">
        <f>(FE20*$EI$22+FF20*$EI$23)*IF(DF20&gt;='Options and results'!$K$27,'Options and results'!$K$26,1)*IF(1+'Options and results'!$Q$21*(DF20-1)&gt;0,1+'Options and results'!$Q$21*(DF20-1),0)</f>
        <v>0</v>
      </c>
      <c r="FH20" s="894">
        <f t="shared" si="157"/>
        <v>0</v>
      </c>
      <c r="FI20" s="1027">
        <f t="shared" si="158"/>
        <v>0</v>
      </c>
      <c r="FJ20" s="1027">
        <f t="shared" si="159"/>
        <v>0</v>
      </c>
      <c r="FK20" s="1027">
        <f t="shared" si="160"/>
        <v>3</v>
      </c>
      <c r="FL20" s="1027">
        <f t="shared" si="183"/>
        <v>-3</v>
      </c>
      <c r="FM20" s="1027">
        <f>IF($DF20&lt;='Options and results'!$W$20,SUM(FI$8:$FI20),0)</f>
        <v>0</v>
      </c>
      <c r="FN20" s="1027">
        <f>IF($DF20&lt;='Options and results'!$W$20,SUM($FJ$8:FJ20),0)</f>
        <v>0</v>
      </c>
      <c r="FO20" s="1027">
        <f>IF($DF20&lt;='Options and results'!$W$20,SUM($FK$8:FK20),0)</f>
        <v>1079.0448753513026</v>
      </c>
      <c r="FP20" s="1027">
        <f>IF($DF20&lt;='Options and results'!$W$20,FM20+FN20-FO20,0)</f>
        <v>-1079.0448753513026</v>
      </c>
      <c r="FQ20" s="1027">
        <f t="shared" si="162"/>
        <v>129.76523603888205</v>
      </c>
      <c r="FR20" s="1027">
        <f t="shared" si="163"/>
        <v>126.76523603888205</v>
      </c>
      <c r="FS20" s="1027">
        <f t="shared" si="164"/>
        <v>0</v>
      </c>
      <c r="FT20" s="1189">
        <f>IF(DF20&lt;='Options and results'!$W$20,FP20+DZ20,0)</f>
        <v>-895.22225552639725</v>
      </c>
      <c r="FU20" s="401"/>
      <c r="FV20" s="895">
        <f t="shared" si="165"/>
        <v>13</v>
      </c>
      <c r="FW20" s="894">
        <f>G20/(1+'Options and results'!$W$33)^(FV20-1)</f>
        <v>939.64275315923817</v>
      </c>
      <c r="FX20" s="740">
        <f>(AP20+AR20+AS20)/(1+'Options and results'!$W$33)^(FV20-1)</f>
        <v>0</v>
      </c>
      <c r="FY20" s="740">
        <f ca="1">CQ20/(1+'Options and results'!$W$33)^(FV20-1)</f>
        <v>698.60102565619752</v>
      </c>
      <c r="FZ20" s="740">
        <f>(EA20+EC20+ED20)/(1+'Options and results'!$W$33)^(FV20-1)</f>
        <v>0</v>
      </c>
      <c r="GA20" s="1019">
        <f t="shared" ca="1" si="180"/>
        <v>698.60102565619752</v>
      </c>
      <c r="GB20" s="1026">
        <f>(AO20+AQ20)/(1+'Options and results'!$W$33)^(FV20-1)+FX20</f>
        <v>345.60738859248801</v>
      </c>
      <c r="GC20" s="1027">
        <f>IF(FV20&gt;'Options and results'!$W$27,0,GB20-GB19)</f>
        <v>111.13575210434502</v>
      </c>
      <c r="GD20" s="1027">
        <f>(DZ20+EB20)/(1+'Options and results'!$W$33)^(FV20-1)+FZ20</f>
        <v>230.04592782373754</v>
      </c>
      <c r="GE20" s="1379">
        <f>IF(FV20&gt;'Options and results'!$W$27,0,GD20-GD19)</f>
        <v>75.091185797714786</v>
      </c>
      <c r="GF20" s="894">
        <f>IF(FV20&lt;='Options and results'!$W$20,SUM(FW$8:FW20),0)</f>
        <v>16423.093024176385</v>
      </c>
      <c r="GG20" s="740">
        <f>IF(FV20&lt;='Options and results'!$W$20,SUM(FX$8:FX20), 0)</f>
        <v>0</v>
      </c>
      <c r="GH20" s="740">
        <f ca="1">IF(FV20&lt;='Options and results'!$W$20,SUM(FY$8:FY20),0)</f>
        <v>14095.342517956156</v>
      </c>
      <c r="GI20" s="740">
        <f>IF(FV20&lt;='Options and results'!$W$20,SUM(FZ$8:FZ20),0)</f>
        <v>0</v>
      </c>
      <c r="GJ20" s="1019">
        <f t="shared" ca="1" si="166"/>
        <v>14095.342517956156</v>
      </c>
      <c r="GK20" s="894">
        <f>IF(FV20&gt;'Options and results'!$W$27,0,GG20+SUM(GC$8:GC20)-FX20)</f>
        <v>345.60738859248801</v>
      </c>
      <c r="GL20" s="740">
        <f>IF(FV20&lt;='Options and results'!$W$20,SUM(GD$8:GD20),0)</f>
        <v>642.61556314710265</v>
      </c>
      <c r="GM20" s="1034">
        <f t="shared" ca="1" si="167"/>
        <v>14737.958081103259</v>
      </c>
      <c r="GN20" s="401"/>
      <c r="GO20" s="895">
        <f t="shared" si="168"/>
        <v>13</v>
      </c>
      <c r="GP20" s="894">
        <f>H20/(1+'Options and results'!$W$33)^(GO20-1)</f>
        <v>146.9052260612313</v>
      </c>
      <c r="GQ20" s="740">
        <f>SUM(AT20:AV20)/(1+'Options and results'!$W$33)^(GO20-1)</f>
        <v>0</v>
      </c>
      <c r="GR20" s="740">
        <f>CR20/(1+'Options and results'!$W$33)^(GO20-1)</f>
        <v>0</v>
      </c>
      <c r="GS20" s="740">
        <f>SUM(EE20:EG20)/(1+'Options and results'!$W$33)^(GO20-1)</f>
        <v>0</v>
      </c>
      <c r="GT20" s="1019">
        <f t="shared" si="181"/>
        <v>0</v>
      </c>
      <c r="GU20" s="894">
        <f>IF(GO20&lt;='Options and results'!$W$20,SUM(GP$8:GP20),0)</f>
        <v>2442.5693484692138</v>
      </c>
      <c r="GV20" s="740">
        <f>IF(GO20&lt;='Options and results'!$W$20,SUM(GQ$8:GQ20),0)</f>
        <v>0</v>
      </c>
      <c r="GW20" s="740">
        <f>IF(GO20&lt;='Options and results'!$W$20,SUM(GR$8:GR20),0)</f>
        <v>0</v>
      </c>
      <c r="GX20" s="740">
        <f>IF(GO20&lt;='Options and results'!$W$20,SUM(GS$8:GS20),0)</f>
        <v>0</v>
      </c>
      <c r="GY20" s="1034">
        <f>IF(GO20&lt;='Options and results'!$W$20,SUM(GT$8:GT20),0)</f>
        <v>0</v>
      </c>
      <c r="GZ20" s="401"/>
      <c r="HA20" s="895">
        <f t="shared" si="169"/>
        <v>13</v>
      </c>
      <c r="HB20" s="1026">
        <f>(J20+L20+(M20*N20))/(1+'Options and results'!$W$33)^(HA20-1)</f>
        <v>791.61981555392936</v>
      </c>
      <c r="HC20" s="740">
        <f>BZ20/(1+'Options and results'!$W$33)^(HA20-1)</f>
        <v>1.8737911487401955</v>
      </c>
      <c r="HD20" s="1027">
        <f>(CT20+CV20+(CW20*CX20))/(1+'Options and results'!$W$33)^(HA20-1)</f>
        <v>783.70361739839007</v>
      </c>
      <c r="HE20" s="740">
        <f>FK20/(1+'Options and results'!$W$33)^(HA20-1)</f>
        <v>1.8737911487401955</v>
      </c>
      <c r="HF20" s="1019">
        <f t="shared" si="182"/>
        <v>785.57740854713029</v>
      </c>
      <c r="HG20" s="894">
        <f>IF(HA20&lt;='Options and results'!$W$20,SUM(HB$8:HB20),0)</f>
        <v>12668.095649526347</v>
      </c>
      <c r="HH20" s="740">
        <f>IF(HA20&lt;='Options and results'!$W$20,SUM(HC$8:HC20),0)</f>
        <v>1382.3619963104516</v>
      </c>
      <c r="HI20" s="740">
        <f>IF(HA20&lt;='Options and results'!$W$20,SUM(HD$8:HD20),0)</f>
        <v>12541.414693031082</v>
      </c>
      <c r="HJ20" s="740">
        <f>IF(HA20&lt;='Options and results'!$W$20,SUM(HE$8:HE20),0)</f>
        <v>926.74180825863982</v>
      </c>
      <c r="HK20" s="1034">
        <f>IF(HA20&lt;='Options and results'!$W$20,SUM(HF$8:HF20),0)</f>
        <v>13468.156501289723</v>
      </c>
      <c r="HL20" s="405"/>
      <c r="HM20" s="895">
        <f t="shared" si="170"/>
        <v>13</v>
      </c>
      <c r="HN20" s="1026">
        <f t="shared" si="171"/>
        <v>294.92816366654006</v>
      </c>
      <c r="HO20" s="1027">
        <f t="shared" si="172"/>
        <v>-1.8737911487401955</v>
      </c>
      <c r="HP20" s="1027">
        <f t="shared" ca="1" si="173"/>
        <v>-85.102591742192544</v>
      </c>
      <c r="HQ20" s="1027">
        <f t="shared" si="174"/>
        <v>-1.8737911487401955</v>
      </c>
      <c r="HR20" s="1027">
        <f t="shared" si="175"/>
        <v>109.26196095560482</v>
      </c>
      <c r="HS20" s="1379">
        <f t="shared" si="176"/>
        <v>73.21739464897459</v>
      </c>
      <c r="HT20" s="1026">
        <f>IF($HM20&lt;='Options and results'!$W$20,SUM(HN$8:HN20),0)</f>
        <v>6197.5667231192483</v>
      </c>
      <c r="HU20" s="1027">
        <f>IF($HM20&lt;='Options and results'!$W$20,SUM(HO$8:HO20),0)</f>
        <v>-1382.3619963104516</v>
      </c>
      <c r="HV20" s="1027">
        <f ca="1">IF($HM20&lt;='Options and results'!$W$20,SUM(HP$8:HP20),0)</f>
        <v>1553.9278249250729</v>
      </c>
      <c r="HW20" s="1027">
        <f>IF($HM20&lt;='Options and results'!$W$20,SUM(HQ$8:HQ20),0)</f>
        <v>-926.74180825863982</v>
      </c>
      <c r="HX20" s="1027">
        <f t="shared" ca="1" si="177"/>
        <v>627.18601666643303</v>
      </c>
      <c r="HY20" s="1027">
        <f>IF($HM20&lt;='Options and results'!$W$20,SUM(HR$8:HR20),0)</f>
        <v>-1036.7546077179636</v>
      </c>
      <c r="HZ20" s="1027">
        <f>IF($HM20&lt;='Options and results'!$W$20,SUM(HS$8:HS20),0)</f>
        <v>-696.69588043490205</v>
      </c>
      <c r="IA20" s="1189">
        <f t="shared" ca="1" si="178"/>
        <v>857.2319444901708</v>
      </c>
    </row>
    <row r="21" spans="1:235" x14ac:dyDescent="0.25">
      <c r="A21" s="1010">
        <f t="shared" si="126"/>
        <v>14</v>
      </c>
      <c r="B21" s="1011" t="str">
        <f>IF('Options and results'!$C$17="None",0,CONCATENATE('Options and results'!$C$23," ",(HLOOKUP(CONCATENATE('Options and results'!$C$17," ",Arablesystem!$B$11),Arablesystem!$B$10:$ER$72,$A21+3,FALSE))))</f>
        <v>UK - Agriculture (BPS: from 2015) Wheat</v>
      </c>
      <c r="C21" s="1012">
        <f>IF(HLOOKUP(CONCATENATE('Options and results'!$C$17," ",Arablesystem!$C$11),Arablesystem!$B$10:$ER$72,$A21+3,FALSE)="T",(VLOOKUP(B21,Arablefinance!$Z$6:$AB$105,Arablefinance!$AB$2,FALSE)*E21+VLOOKUP(B21,Arablefinance!$Z$6:$AC$105,Arablefinance!$AC$2,FALSE)*F21)/VLOOKUP(B21,Arablefinance!$Z$6:$AA$105,Arablefinance!$AA$2,FALSE),0)</f>
        <v>0</v>
      </c>
      <c r="D21" s="1012">
        <f>IF(B21=0,0,HLOOKUP(CONCATENATE('Options and results'!$C$17," ",Arablesystem!$D$11),Arablesystem!$B$10:$ER$72,$A21+3,FALSE))</f>
        <v>1</v>
      </c>
      <c r="E21" s="1440">
        <f>IF(B21=0,0,HLOOKUP(CONCATENATE('Options and results'!$C$17," ",Arablesystem!$E$11),Arablesystem!$B$10:$ER$72,$A21+3,FALSE)*IF(A21&gt;='Options and results'!$H$19,'Options and results'!$H$18,1))</f>
        <v>9.2881315939317908</v>
      </c>
      <c r="F21" s="1440">
        <f>IF(B21=0,0,HLOOKUP(CONCATENATE('Options and results'!$C$17," ",Arablesystem!$F$11),Arablesystem!$B$10:$ER$72,$A21+3,FALSE)*IF(A21&gt;='Options and results'!$H$19,'Options and results'!$H$18,1))</f>
        <v>3.7152526375727164</v>
      </c>
      <c r="G21" s="1013">
        <f>IF(D21&lt;=0,0,IF(A21&lt;='Options and results'!$W$20,IF(C21&gt;0,VLOOKUP(B21,Arablefinance!$Z$6:$AE$105,Arablefinance!$AD$2,FALSE)*C21*D21,((VLOOKUP(B21,Arablefinance!$E$6:$G$126,Arablefinance!$F$2,FALSE)*(E21*D21)+VLOOKUP(B21,Arablefinance!$E$6:$G$126,Arablefinance!$G$2,FALSE)*(F21*D21)))),0)*IF(A21&gt;='Options and results'!$H$21,'Options and results'!$H$20,1))*IF(1+'Options and results'!$O$20*(A21-1)&gt;0,1+'Options and results'!$O$20*(A21-1),0)</f>
        <v>1751.8448200776904</v>
      </c>
      <c r="H21" s="1441">
        <f>IF(D21&lt;=0,0,IF(A21&lt;='Options and results'!$W$20,IF(AND(C21&gt;0,VLOOKUP(B21,Arablefinance!$Z$6:$AI$105,Arablefinance!$AI$2,FALSE)=2),VLOOKUP(B21,Arablefinance!$Z$6:$AE$105,Arablefinance!$AE$2,FALSE)*C21*D21,(VLOOKUP(B21,Arablefinance!$E$6:$H$126,Arablefinance!$H$2,FALSE)*D21))*IF(A21&gt;='Options and results'!$H$23,'Options and results'!$H$22,1),0)*IF(AND(1+'Options and results'!$O$23*(A21-1)&gt;0,1+'Options and results'!$O$23*(A21-1)&gt;'Options and results'!$S$24),1+'Options and results'!$O$23*(A21-1),'Options and results'!$S$24))</f>
        <v>235.2</v>
      </c>
      <c r="I21" s="1441">
        <f t="shared" si="127"/>
        <v>1987.0448200776905</v>
      </c>
      <c r="J21" s="1441">
        <f>IF(D21&lt;=0,0,IF(A21&lt;='Options and results'!$W$20,IF(C21&gt;0,VLOOKUP(B21,Arablefinance!$Z$6:$AF$105,Arablefinance!$AF$2,FALSE)*C21*D21,(VLOOKUP(B21,Arablefinance!$E$6:$X$126,Arablefinance!$R$2,FALSE))*D21),0)*IF(A21&gt;='Options and results'!$H$27,'Options and results'!$H$26,1))*IF(1+'Options and results'!$O$22*(A21-1)&gt;0,1+'Options and results'!$O$22*(A21-1),0)</f>
        <v>653.12499999999989</v>
      </c>
      <c r="K21" s="1441">
        <f t="shared" si="128"/>
        <v>1333.9198200776905</v>
      </c>
      <c r="L21" s="1441">
        <f>IF(D21&lt;=0,0,IF(A21&lt;='Options and results'!$W$20,IF(C21&gt;0,VLOOKUP(B21,Arablefinance!$Z$6:$AG$105,Arablefinance!$AG$2,FALSE)*C21*D21,VLOOKUP(B21,Arablefinance!$E$6:$X$126,Arablefinance!$X$2,FALSE)*D21),0)*IF(A21&gt;='Options and results'!$H$27,'Options and results'!$H$26,1))*IF(1+'Options and results'!$O$22*(A21-1)&gt;0,1+'Options and results'!$O$22*(A21-1),0)</f>
        <v>444.44444444444446</v>
      </c>
      <c r="M21" s="1442">
        <f>IF(D21&lt;=0,0,IF(A21&lt;='Options and results'!$W$20,'Options and results'!$C$27,0)*IF(A21&gt;='Options and results'!$H$27,'Options and results'!$H$26,1))*IF(1+'Options and results'!$O$21*(A21-1)&gt;0,1+'Options and results'!$O$21*(A21-1),0)</f>
        <v>14.6</v>
      </c>
      <c r="N21" s="1442">
        <f>IF(D21&lt;=0,0,IF(A21&lt;='Options and results'!$W$20,IF(C21&gt;0,VLOOKUP(B21,Arablefinance!$Z$6:$AH$105,Arablefinance!$AH$2,FALSE)*C21*D21,VLOOKUP(B21,Arablefinance!$E$6:$W$126,Arablefinance!$V$2,FALSE)*D21),0)*IF(A21&gt;='Options and results'!$H$25,'Options and results'!$H$24,1))</f>
        <v>11.632834596849463</v>
      </c>
      <c r="O21" s="1013">
        <f t="shared" si="129"/>
        <v>1267.4088295584465</v>
      </c>
      <c r="P21" s="1353">
        <f t="shared" si="130"/>
        <v>719.63599051924382</v>
      </c>
      <c r="Q21" s="1013">
        <f>IF(A21&lt;='Options and results'!$W$20,SUM(G$8:$G21),0)</f>
        <v>22235.221841179111</v>
      </c>
      <c r="R21" s="1441">
        <f>IF($A21&lt;='Options and results'!$W$20,SUM($H$8:H21),0)</f>
        <v>3292.7999999999993</v>
      </c>
      <c r="S21" s="1441">
        <f>IF($A21&lt;='Options and results'!$W$20,SUM($O$8:O21),0)</f>
        <v>17114.453725547894</v>
      </c>
      <c r="T21" s="1032">
        <f>IF(A21&lt;='Options and results'!$W$20,Q21+R21-S21,0)</f>
        <v>8413.5681156312166</v>
      </c>
      <c r="U21" s="405"/>
      <c r="V21" s="1010">
        <f t="shared" si="131"/>
        <v>14</v>
      </c>
      <c r="W21" s="173"/>
      <c r="X21" s="1036"/>
      <c r="Y21" s="1030">
        <f>IF(V21&lt;='Options and results'!$M$34,'Options and results'!$M$33,0)</f>
        <v>0</v>
      </c>
      <c r="Z21" s="1441">
        <f t="shared" si="132"/>
        <v>0</v>
      </c>
      <c r="AA21" s="1441">
        <f t="shared" si="133"/>
        <v>0</v>
      </c>
      <c r="AB21" s="1428">
        <f t="shared" si="134"/>
        <v>156</v>
      </c>
      <c r="AC21" s="1441">
        <f>IF($W$8=0,0,IF(HLOOKUP(CONCATENATE('Options and results'!$C$32," ",Forestrysystem!$C$8),Forestrysystem!$A$7:$IH$70,V21+4,FALSE)&lt;AB21,HLOOKUP(CONCATENATE('Options and results'!$C$32," ",Forestrysystem!$C$8),Forestrysystem!$A$7:$IH$70,V21+4,FALSE),0))</f>
        <v>0</v>
      </c>
      <c r="AD21" s="1441">
        <f>IF($W$8=0,0,IF(HLOOKUP(CONCATENATE('Options and results'!$C$32," ",Forestrysystem!$C$8),Forestrysystem!$A$7:$IH$70,V21+4,FALSE)&gt;=AB21,AB21,0))</f>
        <v>0</v>
      </c>
      <c r="AE21" s="1440">
        <f>IF($W$8=0,0,HLOOKUP(CONCATENATE('Options and results'!$C$32," ",Forestrysystem!$D$8),Forestrysystem!$A$7:$IH$70,$V21+4,FALSE))</f>
        <v>14.958466732170733</v>
      </c>
      <c r="AF21" s="1037"/>
      <c r="AG21" s="1440">
        <f>IF($W$8=0,0,IF(V21=1,'Options and results'!$M$36,0)+IF('Options and results'!$M$39="yes",IF(AND(AG20+'Options and results'!$M$37&lt;=$AF$8,AG20+'Options and results'!$M$37+IF(V21=1,'Options and results'!$M$36,0)&lt;='Options and results'!$M$38*AE21),AG20+'Options and results'!$M$37,AG20),(HLOOKUP(CONCATENATE('Options and results'!$C$32," ",Forestrysystem!$E$8),Forestrysystem!$A$7:$IH$70,V21+4,FALSE))-IF(V21=1,'Options and results'!$M$36,0)))</f>
        <v>7.5</v>
      </c>
      <c r="AH21" s="1442">
        <f>IF(OR($W$8=0,AB21&lt;=0),0,(HLOOKUP(CONCATENATE('Options and results'!$C$32," ",Forestrysystem!$F$8),Forestrysystem!$A$7:$IH$70,$V21+4,FALSE)) * IF(V21&gt;='Options and results'!$I$19,'Options and results'!$I$18,1) )</f>
        <v>30.448359302089404</v>
      </c>
      <c r="AI21" s="1452">
        <f t="shared" si="179"/>
        <v>0.19518179039800901</v>
      </c>
      <c r="AJ21" s="1442">
        <f t="shared" si="135"/>
        <v>0</v>
      </c>
      <c r="AK21" s="1453">
        <f>IF(OR($W$8=0,AE21&lt;=0),0,(HLOOKUP(CONCATENATE('Options and results'!$C$32," ",Forestrysystem!$G$8),Forestrysystem!$A$7:$IH$70,$V21+4,FALSE)) * IF(Y21&gt;='Options and results'!$I$19,'Options and results'!$I$18,1) )</f>
        <v>13.426127350952854</v>
      </c>
      <c r="AL21" s="1453">
        <f>IF($W$8=0,0,HLOOKUP(CONCATENATE('Options and results'!$C$32," ",Forestrysystem!$H$8),Forestrysystem!$A$7:$IH$70,$V21+4,FALSE)*IF(V21&gt;='Options and results'!$I$19,'Options and results'!$I$18,1))</f>
        <v>0</v>
      </c>
      <c r="AM21" s="1383">
        <f>IF($W$8=0,0,HLOOKUP(CONCATENATE('Options and results'!$C$32," ",Forestrysystem!$I$8),Forestrysystem!$A$7:$IH$70,$V21+4,FALSE)*IF(V21&gt;='Options and results'!$I$19,'Options and results'!$I$18,1))</f>
        <v>0</v>
      </c>
      <c r="AN21" s="1382">
        <f>IF(AI21&gt;0,HLOOKUP(AI21,Treevalue!$I$4:$BC$34,'Options and results'!$C$39+1),0)*IF(V21&gt;='Options and results'!$I$21,'Options and results'!$I$20,1)*IF(1+'Options and results'!$Q$20*(V21-1)&gt;0,1+'Options and results'!$Q$20*(V21-1),0)</f>
        <v>11.82509451213601</v>
      </c>
      <c r="AO21" s="1454">
        <f t="shared" si="136"/>
        <v>360.05472648668291</v>
      </c>
      <c r="AP21" s="1454">
        <f t="shared" si="137"/>
        <v>0</v>
      </c>
      <c r="AQ21" s="1454">
        <f>(IF('Options and results'!$C$39&gt;0,IF(V21&lt;='Options and results'!$W$20,VLOOKUP('Options and results'!$C$39,Treevalue!$A$4:$F$34,5,FALSE),0),0)*AK21)*IF(V21&gt;='Options and results'!$I$21,'Options and results'!$I$20,1)*IF(1+'Options and results'!$Q$20*(V21-1)&gt;0,1+'Options and results'!$Q$20*(V21-1),0)-AR21</f>
        <v>335.65318377382135</v>
      </c>
      <c r="AR21" s="1441">
        <f>(IF('Options and results'!$C$39&gt;0,IF(V21&lt;='Options and results'!$W$20,VLOOKUP('Options and results'!$C$39,Treevalue!$A$4:$F$34,5,FALSE),0),0)*AL21)*IF(V21&gt;='Options and results'!$I$21,'Options and results'!$I$20,1)*IF(1+'Options and results'!$Q$20*(V21-1)&gt;0,1+'Options and results'!$Q$20*(V21-1),0)</f>
        <v>0</v>
      </c>
      <c r="AS21" s="1441">
        <f>(IF('Options and results'!$C$39&gt;0,IF(V21&lt;='Options and results'!$W$20,VLOOKUP('Options and results'!$C$39,Treevalue!$A$4:$F$34,6,FALSE),0),0)*AM21)*IF(V21&gt;='Options and results'!$I$21,'Options and results'!$I$20,1)*IF(1+'Options and results'!$Q$20*(V21-1)&gt;0,1+'Options and results'!$Q$20*(V21-1),0)</f>
        <v>0</v>
      </c>
      <c r="AT21" s="1441">
        <f>IF(V21&lt;='Options and results'!$W$20,(IF(AB21&lt;=0,0,IF('Options and results'!$C$43="cost",(IF(V21&lt;='Options and results'!$C$44,BZ21*SUM('Options and results'!$C$45:$C$46),0)),IF('Options and results'!$C$41&gt;0,(IF(VLOOKUP('Options and results'!$C$42,Treegrant!$B$6:$L$42,Treegrant!$C$2,FALSE)=V21,VLOOKUP('Options and results'!$C$42,Treegrant!$B$6:$L$42,Treegrant!$D$2,FALSE),0)+IF(VLOOKUP('Options and results'!$C$42,Treegrant!$B$6:$L$42,Treegrant!$E$2,FALSE)=V21,VLOOKUP('Options and results'!$C$42,Treegrant!$B$6:$L$42,Treegrant!$F$2,FALSE),0)+IF(VLOOKUP('Options and results'!$C$42,Treegrant!$B$6:$L$42,Treegrant!$G$2,FALSE)=V21,VLOOKUP('Options and results'!$C$42,Treegrant!$B$6:$L$42,Treegrant!$H$2,FALSE)))*IF('Options and results'!$C$43="area",1,'Options and results'!$C$43),0)))*IF(V21&gt;='Options and results'!$I$23,'Options and results'!$I$22,1)),0)*IF(1+'Options and results'!$Q$23*(V21-1)&gt;0,1+'Options and results'!$Q$23*(V21-1),0)</f>
        <v>0</v>
      </c>
      <c r="AU21" s="1441">
        <f>IF($W$8=0,0,IF(V21&lt;='Options and results'!$W$20,IF(AB21&lt;=0,0,IF('Options and results'!$C$41&gt;0,IF(AND(VLOOKUP('Options and results'!$C$42,Treegrant!$B$6:$L$42,Treegrant!$J$2,FALSE)&lt;=V21,VLOOKUP('Options and results'!$C$42,Treegrant!$B$6:$L$42,Treegrant!$K$2,FALSE)&gt;=V21),(VLOOKUP('Options and results'!$C$42,Treegrant!$B$6:$L$42,Treegrant!$L$2,FALSE)),0)*IF('Options and results'!$C$47="full",1,'Options and results'!$C$47))*IF(V21&gt;='Options and results'!$I$23,'Options and results'!$I$22,1)),0))*IF(1+'Options and results'!$Q$23*(V21-1)&gt;0,1+'Options and results'!$Q$23*(V21-1),0)</f>
        <v>0</v>
      </c>
      <c r="AV21" s="1032">
        <f>IF($W$8=0,0,IF(V21&lt;='Options and results'!$W$20,IF(AB21&lt;=0,0,(IF('Options and results'!$C$41&gt;0,(IF(AND(VLOOKUP('Options and results'!$C$42,Treegrant!$B$6:$O$42,Treegrant!$M$2,FALSE)&lt;=V21,VLOOKUP('Options and results'!$C$42,Treegrant!$B$6:$O$42,Treegrant!$N$2,FALSE)&gt;=V21),(VLOOKUP('Options and results'!$C$42,Treegrant!$B$6:$O$42,Treegrant!$O$2,FALSE)),0)*IF('Options and results'!$C$48="full",1,'Options and results'!$C$48))+(IF(AND(VLOOKUP('Options and results'!$C$42,Treegrant!$B$6:$R$42,Treegrant!$P$2,FALSE)&lt;=V21,VLOOKUP('Options and results'!$C$42,Treegrant!$B$6:$R$42,Treegrant!$Q$2,FALSE)&gt;=V21),(VLOOKUP('Options and results'!$C$42,Treegrant!$B$6:$R$42,Treegrant!$R$2,FALSE)),0))*IF('Options and results'!$C$49="full",1,'Options and results'!$C$49)))*IF(V21&gt;='Options and results'!$I$23,'Options and results'!$I$22,1)),0))*IF(1+'Options and results'!$Q$23*(V21-1)&gt;0,1+'Options and results'!$Q$23*(V21-1),0)</f>
        <v>0</v>
      </c>
      <c r="AW21" s="1033" t="s">
        <v>303</v>
      </c>
      <c r="AX21" s="1018">
        <f>'Options and results'!S47</f>
        <v>14.6</v>
      </c>
      <c r="AY21" s="1419">
        <f>IF($W$8=0,0,IF(V21=1,VLOOKUP($W$8,Treecost!$B$6:$AH$49,Treecost!$E$2,FALSE),0)*IF(V21&gt;='Options and results'!$I$25,'Options and results'!$I$24,1))</f>
        <v>0</v>
      </c>
      <c r="AZ21" s="889">
        <f>IF($W$8=0,0,IF(V21=1,VLOOKUP($W$8,Treecost!$B$6:$AH$49,Treecost!$F$2,FALSE),0)*IF(V21&gt;='Options and results'!$I$25,'Options and results'!$I$24,1))</f>
        <v>0</v>
      </c>
      <c r="BA21" s="889">
        <f>IF($W$8=0,0,IF(V21=1,VLOOKUP($W$8,Treecost!$B$6:$AH$49,Treecost!$G$2,FALSE),0)*IF(V21&gt;='Options and results'!$I$25,'Options and results'!$I$24,1))</f>
        <v>0</v>
      </c>
      <c r="BB21" s="889">
        <f>IF($W$8=0,0,IF(V21&lt;='Options and results'!$W$20,((VLOOKUP($W$8,Treecost!$B$6:$AH$49,Treecost!$H$2,FALSE)*(X21+AA21))/60)*IF(V21&gt;='Options and results'!$I$25,'Options and results'!$I$24,1),0))</f>
        <v>0</v>
      </c>
      <c r="BC21" s="889">
        <f>IF($W$8=0,0,IF(V21&lt;='Options and results'!$W$20,(((VLOOKUP($W$8,Treecost!$B$6:$AH$49,Treecost!$I$2,FALSE))*(X21+AA21))/60)*IF(V21&gt;='Options and results'!$I$25,'Options and results'!$I$24,1),0))</f>
        <v>0</v>
      </c>
      <c r="BD21" s="889">
        <f>IF($W$8=0,0,IF(V21&lt;='Options and results'!$W$20,(((VLOOKUP($W$8,Treecost!$B$6:$AH$49,Treecost!$J$2,FALSE))/60)*(X21+AA21))*IF(V21&gt;='Options and results'!$I$25,'Options and results'!$I$24,1),0))</f>
        <v>0</v>
      </c>
      <c r="BE21" s="1019">
        <f>IF($W$8=0,0,IF(V21&lt;='Options and results'!$W$20,(((VLOOKUP($W$8,Treecost!$B$6:$AH$49,Treecost!$C$2,FALSE)+VLOOKUP($W$8,Treecost!$B$6:$AH$49,Treecost!$D$2,FALSE))*(X21+AA21)*IF(1+'Options and results'!$Q$22*(V21-1)&gt;0,1+'Options and results'!$Q$22*(V21-1),0))+((AY21*$AX$8+AZ21*$AX$9+BA21*$AX$10+BB21*$AX$11+BC21*$AX$12+BD21*$AX$13)*IF(1+'Options and results'!$Q$21*(V21-1)&gt;0,1+'Options and results'!$Q$21*(V21-1),0)))*IF(V21&gt;='Options and results'!$I$27,'Options and results'!$I$26,1),0))</f>
        <v>0</v>
      </c>
      <c r="BF21" s="889">
        <f>IF($W$8=0,0,IF(V21&lt;='Options and results'!$W$20,IF(AND(VLOOKUP($W$8,Treecost!$B$6:$AH$49,Treecost!$K$2,FALSE)&lt;=V21,V21&lt;=(VLOOKUP($W$8,Treecost!$B$6:$AH$49,Treecost!$L$2,FALSE))),VLOOKUP($W$8,Treecost!$B$6:$AH$49,Treecost!$M$2,FALSE)*AB21/60,0)*IF(V21&gt;='Options and results'!$I$25,'Options and results'!$I$24,1),0))</f>
        <v>0</v>
      </c>
      <c r="BG21" s="1019">
        <f>IF(BF21&gt;0,(VLOOKUP($W$8,Treecost!$B$6:$AH$49,Treecost!$N$2,FALSE)*AB21*IF(1+'Options and results'!$Q$22*(V21-1)&gt;0,1+'Options and results'!$Q$22*(V21-1),0)+BF21*$AX$14*IF(1+'Options and results'!$Q$21*(V21-1)&gt;0,1+'Options and results'!$Q$21*(V21-1),0)),0)*IF(V21&gt;='Options and results'!$I$27,'Options and results'!$I$26,1)</f>
        <v>0</v>
      </c>
      <c r="BH21" s="889">
        <f>IF(V21&lt;='Options and results'!$W$20,IF(AND(AG21-AG20&gt;0,AG21&gt;'Options and results'!$M$36),(AB21-AC21)*(VLOOKUP($W$8,Treecost!$B$6:$AH$49,Treecost!$Y$2,FALSE)+(VLOOKUP($W$8,Treecost!$B$6:$AH$49,Treecost!$AA$2,FALSE)-VLOOKUP($W$8,Treecost!$B$6:$AH$49,Treecost!$Y$2,FALSE))/(VLOOKUP($W$8,Treecost!$B$6:$AH$49,Treecost!$Z$2,FALSE)-VLOOKUP($W$8,Treecost!$B$6:$AH$49,Treecost!$X$2,FALSE))*(AG21-VLOOKUP($W$8,Treecost!$B$6:$AH$49,Treecost!$X$2,FALSE)))/60,0)*IF(V21&gt;='Options and results'!$I$25,'Options and results'!$I$24,1),0)</f>
        <v>0</v>
      </c>
      <c r="BI21" s="303">
        <f>IF(V21&lt;='Options and results'!$W$20,IF(BH21&gt;0,VLOOKUP($W$8,Treecost!$B$6:$AH$49,Treecost!$AB$2,FALSE)/60*AB21,0)*IF(V21&gt;='Options and results'!$I$25,'Options and results'!$I$24,1),0)*((BH21-(MIN($BH$8:$BH$67)))/((MAX($BH$8:$BH$67))-(MIN($BH$8:$BH$67))))</f>
        <v>0</v>
      </c>
      <c r="BJ21" s="740">
        <f>IF(BH21&gt;0,(BH21*$AX$15+BI21*$AX$19)*IF(1+'Options and results'!$Q$21*(V21-1)&gt;0,1+'Options and results'!$Q$21*(V21-1),0),0)*IF(V21&gt;='Options and results'!$I$27,'Options and results'!$I$26,1)</f>
        <v>0</v>
      </c>
      <c r="BK21" s="891">
        <f>IF($W$8=0,0,IF(V21&lt;='Options and results'!$W$20,IF(VLOOKUP($W$8,Treecost!$B$2:$AH$49,Treecost!$O$2,FALSE)=V21,VLOOKUP($W$8,Treecost!$B$2:$AH$49,Treecost!$P$2,FALSE),0)*IF(V21&gt;='Options and results'!$I$25,'Options and results'!$I$24,1),0))</f>
        <v>0</v>
      </c>
      <c r="BL21" s="889">
        <f>IF($W$8=0,0,IF(V21&lt;='Options and results'!$W$20,IF(AND(V21&gt;VLOOKUP($W$8,Treecost!$B$2:$AH$49,Treecost!$O$2,FALSE),V21&lt;=VLOOKUP($W$8,Treecost!$B$2:$AH$49,Treecost!$R$2,FALSE)),VLOOKUP($W$8,Treecost!$B$2:$AH$49,Treecost!$S$2,FALSE),0)*IF(V21&gt;='Options and results'!$I$25,'Options and results'!$I$24,1),0))</f>
        <v>0</v>
      </c>
      <c r="BM21" s="740">
        <f>IF($W$8=0,0,IF(V21&lt;='Options and results'!$W$20,((IF(VLOOKUP($W$8,Treecost!$B$2:$AH$49,Treecost!$O$2,FALSE)=V21,VLOOKUP($W$8,Treecost!$B$2:$AH$49,Treecost!$Q$2,FALSE),0)+IF(AND(V21&gt;VLOOKUP($W$8,Treecost!$B$2:$AH$49,Treecost!$O$2,FALSE),V21&lt;=VLOOKUP($W$8,Treecost!$B$2:$AH$49,Treecost!$R$2,FALSE)),VLOOKUP($W$8,Treecost!$B$2:$AH$49,Treecost!$T$2,FALSE),0)*IF(1+'Options and results'!$Q$22*(V21-1)&gt;0,1+'Options and results'!$Q$22*(V21-1),0))+(BK21*$AX$16+BL21*$AX$17)*IF(1+'Options and results'!$Q$21*(V21-1)&gt;0,1+'Options and results'!$Q$21*(V21-1),0))*IF(V21&gt;='Options and results'!$I$27,'Options and results'!$I$26,1),0))</f>
        <v>0</v>
      </c>
      <c r="BN21" s="894">
        <f>IF($W$8=0,0,IF(V21&lt;='Options and results'!$W$20,IF(AND(V21&gt;=VLOOKUP($W$8,Treecost!$B$2:$W$49,Treecost!$U$2,FALSE),V21&lt;=VLOOKUP($W$8,Treecost!$B$2:$W$49,Treecost!$V$2,FALSE)),(AB21*VLOOKUP($W$8,Treecost!$B$2:$W$49,Treecost!$W$2,FALSE)/60),0)*IF(V21&gt;='Options and results'!$I$25,'Options and results'!$I$24,1),0))</f>
        <v>0</v>
      </c>
      <c r="BO21" s="740">
        <f>BN21*$AX$18*IF(V21&gt;='Options and results'!$I$27,'Options and results'!$I$26,1)*IF(1+'Options and results'!$Q$21*(V21-1)&gt;0,1+'Options and results'!$Q$21*(V21-1),0)</f>
        <v>0</v>
      </c>
      <c r="BP21" s="894">
        <f>IF(V21&lt;='Options and results'!$W$20,IF(AB21&lt;=0,0,VLOOKUP($W$8,Treecost!$B$6:$AH$49,Treecost!$AC$2,FALSE)+VLOOKUP($W$8,Treecost!$B$6:$AH$49,Treecost!$AD$2,FALSE)+IF(AND(V21&gt;=VLOOKUP($W$8,Treecost!$B$2:$AK$49,Treecost!$AI$2,FALSE),V21&lt;=VLOOKUP($W$8,Treecost!$B$2:$AK$49,Treecost!$AJ$2,FALSE)),(VLOOKUP($W$8,Treecost!$B$2:$AK$49,Treecost!$AK$2,FALSE)),0))*IF(V21&gt;='Options and results'!$I$27,'Options and results'!$I$26,1),0)*IF(1+'Options and results'!$Q$22*(V21-1)&gt;0,1+'Options and results'!$Q$22*(V21-1),0)</f>
        <v>3</v>
      </c>
      <c r="BQ21" s="894">
        <f>IF(V21&lt;='Options and results'!$W$20,IF(AC21&gt;0,VLOOKUP($W$8,Treecost!$B$6:$AH$49,Treecost!$AE$2,FALSE)/60*AC21,0)*IF(V21&gt;='Options and results'!$I$25,'Options and results'!$I$24,1),0)</f>
        <v>0</v>
      </c>
      <c r="BR21" s="740">
        <f>IF(V21&lt;='Options and results'!$W$20,IF(AC21&gt;0,VLOOKUP($W$8,Treecost!$B$6:$AH$49,Treecost!$AF$2,FALSE)/60*AC21,0)*IF(V21&gt;='Options and results'!$I$25,'Options and results'!$I$24,1),0)</f>
        <v>0</v>
      </c>
      <c r="BS21" s="740">
        <f>(BQ21*$AX$20+BR21*$AX$21)*IF(V21&gt;='Options and results'!$I$27,'Options and results'!$I$26,1)*IF(1+'Options and results'!$Q$21*(V21-1)&gt;0,1+'Options and results'!$Q$21*(V21-1),0)</f>
        <v>0</v>
      </c>
      <c r="BT21" s="894">
        <f>IF(V21&lt;='Options and results'!$W$20,IF(AD21&gt;0,(VLOOKUP($W$8,Treecost!$B$6:$AH$49,Treecost!$AG$2,FALSE)/60*AD21)*IF(V21&gt;='Options and results'!$I$25,'Options and results'!$I$24,1),0),0)</f>
        <v>0</v>
      </c>
      <c r="BU21" s="740">
        <f>IF(V21&lt;='Options and results'!$W$20,IF(AD21&gt;0,(VLOOKUP($W$8,Treecost!$B$6:$AH$49,Treecost!$AH$2,FALSE)/60*AD21)*IF(V21&gt;='Options and results'!$I$25,'Options and results'!$I$24,1),0),0)</f>
        <v>0</v>
      </c>
      <c r="BV21" s="740">
        <f>(BT21*$AX$22+BU21*$AX$23)*IF(V21&gt;='Options and results'!$I$27,'Options and results'!$I$26,1)*IF(1+'Options and results'!$Q$21*(V21-1)&gt;0,1+'Options and results'!$Q$21*(V21-1),0)</f>
        <v>0</v>
      </c>
      <c r="BW21" s="1033">
        <f t="shared" si="138"/>
        <v>0</v>
      </c>
      <c r="BX21" s="1027">
        <f t="shared" si="139"/>
        <v>0</v>
      </c>
      <c r="BY21" s="1027">
        <f t="shared" si="140"/>
        <v>0</v>
      </c>
      <c r="BZ21" s="740">
        <f t="shared" si="124"/>
        <v>3</v>
      </c>
      <c r="CA21" s="740">
        <f t="shared" si="141"/>
        <v>-3</v>
      </c>
      <c r="CB21" s="894">
        <f>IF($V21&lt;='Options and results'!$W$20,SUM(BX$8:$BX21),0)</f>
        <v>0</v>
      </c>
      <c r="CC21" s="740">
        <f>IF($V21&lt;='Options and results'!$W$20,SUM($BY$8:BY21),0)</f>
        <v>0</v>
      </c>
      <c r="CD21" s="740">
        <f>IF($V21&lt;='Options and results'!$W$20,SUM($BZ$8:BZ21),0)</f>
        <v>1610.7443691843955</v>
      </c>
      <c r="CE21" s="740">
        <f>IF(V21&lt;='Options and results'!$W$20,CB21+CC21-CD21,0)</f>
        <v>-1610.7443691843955</v>
      </c>
      <c r="CF21" s="1381">
        <f t="shared" si="142"/>
        <v>142.37934614889031</v>
      </c>
      <c r="CG21" s="1027">
        <f t="shared" si="143"/>
        <v>139.37934614889031</v>
      </c>
      <c r="CH21" s="1027">
        <f t="shared" si="144"/>
        <v>0</v>
      </c>
      <c r="CI21" s="1189">
        <f>IF(V21&lt;='Options and results'!$W$20,CE21+AO21,0)</f>
        <v>-1250.6896426977125</v>
      </c>
      <c r="CJ21" s="1023"/>
      <c r="CK21" s="895">
        <f t="shared" si="145"/>
        <v>14</v>
      </c>
      <c r="CL21" s="1011" t="str">
        <f>IF('Options and results'!$C$54="None",0,IF(AND(CK21&gt;='Options and results'!$K$57,CK20&lt;'Options and results'!$W$20),'Options and results'!$K$56,IF(Optimisation!$B$3="No",CONCATENATE('Options and results'!$C$60," ",(HLOOKUP(CONCATENATE('Options and results'!$C$54," ",Agroforestrysystem!$B$12),Agroforestrysystem!$B$11:$IM$74,$CK21+4,FALSE))),Optimisation!AA41)))</f>
        <v>UK - Agriculture (BPS: from 2015) Wheat</v>
      </c>
      <c r="CM21" s="1012">
        <f>IF(HLOOKUP(CONCATENATE('Options and results'!$C$54," ",Agroforestrysystem!$C$12),Agroforestrysystem!$B$11:$IM$74,$CK21+4,FALSE)="T",(VLOOKUP(CL21,Arablefinance!$Z$6:$AB$105,Arablefinance!$AB$2,FALSE)*CO21+VLOOKUP(CL21,Arablefinance!$Z$6:$AC$105,Arablefinance!$AC$2,FALSE)*CP21)/VLOOKUP(CL21,Arablefinance!$Z$6:$AA$105,Arablefinance!$AA$2,FALSE),0)</f>
        <v>0</v>
      </c>
      <c r="CN21" s="1012">
        <f>IF(CL21=0,0,HLOOKUP(CONCATENATE('Options and results'!$C$54," ",Agroforestrysystem!$D$12),Agroforestrysystem!$B$11:$IM$74,$CK21+4,FALSE))</f>
        <v>0.99</v>
      </c>
      <c r="CO21" s="1440">
        <f ca="1">IF(CL21=0,0,IF(AND(Optimisation!$B$3="yes",Optimisation!$B$4=1,CK21&gt;Optimisation!$B$9),0,HLOOKUP(CONCATENATE('Options and results'!$C$54," ",Agroforestrysystem!$E$12),Agroforestrysystem!$B$11:$IM$74,$CK21+4,FALSE)*IF(CK21&gt;='Options and results'!$J$19,'Options and results'!$J$18,1)))</f>
        <v>6.17</v>
      </c>
      <c r="CP21" s="1440">
        <f ca="1">IF(CL21=0,0,IF(AND(Optimisation!$B$3="yes",Optimisation!$B$4=1,CK21&gt;Optimisation!$B$9),0,HLOOKUP(CONCATENATE('Options and results'!$C$54," ",Agroforestrysystem!$F$12),Agroforestrysystem!$B$11:$IM$74,$CK21+4,FALSE)*IF(CK21&gt;='Options and results'!$J$19,'Options and results'!$J$18,1)))</f>
        <v>2.468</v>
      </c>
      <c r="CQ21" s="1013">
        <f ca="1">IF(CN21&lt;=0,0,IF(CK21&lt;='Options and results'!$W$20,IF(CM21&gt;0,VLOOKUP(CL21,Arablefinance!$Z$6:$AE$105,Arablefinance!$AD$2,FALSE)*CM21*CN21,((VLOOKUP(CL21,Arablefinance!$E$6:$H$126,2,FALSE)*CO21+VLOOKUP(CL21,Arablefinance!$E$6:$H$126,3,FALSE)*CP21)*CN21)),0)*IF(CK21&gt;='Options and results'!$J$21,'Options and results'!$J$20,1))*IF(1+'Options and results'!$O$20*(CK21-1)&gt;0,1+'Options and results'!$O$20*(CK21-1),0)</f>
        <v>1152.0932500000001</v>
      </c>
      <c r="CR21" s="1441">
        <f>IF(CN21&lt;=0,0,IF(AND(CM21&gt;0,VLOOKUP(CL21,Arablefinance!$Z$6:$AI$105,Arablefinance!$AI$2,FALSE)=2),VLOOKUP(CL21,Arablefinance!$Z$6:$AE$105,Arablefinance!$AE$2,FALSE)*CM21*CN21,IF('Options and results'!$C$62&gt;0,IF(VLOOKUP(CL21,Arablefinance!$E$6:$W$126,Arablefinance!$H$2,FALSE)*(1-Plot!DM21*'Options and results'!$C$62)&gt;0,VLOOKUP(CL21,Arablefinance!$E$6:$W$126,Arablefinance!$H$2,FALSE)*(1-Plot!DM21*'Options and results'!$C$62),0),IF(CK21&lt;='Options and results'!$W$20,(VLOOKUP(CL21,Arablefinance!$E$6:$W$126,Arablefinance!$H$2,FALSE)*IF('Options and results'!$C$61="area",CN21,'Options and results'!$C$61)),0)))*IF(CK21&gt;='Options and results'!$J$23,'Options and results'!$J$22,1))*IF(AND(1+'Options and results'!$O$23*(CK21-1)&gt;0,1+'Options and results'!$O$23*(CK21-1)&gt;'Options and results'!$S$24),1+'Options and results'!$O$23*(CK21-1),'Options and results'!$S$24)</f>
        <v>0</v>
      </c>
      <c r="CS21" s="1441">
        <f t="shared" ca="1" si="146"/>
        <v>1152.0932500000001</v>
      </c>
      <c r="CT21" s="1441">
        <f>IF(CN21&lt;=0,0,IF(CK21&lt;='Options and results'!$W$20,IF(CM21&gt;0,VLOOKUP(CL21,Arablefinance!$Z$6:$AF$105,Arablefinance!$AF$2,FALSE)*CM21*CN21,VLOOKUP(CL21,Arablefinance!$E$6:$X$126,Arablefinance!$R$2,FALSE)*CN21),0)*IF(CK21&gt;='Options and results'!$J$27,'Options and results'!$J$26,1))*IF(1+'Options and results'!$O$22*(CK21-1)&gt;0,1+'Options and results'!$O$22*(CK21-1),0)</f>
        <v>646.59374999999989</v>
      </c>
      <c r="CU21" s="1441">
        <f t="shared" ca="1" si="147"/>
        <v>505.49950000000024</v>
      </c>
      <c r="CV21" s="1441">
        <f>IF(CN21&lt;=0,0,IF(CK21&lt;='Options and results'!$W$20,IF(CM21&gt;0,VLOOKUP(CL21,Arablefinance!$Z$6:$AG$105,Arablefinance!$AG$2,FALSE)*CM21*CN21,VLOOKUP(CL21,Arablefinance!$E$6:$X$126,Arablefinance!$X$2,FALSE)*CN21),0)*IF(CK21&gt;='Options and results'!$J$27,'Options and results'!$J$26,1))*IF(1+'Options and results'!$O$22*(CK21-1)&gt;0,1+'Options and results'!$O$22*(CK21-1),0)</f>
        <v>440</v>
      </c>
      <c r="CW21" s="1442">
        <f>IF(CN21&lt;=0,0,IF(CK21&lt;='Options and results'!$W$20,'Options and results'!$C$27*IF(CK21&gt;='Options and results'!$J$27,'Options and results'!$J$26,1),0))*IF(1+'Options and results'!$O$21*(CK21-1)&gt;0,1+'Options and results'!$O$21*(CK21-1),0)</f>
        <v>14.6</v>
      </c>
      <c r="CX21" s="1442">
        <f>IF(CN21&lt;=0,0,IF(CK21&lt;='Options and results'!$W$20,IF(CM21&gt;0,VLOOKUP(CL21,Arablefinance!$Z$6:$AH$105,Arablefinance!$AH$2,FALSE)*CM21*CN21,VLOOKUP(CL21,Arablefinance!$E$6:$W$126,Arablefinance!$V$2,FALSE)*CN21),0)*IF(CK21&gt;='Options and results'!$J$25,'Options and results'!$J$24,1))</f>
        <v>11.516506250880969</v>
      </c>
      <c r="CY21" s="1013">
        <f t="shared" si="148"/>
        <v>1254.7347412628621</v>
      </c>
      <c r="CZ21" s="1353">
        <f ca="1">CQ21+CR21-CY21</f>
        <v>-102.64149126286202</v>
      </c>
      <c r="DA21" s="1013">
        <f ca="1">IF($CK21&lt;='Options and results'!$W$20,SUM($CQ$8:CQ21),0)</f>
        <v>18417.950100000002</v>
      </c>
      <c r="DB21" s="1441">
        <f>IF($CK21&lt;='Options and results'!$W$20,SUM($CR$8:CR21),0)</f>
        <v>0</v>
      </c>
      <c r="DC21" s="1441">
        <f>IF($CK21&lt;='Options and results'!$W$20,SUM($CY$8:CY21),0)</f>
        <v>16943.30918829242</v>
      </c>
      <c r="DD21" s="1189">
        <f ca="1">IF(CK21&lt;='Options and results'!$W$20,DA21+DB21-DC21,0)</f>
        <v>1474.6409117075818</v>
      </c>
      <c r="DE21" s="401"/>
      <c r="DF21" s="895">
        <f t="shared" si="150"/>
        <v>14</v>
      </c>
      <c r="DG21" s="173"/>
      <c r="DH21" s="1422"/>
      <c r="DI21" s="1427">
        <f>IF(DF21&lt;='Options and results'!$M$61,'Options and results'!$M$60,0)</f>
        <v>0</v>
      </c>
      <c r="DJ21" s="740">
        <f t="shared" si="151"/>
        <v>0</v>
      </c>
      <c r="DK21" s="740">
        <f t="shared" si="152"/>
        <v>0</v>
      </c>
      <c r="DL21" s="1428">
        <f t="shared" si="153"/>
        <v>100</v>
      </c>
      <c r="DM21" s="1429">
        <f>IF($DG$8=0,0,HLOOKUP(CONCATENATE('Options and results'!$C$54," ",Agroforestrysystem!$J$12),Agroforestrysystem!$11:$74,DF21+3,FALSE))/100</f>
        <v>1</v>
      </c>
      <c r="DN21" s="740">
        <f>IF($DG$8=0,0,IF(HLOOKUP(CONCATENATE('Options and results'!$C$54," ",Agroforestrysystem!$H$12),Agroforestrysystem!$11:$74,DF21+4,FALSE)&lt;DL21,HLOOKUP(CONCATENATE('Options and results'!$C$54," ",Agroforestrysystem!$H$12),Agroforestrysystem!$11:$74,DF21+4,FALSE),0))</f>
        <v>0</v>
      </c>
      <c r="DO21" s="1027">
        <f>IF($DG$8=0,0,IF(HLOOKUP(CONCATENATE('Options and results'!$C$54," ",Agroforestrysystem!$H$12),Agroforestrysystem!$11:$74,DF21+4,FALSE)&gt;=DL21,DL21,0))</f>
        <v>0</v>
      </c>
      <c r="DP21" s="1430">
        <f>IF($DG$8=0,0,HLOOKUP(CONCATENATE('Options and results'!$C$54," ",Agroforestrysystem!$I$12),Agroforestrysystem!$11:$74,DF21+4,FALSE))</f>
        <v>15.494389937521738</v>
      </c>
      <c r="DQ21" s="1038"/>
      <c r="DR21" s="1390">
        <f>IF($DG$8=0,0,IF(DF21&gt;'Options and results'!$W$20,0,)+IF(DF21=1,'Options and results'!$M$64)+IF('Options and results'!$M$67="yes",IF(AND(DR20+'Options and results'!$M$65&lt;=$DQ$8,DR20+'Options and results'!$M$65+IF(DF21=1,'Options and results'!$M$64,0)&lt;='Options and results'!$M$66*DP21),DR20+'Options and results'!$M$65,DR20),(HLOOKUP(CONCATENATE('Options and results'!$C$54," ",Agroforestrysystem!$K$12),Agroforestrysystem!$11:$74,DF21+4,FALSE)-IF(DF21=1,'Options and results'!$M$64))))</f>
        <v>7.5</v>
      </c>
      <c r="DS21" s="1027">
        <f>IF(OR($DG$8=0,DL21=0),0,HLOOKUP(CONCATENATE('Options and results'!$C$54," ",Agroforestrysystem!$L$12),Agroforestrysystem!$11:$74,DF21+4,FALSE)*IF(DF21&gt;='Options and results'!$K$19,'Options and results'!$K$18,1))</f>
        <v>21.692095207628785</v>
      </c>
      <c r="DT21" s="1431">
        <f t="shared" si="154"/>
        <v>0.21692095207628787</v>
      </c>
      <c r="DU21" s="889">
        <f t="shared" si="155"/>
        <v>0</v>
      </c>
      <c r="DV21" s="1027">
        <f>IF($DG$8=0,0,(HLOOKUP(CONCATENATE('Options and results'!$C$54," ",Agroforestrysystem!$M$12),Agroforestrysystem!$11:$74,DF21+4,FALSE))*IF(DF21&gt;='Options and results'!$K$19,'Options and results'!$K$18,1))-DW21</f>
        <v>9.5650747508957856</v>
      </c>
      <c r="DW21" s="303">
        <f>IF($DG$8=0,0,(HLOOKUP(CONCATENATE('Options and results'!$C$54," ",Agroforestrysystem!$N$12),Agroforestrysystem!$11:$74,DF21+4,FALSE))*IF(DF21&gt;='Options and results'!$K$19,'Options and results'!$K$18,1))</f>
        <v>0</v>
      </c>
      <c r="DX21" s="303">
        <f>IF($DG$8=0,0,HLOOKUP(CONCATENATE('Options and results'!$C$54," ",Agroforestrysystem!$O$12),Agroforestrysystem!$11:$74,DF21+4,FALSE)*IF(DF21&gt;='Options and results'!$K$19,'Options and results'!$K$18,1))</f>
        <v>0</v>
      </c>
      <c r="DY21" s="1192">
        <f>IF(DT21&gt;0,HLOOKUP(DT21,Treevalue!$I$4:$BC$34,'Options and results'!$C$66+1),0)*IF(DF21&gt;='Options and results'!$K$21,'Options and results'!$K$20,1)*IF(1+'Options and results'!$Q$20*(DF21-1)&gt;0,1+'Options and results'!$Q$20*(DF21-1),0)</f>
        <v>12.088435690259793</v>
      </c>
      <c r="DZ21" s="1027">
        <f t="shared" si="156"/>
        <v>262.22349790441319</v>
      </c>
      <c r="EA21" s="1027">
        <f t="shared" si="125"/>
        <v>0</v>
      </c>
      <c r="EB21" s="1027">
        <f>(IF('Options and results'!$C$66&gt;0,IF(DF21&lt;='Options and results'!$W$20,VLOOKUP('Options and results'!$C$66,Treevalue!$A$4:$F$34,5,FALSE),0),0)*DV21)*IF(DF21&gt;='Options and results'!$K$21,'Options and results'!$K$20,1)*IF(1+'Options and results'!$Q$20*(DF21-1)&gt;0,1+'Options and results'!$Q$20*(DF21-1),0)</f>
        <v>239.12686877239463</v>
      </c>
      <c r="EC21" s="740">
        <f>(IF('Options and results'!$C$66&gt;0,IF(DF21&lt;='Options and results'!$W$20,VLOOKUP('Options and results'!$C$66,Treevalue!$A$4:$F$34,5,FALSE),0),0)*DW21)*IF(DF21&gt;='Options and results'!$K$21,'Options and results'!$K$20,1)*IF(1+'Options and results'!$Q$20*(DF21-1)&gt;0,1+'Options and results'!$Q$20*(DF21-1),0)</f>
        <v>0</v>
      </c>
      <c r="ED21" s="889">
        <f>(IF('Options and results'!$C$66&gt;0,IF(DF21&lt;='Options and results'!$W$20,VLOOKUP('Options and results'!$C$66,Treevalue!$A$4:$F$34,6,FALSE),0),0)*DX21)*IF(DF21&gt;='Options and results'!$K$21,'Options and results'!$K$20,1)*IF(1+'Options and results'!$Q$20*(DF21-1)&gt;0,1+'Options and results'!$Q$20*(DF21-1),0)</f>
        <v>0</v>
      </c>
      <c r="EE21" s="740">
        <f>IF(DF21&lt;='Options and results'!$W$20,IF(DL21&lt;=0,0,IF('Options and results'!$C$70="cost",(IF(DF21&lt;='Options and results'!$C$71,FK21*SUM('Options and results'!$C$72:$C$73),0)),IF('Options and results'!$C$68&gt;0,(IF(VLOOKUP('Options and results'!$C$69,Treegrant!$B$6:$L$42,Treegrant!$C$2,FALSE)=DF21,VLOOKUP('Options and results'!$C$69,Treegrant!$B$6:$L$42,Treegrant!$D$2,FALSE),0)+IF(VLOOKUP('Options and results'!$C$69,Treegrant!$B$6:$L$42,Treegrant!$E$2,FALSE)=DF21,VLOOKUP('Options and results'!$C$69,Treegrant!$B$6:$L$42,Treegrant!$F$2,FALSE),0)+IF(VLOOKUP('Options and results'!$C$69,Treegrant!$B$6:$L$42,Treegrant!$G$2,FALSE)=DF21,VLOOKUP('Options and results'!$C$69,Treegrant!$B$6:$L$42,Treegrant!$H$2,FALSE)))*IF('Options and results'!$C$70="area",Unit!C22,'Options and results'!$C$70),0))*IF(DF21&gt;='Options and results'!$K$23,'Options and results'!$K$22,1)),0)*IF(1+'Options and results'!$Q$23*(DF21-1)&gt;0,1+'Options and results'!$Q$23*(DF21-1),0)</f>
        <v>0</v>
      </c>
      <c r="EF21" s="740">
        <f>IF($DG$8=0,0,IF(DF21&lt;='Options and results'!$W$20,IF(DL21&lt;=0,0,IF('Options and results'!$C$68&gt;0,IF(AND(VLOOKUP('Options and results'!$C$69,Treegrant!$B$6:$L$42,Treegrant!$J$2,FALSE)&lt;=DF21,VLOOKUP('Options and results'!$C$69,Treegrant!$B$6:$L$42,Treegrant!$K$2,FALSE)&gt;=DF21),(VLOOKUP('Options and results'!$C$69,Treegrant!$B$6:$L$42,Treegrant!$L$2,FALSE)),0)*IF('Options and results'!$C$74="area",Unit!C22,'Options and results'!$C$74))*IF(DF21&gt;='Options and results'!$K$23,'Options and results'!$K$22,1)),0))*IF(1+'Options and results'!$Q$23*(DF21-1)&gt;0,1+'Options and results'!$Q$23*(DF21-1),0)</f>
        <v>0</v>
      </c>
      <c r="EG21" s="1034">
        <f>IF($DG$8=0,0,IF(DF21&lt;='Options and results'!$W$20,IF(DL21&lt;=0,0,IF('Options and results'!$C$68&gt;0,((IF(AND(VLOOKUP('Options and results'!$C$69,Treegrant!$B$6:$O$42,Treegrant!$M$2,FALSE)&lt;=DF21,VLOOKUP('Options and results'!$C$69,Treegrant!$B$6:$O$42,Treegrant!$N$2,FALSE)&gt;=DF21),(VLOOKUP('Options and results'!$C$69,Treegrant!$B$6:$O$42,Treegrant!$O$2,FALSE)),0)*IF('Options and results'!$C$75="area",Unit!C22,'Options and results'!$C$75))+(IF(AND(VLOOKUP('Options and results'!$C$69,Treegrant!$B$6:$R$42,Treegrant!$P$2,FALSE)&lt;=DF21,VLOOKUP('Options and results'!$C$69,Treegrant!$B$6:$R$42,Treegrant!$Q$2,FALSE)&gt;=DF21),(VLOOKUP('Options and results'!$C$69,Treegrant!$B$6:$R$42,Treegrant!$R$2,FALSE)),0))*IF('Options and results'!$C$76="area",Unit!C22,'Options and results'!$C$76)))*IF(DF21&gt;='Options and results'!$K$23,'Options and results'!$K$22,1)),0))*IF(1+'Options and results'!$Q$23*(DF21-1)&gt;0,1+'Options and results'!$Q$23*(DF21-1),0)</f>
        <v>0</v>
      </c>
      <c r="EH21" s="1033" t="s">
        <v>303</v>
      </c>
      <c r="EI21" s="1018">
        <f>'Options and results'!$S47</f>
        <v>14.6</v>
      </c>
      <c r="EJ21" s="1419">
        <f>IF($DH$8+DK21&lt;1,0,IF(DF21=1,VLOOKUP($DG$8,Treecost!$B$6:$AH$49,Treecost!$E$2,FALSE),0)*IF(DF21&gt;='Options and results'!$K$25,'Options and results'!$K$24,1))</f>
        <v>0</v>
      </c>
      <c r="EK21" s="889">
        <f>IF($DH$8+DK21&lt;1,0,IF(DF21=1,VLOOKUP($DG$8,Treecost!$B$6:$AH$49,Treecost!$F$2,FALSE),0)*IF(DF21&gt;='Options and results'!$K$25,'Options and results'!$K$24,1))</f>
        <v>0</v>
      </c>
      <c r="EL21" s="889">
        <f>IF($DH$8+DK21&lt;1,0,IF(DF21=1,VLOOKUP($DG$8,Treecost!$B$6:$AH$49,Treecost!$G$2,FALSE),0)*IF(DF21&gt;='Options and results'!$K$25,'Options and results'!$K$24,1))</f>
        <v>0</v>
      </c>
      <c r="EM21" s="889">
        <f>IF($DG$8=0,0,IF(DF21&lt;='Options and results'!$W$20,((VLOOKUP($DG$8,Treecost!$B$6:$AH$49,Treecost!$H$2,FALSE)*(DH21+DK21))/60)*IF(DF21&gt;='Options and results'!$K$25,'Options and results'!$K$24,1),0))</f>
        <v>0</v>
      </c>
      <c r="EN21" s="889">
        <f>IF($DG$8=0,0,IF(DF21&lt;='Options and results'!$W$20,(((VLOOKUP($DG$8,Treecost!$B$6:$AH$49,Treecost!$I$2,FALSE))*(DH21+DK21))/60)*IF(DF21&gt;='Options and results'!$K$25,'Options and results'!$K$24,1),0))</f>
        <v>0</v>
      </c>
      <c r="EO21" s="889">
        <f>IF($DG$8=0,0,IF(DF21&lt;='Options and results'!$W$20,(((VLOOKUP($DG$8,Treecost!$B$6:$AH$49,Treecost!$J$2,FALSE))/60)*(DH21+DK21))*IF(DF21&gt;='Options and results'!$K$25,'Options and results'!$K$24,1),0))</f>
        <v>0</v>
      </c>
      <c r="EP21" s="1019">
        <f>IF($DG$8=0,0,IF(DF21&lt;='Options and results'!$W$20,(((VLOOKUP($DG$8,Treecost!$B$6:$AH$49,Treecost!$C$2,FALSE)+VLOOKUP($DG$8,Treecost!$B$6:$AH$49,Treecost!$D$2,FALSE))*(DH21+DK21)*IF(1+'Options and results'!$Q$22*(DF21-1)&gt;0,1+'Options and results'!$Q$22*(DF21-1),0))+(EJ21*$EI$8+EK21*$EI$9+EL21*$EI$10+EM21*$EI$11+EN21*$EI$12+EO21*$EI$13)*IF(1+'Options and results'!$Q$21*(DF21-1)&gt;0,1+'Options and results'!$Q$21*(DF21-1),0))*IF(DF21&gt;='Options and results'!$K$27,'Options and results'!$K$26,1),0))</f>
        <v>0</v>
      </c>
      <c r="EQ21" s="740">
        <f>IF($DG$8=0,0,IF(DF21&lt;='Options and results'!$W$20,IF(AND(VLOOKUP($DG$8,Treecost!$B$6:$AH$49,Treecost!$K$2,FALSE)&lt;=DF21,DF21&lt;=(VLOOKUP($DG$8,Treecost!$B$6:$AH$49,Treecost!$L$2,FALSE))),VLOOKUP($DG$8,Treecost!$B$6:$AH$49,Treecost!$M$2,FALSE)*DL21/60,0)*IF(DF21&gt;='Options and results'!$K$25,'Options and results'!$K$24,1),0))</f>
        <v>0</v>
      </c>
      <c r="ER21" s="1019">
        <f>IF(EQ21&gt;0,(VLOOKUP($DG$8,Treecost!$B$6:$AH$49,Treecost!$N$2,FALSE)*DL21*IF(1+'Options and results'!$Q$22*(DF21-1)&gt;0,1+'Options and results'!$Q$22*(DF21-1),0)+EQ21*$EI$14*IF(1+'Options and results'!$Q$21*(DF21-1)&gt;0,1+'Options and results'!$Q$21*(DF21-1),0)),0)*IF(DF21&gt;='Options and results'!$K$27,'Options and results'!$K$26,1)</f>
        <v>0</v>
      </c>
      <c r="ES21" s="889">
        <f>IF(DF21&lt;='Options and results'!$W$20,IF(AND(DR21-DR20&gt;0,DR21&gt;'Options and results'!$M$64),(DL21-DN21)*(VLOOKUP($DG$8,Treecost!$B$6:$AH$49,Treecost!$Y$2,FALSE)+(VLOOKUP($DG$8,Treecost!$B$6:$AH$49,Treecost!$AA$2,FALSE)-VLOOKUP($DG$8,Treecost!$B$6:$AH$49,Treecost!$Y$2,FALSE))/(VLOOKUP($DG$8,Treecost!$B$6:$AH$49,Treecost!$Z$2,FALSE)-VLOOKUP($DG$8,Treecost!$B$6:$AH$49,Treecost!$X$2,FALSE))*(DR21-VLOOKUP($DG$8,Treecost!$B$6:$AH$49,Treecost!$X$2,FALSE)))/60,0)*IF(DF21&gt;='Options and results'!$K$25,'Options and results'!$K$24,1),0)</f>
        <v>0</v>
      </c>
      <c r="ET21" s="889">
        <f>IF(DF21&lt;='Options and results'!$W$20,IF(ES21&gt;0,VLOOKUP($DG$8,Treecost!$B$6:$AH$49,Treecost!$AB$2,FALSE)/60*DL21,0)*IF(DF21&gt;='Options and results'!$K$25,'Options and results'!$K$24,1),0)*((ES21-(MIN($ES$8:$ES$67)))/((MAX($ES$8:$ES$67))-(MIN($ES$8:$ES$67))))</f>
        <v>0</v>
      </c>
      <c r="EU21" s="740">
        <f>IF(ES21&gt;0,(ES21*$EI$15+ET21*$EI$19)*IF(1+'Options and results'!$Q$21*(DF21-1)&gt;0,1+'Options and results'!$Q$21*(DF21-1),0),0)*IF(DF21&gt;='Options and results'!$K$27,'Options and results'!$K$26,1)</f>
        <v>0</v>
      </c>
      <c r="EV21" s="891">
        <f>IF($DG$8=0,0,IF(DF21&lt;='Options and results'!$W$20,IF(AND(VLOOKUP($DG$8,Treecost!$B$2:$AH$49,Treecost!$O$2,FALSE)=DF21,DF21&lt;=IF(AND(Optimisation!$B$3="Yes",Optimisation!$B$4=1),Optimisation!$B$9)),VLOOKUP($DG$8,Treecost!$B$2:$AH$49,Treecost!$P$2,FALSE)*(1-CN21),0)*IF(DF21&gt;='Options and results'!$K$25,'Options and results'!$K$24,1),0))</f>
        <v>0</v>
      </c>
      <c r="EW21" s="889">
        <f>IF($DG$8=0,0,IF(DF21&lt;='Options and results'!$W$20,IF(AND(DF21&gt;VLOOKUP($DG$8,Treecost!$B$2:$AH$49,Treecost!$O$2,FALSE),DF21&lt;=IF(AND(Optimisation!$B$3="Yes",Optimisation!$B$4=1),Optimisation!$B$9,VLOOKUP($DG$8,Treecost!$B$2:$AH$49,Treecost!$R$2,FALSE))),VLOOKUP($DG$8,Treecost!$B$2:$AH$49,Treecost!$S$2,FALSE)*(1-CN21),0)*IF(DF21&gt;='Options and results'!$K$25,'Options and results'!$K$24,1),0))</f>
        <v>0</v>
      </c>
      <c r="EX21" s="740">
        <f>IF($DG$8=0,0,IF(DF21&lt;='Options and results'!$W$20,(IF(AND(VLOOKUP($DG$8,Treecost!$B$2:$AH$49,Treecost!$O$2,FALSE)=DF21,DF21&lt;=IF(AND(Optimisation!$B$3="Yes",Optimisation!$B$4=1),Optimisation!$B$9)),VLOOKUP($DG$8,Treecost!$B$2:$AH$49,Treecost!$Q$2,FALSE),0)*(1-CN21)+IF(AND(DF21&gt;VLOOKUP($DG$8,Treecost!$B$2:$AH$49,Treecost!$O$2,FALSE),DF21&lt;=IF(AND(Optimisation!$B$3="Yes",Optimisation!$B$4=1),Optimisation!$B$9,VLOOKUP($DG$8,Treecost!$B$2:$AH$49,Treecost!$R$2,FALSE))),VLOOKUP($DG$8,Treecost!$B$2:$AH$49,Treecost!$T$2,FALSE),0)*(1-CN21)+(EV21*$EI$16+EW21*$EI$17))*IF(DF21&gt;='Options and results'!$K$27,'Options and results'!$K$26,1),0))*IF(1+'Options and results'!$Q$21*(DF21-1)&gt;0,1+'Options and results'!$Q$21*(DF21-1),0)</f>
        <v>0</v>
      </c>
      <c r="EY21" s="894">
        <f>IF($DG$8=0,0,IF(DF21&lt;='Options and results'!$W$20,IF(AND(DF21&gt;=VLOOKUP($DG$8,Treecost!$B$2:$W$49,Treecost!$U$2,FALSE),DF21&lt;=VLOOKUP($DG$8,Treecost!$B$2:$W$49,Treecost!$V$2,FALSE)),(DL21*VLOOKUP($DG$8,Treecost!$B$2:$W$49,Treecost!$W$2,FALSE)/60),0)*IF(DF21&gt;='Options and results'!$K$25,'Options and results'!$K$24,1),0))</f>
        <v>0</v>
      </c>
      <c r="EZ21" s="740">
        <f>EY21*$EI$18*IF(DF21&gt;='Options and results'!$K$27,'Options and results'!$K$26,1)*IF(1+'Options and results'!$Q$21*(DF21-1)&gt;0,1+'Options and results'!$Q$21*(DF21-1),0)</f>
        <v>0</v>
      </c>
      <c r="FA21" s="1025">
        <f>IF(DF21&lt;='Options and results'!$W$20,IF(DL21&lt;=0,0,VLOOKUP($DG$8,Treecost!$B$6:$AH$49,Treecost!$AC$2,FALSE)+VLOOKUP($DG$8,Treecost!$B$6:$AH$49,Treecost!$AD$2,FALSE)+IF(AND(DF21&gt;=VLOOKUP($DG$8,Treecost!$B$2:$AK$49,Treecost!$AI$2,FALSE),DF21&lt;=VLOOKUP($DG$8,Treecost!$B$2:$AK$49,Treecost!$AJ$2,FALSE)),VLOOKUP($DG$8,Treecost!$B$2:$AK$49,Treecost!$AK$2,FALSE)*(1-CN21),0))*IF(DF21&gt;='Options and results'!$K$27,'Options and results'!$K$26,1),0)*IF(1+'Options and results'!$Q$22*(DF21-1)&gt;0,1+'Options and results'!$Q$22*(DF21-1),0)</f>
        <v>3</v>
      </c>
      <c r="FB21" s="894">
        <f>IF(DF21&lt;='Options and results'!$W$20,IF(DN21&gt;0,VLOOKUP($DG$8,Treecost!$B$6:$AH$49,Treecost!$AE$2,FALSE)/60*DN21,0)*IF(DF21&gt;='Options and results'!$K$25,'Options and results'!$K$24,1),0)</f>
        <v>0</v>
      </c>
      <c r="FC21" s="740">
        <f>IF(DF21&lt;='Options and results'!$W$20,IF(DN21&gt;0,VLOOKUP($DG$8,Treecost!$B$6:$AH$49,Treecost!$AF$2,FALSE)/60*DN21,0)*IF(DF21&gt;='Options and results'!$K$25,'Options and results'!$K$24,1),0)</f>
        <v>0</v>
      </c>
      <c r="FD21" s="740">
        <f>(FB21*$EI$20+FC21*$EI$21)*IF(DF21&gt;='Options and results'!$K$27,'Options and results'!$K$26,1)*IF(1+'Options and results'!$Q$21*(DF21-1)&gt;0,1+'Options and results'!$Q$21*(DF21-1),0)</f>
        <v>0</v>
      </c>
      <c r="FE21" s="894">
        <f>IF(DF21&lt;='Options and results'!$W$20,IF(DO21&gt;0,(VLOOKUP($DG$8,Treecost!$B$6:$AH$49,Treecost!$AG$2,FALSE)/60*DO21)*IF(DF21&gt;='Options and results'!$K$25,'Options and results'!$K$24,1),0),0)</f>
        <v>0</v>
      </c>
      <c r="FF21" s="740">
        <f>IF(DF21&lt;='Options and results'!$W$20,IF(DO21&gt;0,(VLOOKUP($DG$8,Treecost!$B$6:$AH$49,Treecost!$AH$2,FALSE)/60*DO21)*IF(DF21&gt;='Options and results'!$K$25,'Options and results'!$K$24,1),0),0)</f>
        <v>0</v>
      </c>
      <c r="FG21" s="740">
        <f>(FE21*$EI$22+FF21*$EI$23)*IF(DF21&gt;='Options and results'!$K$27,'Options and results'!$K$26,1)*IF(1+'Options and results'!$Q$21*(DF21-1)&gt;0,1+'Options and results'!$Q$21*(DF21-1),0)</f>
        <v>0</v>
      </c>
      <c r="FH21" s="894">
        <f t="shared" si="157"/>
        <v>0</v>
      </c>
      <c r="FI21" s="1027">
        <f t="shared" si="158"/>
        <v>0</v>
      </c>
      <c r="FJ21" s="1027">
        <f t="shared" si="159"/>
        <v>0</v>
      </c>
      <c r="FK21" s="1027">
        <f t="shared" si="160"/>
        <v>3</v>
      </c>
      <c r="FL21" s="1027">
        <f t="shared" si="183"/>
        <v>-3</v>
      </c>
      <c r="FM21" s="1027">
        <f>IF($DF21&lt;='Options and results'!$W$20,SUM(FI$8:$FI21),0)</f>
        <v>0</v>
      </c>
      <c r="FN21" s="1027">
        <f>IF($DF21&lt;='Options and results'!$W$20,SUM($FJ$8:FJ21),0)</f>
        <v>0</v>
      </c>
      <c r="FO21" s="1027">
        <f>IF($DF21&lt;='Options and results'!$W$20,SUM($FK$8:FK21),0)</f>
        <v>1082.0448753513026</v>
      </c>
      <c r="FP21" s="1027">
        <f>IF($DF21&lt;='Options and results'!$W$20,FM21+FN21-FO21,0)</f>
        <v>-1082.0448753513026</v>
      </c>
      <c r="FQ21" s="1027">
        <f t="shared" si="162"/>
        <v>133.03942448070856</v>
      </c>
      <c r="FR21" s="1027">
        <f t="shared" si="163"/>
        <v>130.03942448070856</v>
      </c>
      <c r="FS21" s="1027">
        <f t="shared" si="164"/>
        <v>0</v>
      </c>
      <c r="FT21" s="1189">
        <f>IF(DF21&lt;='Options and results'!$W$20,FP21+DZ21,0)</f>
        <v>-819.82137744688941</v>
      </c>
      <c r="FU21" s="401"/>
      <c r="FV21" s="895">
        <f t="shared" si="165"/>
        <v>14</v>
      </c>
      <c r="FW21" s="894">
        <f>G21/(1+'Options and results'!$W$33)^(FV21-1)</f>
        <v>1052.1126018679283</v>
      </c>
      <c r="FX21" s="740">
        <f>(AP21+AR21+AS21)/(1+'Options and results'!$W$33)^(FV21-1)</f>
        <v>0</v>
      </c>
      <c r="FY21" s="740">
        <f ca="1">CQ21/(1+'Options and results'!$W$33)^(FV21-1)</f>
        <v>691.91735076068119</v>
      </c>
      <c r="FZ21" s="740">
        <f>(EA21+EC21+ED21)/(1+'Options and results'!$W$33)^(FV21-1)</f>
        <v>0</v>
      </c>
      <c r="GA21" s="1019">
        <f t="shared" ca="1" si="180"/>
        <v>691.91735076068119</v>
      </c>
      <c r="GB21" s="1026">
        <f>(AO21+AQ21)/(1+'Options and results'!$W$33)^(FV21-1)+FX21</f>
        <v>417.82414242136895</v>
      </c>
      <c r="GC21" s="1027">
        <f>IF(FV21&gt;'Options and results'!$W$27,0,GB21-GB20)</f>
        <v>72.21675382888094</v>
      </c>
      <c r="GD21" s="1027">
        <f>(DZ21+EB21)/(1+'Options and results'!$W$33)^(FV21-1)+FZ21</f>
        <v>301.09803830020957</v>
      </c>
      <c r="GE21" s="1379">
        <f>IF(FV21&gt;'Options and results'!$W$27,0,GD21-GD20)</f>
        <v>71.052110476472023</v>
      </c>
      <c r="GF21" s="894">
        <f>IF(FV21&lt;='Options and results'!$W$20,SUM(FW$8:FW21),0)</f>
        <v>17475.205626044313</v>
      </c>
      <c r="GG21" s="740">
        <f>IF(FV21&lt;='Options and results'!$W$20,SUM(FX$8:FX21), 0)</f>
        <v>0</v>
      </c>
      <c r="GH21" s="740">
        <f ca="1">IF(FV21&lt;='Options and results'!$W$20,SUM(FY$8:FY21),0)</f>
        <v>14787.259868716837</v>
      </c>
      <c r="GI21" s="740">
        <f>IF(FV21&lt;='Options and results'!$W$20,SUM(FZ$8:FZ21),0)</f>
        <v>0</v>
      </c>
      <c r="GJ21" s="1019">
        <f t="shared" ca="1" si="166"/>
        <v>14787.259868716837</v>
      </c>
      <c r="GK21" s="894">
        <f>IF(FV21&gt;'Options and results'!$W$27,0,GG21+SUM(GC$8:GC21)-FX21)</f>
        <v>417.82414242136895</v>
      </c>
      <c r="GL21" s="740">
        <f>IF(FV21&lt;='Options and results'!$W$20,SUM(GD$8:GD21),0)</f>
        <v>943.71360144731216</v>
      </c>
      <c r="GM21" s="1034">
        <f t="shared" ca="1" si="167"/>
        <v>15730.97347016415</v>
      </c>
      <c r="GN21" s="401"/>
      <c r="GO21" s="895">
        <f t="shared" si="168"/>
        <v>14</v>
      </c>
      <c r="GP21" s="894">
        <f>H21/(1+'Options and results'!$W$33)^(GO21-1)</f>
        <v>141.25502505887627</v>
      </c>
      <c r="GQ21" s="740">
        <f>SUM(AT21:AV21)/(1+'Options and results'!$W$33)^(GO21-1)</f>
        <v>0</v>
      </c>
      <c r="GR21" s="740">
        <f>CR21/(1+'Options and results'!$W$33)^(GO21-1)</f>
        <v>0</v>
      </c>
      <c r="GS21" s="740">
        <f>SUM(EE21:EG21)/(1+'Options and results'!$W$33)^(GO21-1)</f>
        <v>0</v>
      </c>
      <c r="GT21" s="1019">
        <f t="shared" si="181"/>
        <v>0</v>
      </c>
      <c r="GU21" s="894">
        <f>IF(GO21&lt;='Options and results'!$W$20,SUM(GP$8:GP21),0)</f>
        <v>2583.8243735280898</v>
      </c>
      <c r="GV21" s="740">
        <f>IF(GO21&lt;='Options and results'!$W$20,SUM(GQ$8:GQ21),0)</f>
        <v>0</v>
      </c>
      <c r="GW21" s="740">
        <f>IF(GO21&lt;='Options and results'!$W$20,SUM(GR$8:GR21),0)</f>
        <v>0</v>
      </c>
      <c r="GX21" s="740">
        <f>IF(GO21&lt;='Options and results'!$W$20,SUM(GS$8:GS21),0)</f>
        <v>0</v>
      </c>
      <c r="GY21" s="1034">
        <f>IF(GO21&lt;='Options and results'!$W$20,SUM(GT$8:GT21),0)</f>
        <v>0</v>
      </c>
      <c r="GZ21" s="401"/>
      <c r="HA21" s="895">
        <f t="shared" si="169"/>
        <v>14</v>
      </c>
      <c r="HB21" s="1026">
        <f>(J21+L21+(M21*N21))/(1+'Options and results'!$W$33)^(HA21-1)</f>
        <v>761.17289957108585</v>
      </c>
      <c r="HC21" s="740">
        <f>BZ21/(1+'Options and results'!$W$33)^(HA21-1)</f>
        <v>1.801722258404034</v>
      </c>
      <c r="HD21" s="1027">
        <f>(CT21+CV21+(CW21*CX21))/(1+'Options and results'!$W$33)^(HA21-1)</f>
        <v>753.56117057537506</v>
      </c>
      <c r="HE21" s="740">
        <f>FK21/(1+'Options and results'!$W$33)^(HA21-1)</f>
        <v>1.801722258404034</v>
      </c>
      <c r="HF21" s="1019">
        <f t="shared" si="182"/>
        <v>755.36289283377914</v>
      </c>
      <c r="HG21" s="894">
        <f>IF(HA21&lt;='Options and results'!$W$20,SUM(HB$8:HB21),0)</f>
        <v>13429.268549097433</v>
      </c>
      <c r="HH21" s="740">
        <f>IF(HA21&lt;='Options and results'!$W$20,SUM(HC$8:HC21),0)</f>
        <v>1384.1637185688555</v>
      </c>
      <c r="HI21" s="740">
        <f>IF(HA21&lt;='Options and results'!$W$20,SUM(HD$8:HD21),0)</f>
        <v>13294.975863606456</v>
      </c>
      <c r="HJ21" s="740">
        <f>IF(HA21&lt;='Options and results'!$W$20,SUM(HE$8:HE21),0)</f>
        <v>928.54353051704391</v>
      </c>
      <c r="HK21" s="1034">
        <f>IF(HA21&lt;='Options and results'!$W$20,SUM(HF$8:HF21),0)</f>
        <v>14223.519394123501</v>
      </c>
      <c r="HL21" s="405"/>
      <c r="HM21" s="895">
        <f t="shared" si="170"/>
        <v>14</v>
      </c>
      <c r="HN21" s="1026">
        <f t="shared" si="171"/>
        <v>432.19472735571878</v>
      </c>
      <c r="HO21" s="1027">
        <f t="shared" si="172"/>
        <v>-1.801722258404034</v>
      </c>
      <c r="HP21" s="1027">
        <f t="shared" ca="1" si="173"/>
        <v>-61.64381981469387</v>
      </c>
      <c r="HQ21" s="1027">
        <f t="shared" si="174"/>
        <v>-1.801722258404034</v>
      </c>
      <c r="HR21" s="1027">
        <f t="shared" si="175"/>
        <v>70.415031570476913</v>
      </c>
      <c r="HS21" s="1379">
        <f t="shared" si="176"/>
        <v>69.250388218067997</v>
      </c>
      <c r="HT21" s="1026">
        <f>IF($HM21&lt;='Options and results'!$W$20,SUM(HN$8:HN21),0)</f>
        <v>6629.7614504749672</v>
      </c>
      <c r="HU21" s="1027">
        <f>IF($HM21&lt;='Options and results'!$W$20,SUM(HO$8:HO21),0)</f>
        <v>-1384.1637185688555</v>
      </c>
      <c r="HV21" s="1027">
        <f ca="1">IF($HM21&lt;='Options and results'!$W$20,SUM(HP$8:HP21),0)</f>
        <v>1492.284005110379</v>
      </c>
      <c r="HW21" s="1027">
        <f>IF($HM21&lt;='Options and results'!$W$20,SUM(HQ$8:HQ21),0)</f>
        <v>-928.54353051704391</v>
      </c>
      <c r="HX21" s="1027">
        <f t="shared" ca="1" si="177"/>
        <v>563.74047459333508</v>
      </c>
      <c r="HY21" s="1027">
        <f>IF($HM21&lt;='Options and results'!$W$20,SUM(HR$8:HR21),0)</f>
        <v>-966.3395761474867</v>
      </c>
      <c r="HZ21" s="1027">
        <f>IF($HM21&lt;='Options and results'!$W$20,SUM(HS$8:HS21),0)</f>
        <v>-627.44549221683405</v>
      </c>
      <c r="IA21" s="1189">
        <f t="shared" ca="1" si="178"/>
        <v>864.83851289354493</v>
      </c>
    </row>
    <row r="22" spans="1:235" x14ac:dyDescent="0.25">
      <c r="A22" s="1010">
        <f t="shared" si="126"/>
        <v>15</v>
      </c>
      <c r="B22" s="1011" t="str">
        <f>IF('Options and results'!$C$17="None",0,CONCATENATE('Options and results'!$C$23," ",(HLOOKUP(CONCATENATE('Options and results'!$C$17," ",Arablesystem!$B$11),Arablesystem!$B$10:$ER$72,$A22+3,FALSE))))</f>
        <v>UK - Agriculture (BPS: from 2015) Barley</v>
      </c>
      <c r="C22" s="1012">
        <f>IF(HLOOKUP(CONCATENATE('Options and results'!$C$17," ",Arablesystem!$C$11),Arablesystem!$B$10:$ER$72,$A22+3,FALSE)="T",(VLOOKUP(B22,Arablefinance!$Z$6:$AB$105,Arablefinance!$AB$2,FALSE)*E22+VLOOKUP(B22,Arablefinance!$Z$6:$AC$105,Arablefinance!$AC$2,FALSE)*F22)/VLOOKUP(B22,Arablefinance!$Z$6:$AA$105,Arablefinance!$AA$2,FALSE),0)</f>
        <v>0</v>
      </c>
      <c r="D22" s="1012">
        <f>IF(B22=0,0,HLOOKUP(CONCATENATE('Options and results'!$C$17," ",Arablesystem!$D$11),Arablesystem!$B$10:$ER$72,$A22+3,FALSE))</f>
        <v>1</v>
      </c>
      <c r="E22" s="1440">
        <f>IF(B22=0,0,HLOOKUP(CONCATENATE('Options and results'!$C$17," ",Arablesystem!$E$11),Arablesystem!$B$10:$ER$72,$A22+3,FALSE)*IF(A22&gt;='Options and results'!$H$19,'Options and results'!$H$18,1))</f>
        <v>8.2073891917756878</v>
      </c>
      <c r="F22" s="1440">
        <f>IF(B22=0,0,HLOOKUP(CONCATENATE('Options and results'!$C$17," ",Arablesystem!$F$11),Arablesystem!$B$10:$ER$72,$A22+3,FALSE)*IF(A22&gt;='Options and results'!$H$19,'Options and results'!$H$18,1))</f>
        <v>4.9244335150654122</v>
      </c>
      <c r="G22" s="1013">
        <f>IF(D22&lt;=0,0,IF(A22&lt;='Options and results'!$W$20,IF(C22&gt;0,VLOOKUP(B22,Arablefinance!$Z$6:$AE$105,Arablefinance!$AD$2,FALSE)*C22*D22,((VLOOKUP(B22,Arablefinance!$E$6:$G$126,Arablefinance!$F$2,FALSE)*(E22*D22)+VLOOKUP(B22,Arablefinance!$E$6:$G$126,Arablefinance!$G$2,FALSE)*(F22*D22)))),0)*IF(A22&gt;='Options and results'!$H$21,'Options and results'!$H$20,1))*IF(1+'Options and results'!$O$20*(A22-1)&gt;0,1+'Options and results'!$O$20*(A22-1),0)</f>
        <v>1581.746283681659</v>
      </c>
      <c r="H22" s="1441">
        <f>IF(D22&lt;=0,0,IF(A22&lt;='Options and results'!$W$20,IF(AND(C22&gt;0,VLOOKUP(B22,Arablefinance!$Z$6:$AI$105,Arablefinance!$AI$2,FALSE)=2),VLOOKUP(B22,Arablefinance!$Z$6:$AE$105,Arablefinance!$AE$2,FALSE)*C22*D22,(VLOOKUP(B22,Arablefinance!$E$6:$H$126,Arablefinance!$H$2,FALSE)*D22))*IF(A22&gt;='Options and results'!$H$23,'Options and results'!$H$22,1),0)*IF(AND(1+'Options and results'!$O$23*(A22-1)&gt;0,1+'Options and results'!$O$23*(A22-1)&gt;'Options and results'!$S$24),1+'Options and results'!$O$23*(A22-1),'Options and results'!$S$24))</f>
        <v>235.2</v>
      </c>
      <c r="I22" s="1441">
        <f t="shared" si="127"/>
        <v>1816.946283681659</v>
      </c>
      <c r="J22" s="1441">
        <f>IF(D22&lt;=0,0,IF(A22&lt;='Options and results'!$W$20,IF(C22&gt;0,VLOOKUP(B22,Arablefinance!$Z$6:$AF$105,Arablefinance!$AF$2,FALSE)*C22*D22,(VLOOKUP(B22,Arablefinance!$E$6:$X$126,Arablefinance!$R$2,FALSE))*D22),0)*IF(A22&gt;='Options and results'!$H$27,'Options and results'!$H$26,1))*IF(1+'Options and results'!$O$22*(A22-1)&gt;0,1+'Options and results'!$O$22*(A22-1),0)</f>
        <v>535.20833333333326</v>
      </c>
      <c r="K22" s="1441">
        <f t="shared" si="128"/>
        <v>1281.7379503483257</v>
      </c>
      <c r="L22" s="1441">
        <f>IF(D22&lt;=0,0,IF(A22&lt;='Options and results'!$W$20,IF(C22&gt;0,VLOOKUP(B22,Arablefinance!$Z$6:$AG$105,Arablefinance!$AG$2,FALSE)*C22*D22,VLOOKUP(B22,Arablefinance!$E$6:$X$126,Arablefinance!$X$2,FALSE)*D22),0)*IF(A22&gt;='Options and results'!$H$27,'Options and results'!$H$26,1))*IF(1+'Options and results'!$O$22*(A22-1)&gt;0,1+'Options and results'!$O$22*(A22-1),0)</f>
        <v>444.44444444444446</v>
      </c>
      <c r="M22" s="1442">
        <f>IF(D22&lt;=0,0,IF(A22&lt;='Options and results'!$W$20,'Options and results'!$C$27,0)*IF(A22&gt;='Options and results'!$H$27,'Options and results'!$H$26,1))*IF(1+'Options and results'!$O$21*(A22-1)&gt;0,1+'Options and results'!$O$21*(A22-1),0)</f>
        <v>14.6</v>
      </c>
      <c r="N22" s="1442">
        <f>IF(D22&lt;=0,0,IF(A22&lt;='Options and results'!$W$20,IF(C22&gt;0,VLOOKUP(B22,Arablefinance!$Z$6:$AH$105,Arablefinance!$AH$2,FALSE)*C22*D22,VLOOKUP(B22,Arablefinance!$E$6:$W$126,Arablefinance!$V$2,FALSE)*D22),0)*IF(A22&gt;='Options and results'!$H$25,'Options and results'!$H$24,1))</f>
        <v>10.833689569810836</v>
      </c>
      <c r="O22" s="1013">
        <f t="shared" si="129"/>
        <v>1137.8246454970158</v>
      </c>
      <c r="P22" s="1353">
        <f t="shared" si="130"/>
        <v>679.12163818464307</v>
      </c>
      <c r="Q22" s="1013">
        <f>IF(A22&lt;='Options and results'!$W$20,SUM(G$8:$G22),0)</f>
        <v>23816.96812486077</v>
      </c>
      <c r="R22" s="1441">
        <f>IF($A22&lt;='Options and results'!$W$20,SUM($H$8:H22),0)</f>
        <v>3527.9999999999991</v>
      </c>
      <c r="S22" s="1441">
        <f>IF($A22&lt;='Options and results'!$W$20,SUM($O$8:O22),0)</f>
        <v>18252.278371044908</v>
      </c>
      <c r="T22" s="1032">
        <f>IF(A22&lt;='Options and results'!$W$20,Q22+R22-S22,0)</f>
        <v>9092.6897538158628</v>
      </c>
      <c r="U22" s="405"/>
      <c r="V22" s="1010">
        <f t="shared" si="131"/>
        <v>15</v>
      </c>
      <c r="W22" s="173"/>
      <c r="X22" s="1036"/>
      <c r="Y22" s="1030">
        <f>IF(V22&lt;='Options and results'!$M$34,'Options and results'!$M$33,0)</f>
        <v>0</v>
      </c>
      <c r="Z22" s="1441">
        <f t="shared" si="132"/>
        <v>0</v>
      </c>
      <c r="AA22" s="1441">
        <f t="shared" si="133"/>
        <v>0</v>
      </c>
      <c r="AB22" s="1428">
        <f t="shared" si="134"/>
        <v>156</v>
      </c>
      <c r="AC22" s="1441">
        <f>IF($W$8=0,0,IF(HLOOKUP(CONCATENATE('Options and results'!$C$32," ",Forestrysystem!$C$8),Forestrysystem!$A$7:$IH$70,V22+4,FALSE)&lt;AB22,HLOOKUP(CONCATENATE('Options and results'!$C$32," ",Forestrysystem!$C$8),Forestrysystem!$A$7:$IH$70,V22+4,FALSE),0))</f>
        <v>0</v>
      </c>
      <c r="AD22" s="1441">
        <f>IF($W$8=0,0,IF(HLOOKUP(CONCATENATE('Options and results'!$C$32," ",Forestrysystem!$C$8),Forestrysystem!$A$7:$IH$70,V22+4,FALSE)&gt;=AB22,AB22,0))</f>
        <v>0</v>
      </c>
      <c r="AE22" s="1440">
        <f>IF($W$8=0,0,HLOOKUP(CONCATENATE('Options and results'!$C$32," ",Forestrysystem!$D$8),Forestrysystem!$A$7:$IH$70,$V22+4,FALSE))</f>
        <v>16.521508530923708</v>
      </c>
      <c r="AF22" s="1037"/>
      <c r="AG22" s="1440">
        <f>IF($W$8=0,0,IF(V22=1,'Options and results'!$M$36,0)+IF('Options and results'!$M$39="yes",IF(AND(AG21+'Options and results'!$M$37&lt;=$AF$8,AG21+'Options and results'!$M$37+IF(V22=1,'Options and results'!$M$36,0)&lt;='Options and results'!$M$38*AE22),AG21+'Options and results'!$M$37,AG21),(HLOOKUP(CONCATENATE('Options and results'!$C$32," ",Forestrysystem!$E$8),Forestrysystem!$A$7:$IH$70,V22+4,FALSE))-IF(V22=1,'Options and results'!$M$36,0)))</f>
        <v>7.5</v>
      </c>
      <c r="AH22" s="1442">
        <f>IF(OR($W$8=0,AB22&lt;=0),0,(HLOOKUP(CONCATENATE('Options and results'!$C$32," ",Forestrysystem!$F$8),Forestrysystem!$A$7:$IH$70,$V22+4,FALSE)) * IF(V22&gt;='Options and results'!$I$19,'Options and results'!$I$18,1) )</f>
        <v>41.02529881497766</v>
      </c>
      <c r="AI22" s="1452">
        <f t="shared" si="179"/>
        <v>0.26298268471139524</v>
      </c>
      <c r="AJ22" s="1442">
        <f t="shared" si="135"/>
        <v>0</v>
      </c>
      <c r="AK22" s="1453">
        <f>IF(OR($W$8=0,AE22&lt;=0),0,(HLOOKUP(CONCATENATE('Options and results'!$C$32," ",Forestrysystem!$G$8),Forestrysystem!$A$7:$IH$70,$V22+4,FALSE)) * IF(Y22&gt;='Options and results'!$I$19,'Options and results'!$I$18,1) )</f>
        <v>18.090002191447734</v>
      </c>
      <c r="AL22" s="1453">
        <f>IF($W$8=0,0,HLOOKUP(CONCATENATE('Options and results'!$C$32," ",Forestrysystem!$H$8),Forestrysystem!$A$7:$IH$70,$V22+4,FALSE)*IF(V22&gt;='Options and results'!$I$19,'Options and results'!$I$18,1))</f>
        <v>0</v>
      </c>
      <c r="AM22" s="1383">
        <f>IF($W$8=0,0,HLOOKUP(CONCATENATE('Options and results'!$C$32," ",Forestrysystem!$I$8),Forestrysystem!$A$7:$IH$70,$V22+4,FALSE)*IF(V22&gt;='Options and results'!$I$19,'Options and results'!$I$18,1))</f>
        <v>0</v>
      </c>
      <c r="AN22" s="1382">
        <f>IF(AI22&gt;0,HLOOKUP(AI22,Treevalue!$I$4:$BC$34,'Options and results'!$C$39+1),0)*IF(V22&gt;='Options and results'!$I$21,'Options and results'!$I$20,1)*IF(1+'Options and results'!$Q$20*(V22-1)&gt;0,1+'Options and results'!$Q$20*(V22-1),0)</f>
        <v>12.088435690259793</v>
      </c>
      <c r="AO22" s="1454">
        <f t="shared" si="136"/>
        <v>495.93168639854872</v>
      </c>
      <c r="AP22" s="1454">
        <f t="shared" si="137"/>
        <v>0</v>
      </c>
      <c r="AQ22" s="1454">
        <f>(IF('Options and results'!$C$39&gt;0,IF(V22&lt;='Options and results'!$W$20,VLOOKUP('Options and results'!$C$39,Treevalue!$A$4:$F$34,5,FALSE),0),0)*AK22)*IF(V22&gt;='Options and results'!$I$21,'Options and results'!$I$20,1)*IF(1+'Options and results'!$Q$20*(V22-1)&gt;0,1+'Options and results'!$Q$20*(V22-1),0)-AR22</f>
        <v>452.25005478619335</v>
      </c>
      <c r="AR22" s="1441">
        <f>(IF('Options and results'!$C$39&gt;0,IF(V22&lt;='Options and results'!$W$20,VLOOKUP('Options and results'!$C$39,Treevalue!$A$4:$F$34,5,FALSE),0),0)*AL22)*IF(V22&gt;='Options and results'!$I$21,'Options and results'!$I$20,1)*IF(1+'Options and results'!$Q$20*(V22-1)&gt;0,1+'Options and results'!$Q$20*(V22-1),0)</f>
        <v>0</v>
      </c>
      <c r="AS22" s="1441">
        <f>(IF('Options and results'!$C$39&gt;0,IF(V22&lt;='Options and results'!$W$20,VLOOKUP('Options and results'!$C$39,Treevalue!$A$4:$F$34,6,FALSE),0),0)*AM22)*IF(V22&gt;='Options and results'!$I$21,'Options and results'!$I$20,1)*IF(1+'Options and results'!$Q$20*(V22-1)&gt;0,1+'Options and results'!$Q$20*(V22-1),0)</f>
        <v>0</v>
      </c>
      <c r="AT22" s="1441">
        <f>IF(V22&lt;='Options and results'!$W$20,(IF(AB22&lt;=0,0,IF('Options and results'!$C$43="cost",(IF(V22&lt;='Options and results'!$C$44,BZ22*SUM('Options and results'!$C$45:$C$46),0)),IF('Options and results'!$C$41&gt;0,(IF(VLOOKUP('Options and results'!$C$42,Treegrant!$B$6:$L$42,Treegrant!$C$2,FALSE)=V22,VLOOKUP('Options and results'!$C$42,Treegrant!$B$6:$L$42,Treegrant!$D$2,FALSE),0)+IF(VLOOKUP('Options and results'!$C$42,Treegrant!$B$6:$L$42,Treegrant!$E$2,FALSE)=V22,VLOOKUP('Options and results'!$C$42,Treegrant!$B$6:$L$42,Treegrant!$F$2,FALSE),0)+IF(VLOOKUP('Options and results'!$C$42,Treegrant!$B$6:$L$42,Treegrant!$G$2,FALSE)=V22,VLOOKUP('Options and results'!$C$42,Treegrant!$B$6:$L$42,Treegrant!$H$2,FALSE)))*IF('Options and results'!$C$43="area",1,'Options and results'!$C$43),0)))*IF(V22&gt;='Options and results'!$I$23,'Options and results'!$I$22,1)),0)*IF(1+'Options and results'!$Q$23*(V22-1)&gt;0,1+'Options and results'!$Q$23*(V22-1),0)</f>
        <v>0</v>
      </c>
      <c r="AU22" s="1441">
        <f>IF($W$8=0,0,IF(V22&lt;='Options and results'!$W$20,IF(AB22&lt;=0,0,IF('Options and results'!$C$41&gt;0,IF(AND(VLOOKUP('Options and results'!$C$42,Treegrant!$B$6:$L$42,Treegrant!$J$2,FALSE)&lt;=V22,VLOOKUP('Options and results'!$C$42,Treegrant!$B$6:$L$42,Treegrant!$K$2,FALSE)&gt;=V22),(VLOOKUP('Options and results'!$C$42,Treegrant!$B$6:$L$42,Treegrant!$L$2,FALSE)),0)*IF('Options and results'!$C$47="full",1,'Options and results'!$C$47))*IF(V22&gt;='Options and results'!$I$23,'Options and results'!$I$22,1)),0))*IF(1+'Options and results'!$Q$23*(V22-1)&gt;0,1+'Options and results'!$Q$23*(V22-1),0)</f>
        <v>0</v>
      </c>
      <c r="AV22" s="1032">
        <f>IF($W$8=0,0,IF(V22&lt;='Options and results'!$W$20,IF(AB22&lt;=0,0,(IF('Options and results'!$C$41&gt;0,(IF(AND(VLOOKUP('Options and results'!$C$42,Treegrant!$B$6:$O$42,Treegrant!$M$2,FALSE)&lt;=V22,VLOOKUP('Options and results'!$C$42,Treegrant!$B$6:$O$42,Treegrant!$N$2,FALSE)&gt;=V22),(VLOOKUP('Options and results'!$C$42,Treegrant!$B$6:$O$42,Treegrant!$O$2,FALSE)),0)*IF('Options and results'!$C$48="full",1,'Options and results'!$C$48))+(IF(AND(VLOOKUP('Options and results'!$C$42,Treegrant!$B$6:$R$42,Treegrant!$P$2,FALSE)&lt;=V22,VLOOKUP('Options and results'!$C$42,Treegrant!$B$6:$R$42,Treegrant!$Q$2,FALSE)&gt;=V22),(VLOOKUP('Options and results'!$C$42,Treegrant!$B$6:$R$42,Treegrant!$R$2,FALSE)),0))*IF('Options and results'!$C$49="full",1,'Options and results'!$C$49)))*IF(V22&gt;='Options and results'!$I$23,'Options and results'!$I$22,1)),0))*IF(1+'Options and results'!$Q$23*(V22-1)&gt;0,1+'Options and results'!$Q$23*(V22-1),0)</f>
        <v>0</v>
      </c>
      <c r="AW22" s="1033" t="s">
        <v>249</v>
      </c>
      <c r="AX22" s="1018">
        <f>'Options and results'!S48</f>
        <v>30</v>
      </c>
      <c r="AY22" s="1419">
        <f>IF($W$8=0,0,IF(V22=1,VLOOKUP($W$8,Treecost!$B$6:$AH$49,Treecost!$E$2,FALSE),0)*IF(V22&gt;='Options and results'!$I$25,'Options and results'!$I$24,1))</f>
        <v>0</v>
      </c>
      <c r="AZ22" s="889">
        <f>IF($W$8=0,0,IF(V22=1,VLOOKUP($W$8,Treecost!$B$6:$AH$49,Treecost!$F$2,FALSE),0)*IF(V22&gt;='Options and results'!$I$25,'Options and results'!$I$24,1))</f>
        <v>0</v>
      </c>
      <c r="BA22" s="889">
        <f>IF($W$8=0,0,IF(V22=1,VLOOKUP($W$8,Treecost!$B$6:$AH$49,Treecost!$G$2,FALSE),0)*IF(V22&gt;='Options and results'!$I$25,'Options and results'!$I$24,1))</f>
        <v>0</v>
      </c>
      <c r="BB22" s="889">
        <f>IF($W$8=0,0,IF(V22&lt;='Options and results'!$W$20,((VLOOKUP($W$8,Treecost!$B$6:$AH$49,Treecost!$H$2,FALSE)*(X22+AA22))/60)*IF(V22&gt;='Options and results'!$I$25,'Options and results'!$I$24,1),0))</f>
        <v>0</v>
      </c>
      <c r="BC22" s="889">
        <f>IF($W$8=0,0,IF(V22&lt;='Options and results'!$W$20,(((VLOOKUP($W$8,Treecost!$B$6:$AH$49,Treecost!$I$2,FALSE))*(X22+AA22))/60)*IF(V22&gt;='Options and results'!$I$25,'Options and results'!$I$24,1),0))</f>
        <v>0</v>
      </c>
      <c r="BD22" s="889">
        <f>IF($W$8=0,0,IF(V22&lt;='Options and results'!$W$20,(((VLOOKUP($W$8,Treecost!$B$6:$AH$49,Treecost!$J$2,FALSE))/60)*(X22+AA22))*IF(V22&gt;='Options and results'!$I$25,'Options and results'!$I$24,1),0))</f>
        <v>0</v>
      </c>
      <c r="BE22" s="1019">
        <f>IF($W$8=0,0,IF(V22&lt;='Options and results'!$W$20,(((VLOOKUP($W$8,Treecost!$B$6:$AH$49,Treecost!$C$2,FALSE)+VLOOKUP($W$8,Treecost!$B$6:$AH$49,Treecost!$D$2,FALSE))*(X22+AA22)*IF(1+'Options and results'!$Q$22*(V22-1)&gt;0,1+'Options and results'!$Q$22*(V22-1),0))+((AY22*$AX$8+AZ22*$AX$9+BA22*$AX$10+BB22*$AX$11+BC22*$AX$12+BD22*$AX$13)*IF(1+'Options and results'!$Q$21*(V22-1)&gt;0,1+'Options and results'!$Q$21*(V22-1),0)))*IF(V22&gt;='Options and results'!$I$27,'Options and results'!$I$26,1),0))</f>
        <v>0</v>
      </c>
      <c r="BF22" s="889">
        <f>IF($W$8=0,0,IF(V22&lt;='Options and results'!$W$20,IF(AND(VLOOKUP($W$8,Treecost!$B$6:$AH$49,Treecost!$K$2,FALSE)&lt;=V22,V22&lt;=(VLOOKUP($W$8,Treecost!$B$6:$AH$49,Treecost!$L$2,FALSE))),VLOOKUP($W$8,Treecost!$B$6:$AH$49,Treecost!$M$2,FALSE)*AB22/60,0)*IF(V22&gt;='Options and results'!$I$25,'Options and results'!$I$24,1),0))</f>
        <v>0</v>
      </c>
      <c r="BG22" s="1019">
        <f>IF(BF22&gt;0,(VLOOKUP($W$8,Treecost!$B$6:$AH$49,Treecost!$N$2,FALSE)*AB22*IF(1+'Options and results'!$Q$22*(V22-1)&gt;0,1+'Options and results'!$Q$22*(V22-1),0)+BF22*$AX$14*IF(1+'Options and results'!$Q$21*(V22-1)&gt;0,1+'Options and results'!$Q$21*(V22-1),0)),0)*IF(V22&gt;='Options and results'!$I$27,'Options and results'!$I$26,1)</f>
        <v>0</v>
      </c>
      <c r="BH22" s="889">
        <f>IF(V22&lt;='Options and results'!$W$20,IF(AND(AG22-AG21&gt;0,AG22&gt;'Options and results'!$M$36),(AB22-AC22)*(VLOOKUP($W$8,Treecost!$B$6:$AH$49,Treecost!$Y$2,FALSE)+(VLOOKUP($W$8,Treecost!$B$6:$AH$49,Treecost!$AA$2,FALSE)-VLOOKUP($W$8,Treecost!$B$6:$AH$49,Treecost!$Y$2,FALSE))/(VLOOKUP($W$8,Treecost!$B$6:$AH$49,Treecost!$Z$2,FALSE)-VLOOKUP($W$8,Treecost!$B$6:$AH$49,Treecost!$X$2,FALSE))*(AG22-VLOOKUP($W$8,Treecost!$B$6:$AH$49,Treecost!$X$2,FALSE)))/60,0)*IF(V22&gt;='Options and results'!$I$25,'Options and results'!$I$24,1),0)</f>
        <v>0</v>
      </c>
      <c r="BI22" s="303">
        <f>IF(V22&lt;='Options and results'!$W$20,IF(BH22&gt;0,VLOOKUP($W$8,Treecost!$B$6:$AH$49,Treecost!$AB$2,FALSE)/60*AB22,0)*IF(V22&gt;='Options and results'!$I$25,'Options and results'!$I$24,1),0)*((BH22-(MIN($BH$8:$BH$67)))/((MAX($BH$8:$BH$67))-(MIN($BH$8:$BH$67))))</f>
        <v>0</v>
      </c>
      <c r="BJ22" s="740">
        <f>IF(BH22&gt;0,(BH22*$AX$15+BI22*$AX$19)*IF(1+'Options and results'!$Q$21*(V22-1)&gt;0,1+'Options and results'!$Q$21*(V22-1),0),0)*IF(V22&gt;='Options and results'!$I$27,'Options and results'!$I$26,1)</f>
        <v>0</v>
      </c>
      <c r="BK22" s="891">
        <f>IF($W$8=0,0,IF(V22&lt;='Options and results'!$W$20,IF(VLOOKUP($W$8,Treecost!$B$2:$AH$49,Treecost!$O$2,FALSE)=V22,VLOOKUP($W$8,Treecost!$B$2:$AH$49,Treecost!$P$2,FALSE),0)*IF(V22&gt;='Options and results'!$I$25,'Options and results'!$I$24,1),0))</f>
        <v>0</v>
      </c>
      <c r="BL22" s="889">
        <f>IF($W$8=0,0,IF(V22&lt;='Options and results'!$W$20,IF(AND(V22&gt;VLOOKUP($W$8,Treecost!$B$2:$AH$49,Treecost!$O$2,FALSE),V22&lt;=VLOOKUP($W$8,Treecost!$B$2:$AH$49,Treecost!$R$2,FALSE)),VLOOKUP($W$8,Treecost!$B$2:$AH$49,Treecost!$S$2,FALSE),0)*IF(V22&gt;='Options and results'!$I$25,'Options and results'!$I$24,1),0))</f>
        <v>0</v>
      </c>
      <c r="BM22" s="740">
        <f>IF($W$8=0,0,IF(V22&lt;='Options and results'!$W$20,((IF(VLOOKUP($W$8,Treecost!$B$2:$AH$49,Treecost!$O$2,FALSE)=V22,VLOOKUP($W$8,Treecost!$B$2:$AH$49,Treecost!$Q$2,FALSE),0)+IF(AND(V22&gt;VLOOKUP($W$8,Treecost!$B$2:$AH$49,Treecost!$O$2,FALSE),V22&lt;=VLOOKUP($W$8,Treecost!$B$2:$AH$49,Treecost!$R$2,FALSE)),VLOOKUP($W$8,Treecost!$B$2:$AH$49,Treecost!$T$2,FALSE),0)*IF(1+'Options and results'!$Q$22*(V22-1)&gt;0,1+'Options and results'!$Q$22*(V22-1),0))+(BK22*$AX$16+BL22*$AX$17)*IF(1+'Options and results'!$Q$21*(V22-1)&gt;0,1+'Options and results'!$Q$21*(V22-1),0))*IF(V22&gt;='Options and results'!$I$27,'Options and results'!$I$26,1),0))</f>
        <v>0</v>
      </c>
      <c r="BN22" s="894">
        <f>IF($W$8=0,0,IF(V22&lt;='Options and results'!$W$20,IF(AND(V22&gt;=VLOOKUP($W$8,Treecost!$B$2:$W$49,Treecost!$U$2,FALSE),V22&lt;=VLOOKUP($W$8,Treecost!$B$2:$W$49,Treecost!$V$2,FALSE)),(AB22*VLOOKUP($W$8,Treecost!$B$2:$W$49,Treecost!$W$2,FALSE)/60),0)*IF(V22&gt;='Options and results'!$I$25,'Options and results'!$I$24,1),0))</f>
        <v>0</v>
      </c>
      <c r="BO22" s="740">
        <f>BN22*$AX$18*IF(V22&gt;='Options and results'!$I$27,'Options and results'!$I$26,1)*IF(1+'Options and results'!$Q$21*(V22-1)&gt;0,1+'Options and results'!$Q$21*(V22-1),0)</f>
        <v>0</v>
      </c>
      <c r="BP22" s="894">
        <f>IF(V22&lt;='Options and results'!$W$20,IF(AB22&lt;=0,0,VLOOKUP($W$8,Treecost!$B$6:$AH$49,Treecost!$AC$2,FALSE)+VLOOKUP($W$8,Treecost!$B$6:$AH$49,Treecost!$AD$2,FALSE)+IF(AND(V22&gt;=VLOOKUP($W$8,Treecost!$B$2:$AK$49,Treecost!$AI$2,FALSE),V22&lt;=VLOOKUP($W$8,Treecost!$B$2:$AK$49,Treecost!$AJ$2,FALSE)),(VLOOKUP($W$8,Treecost!$B$2:$AK$49,Treecost!$AK$2,FALSE)),0))*IF(V22&gt;='Options and results'!$I$27,'Options and results'!$I$26,1),0)*IF(1+'Options and results'!$Q$22*(V22-1)&gt;0,1+'Options and results'!$Q$22*(V22-1),0)</f>
        <v>3</v>
      </c>
      <c r="BQ22" s="894">
        <f>IF(V22&lt;='Options and results'!$W$20,IF(AC22&gt;0,VLOOKUP($W$8,Treecost!$B$6:$AH$49,Treecost!$AE$2,FALSE)/60*AC22,0)*IF(V22&gt;='Options and results'!$I$25,'Options and results'!$I$24,1),0)</f>
        <v>0</v>
      </c>
      <c r="BR22" s="740">
        <f>IF(V22&lt;='Options and results'!$W$20,IF(AC22&gt;0,VLOOKUP($W$8,Treecost!$B$6:$AH$49,Treecost!$AF$2,FALSE)/60*AC22,0)*IF(V22&gt;='Options and results'!$I$25,'Options and results'!$I$24,1),0)</f>
        <v>0</v>
      </c>
      <c r="BS22" s="740">
        <f>(BQ22*$AX$20+BR22*$AX$21)*IF(V22&gt;='Options and results'!$I$27,'Options and results'!$I$26,1)*IF(1+'Options and results'!$Q$21*(V22-1)&gt;0,1+'Options and results'!$Q$21*(V22-1),0)</f>
        <v>0</v>
      </c>
      <c r="BT22" s="894">
        <f>IF(V22&lt;='Options and results'!$W$20,IF(AD22&gt;0,(VLOOKUP($W$8,Treecost!$B$6:$AH$49,Treecost!$AG$2,FALSE)/60*AD22)*IF(V22&gt;='Options and results'!$I$25,'Options and results'!$I$24,1),0),0)</f>
        <v>0</v>
      </c>
      <c r="BU22" s="740">
        <f>IF(V22&lt;='Options and results'!$W$20,IF(AD22&gt;0,(VLOOKUP($W$8,Treecost!$B$6:$AH$49,Treecost!$AH$2,FALSE)/60*AD22)*IF(V22&gt;='Options and results'!$I$25,'Options and results'!$I$24,1),0),0)</f>
        <v>0</v>
      </c>
      <c r="BV22" s="740">
        <f>(BT22*$AX$22+BU22*$AX$23)*IF(V22&gt;='Options and results'!$I$27,'Options and results'!$I$26,1)*IF(1+'Options and results'!$Q$21*(V22-1)&gt;0,1+'Options and results'!$Q$21*(V22-1),0)</f>
        <v>0</v>
      </c>
      <c r="BW22" s="1033">
        <f t="shared" si="138"/>
        <v>0</v>
      </c>
      <c r="BX22" s="1027">
        <f t="shared" si="139"/>
        <v>0</v>
      </c>
      <c r="BY22" s="1027">
        <f t="shared" si="140"/>
        <v>0</v>
      </c>
      <c r="BZ22" s="740">
        <f t="shared" si="124"/>
        <v>3</v>
      </c>
      <c r="CA22" s="740">
        <f t="shared" si="141"/>
        <v>-3</v>
      </c>
      <c r="CB22" s="894">
        <f>IF($V22&lt;='Options and results'!$W$20,SUM(BX$8:$BX22),0)</f>
        <v>0</v>
      </c>
      <c r="CC22" s="740">
        <f>IF($V22&lt;='Options and results'!$W$20,SUM($BY$8:BY22),0)</f>
        <v>0</v>
      </c>
      <c r="CD22" s="740">
        <f>IF($V22&lt;='Options and results'!$W$20,SUM($BZ$8:BZ22),0)</f>
        <v>1613.7443691843955</v>
      </c>
      <c r="CE22" s="740">
        <f>IF(V22&lt;='Options and results'!$W$20,CB22+CC22-CD22,0)</f>
        <v>-1613.7443691843955</v>
      </c>
      <c r="CF22" s="1381">
        <f t="shared" si="142"/>
        <v>252.4738309242378</v>
      </c>
      <c r="CG22" s="1027">
        <f t="shared" si="143"/>
        <v>249.4738309242378</v>
      </c>
      <c r="CH22" s="1027">
        <f t="shared" si="144"/>
        <v>0</v>
      </c>
      <c r="CI22" s="1189">
        <f>IF(V22&lt;='Options and results'!$W$20,CE22+AO22,0)</f>
        <v>-1117.8126827858468</v>
      </c>
      <c r="CJ22" s="1023"/>
      <c r="CK22" s="895">
        <f t="shared" si="145"/>
        <v>15</v>
      </c>
      <c r="CL22" s="1011" t="str">
        <f>IF('Options and results'!$C$54="None",0,IF(AND(CK22&gt;='Options and results'!$K$57,CK21&lt;'Options and results'!$W$20),'Options and results'!$K$56,IF(Optimisation!$B$3="No",CONCATENATE('Options and results'!$C$60," ",(HLOOKUP(CONCATENATE('Options and results'!$C$54," ",Agroforestrysystem!$B$12),Agroforestrysystem!$B$11:$IM$74,$CK22+4,FALSE))),Optimisation!AA42)))</f>
        <v>UK - Agriculture (BPS: from 2015) Agroforestry fallow</v>
      </c>
      <c r="CM22" s="1012">
        <f>IF(HLOOKUP(CONCATENATE('Options and results'!$C$54," ",Agroforestrysystem!$C$12),Agroforestrysystem!$B$11:$IM$74,$CK22+4,FALSE)="T",(VLOOKUP(CL22,Arablefinance!$Z$6:$AB$105,Arablefinance!$AB$2,FALSE)*CO22+VLOOKUP(CL22,Arablefinance!$Z$6:$AC$105,Arablefinance!$AC$2,FALSE)*CP22)/VLOOKUP(CL22,Arablefinance!$Z$6:$AA$105,Arablefinance!$AA$2,FALSE),0)</f>
        <v>0</v>
      </c>
      <c r="CN22" s="1012">
        <f>IF(CL22=0,0,HLOOKUP(CONCATENATE('Options and results'!$C$54," ",Agroforestrysystem!$D$12),Agroforestrysystem!$B$11:$IM$74,$CK22+4,FALSE))</f>
        <v>0.99</v>
      </c>
      <c r="CO22" s="1440">
        <f ca="1">IF(CL22=0,0,IF(AND(Optimisation!$B$3="yes",Optimisation!$B$4=1,CK22&gt;Optimisation!$B$9),0,HLOOKUP(CONCATENATE('Options and results'!$C$54," ",Agroforestrysystem!$E$12),Agroforestrysystem!$B$11:$IM$74,$CK22+4,FALSE)*IF(CK22&gt;='Options and results'!$J$19,'Options and results'!$J$18,1)))</f>
        <v>0</v>
      </c>
      <c r="CP22" s="1440">
        <f ca="1">IF(CL22=0,0,IF(AND(Optimisation!$B$3="yes",Optimisation!$B$4=1,CK22&gt;Optimisation!$B$9),0,HLOOKUP(CONCATENATE('Options and results'!$C$54," ",Agroforestrysystem!$F$12),Agroforestrysystem!$B$11:$IM$74,$CK22+4,FALSE)*IF(CK22&gt;='Options and results'!$J$19,'Options and results'!$J$18,1)))</f>
        <v>0</v>
      </c>
      <c r="CQ22" s="1013">
        <f ca="1">IF(CN22&lt;=0,0,IF(CK22&lt;='Options and results'!$W$20,IF(CM22&gt;0,VLOOKUP(CL22,Arablefinance!$Z$6:$AE$105,Arablefinance!$AD$2,FALSE)*CM22*CN22,((VLOOKUP(CL22,Arablefinance!$E$6:$H$126,2,FALSE)*CO22+VLOOKUP(CL22,Arablefinance!$E$6:$H$126,3,FALSE)*CP22)*CN22)),0)*IF(CK22&gt;='Options and results'!$J$21,'Options and results'!$J$20,1))*IF(1+'Options and results'!$O$20*(CK22-1)&gt;0,1+'Options and results'!$O$20*(CK22-1),0)</f>
        <v>0</v>
      </c>
      <c r="CR22" s="1441">
        <f>IF(CN22&lt;=0,0,IF(AND(CM22&gt;0,VLOOKUP(CL22,Arablefinance!$Z$6:$AI$105,Arablefinance!$AI$2,FALSE)=2),VLOOKUP(CL22,Arablefinance!$Z$6:$AE$105,Arablefinance!$AE$2,FALSE)*CM22*CN22,IF('Options and results'!$C$62&gt;0,IF(VLOOKUP(CL22,Arablefinance!$E$6:$W$126,Arablefinance!$H$2,FALSE)*(1-Plot!DM22*'Options and results'!$C$62)&gt;0,VLOOKUP(CL22,Arablefinance!$E$6:$W$126,Arablefinance!$H$2,FALSE)*(1-Plot!DM22*'Options and results'!$C$62),0),IF(CK22&lt;='Options and results'!$W$20,(VLOOKUP(CL22,Arablefinance!$E$6:$W$126,Arablefinance!$H$2,FALSE)*IF('Options and results'!$C$61="area",CN22,'Options and results'!$C$61)),0)))*IF(CK22&gt;='Options and results'!$J$23,'Options and results'!$J$22,1))*IF(AND(1+'Options and results'!$O$23*(CK22-1)&gt;0,1+'Options and results'!$O$23*(CK22-1)&gt;'Options and results'!$S$24),1+'Options and results'!$O$23*(CK22-1),'Options and results'!$S$24)</f>
        <v>0</v>
      </c>
      <c r="CS22" s="1441">
        <f t="shared" ca="1" si="146"/>
        <v>0</v>
      </c>
      <c r="CT22" s="1441">
        <f>IF(CN22&lt;=0,0,IF(CK22&lt;='Options and results'!$W$20,IF(CM22&gt;0,VLOOKUP(CL22,Arablefinance!$Z$6:$AF$105,Arablefinance!$AF$2,FALSE)*CM22*CN22,VLOOKUP(CL22,Arablefinance!$E$6:$X$126,Arablefinance!$R$2,FALSE)*CN22),0)*IF(CK22&gt;='Options and results'!$J$27,'Options and results'!$J$26,1))*IF(1+'Options and results'!$O$22*(CK22-1)&gt;0,1+'Options and results'!$O$22*(CK22-1),0)</f>
        <v>0</v>
      </c>
      <c r="CU22" s="1441">
        <f t="shared" ca="1" si="147"/>
        <v>0</v>
      </c>
      <c r="CV22" s="1441">
        <f>IF(CN22&lt;=0,0,IF(CK22&lt;='Options and results'!$W$20,IF(CM22&gt;0,VLOOKUP(CL22,Arablefinance!$Z$6:$AG$105,Arablefinance!$AG$2,FALSE)*CM22*CN22,VLOOKUP(CL22,Arablefinance!$E$6:$X$126,Arablefinance!$X$2,FALSE)*CN22),0)*IF(CK22&gt;='Options and results'!$J$27,'Options and results'!$J$26,1))*IF(1+'Options and results'!$O$22*(CK22-1)&gt;0,1+'Options and results'!$O$22*(CK22-1),0)</f>
        <v>0</v>
      </c>
      <c r="CW22" s="1442">
        <f>IF(CN22&lt;=0,0,IF(CK22&lt;='Options and results'!$W$20,'Options and results'!$C$27*IF(CK22&gt;='Options and results'!$J$27,'Options and results'!$J$26,1),0))*IF(1+'Options and results'!$O$21*(CK22-1)&gt;0,1+'Options and results'!$O$21*(CK22-1),0)</f>
        <v>14.6</v>
      </c>
      <c r="CX22" s="1442">
        <f>IF(CN22&lt;=0,0,IF(CK22&lt;='Options and results'!$W$20,IF(CM22&gt;0,VLOOKUP(CL22,Arablefinance!$Z$6:$AH$105,Arablefinance!$AH$2,FALSE)*CM22*CN22,VLOOKUP(CL22,Arablefinance!$E$6:$W$126,Arablefinance!$V$2,FALSE)*CN22),0)*IF(CK22&gt;='Options and results'!$J$25,'Options and results'!$J$24,1))</f>
        <v>0</v>
      </c>
      <c r="CY22" s="1013">
        <f t="shared" si="148"/>
        <v>0</v>
      </c>
      <c r="CZ22" s="1353">
        <f t="shared" ca="1" si="149"/>
        <v>0</v>
      </c>
      <c r="DA22" s="1013">
        <f ca="1">IF($CK22&lt;='Options and results'!$W$20,SUM($CQ$8:CQ22),0)</f>
        <v>18417.950100000002</v>
      </c>
      <c r="DB22" s="1441">
        <f>IF($CK22&lt;='Options and results'!$W$20,SUM($CR$8:CR22),0)</f>
        <v>0</v>
      </c>
      <c r="DC22" s="1441">
        <f>IF($CK22&lt;='Options and results'!$W$20,SUM($CY$8:CY22),0)</f>
        <v>16943.30918829242</v>
      </c>
      <c r="DD22" s="1189">
        <f ca="1">IF(CK22&lt;='Options and results'!$W$20,DA22+DB22-DC22,0)</f>
        <v>1474.6409117075818</v>
      </c>
      <c r="DE22" s="401"/>
      <c r="DF22" s="895">
        <f t="shared" si="150"/>
        <v>15</v>
      </c>
      <c r="DG22" s="173"/>
      <c r="DH22" s="1422"/>
      <c r="DI22" s="1427">
        <f>IF(DF22&lt;='Options and results'!$M$61,'Options and results'!$M$60,0)</f>
        <v>0</v>
      </c>
      <c r="DJ22" s="740">
        <f t="shared" si="151"/>
        <v>0</v>
      </c>
      <c r="DK22" s="740">
        <f t="shared" si="152"/>
        <v>0</v>
      </c>
      <c r="DL22" s="1428">
        <f t="shared" si="153"/>
        <v>100</v>
      </c>
      <c r="DM22" s="1429">
        <f>IF($DG$8=0,0,HLOOKUP(CONCATENATE('Options and results'!$C$54," ",Agroforestrysystem!$J$12),Agroforestrysystem!$11:$74,DF22+3,FALSE))/100</f>
        <v>1</v>
      </c>
      <c r="DN22" s="740">
        <f>IF($DG$8=0,0,IF(HLOOKUP(CONCATENATE('Options and results'!$C$54," ",Agroforestrysystem!$H$12),Agroforestrysystem!$11:$74,DF22+4,FALSE)&lt;DL22,HLOOKUP(CONCATENATE('Options and results'!$C$54," ",Agroforestrysystem!$H$12),Agroforestrysystem!$11:$74,DF22+4,FALSE),0))</f>
        <v>0</v>
      </c>
      <c r="DO22" s="1027">
        <f>IF($DG$8=0,0,IF(HLOOKUP(CONCATENATE('Options and results'!$C$54," ",Agroforestrysystem!$H$12),Agroforestrysystem!$11:$74,DF22+4,FALSE)&gt;=DL22,DL22,0))</f>
        <v>0</v>
      </c>
      <c r="DP22" s="1430">
        <f>IF($DG$8=0,0,HLOOKUP(CONCATENATE('Options and results'!$C$54," ",Agroforestrysystem!$I$12),Agroforestrysystem!$11:$74,DF22+4,FALSE))</f>
        <v>17.307500536000951</v>
      </c>
      <c r="DQ22" s="1038"/>
      <c r="DR22" s="1390">
        <f>IF($DG$8=0,0,IF(DF22&gt;'Options and results'!$W$20,0,)+IF(DF22=1,'Options and results'!$M$64)+IF('Options and results'!$M$67="yes",IF(AND(DR21+'Options and results'!$M$65&lt;=$DQ$8,DR21+'Options and results'!$M$65+IF(DF22=1,'Options and results'!$M$64,0)&lt;='Options and results'!$M$66*DP22),DR21+'Options and results'!$M$65,DR21),(HLOOKUP(CONCATENATE('Options and results'!$C$54," ",Agroforestrysystem!$K$12),Agroforestrysystem!$11:$74,DF22+4,FALSE)-IF(DF22=1,'Options and results'!$M$64))))</f>
        <v>7.5</v>
      </c>
      <c r="DS22" s="1027">
        <f>IF(OR($DG$8=0,DL22=0),0,HLOOKUP(CONCATENATE('Options and results'!$C$54," ",Agroforestrysystem!$L$12),Agroforestrysystem!$11:$74,DF22+4,FALSE)*IF(DF22&gt;='Options and results'!$K$19,'Options and results'!$K$18,1))</f>
        <v>30.232991290963536</v>
      </c>
      <c r="DT22" s="1431">
        <f t="shared" si="154"/>
        <v>0.30232991290963535</v>
      </c>
      <c r="DU22" s="889">
        <f t="shared" si="155"/>
        <v>0</v>
      </c>
      <c r="DV22" s="1027">
        <f>IF($DG$8=0,0,(HLOOKUP(CONCATENATE('Options and results'!$C$54," ",Agroforestrysystem!$M$12),Agroforestrysystem!$11:$74,DF22+4,FALSE))*IF(DF22&gt;='Options and results'!$K$19,'Options and results'!$K$18,1))-DW22</f>
        <v>13.331161368844947</v>
      </c>
      <c r="DW22" s="303">
        <f>IF($DG$8=0,0,(HLOOKUP(CONCATENATE('Options and results'!$C$54," ",Agroforestrysystem!$N$12),Agroforestrysystem!$11:$74,DF22+4,FALSE))*IF(DF22&gt;='Options and results'!$K$19,'Options and results'!$K$18,1))</f>
        <v>0</v>
      </c>
      <c r="DX22" s="303">
        <f>IF($DG$8=0,0,HLOOKUP(CONCATENATE('Options and results'!$C$54," ",Agroforestrysystem!$O$12),Agroforestrysystem!$11:$74,DF22+4,FALSE)*IF(DF22&gt;='Options and results'!$K$19,'Options and results'!$K$18,1))</f>
        <v>0</v>
      </c>
      <c r="DY22" s="1192">
        <f>IF(DT22&gt;0,HLOOKUP(DT22,Treevalue!$I$4:$BC$34,'Options and results'!$C$66+1),0)*IF(DF22&gt;='Options and results'!$K$21,'Options and results'!$K$20,1)*IF(1+'Options and results'!$Q$20*(DF22-1)&gt;0,1+'Options and results'!$Q$20*(DF22-1),0)</f>
        <v>14.387445484417775</v>
      </c>
      <c r="DZ22" s="1027">
        <f t="shared" si="156"/>
        <v>434.97551402961523</v>
      </c>
      <c r="EA22" s="1027">
        <f t="shared" si="125"/>
        <v>0</v>
      </c>
      <c r="EB22" s="1027">
        <f>(IF('Options and results'!$C$66&gt;0,IF(DF22&lt;='Options and results'!$W$20,VLOOKUP('Options and results'!$C$66,Treevalue!$A$4:$F$34,5,FALSE),0),0)*DV22)*IF(DF22&gt;='Options and results'!$K$21,'Options and results'!$K$20,1)*IF(1+'Options and results'!$Q$20*(DF22-1)&gt;0,1+'Options and results'!$Q$20*(DF22-1),0)</f>
        <v>333.27903422112371</v>
      </c>
      <c r="EC22" s="740">
        <f>(IF('Options and results'!$C$66&gt;0,IF(DF22&lt;='Options and results'!$W$20,VLOOKUP('Options and results'!$C$66,Treevalue!$A$4:$F$34,5,FALSE),0),0)*DW22)*IF(DF22&gt;='Options and results'!$K$21,'Options and results'!$K$20,1)*IF(1+'Options and results'!$Q$20*(DF22-1)&gt;0,1+'Options and results'!$Q$20*(DF22-1),0)</f>
        <v>0</v>
      </c>
      <c r="ED22" s="889">
        <f>(IF('Options and results'!$C$66&gt;0,IF(DF22&lt;='Options and results'!$W$20,VLOOKUP('Options and results'!$C$66,Treevalue!$A$4:$F$34,6,FALSE),0),0)*DX22)*IF(DF22&gt;='Options and results'!$K$21,'Options and results'!$K$20,1)*IF(1+'Options and results'!$Q$20*(DF22-1)&gt;0,1+'Options and results'!$Q$20*(DF22-1),0)</f>
        <v>0</v>
      </c>
      <c r="EE22" s="740">
        <f>IF(DF22&lt;='Options and results'!$W$20,IF(DL22&lt;=0,0,IF('Options and results'!$C$70="cost",(IF(DF22&lt;='Options and results'!$C$71,FK22*SUM('Options and results'!$C$72:$C$73),0)),IF('Options and results'!$C$68&gt;0,(IF(VLOOKUP('Options and results'!$C$69,Treegrant!$B$6:$L$42,Treegrant!$C$2,FALSE)=DF22,VLOOKUP('Options and results'!$C$69,Treegrant!$B$6:$L$42,Treegrant!$D$2,FALSE),0)+IF(VLOOKUP('Options and results'!$C$69,Treegrant!$B$6:$L$42,Treegrant!$E$2,FALSE)=DF22,VLOOKUP('Options and results'!$C$69,Treegrant!$B$6:$L$42,Treegrant!$F$2,FALSE),0)+IF(VLOOKUP('Options and results'!$C$69,Treegrant!$B$6:$L$42,Treegrant!$G$2,FALSE)=DF22,VLOOKUP('Options and results'!$C$69,Treegrant!$B$6:$L$42,Treegrant!$H$2,FALSE)))*IF('Options and results'!$C$70="area",Unit!C23,'Options and results'!$C$70),0))*IF(DF22&gt;='Options and results'!$K$23,'Options and results'!$K$22,1)),0)*IF(1+'Options and results'!$Q$23*(DF22-1)&gt;0,1+'Options and results'!$Q$23*(DF22-1),0)</f>
        <v>0</v>
      </c>
      <c r="EF22" s="740">
        <f>IF($DG$8=0,0,IF(DF22&lt;='Options and results'!$W$20,IF(DL22&lt;=0,0,IF('Options and results'!$C$68&gt;0,IF(AND(VLOOKUP('Options and results'!$C$69,Treegrant!$B$6:$L$42,Treegrant!$J$2,FALSE)&lt;=DF22,VLOOKUP('Options and results'!$C$69,Treegrant!$B$6:$L$42,Treegrant!$K$2,FALSE)&gt;=DF22),(VLOOKUP('Options and results'!$C$69,Treegrant!$B$6:$L$42,Treegrant!$L$2,FALSE)),0)*IF('Options and results'!$C$74="area",Unit!C23,'Options and results'!$C$74))*IF(DF22&gt;='Options and results'!$K$23,'Options and results'!$K$22,1)),0))*IF(1+'Options and results'!$Q$23*(DF22-1)&gt;0,1+'Options and results'!$Q$23*(DF22-1),0)</f>
        <v>0</v>
      </c>
      <c r="EG22" s="1034">
        <f>IF($DG$8=0,0,IF(DF22&lt;='Options and results'!$W$20,IF(DL22&lt;=0,0,IF('Options and results'!$C$68&gt;0,((IF(AND(VLOOKUP('Options and results'!$C$69,Treegrant!$B$6:$O$42,Treegrant!$M$2,FALSE)&lt;=DF22,VLOOKUP('Options and results'!$C$69,Treegrant!$B$6:$O$42,Treegrant!$N$2,FALSE)&gt;=DF22),(VLOOKUP('Options and results'!$C$69,Treegrant!$B$6:$O$42,Treegrant!$O$2,FALSE)),0)*IF('Options and results'!$C$75="area",Unit!C23,'Options and results'!$C$75))+(IF(AND(VLOOKUP('Options and results'!$C$69,Treegrant!$B$6:$R$42,Treegrant!$P$2,FALSE)&lt;=DF22,VLOOKUP('Options and results'!$C$69,Treegrant!$B$6:$R$42,Treegrant!$Q$2,FALSE)&gt;=DF22),(VLOOKUP('Options and results'!$C$69,Treegrant!$B$6:$R$42,Treegrant!$R$2,FALSE)),0))*IF('Options and results'!$C$76="area",Unit!C23,'Options and results'!$C$76)))*IF(DF22&gt;='Options and results'!$K$23,'Options and results'!$K$22,1)),0))*IF(1+'Options and results'!$Q$23*(DF22-1)&gt;0,1+'Options and results'!$Q$23*(DF22-1),0)</f>
        <v>0</v>
      </c>
      <c r="EH22" s="1033" t="s">
        <v>249</v>
      </c>
      <c r="EI22" s="1018">
        <f>'Options and results'!$S48</f>
        <v>30</v>
      </c>
      <c r="EJ22" s="1419">
        <f>IF($DH$8+DK22&lt;1,0,IF(DF22=1,VLOOKUP($DG$8,Treecost!$B$6:$AH$49,Treecost!$E$2,FALSE),0)*IF(DF22&gt;='Options and results'!$K$25,'Options and results'!$K$24,1))</f>
        <v>0</v>
      </c>
      <c r="EK22" s="889">
        <f>IF($DH$8+DK22&lt;1,0,IF(DF22=1,VLOOKUP($DG$8,Treecost!$B$6:$AH$49,Treecost!$F$2,FALSE),0)*IF(DF22&gt;='Options and results'!$K$25,'Options and results'!$K$24,1))</f>
        <v>0</v>
      </c>
      <c r="EL22" s="889">
        <f>IF($DH$8+DK22&lt;1,0,IF(DF22=1,VLOOKUP($DG$8,Treecost!$B$6:$AH$49,Treecost!$G$2,FALSE),0)*IF(DF22&gt;='Options and results'!$K$25,'Options and results'!$K$24,1))</f>
        <v>0</v>
      </c>
      <c r="EM22" s="889">
        <f>IF($DG$8=0,0,IF(DF22&lt;='Options and results'!$W$20,((VLOOKUP($DG$8,Treecost!$B$6:$AH$49,Treecost!$H$2,FALSE)*(DH22+DK22))/60)*IF(DF22&gt;='Options and results'!$K$25,'Options and results'!$K$24,1),0))</f>
        <v>0</v>
      </c>
      <c r="EN22" s="889">
        <f>IF($DG$8=0,0,IF(DF22&lt;='Options and results'!$W$20,(((VLOOKUP($DG$8,Treecost!$B$6:$AH$49,Treecost!$I$2,FALSE))*(DH22+DK22))/60)*IF(DF22&gt;='Options and results'!$K$25,'Options and results'!$K$24,1),0))</f>
        <v>0</v>
      </c>
      <c r="EO22" s="889">
        <f>IF($DG$8=0,0,IF(DF22&lt;='Options and results'!$W$20,(((VLOOKUP($DG$8,Treecost!$B$6:$AH$49,Treecost!$J$2,FALSE))/60)*(DH22+DK22))*IF(DF22&gt;='Options and results'!$K$25,'Options and results'!$K$24,1),0))</f>
        <v>0</v>
      </c>
      <c r="EP22" s="1019">
        <f>IF($DG$8=0,0,IF(DF22&lt;='Options and results'!$W$20,(((VLOOKUP($DG$8,Treecost!$B$6:$AH$49,Treecost!$C$2,FALSE)+VLOOKUP($DG$8,Treecost!$B$6:$AH$49,Treecost!$D$2,FALSE))*(DH22+DK22)*IF(1+'Options and results'!$Q$22*(DF22-1)&gt;0,1+'Options and results'!$Q$22*(DF22-1),0))+(EJ22*$EI$8+EK22*$EI$9+EL22*$EI$10+EM22*$EI$11+EN22*$EI$12+EO22*$EI$13)*IF(1+'Options and results'!$Q$21*(DF22-1)&gt;0,1+'Options and results'!$Q$21*(DF22-1),0))*IF(DF22&gt;='Options and results'!$K$27,'Options and results'!$K$26,1),0))</f>
        <v>0</v>
      </c>
      <c r="EQ22" s="740">
        <f>IF($DG$8=0,0,IF(DF22&lt;='Options and results'!$W$20,IF(AND(VLOOKUP($DG$8,Treecost!$B$6:$AH$49,Treecost!$K$2,FALSE)&lt;=DF22,DF22&lt;=(VLOOKUP($DG$8,Treecost!$B$6:$AH$49,Treecost!$L$2,FALSE))),VLOOKUP($DG$8,Treecost!$B$6:$AH$49,Treecost!$M$2,FALSE)*DL22/60,0)*IF(DF22&gt;='Options and results'!$K$25,'Options and results'!$K$24,1),0))</f>
        <v>0</v>
      </c>
      <c r="ER22" s="1019">
        <f>IF(EQ22&gt;0,(VLOOKUP($DG$8,Treecost!$B$6:$AH$49,Treecost!$N$2,FALSE)*DL22*IF(1+'Options and results'!$Q$22*(DF22-1)&gt;0,1+'Options and results'!$Q$22*(DF22-1),0)+EQ22*$EI$14*IF(1+'Options and results'!$Q$21*(DF22-1)&gt;0,1+'Options and results'!$Q$21*(DF22-1),0)),0)*IF(DF22&gt;='Options and results'!$K$27,'Options and results'!$K$26,1)</f>
        <v>0</v>
      </c>
      <c r="ES22" s="889">
        <f>IF(DF22&lt;='Options and results'!$W$20,IF(AND(DR22-DR21&gt;0,DR22&gt;'Options and results'!$M$64),(DL22-DN22)*(VLOOKUP($DG$8,Treecost!$B$6:$AH$49,Treecost!$Y$2,FALSE)+(VLOOKUP($DG$8,Treecost!$B$6:$AH$49,Treecost!$AA$2,FALSE)-VLOOKUP($DG$8,Treecost!$B$6:$AH$49,Treecost!$Y$2,FALSE))/(VLOOKUP($DG$8,Treecost!$B$6:$AH$49,Treecost!$Z$2,FALSE)-VLOOKUP($DG$8,Treecost!$B$6:$AH$49,Treecost!$X$2,FALSE))*(DR22-VLOOKUP($DG$8,Treecost!$B$6:$AH$49,Treecost!$X$2,FALSE)))/60,0)*IF(DF22&gt;='Options and results'!$K$25,'Options and results'!$K$24,1),0)</f>
        <v>0</v>
      </c>
      <c r="ET22" s="889">
        <f>IF(DF22&lt;='Options and results'!$W$20,IF(ES22&gt;0,VLOOKUP($DG$8,Treecost!$B$6:$AH$49,Treecost!$AB$2,FALSE)/60*DL22,0)*IF(DF22&gt;='Options and results'!$K$25,'Options and results'!$K$24,1),0)*((ES22-(MIN($ES$8:$ES$67)))/((MAX($ES$8:$ES$67))-(MIN($ES$8:$ES$67))))</f>
        <v>0</v>
      </c>
      <c r="EU22" s="740">
        <f>IF(ES22&gt;0,(ES22*$EI$15+ET22*$EI$19)*IF(1+'Options and results'!$Q$21*(DF22-1)&gt;0,1+'Options and results'!$Q$21*(DF22-1),0),0)*IF(DF22&gt;='Options and results'!$K$27,'Options and results'!$K$26,1)</f>
        <v>0</v>
      </c>
      <c r="EV22" s="891">
        <f>IF($DG$8=0,0,IF(DF22&lt;='Options and results'!$W$20,IF(AND(VLOOKUP($DG$8,Treecost!$B$2:$AH$49,Treecost!$O$2,FALSE)=DF22,DF22&lt;=IF(AND(Optimisation!$B$3="Yes",Optimisation!$B$4=1),Optimisation!$B$9)),VLOOKUP($DG$8,Treecost!$B$2:$AH$49,Treecost!$P$2,FALSE)*(1-CN22),0)*IF(DF22&gt;='Options and results'!$K$25,'Options and results'!$K$24,1),0))</f>
        <v>0</v>
      </c>
      <c r="EW22" s="889">
        <f>IF($DG$8=0,0,IF(DF22&lt;='Options and results'!$W$20,IF(AND(DF22&gt;VLOOKUP($DG$8,Treecost!$B$2:$AH$49,Treecost!$O$2,FALSE),DF22&lt;=IF(AND(Optimisation!$B$3="Yes",Optimisation!$B$4=1),Optimisation!$B$9,VLOOKUP($DG$8,Treecost!$B$2:$AH$49,Treecost!$R$2,FALSE))),VLOOKUP($DG$8,Treecost!$B$2:$AH$49,Treecost!$S$2,FALSE)*(1-CN22),0)*IF(DF22&gt;='Options and results'!$K$25,'Options and results'!$K$24,1),0))</f>
        <v>0</v>
      </c>
      <c r="EX22" s="740">
        <f>IF($DG$8=0,0,IF(DF22&lt;='Options and results'!$W$20,(IF(AND(VLOOKUP($DG$8,Treecost!$B$2:$AH$49,Treecost!$O$2,FALSE)=DF22,DF22&lt;=IF(AND(Optimisation!$B$3="Yes",Optimisation!$B$4=1),Optimisation!$B$9)),VLOOKUP($DG$8,Treecost!$B$2:$AH$49,Treecost!$Q$2,FALSE),0)*(1-CN22)+IF(AND(DF22&gt;VLOOKUP($DG$8,Treecost!$B$2:$AH$49,Treecost!$O$2,FALSE),DF22&lt;=IF(AND(Optimisation!$B$3="Yes",Optimisation!$B$4=1),Optimisation!$B$9,VLOOKUP($DG$8,Treecost!$B$2:$AH$49,Treecost!$R$2,FALSE))),VLOOKUP($DG$8,Treecost!$B$2:$AH$49,Treecost!$T$2,FALSE),0)*(1-CN22)+(EV22*$EI$16+EW22*$EI$17))*IF(DF22&gt;='Options and results'!$K$27,'Options and results'!$K$26,1),0))*IF(1+'Options and results'!$Q$21*(DF22-1)&gt;0,1+'Options and results'!$Q$21*(DF22-1),0)</f>
        <v>0</v>
      </c>
      <c r="EY22" s="894">
        <f>IF($DG$8=0,0,IF(DF22&lt;='Options and results'!$W$20,IF(AND(DF22&gt;=VLOOKUP($DG$8,Treecost!$B$2:$W$49,Treecost!$U$2,FALSE),DF22&lt;=VLOOKUP($DG$8,Treecost!$B$2:$W$49,Treecost!$V$2,FALSE)),(DL22*VLOOKUP($DG$8,Treecost!$B$2:$W$49,Treecost!$W$2,FALSE)/60),0)*IF(DF22&gt;='Options and results'!$K$25,'Options and results'!$K$24,1),0))</f>
        <v>0</v>
      </c>
      <c r="EZ22" s="740">
        <f>EY22*$EI$18*IF(DF22&gt;='Options and results'!$K$27,'Options and results'!$K$26,1)*IF(1+'Options and results'!$Q$21*(DF22-1)&gt;0,1+'Options and results'!$Q$21*(DF22-1),0)</f>
        <v>0</v>
      </c>
      <c r="FA22" s="1025">
        <f>IF(DF22&lt;='Options and results'!$W$20,IF(DL22&lt;=0,0,VLOOKUP($DG$8,Treecost!$B$6:$AH$49,Treecost!$AC$2,FALSE)+VLOOKUP($DG$8,Treecost!$B$6:$AH$49,Treecost!$AD$2,FALSE)+IF(AND(DF22&gt;=VLOOKUP($DG$8,Treecost!$B$2:$AK$49,Treecost!$AI$2,FALSE),DF22&lt;=VLOOKUP($DG$8,Treecost!$B$2:$AK$49,Treecost!$AJ$2,FALSE)),VLOOKUP($DG$8,Treecost!$B$2:$AK$49,Treecost!$AK$2,FALSE)*(1-CN22),0))*IF(DF22&gt;='Options and results'!$K$27,'Options and results'!$K$26,1),0)*IF(1+'Options and results'!$Q$22*(DF22-1)&gt;0,1+'Options and results'!$Q$22*(DF22-1),0)</f>
        <v>3</v>
      </c>
      <c r="FB22" s="894">
        <f>IF(DF22&lt;='Options and results'!$W$20,IF(DN22&gt;0,VLOOKUP($DG$8,Treecost!$B$6:$AH$49,Treecost!$AE$2,FALSE)/60*DN22,0)*IF(DF22&gt;='Options and results'!$K$25,'Options and results'!$K$24,1),0)</f>
        <v>0</v>
      </c>
      <c r="FC22" s="740">
        <f>IF(DF22&lt;='Options and results'!$W$20,IF(DN22&gt;0,VLOOKUP($DG$8,Treecost!$B$6:$AH$49,Treecost!$AF$2,FALSE)/60*DN22,0)*IF(DF22&gt;='Options and results'!$K$25,'Options and results'!$K$24,1),0)</f>
        <v>0</v>
      </c>
      <c r="FD22" s="740">
        <f>(FB22*$EI$20+FC22*$EI$21)*IF(DF22&gt;='Options and results'!$K$27,'Options and results'!$K$26,1)*IF(1+'Options and results'!$Q$21*(DF22-1)&gt;0,1+'Options and results'!$Q$21*(DF22-1),0)</f>
        <v>0</v>
      </c>
      <c r="FE22" s="894">
        <f>IF(DF22&lt;='Options and results'!$W$20,IF(DO22&gt;0,(VLOOKUP($DG$8,Treecost!$B$6:$AH$49,Treecost!$AG$2,FALSE)/60*DO22)*IF(DF22&gt;='Options and results'!$K$25,'Options and results'!$K$24,1),0),0)</f>
        <v>0</v>
      </c>
      <c r="FF22" s="740">
        <f>IF(DF22&lt;='Options and results'!$W$20,IF(DO22&gt;0,(VLOOKUP($DG$8,Treecost!$B$6:$AH$49,Treecost!$AH$2,FALSE)/60*DO22)*IF(DF22&gt;='Options and results'!$K$25,'Options and results'!$K$24,1),0),0)</f>
        <v>0</v>
      </c>
      <c r="FG22" s="740">
        <f>(FE22*$EI$22+FF22*$EI$23)*IF(DF22&gt;='Options and results'!$K$27,'Options and results'!$K$26,1)*IF(1+'Options and results'!$Q$21*(DF22-1)&gt;0,1+'Options and results'!$Q$21*(DF22-1),0)</f>
        <v>0</v>
      </c>
      <c r="FH22" s="894">
        <f t="shared" si="157"/>
        <v>0</v>
      </c>
      <c r="FI22" s="1027">
        <f t="shared" si="158"/>
        <v>0</v>
      </c>
      <c r="FJ22" s="1027">
        <f t="shared" si="159"/>
        <v>0</v>
      </c>
      <c r="FK22" s="1027">
        <f t="shared" si="160"/>
        <v>3</v>
      </c>
      <c r="FL22" s="1027">
        <f t="shared" si="183"/>
        <v>-3</v>
      </c>
      <c r="FM22" s="1027">
        <f>IF($DF22&lt;='Options and results'!$W$20,SUM(FI$8:$FI22),0)</f>
        <v>0</v>
      </c>
      <c r="FN22" s="1027">
        <f>IF($DF22&lt;='Options and results'!$W$20,SUM($FJ$8:FJ22),0)</f>
        <v>0</v>
      </c>
      <c r="FO22" s="1027">
        <f>IF($DF22&lt;='Options and results'!$W$20,SUM($FK$8:FK22),0)</f>
        <v>1085.0448753513026</v>
      </c>
      <c r="FP22" s="1027">
        <f>IF($DF22&lt;='Options and results'!$W$20,FM22+FN22-FO22,0)</f>
        <v>-1085.0448753513026</v>
      </c>
      <c r="FQ22" s="1027">
        <f t="shared" si="162"/>
        <v>266.90418157393111</v>
      </c>
      <c r="FR22" s="1027">
        <f t="shared" si="163"/>
        <v>263.90418157393111</v>
      </c>
      <c r="FS22" s="1027">
        <f t="shared" si="164"/>
        <v>0</v>
      </c>
      <c r="FT22" s="1189">
        <f>IF(DF22&lt;='Options and results'!$W$20,FP22+DZ22,0)</f>
        <v>-650.06936132168744</v>
      </c>
      <c r="FU22" s="401"/>
      <c r="FV22" s="895">
        <f t="shared" si="165"/>
        <v>15</v>
      </c>
      <c r="FW22" s="894">
        <f>G22/(1+'Options and results'!$W$33)^(FV22-1)</f>
        <v>913.41906617214954</v>
      </c>
      <c r="FX22" s="740">
        <f>(AP22+AR22+AS22)/(1+'Options and results'!$W$33)^(FV22-1)</f>
        <v>0</v>
      </c>
      <c r="FY22" s="740">
        <f ca="1">CQ22/(1+'Options and results'!$W$33)^(FV22-1)</f>
        <v>0</v>
      </c>
      <c r="FZ22" s="740">
        <f>(EA22+EC22+ED22)/(1+'Options and results'!$W$33)^(FV22-1)</f>
        <v>0</v>
      </c>
      <c r="GA22" s="1019">
        <f t="shared" ca="1" si="180"/>
        <v>0</v>
      </c>
      <c r="GB22" s="1026">
        <f>(AO22+AQ22)/(1+'Options and results'!$W$33)^(FV22-1)+FX22</f>
        <v>547.55132952078293</v>
      </c>
      <c r="GC22" s="1027">
        <f>IF(FV22&gt;'Options and results'!$W$27,0,GB22-GB21)</f>
        <v>129.72718709941398</v>
      </c>
      <c r="GD22" s="1027">
        <f>(DZ22+EB22)/(1+'Options and results'!$W$33)^(FV22-1)+FZ22</f>
        <v>443.64785887932447</v>
      </c>
      <c r="GE22" s="1379">
        <f>IF(FV22&gt;'Options and results'!$W$27,0,GD22-GD21)</f>
        <v>142.54982057911491</v>
      </c>
      <c r="GF22" s="894">
        <f>IF(FV22&lt;='Options and results'!$W$20,SUM(FW$8:FW22),0)</f>
        <v>18388.624692216465</v>
      </c>
      <c r="GG22" s="740">
        <f>IF(FV22&lt;='Options and results'!$W$20,SUM(FX$8:FX22), 0)</f>
        <v>0</v>
      </c>
      <c r="GH22" s="740">
        <f ca="1">IF(FV22&lt;='Options and results'!$W$20,SUM(FY$8:FY22),0)</f>
        <v>14787.259868716837</v>
      </c>
      <c r="GI22" s="740">
        <f>IF(FV22&lt;='Options and results'!$W$20,SUM(FZ$8:FZ22),0)</f>
        <v>0</v>
      </c>
      <c r="GJ22" s="1019">
        <f t="shared" ca="1" si="166"/>
        <v>14787.259868716837</v>
      </c>
      <c r="GK22" s="894">
        <f>IF(FV22&gt;'Options and results'!$W$27,0,GG22+SUM(GC$8:GC22)-FX22)</f>
        <v>547.55132952078293</v>
      </c>
      <c r="GL22" s="740">
        <f>IF(FV22&lt;='Options and results'!$W$20,SUM(GD$8:GD22),0)</f>
        <v>1387.3614603266367</v>
      </c>
      <c r="GM22" s="1034">
        <f t="shared" ca="1" si="167"/>
        <v>16174.621329043473</v>
      </c>
      <c r="GN22" s="401"/>
      <c r="GO22" s="895">
        <f t="shared" si="168"/>
        <v>15</v>
      </c>
      <c r="GP22" s="894">
        <f>H22/(1+'Options and results'!$W$33)^(GO22-1)</f>
        <v>135.8221394796887</v>
      </c>
      <c r="GQ22" s="740">
        <f>SUM(AT22:AV22)/(1+'Options and results'!$W$33)^(GO22-1)</f>
        <v>0</v>
      </c>
      <c r="GR22" s="740">
        <f>CR22/(1+'Options and results'!$W$33)^(GO22-1)</f>
        <v>0</v>
      </c>
      <c r="GS22" s="740">
        <f>SUM(EE22:EG22)/(1+'Options and results'!$W$33)^(GO22-1)</f>
        <v>0</v>
      </c>
      <c r="GT22" s="1019">
        <f t="shared" si="181"/>
        <v>0</v>
      </c>
      <c r="GU22" s="894">
        <f>IF(GO22&lt;='Options and results'!$W$20,SUM(GP$8:GP22),0)</f>
        <v>2719.6465130077786</v>
      </c>
      <c r="GV22" s="740">
        <f>IF(GO22&lt;='Options and results'!$W$20,SUM(GQ$8:GQ22),0)</f>
        <v>0</v>
      </c>
      <c r="GW22" s="740">
        <f>IF(GO22&lt;='Options and results'!$W$20,SUM(GR$8:GR22),0)</f>
        <v>0</v>
      </c>
      <c r="GX22" s="740">
        <f>IF(GO22&lt;='Options and results'!$W$20,SUM(GS$8:GS22),0)</f>
        <v>0</v>
      </c>
      <c r="GY22" s="1034">
        <f>IF(GO22&lt;='Options and results'!$W$20,SUM(GT$8:GT22),0)</f>
        <v>0</v>
      </c>
      <c r="GZ22" s="401"/>
      <c r="HA22" s="895">
        <f t="shared" si="169"/>
        <v>15</v>
      </c>
      <c r="HB22" s="1026">
        <f>(J22+L22+(M22*N22))/(1+'Options and results'!$W$33)^(HA22-1)</f>
        <v>657.06538139508098</v>
      </c>
      <c r="HC22" s="740">
        <f>BZ22/(1+'Options and results'!$W$33)^(HA22-1)</f>
        <v>1.7324252484654172</v>
      </c>
      <c r="HD22" s="1027">
        <f>(CT22+CV22+(CW22*CX22))/(1+'Options and results'!$W$33)^(HA22-1)</f>
        <v>0</v>
      </c>
      <c r="HE22" s="740">
        <f>FK22/(1+'Options and results'!$W$33)^(HA22-1)</f>
        <v>1.7324252484654172</v>
      </c>
      <c r="HF22" s="1019">
        <f t="shared" si="182"/>
        <v>1.7324252484654172</v>
      </c>
      <c r="HG22" s="894">
        <f>IF(HA22&lt;='Options and results'!$W$20,SUM(HB$8:HB22),0)</f>
        <v>14086.333930492514</v>
      </c>
      <c r="HH22" s="740">
        <f>IF(HA22&lt;='Options and results'!$W$20,SUM(HC$8:HC22),0)</f>
        <v>1385.896143817321</v>
      </c>
      <c r="HI22" s="740">
        <f>IF(HA22&lt;='Options and results'!$W$20,SUM(HD$8:HD22),0)</f>
        <v>13294.975863606456</v>
      </c>
      <c r="HJ22" s="740">
        <f>IF(HA22&lt;='Options and results'!$W$20,SUM(HE$8:HE22),0)</f>
        <v>930.27595576550937</v>
      </c>
      <c r="HK22" s="1034">
        <f>IF(HA22&lt;='Options and results'!$W$20,SUM(HF$8:HF22),0)</f>
        <v>14225.251819371966</v>
      </c>
      <c r="HL22" s="405"/>
      <c r="HM22" s="895">
        <f t="shared" si="170"/>
        <v>15</v>
      </c>
      <c r="HN22" s="1026">
        <f t="shared" si="171"/>
        <v>392.17582425675732</v>
      </c>
      <c r="HO22" s="1027">
        <f t="shared" si="172"/>
        <v>-1.7324252484654172</v>
      </c>
      <c r="HP22" s="1027">
        <f t="shared" ca="1" si="173"/>
        <v>0</v>
      </c>
      <c r="HQ22" s="1027">
        <f t="shared" si="174"/>
        <v>-1.7324252484654172</v>
      </c>
      <c r="HR22" s="1027">
        <f t="shared" si="175"/>
        <v>127.99476185094856</v>
      </c>
      <c r="HS22" s="1379">
        <f t="shared" si="176"/>
        <v>140.8173953306495</v>
      </c>
      <c r="HT22" s="1026">
        <f>IF($HM22&lt;='Options and results'!$W$20,SUM(HN$8:HN22),0)</f>
        <v>7021.9372747317248</v>
      </c>
      <c r="HU22" s="1027">
        <f>IF($HM22&lt;='Options and results'!$W$20,SUM(HO$8:HO22),0)</f>
        <v>-1385.896143817321</v>
      </c>
      <c r="HV22" s="1027">
        <f ca="1">IF($HM22&lt;='Options and results'!$W$20,SUM(HP$8:HP22),0)</f>
        <v>1492.284005110379</v>
      </c>
      <c r="HW22" s="1027">
        <f>IF($HM22&lt;='Options and results'!$W$20,SUM(HQ$8:HQ22),0)</f>
        <v>-930.27595576550937</v>
      </c>
      <c r="HX22" s="1027">
        <f t="shared" ca="1" si="177"/>
        <v>562.00804934486962</v>
      </c>
      <c r="HY22" s="1027">
        <f>IF($HM22&lt;='Options and results'!$W$20,SUM(HR$8:HR22),0)</f>
        <v>-838.34481429653817</v>
      </c>
      <c r="HZ22" s="1027">
        <f>IF($HM22&lt;='Options and results'!$W$20,SUM(HS$8:HS22),0)</f>
        <v>-486.62809688618455</v>
      </c>
      <c r="IA22" s="1189">
        <f t="shared" ca="1" si="178"/>
        <v>1005.6559082241945</v>
      </c>
    </row>
    <row r="23" spans="1:235" ht="15.75" thickBot="1" x14ac:dyDescent="0.3">
      <c r="A23" s="1010">
        <f t="shared" si="126"/>
        <v>16</v>
      </c>
      <c r="B23" s="1011" t="str">
        <f>IF('Options and results'!$C$17="None",0,CONCATENATE('Options and results'!$C$23," ",(HLOOKUP(CONCATENATE('Options and results'!$C$17," ",Arablesystem!$B$11),Arablesystem!$B$10:$ER$72,$A23+3,FALSE))))</f>
        <v>UK - Agriculture (BPS: from 2015) Oilseed</v>
      </c>
      <c r="C23" s="1012">
        <f>IF(HLOOKUP(CONCATENATE('Options and results'!$C$17," ",Arablesystem!$C$11),Arablesystem!$B$10:$ER$72,$A23+3,FALSE)="T",(VLOOKUP(B23,Arablefinance!$Z$6:$AB$105,Arablefinance!$AB$2,FALSE)*E23+VLOOKUP(B23,Arablefinance!$Z$6:$AC$105,Arablefinance!$AC$2,FALSE)*F23)/VLOOKUP(B23,Arablefinance!$Z$6:$AA$105,Arablefinance!$AA$2,FALSE),0)</f>
        <v>0</v>
      </c>
      <c r="D23" s="1012">
        <f>IF(B23=0,0,HLOOKUP(CONCATENATE('Options and results'!$C$17," ",Arablesystem!$D$11),Arablesystem!$B$10:$ER$72,$A23+3,FALSE))</f>
        <v>1</v>
      </c>
      <c r="E23" s="1440">
        <f>IF(B23=0,0,HLOOKUP(CONCATENATE('Options and results'!$C$17," ",Arablesystem!$E$11),Arablesystem!$B$10:$ER$72,$A23+3,FALSE)*IF(A23&gt;='Options and results'!$H$19,'Options and results'!$H$18,1))</f>
        <v>3.6171271045742861</v>
      </c>
      <c r="F23" s="1440">
        <f>IF(B23=0,0,HLOOKUP(CONCATENATE('Options and results'!$C$17," ",Arablesystem!$F$11),Arablesystem!$B$10:$ER$72,$A23+3,FALSE)*IF(A23&gt;='Options and results'!$H$19,'Options and results'!$H$18,1))</f>
        <v>1.8085635522871431</v>
      </c>
      <c r="G23" s="1013">
        <f>IF(D23&lt;=0,0,IF(A23&lt;='Options and results'!$W$20,IF(C23&gt;0,VLOOKUP(B23,Arablefinance!$Z$6:$AE$105,Arablefinance!$AD$2,FALSE)*C23*D23,((VLOOKUP(B23,Arablefinance!$E$6:$G$126,Arablefinance!$F$2,FALSE)*(E23*D23)+VLOOKUP(B23,Arablefinance!$E$6:$G$126,Arablefinance!$G$2,FALSE)*(F23*D23)))),0)*IF(A23&gt;='Options and results'!$H$21,'Options and results'!$H$20,1))*IF(1+'Options and results'!$O$20*(A23-1)&gt;0,1+'Options and results'!$O$20*(A23-1),0)</f>
        <v>1306.1847877629366</v>
      </c>
      <c r="H23" s="1441">
        <f>IF(D23&lt;=0,0,IF(A23&lt;='Options and results'!$W$20,IF(AND(C23&gt;0,VLOOKUP(B23,Arablefinance!$Z$6:$AI$105,Arablefinance!$AI$2,FALSE)=2),VLOOKUP(B23,Arablefinance!$Z$6:$AE$105,Arablefinance!$AE$2,FALSE)*C23*D23,(VLOOKUP(B23,Arablefinance!$E$6:$H$126,Arablefinance!$H$2,FALSE)*D23))*IF(A23&gt;='Options and results'!$H$23,'Options and results'!$H$22,1),0)*IF(AND(1+'Options and results'!$O$23*(A23-1)&gt;0,1+'Options and results'!$O$23*(A23-1)&gt;'Options and results'!$S$24),1+'Options and results'!$O$23*(A23-1),'Options and results'!$S$24))</f>
        <v>235.2</v>
      </c>
      <c r="I23" s="1441">
        <f t="shared" si="127"/>
        <v>1541.3847877629366</v>
      </c>
      <c r="J23" s="1441">
        <f>IF(D23&lt;=0,0,IF(A23&lt;='Options and results'!$W$20,IF(C23&gt;0,VLOOKUP(B23,Arablefinance!$Z$6:$AF$105,Arablefinance!$AF$2,FALSE)*C23*D23,(VLOOKUP(B23,Arablefinance!$E$6:$X$126,Arablefinance!$R$2,FALSE))*D23),0)*IF(A23&gt;='Options and results'!$H$27,'Options and results'!$H$26,1))*IF(1+'Options and results'!$O$22*(A23-1)&gt;0,1+'Options and results'!$O$22*(A23-1),0)</f>
        <v>633.88888888888891</v>
      </c>
      <c r="K23" s="1441">
        <f t="shared" si="128"/>
        <v>907.49589887404773</v>
      </c>
      <c r="L23" s="1441">
        <f>IF(D23&lt;=0,0,IF(A23&lt;='Options and results'!$W$20,IF(C23&gt;0,VLOOKUP(B23,Arablefinance!$Z$6:$AG$105,Arablefinance!$AG$2,FALSE)*C23*D23,VLOOKUP(B23,Arablefinance!$E$6:$X$126,Arablefinance!$X$2,FALSE)*D23),0)*IF(A23&gt;='Options and results'!$H$27,'Options and results'!$H$26,1))*IF(1+'Options and results'!$O$22*(A23-1)&gt;0,1+'Options and results'!$O$22*(A23-1),0)</f>
        <v>444.44444444444446</v>
      </c>
      <c r="M23" s="1442">
        <f>IF(D23&lt;=0,0,IF(A23&lt;='Options and results'!$W$20,'Options and results'!$C$27,0)*IF(A23&gt;='Options and results'!$H$27,'Options and results'!$H$26,1))*IF(1+'Options and results'!$O$21*(A23-1)&gt;0,1+'Options and results'!$O$21*(A23-1),0)</f>
        <v>14.6</v>
      </c>
      <c r="N23" s="1442">
        <f>IF(D23&lt;=0,0,IF(A23&lt;='Options and results'!$W$20,IF(C23&gt;0,VLOOKUP(B23,Arablefinance!$Z$6:$AH$105,Arablefinance!$AH$2,FALSE)*C23*D23,VLOOKUP(B23,Arablefinance!$E$6:$W$126,Arablefinance!$V$2,FALSE)*D23),0)*IF(A23&gt;='Options and results'!$H$25,'Options and results'!$H$24,1))</f>
        <v>7.4591130728145263</v>
      </c>
      <c r="O23" s="1013">
        <f t="shared" si="129"/>
        <v>1187.2363841964257</v>
      </c>
      <c r="P23" s="1353">
        <f t="shared" si="130"/>
        <v>354.14840356651121</v>
      </c>
      <c r="Q23" s="1013">
        <f>IF(A23&lt;='Options and results'!$W$20,SUM(G$8:$G23),0)</f>
        <v>25123.152912623707</v>
      </c>
      <c r="R23" s="1441">
        <f>IF($A23&lt;='Options and results'!$W$20,SUM($H$8:H23),0)</f>
        <v>3763.1999999999989</v>
      </c>
      <c r="S23" s="1441">
        <f>IF($A23&lt;='Options and results'!$W$20,SUM($O$8:O23),0)</f>
        <v>19439.514755241333</v>
      </c>
      <c r="T23" s="1032">
        <f>IF(A23&lt;='Options and results'!$W$20,Q23+R23-S23,0)</f>
        <v>9446.8381573823717</v>
      </c>
      <c r="U23" s="405"/>
      <c r="V23" s="1010">
        <f t="shared" si="131"/>
        <v>16</v>
      </c>
      <c r="W23" s="173"/>
      <c r="X23" s="1036"/>
      <c r="Y23" s="1030">
        <f>IF(V23&lt;='Options and results'!$M$34,'Options and results'!$M$33,0)</f>
        <v>0</v>
      </c>
      <c r="Z23" s="1441">
        <f t="shared" si="132"/>
        <v>0</v>
      </c>
      <c r="AA23" s="1441">
        <f t="shared" si="133"/>
        <v>0</v>
      </c>
      <c r="AB23" s="1428">
        <f t="shared" si="134"/>
        <v>156</v>
      </c>
      <c r="AC23" s="1441">
        <f>IF($W$8=0,0,IF(HLOOKUP(CONCATENATE('Options and results'!$C$32," ",Forestrysystem!$C$8),Forestrysystem!$A$7:$IH$70,V23+4,FALSE)&lt;AB23,HLOOKUP(CONCATENATE('Options and results'!$C$32," ",Forestrysystem!$C$8),Forestrysystem!$A$7:$IH$70,V23+4,FALSE),0))</f>
        <v>0</v>
      </c>
      <c r="AD23" s="1441">
        <f>IF($W$8=0,0,IF(HLOOKUP(CONCATENATE('Options and results'!$C$32," ",Forestrysystem!$C$8),Forestrysystem!$A$7:$IH$70,V23+4,FALSE)&gt;=AB23,AB23,0))</f>
        <v>0</v>
      </c>
      <c r="AE23" s="1440">
        <f>IF($W$8=0,0,HLOOKUP(CONCATENATE('Options and results'!$C$32," ",Forestrysystem!$D$8),Forestrysystem!$A$7:$IH$70,$V23+4,FALSE))</f>
        <v>17.869193831264578</v>
      </c>
      <c r="AF23" s="1037"/>
      <c r="AG23" s="1440">
        <f>IF($W$8=0,0,IF(V23=1,'Options and results'!$M$36,0)+IF('Options and results'!$M$39="yes",IF(AND(AG22+'Options and results'!$M$37&lt;=$AF$8,AG22+'Options and results'!$M$37+IF(V23=1,'Options and results'!$M$36,0)&lt;='Options and results'!$M$38*AE23),AG22+'Options and results'!$M$37,AG22),(HLOOKUP(CONCATENATE('Options and results'!$C$32," ",Forestrysystem!$E$8),Forestrysystem!$A$7:$IH$70,V23+4,FALSE))-IF(V23=1,'Options and results'!$M$36,0)))</f>
        <v>7.5</v>
      </c>
      <c r="AH23" s="1442">
        <f>IF(OR($W$8=0,AB23&lt;=0),0,(HLOOKUP(CONCATENATE('Options and results'!$C$32," ",Forestrysystem!$F$8),Forestrysystem!$A$7:$IH$70,$V23+4,FALSE)) * IF(V23&gt;='Options and results'!$I$19,'Options and results'!$I$18,1) )</f>
        <v>51.905996768575733</v>
      </c>
      <c r="AI23" s="1452">
        <f t="shared" si="179"/>
        <v>0.33273074851651113</v>
      </c>
      <c r="AJ23" s="1442">
        <f t="shared" si="135"/>
        <v>0</v>
      </c>
      <c r="AK23" s="1453">
        <f>IF(OR($W$8=0,AE23&lt;=0),0,(HLOOKUP(CONCATENATE('Options and results'!$C$32," ",Forestrysystem!$G$8),Forestrysystem!$A$7:$IH$70,$V23+4,FALSE)) * IF(Y23&gt;='Options and results'!$I$19,'Options and results'!$I$18,1) )</f>
        <v>22.887818551366845</v>
      </c>
      <c r="AL23" s="1453">
        <f>IF($W$8=0,0,HLOOKUP(CONCATENATE('Options and results'!$C$32," ",Forestrysystem!$H$8),Forestrysystem!$A$7:$IH$70,$V23+4,FALSE)*IF(V23&gt;='Options and results'!$I$19,'Options and results'!$I$18,1))</f>
        <v>0</v>
      </c>
      <c r="AM23" s="1383">
        <f>IF($W$8=0,0,HLOOKUP(CONCATENATE('Options and results'!$C$32," ",Forestrysystem!$I$8),Forestrysystem!$A$7:$IH$70,$V23+4,FALSE)*IF(V23&gt;='Options and results'!$I$19,'Options and results'!$I$18,1))</f>
        <v>0</v>
      </c>
      <c r="AN23" s="1382">
        <f>IF(AI23&gt;0,HLOOKUP(AI23,Treevalue!$I$4:$BC$34,'Options and results'!$C$39+1),0)*IF(V23&gt;='Options and results'!$I$21,'Options and results'!$I$20,1)*IF(1+'Options and results'!$Q$20*(V23-1)&gt;0,1+'Options and results'!$Q$20*(V23-1),0)</f>
        <v>14.387445484417775</v>
      </c>
      <c r="AO23" s="1454">
        <f t="shared" si="136"/>
        <v>746.79469882224851</v>
      </c>
      <c r="AP23" s="1454">
        <f t="shared" si="137"/>
        <v>0</v>
      </c>
      <c r="AQ23" s="1454">
        <f>(IF('Options and results'!$C$39&gt;0,IF(V23&lt;='Options and results'!$W$20,VLOOKUP('Options and results'!$C$39,Treevalue!$A$4:$F$34,5,FALSE),0),0)*AK23)*IF(V23&gt;='Options and results'!$I$21,'Options and results'!$I$20,1)*IF(1+'Options and results'!$Q$20*(V23-1)&gt;0,1+'Options and results'!$Q$20*(V23-1),0)-AR23</f>
        <v>572.19546378417112</v>
      </c>
      <c r="AR23" s="1441">
        <f>(IF('Options and results'!$C$39&gt;0,IF(V23&lt;='Options and results'!$W$20,VLOOKUP('Options and results'!$C$39,Treevalue!$A$4:$F$34,5,FALSE),0),0)*AL23)*IF(V23&gt;='Options and results'!$I$21,'Options and results'!$I$20,1)*IF(1+'Options and results'!$Q$20*(V23-1)&gt;0,1+'Options and results'!$Q$20*(V23-1),0)</f>
        <v>0</v>
      </c>
      <c r="AS23" s="1441">
        <f>(IF('Options and results'!$C$39&gt;0,IF(V23&lt;='Options and results'!$W$20,VLOOKUP('Options and results'!$C$39,Treevalue!$A$4:$F$34,6,FALSE),0),0)*AM23)*IF(V23&gt;='Options and results'!$I$21,'Options and results'!$I$20,1)*IF(1+'Options and results'!$Q$20*(V23-1)&gt;0,1+'Options and results'!$Q$20*(V23-1),0)</f>
        <v>0</v>
      </c>
      <c r="AT23" s="1441">
        <f>IF(V23&lt;='Options and results'!$W$20,(IF(AB23&lt;=0,0,IF('Options and results'!$C$43="cost",(IF(V23&lt;='Options and results'!$C$44,BZ23*SUM('Options and results'!$C$45:$C$46),0)),IF('Options and results'!$C$41&gt;0,(IF(VLOOKUP('Options and results'!$C$42,Treegrant!$B$6:$L$42,Treegrant!$C$2,FALSE)=V23,VLOOKUP('Options and results'!$C$42,Treegrant!$B$6:$L$42,Treegrant!$D$2,FALSE),0)+IF(VLOOKUP('Options and results'!$C$42,Treegrant!$B$6:$L$42,Treegrant!$E$2,FALSE)=V23,VLOOKUP('Options and results'!$C$42,Treegrant!$B$6:$L$42,Treegrant!$F$2,FALSE),0)+IF(VLOOKUP('Options and results'!$C$42,Treegrant!$B$6:$L$42,Treegrant!$G$2,FALSE)=V23,VLOOKUP('Options and results'!$C$42,Treegrant!$B$6:$L$42,Treegrant!$H$2,FALSE)))*IF('Options and results'!$C$43="area",1,'Options and results'!$C$43),0)))*IF(V23&gt;='Options and results'!$I$23,'Options and results'!$I$22,1)),0)*IF(1+'Options and results'!$Q$23*(V23-1)&gt;0,1+'Options and results'!$Q$23*(V23-1),0)</f>
        <v>0</v>
      </c>
      <c r="AU23" s="1441">
        <f>IF($W$8=0,0,IF(V23&lt;='Options and results'!$W$20,IF(AB23&lt;=0,0,IF('Options and results'!$C$41&gt;0,IF(AND(VLOOKUP('Options and results'!$C$42,Treegrant!$B$6:$L$42,Treegrant!$J$2,FALSE)&lt;=V23,VLOOKUP('Options and results'!$C$42,Treegrant!$B$6:$L$42,Treegrant!$K$2,FALSE)&gt;=V23),(VLOOKUP('Options and results'!$C$42,Treegrant!$B$6:$L$42,Treegrant!$L$2,FALSE)),0)*IF('Options and results'!$C$47="full",1,'Options and results'!$C$47))*IF(V23&gt;='Options and results'!$I$23,'Options and results'!$I$22,1)),0))*IF(1+'Options and results'!$Q$23*(V23-1)&gt;0,1+'Options and results'!$Q$23*(V23-1),0)</f>
        <v>0</v>
      </c>
      <c r="AV23" s="1032">
        <f>IF($W$8=0,0,IF(V23&lt;='Options and results'!$W$20,IF(AB23&lt;=0,0,(IF('Options and results'!$C$41&gt;0,(IF(AND(VLOOKUP('Options and results'!$C$42,Treegrant!$B$6:$O$42,Treegrant!$M$2,FALSE)&lt;=V23,VLOOKUP('Options and results'!$C$42,Treegrant!$B$6:$O$42,Treegrant!$N$2,FALSE)&gt;=V23),(VLOOKUP('Options and results'!$C$42,Treegrant!$B$6:$O$42,Treegrant!$O$2,FALSE)),0)*IF('Options and results'!$C$48="full",1,'Options and results'!$C$48))+(IF(AND(VLOOKUP('Options and results'!$C$42,Treegrant!$B$6:$R$42,Treegrant!$P$2,FALSE)&lt;=V23,VLOOKUP('Options and results'!$C$42,Treegrant!$B$6:$R$42,Treegrant!$Q$2,FALSE)&gt;=V23),(VLOOKUP('Options and results'!$C$42,Treegrant!$B$6:$R$42,Treegrant!$R$2,FALSE)),0))*IF('Options and results'!$C$49="full",1,'Options and results'!$C$49)))*IF(V23&gt;='Options and results'!$I$23,'Options and results'!$I$22,1)),0))*IF(1+'Options and results'!$Q$23*(V23-1)&gt;0,1+'Options and results'!$Q$23*(V23-1),0)</f>
        <v>0</v>
      </c>
      <c r="AW23" s="1039" t="s">
        <v>310</v>
      </c>
      <c r="AX23" s="1040">
        <f>'Options and results'!S49</f>
        <v>14.6</v>
      </c>
      <c r="AY23" s="1419">
        <f>IF($W$8=0,0,IF(V23=1,VLOOKUP($W$8,Treecost!$B$6:$AH$49,Treecost!$E$2,FALSE),0)*IF(V23&gt;='Options and results'!$I$25,'Options and results'!$I$24,1))</f>
        <v>0</v>
      </c>
      <c r="AZ23" s="889">
        <f>IF($W$8=0,0,IF(V23=1,VLOOKUP($W$8,Treecost!$B$6:$AH$49,Treecost!$F$2,FALSE),0)*IF(V23&gt;='Options and results'!$I$25,'Options and results'!$I$24,1))</f>
        <v>0</v>
      </c>
      <c r="BA23" s="889">
        <f>IF($W$8=0,0,IF(V23=1,VLOOKUP($W$8,Treecost!$B$6:$AH$49,Treecost!$G$2,FALSE),0)*IF(V23&gt;='Options and results'!$I$25,'Options and results'!$I$24,1))</f>
        <v>0</v>
      </c>
      <c r="BB23" s="889">
        <f>IF($W$8=0,0,IF(V23&lt;='Options and results'!$W$20,((VLOOKUP($W$8,Treecost!$B$6:$AH$49,Treecost!$H$2,FALSE)*(X23+AA23))/60)*IF(V23&gt;='Options and results'!$I$25,'Options and results'!$I$24,1),0))</f>
        <v>0</v>
      </c>
      <c r="BC23" s="889">
        <f>IF($W$8=0,0,IF(V23&lt;='Options and results'!$W$20,(((VLOOKUP($W$8,Treecost!$B$6:$AH$49,Treecost!$I$2,FALSE))*(X23+AA23))/60)*IF(V23&gt;='Options and results'!$I$25,'Options and results'!$I$24,1),0))</f>
        <v>0</v>
      </c>
      <c r="BD23" s="889">
        <f>IF($W$8=0,0,IF(V23&lt;='Options and results'!$W$20,(((VLOOKUP($W$8,Treecost!$B$6:$AH$49,Treecost!$J$2,FALSE))/60)*(X23+AA23))*IF(V23&gt;='Options and results'!$I$25,'Options and results'!$I$24,1),0))</f>
        <v>0</v>
      </c>
      <c r="BE23" s="1019">
        <f>IF($W$8=0,0,IF(V23&lt;='Options and results'!$W$20,(((VLOOKUP($W$8,Treecost!$B$6:$AH$49,Treecost!$C$2,FALSE)+VLOOKUP($W$8,Treecost!$B$6:$AH$49,Treecost!$D$2,FALSE))*(X23+AA23)*IF(1+'Options and results'!$Q$22*(V23-1)&gt;0,1+'Options and results'!$Q$22*(V23-1),0))+((AY23*$AX$8+AZ23*$AX$9+BA23*$AX$10+BB23*$AX$11+BC23*$AX$12+BD23*$AX$13)*IF(1+'Options and results'!$Q$21*(V23-1)&gt;0,1+'Options and results'!$Q$21*(V23-1),0)))*IF(V23&gt;='Options and results'!$I$27,'Options and results'!$I$26,1),0))</f>
        <v>0</v>
      </c>
      <c r="BF23" s="889">
        <f>IF($W$8=0,0,IF(V23&lt;='Options and results'!$W$20,IF(AND(VLOOKUP($W$8,Treecost!$B$6:$AH$49,Treecost!$K$2,FALSE)&lt;=V23,V23&lt;=(VLOOKUP($W$8,Treecost!$B$6:$AH$49,Treecost!$L$2,FALSE))),VLOOKUP($W$8,Treecost!$B$6:$AH$49,Treecost!$M$2,FALSE)*AB23/60,0)*IF(V23&gt;='Options and results'!$I$25,'Options and results'!$I$24,1),0))</f>
        <v>0</v>
      </c>
      <c r="BG23" s="1019">
        <f>IF(BF23&gt;0,(VLOOKUP($W$8,Treecost!$B$6:$AH$49,Treecost!$N$2,FALSE)*AB23*IF(1+'Options and results'!$Q$22*(V23-1)&gt;0,1+'Options and results'!$Q$22*(V23-1),0)+BF23*$AX$14*IF(1+'Options and results'!$Q$21*(V23-1)&gt;0,1+'Options and results'!$Q$21*(V23-1),0)),0)*IF(V23&gt;='Options and results'!$I$27,'Options and results'!$I$26,1)</f>
        <v>0</v>
      </c>
      <c r="BH23" s="889">
        <f>IF(V23&lt;='Options and results'!$W$20,IF(AND(AG23-AG22&gt;0,AG23&gt;'Options and results'!$M$36),(AB23-AC23)*(VLOOKUP($W$8,Treecost!$B$6:$AH$49,Treecost!$Y$2,FALSE)+(VLOOKUP($W$8,Treecost!$B$6:$AH$49,Treecost!$AA$2,FALSE)-VLOOKUP($W$8,Treecost!$B$6:$AH$49,Treecost!$Y$2,FALSE))/(VLOOKUP($W$8,Treecost!$B$6:$AH$49,Treecost!$Z$2,FALSE)-VLOOKUP($W$8,Treecost!$B$6:$AH$49,Treecost!$X$2,FALSE))*(AG23-VLOOKUP($W$8,Treecost!$B$6:$AH$49,Treecost!$X$2,FALSE)))/60,0)*IF(V23&gt;='Options and results'!$I$25,'Options and results'!$I$24,1),0)</f>
        <v>0</v>
      </c>
      <c r="BI23" s="303">
        <f>IF(V23&lt;='Options and results'!$W$20,IF(BH23&gt;0,VLOOKUP($W$8,Treecost!$B$6:$AH$49,Treecost!$AB$2,FALSE)/60*AB23,0)*IF(V23&gt;='Options and results'!$I$25,'Options and results'!$I$24,1),0)*((BH23-(MIN($BH$8:$BH$67)))/((MAX($BH$8:$BH$67))-(MIN($BH$8:$BH$67))))</f>
        <v>0</v>
      </c>
      <c r="BJ23" s="740">
        <f>IF(BH23&gt;0,(BH23*$AX$15+BI23*$AX$19)*IF(1+'Options and results'!$Q$21*(V23-1)&gt;0,1+'Options and results'!$Q$21*(V23-1),0),0)*IF(V23&gt;='Options and results'!$I$27,'Options and results'!$I$26,1)</f>
        <v>0</v>
      </c>
      <c r="BK23" s="891">
        <f>IF($W$8=0,0,IF(V23&lt;='Options and results'!$W$20,IF(VLOOKUP($W$8,Treecost!$B$2:$AH$49,Treecost!$O$2,FALSE)=V23,VLOOKUP($W$8,Treecost!$B$2:$AH$49,Treecost!$P$2,FALSE),0)*IF(V23&gt;='Options and results'!$I$25,'Options and results'!$I$24,1),0))</f>
        <v>0</v>
      </c>
      <c r="BL23" s="889">
        <f>IF($W$8=0,0,IF(V23&lt;='Options and results'!$W$20,IF(AND(V23&gt;VLOOKUP($W$8,Treecost!$B$2:$AH$49,Treecost!$O$2,FALSE),V23&lt;=VLOOKUP($W$8,Treecost!$B$2:$AH$49,Treecost!$R$2,FALSE)),VLOOKUP($W$8,Treecost!$B$2:$AH$49,Treecost!$S$2,FALSE),0)*IF(V23&gt;='Options and results'!$I$25,'Options and results'!$I$24,1),0))</f>
        <v>0</v>
      </c>
      <c r="BM23" s="740">
        <f>IF($W$8=0,0,IF(V23&lt;='Options and results'!$W$20,((IF(VLOOKUP($W$8,Treecost!$B$2:$AH$49,Treecost!$O$2,FALSE)=V23,VLOOKUP($W$8,Treecost!$B$2:$AH$49,Treecost!$Q$2,FALSE),0)+IF(AND(V23&gt;VLOOKUP($W$8,Treecost!$B$2:$AH$49,Treecost!$O$2,FALSE),V23&lt;=VLOOKUP($W$8,Treecost!$B$2:$AH$49,Treecost!$R$2,FALSE)),VLOOKUP($W$8,Treecost!$B$2:$AH$49,Treecost!$T$2,FALSE),0)*IF(1+'Options and results'!$Q$22*(V23-1)&gt;0,1+'Options and results'!$Q$22*(V23-1),0))+(BK23*$AX$16+BL23*$AX$17)*IF(1+'Options and results'!$Q$21*(V23-1)&gt;0,1+'Options and results'!$Q$21*(V23-1),0))*IF(V23&gt;='Options and results'!$I$27,'Options and results'!$I$26,1),0))</f>
        <v>0</v>
      </c>
      <c r="BN23" s="894">
        <f>IF($W$8=0,0,IF(V23&lt;='Options and results'!$W$20,IF(AND(V23&gt;=VLOOKUP($W$8,Treecost!$B$2:$W$49,Treecost!$U$2,FALSE),V23&lt;=VLOOKUP($W$8,Treecost!$B$2:$W$49,Treecost!$V$2,FALSE)),(AB23*VLOOKUP($W$8,Treecost!$B$2:$W$49,Treecost!$W$2,FALSE)/60),0)*IF(V23&gt;='Options and results'!$I$25,'Options and results'!$I$24,1),0))</f>
        <v>0</v>
      </c>
      <c r="BO23" s="740">
        <f>BN23*$AX$18*IF(V23&gt;='Options and results'!$I$27,'Options and results'!$I$26,1)*IF(1+'Options and results'!$Q$21*(V23-1)&gt;0,1+'Options and results'!$Q$21*(V23-1),0)</f>
        <v>0</v>
      </c>
      <c r="BP23" s="894">
        <f>IF(V23&lt;='Options and results'!$W$20,IF(AB23&lt;=0,0,VLOOKUP($W$8,Treecost!$B$6:$AH$49,Treecost!$AC$2,FALSE)+VLOOKUP($W$8,Treecost!$B$6:$AH$49,Treecost!$AD$2,FALSE)+IF(AND(V23&gt;=VLOOKUP($W$8,Treecost!$B$2:$AK$49,Treecost!$AI$2,FALSE),V23&lt;=VLOOKUP($W$8,Treecost!$B$2:$AK$49,Treecost!$AJ$2,FALSE)),(VLOOKUP($W$8,Treecost!$B$2:$AK$49,Treecost!$AK$2,FALSE)),0))*IF(V23&gt;='Options and results'!$I$27,'Options and results'!$I$26,1),0)*IF(1+'Options and results'!$Q$22*(V23-1)&gt;0,1+'Options and results'!$Q$22*(V23-1),0)</f>
        <v>3</v>
      </c>
      <c r="BQ23" s="894">
        <f>IF(V23&lt;='Options and results'!$W$20,IF(AC23&gt;0,VLOOKUP($W$8,Treecost!$B$6:$AH$49,Treecost!$AE$2,FALSE)/60*AC23,0)*IF(V23&gt;='Options and results'!$I$25,'Options and results'!$I$24,1),0)</f>
        <v>0</v>
      </c>
      <c r="BR23" s="740">
        <f>IF(V23&lt;='Options and results'!$W$20,IF(AC23&gt;0,VLOOKUP($W$8,Treecost!$B$6:$AH$49,Treecost!$AF$2,FALSE)/60*AC23,0)*IF(V23&gt;='Options and results'!$I$25,'Options and results'!$I$24,1),0)</f>
        <v>0</v>
      </c>
      <c r="BS23" s="740">
        <f>(BQ23*$AX$20+BR23*$AX$21)*IF(V23&gt;='Options and results'!$I$27,'Options and results'!$I$26,1)*IF(1+'Options and results'!$Q$21*(V23-1)&gt;0,1+'Options and results'!$Q$21*(V23-1),0)</f>
        <v>0</v>
      </c>
      <c r="BT23" s="894">
        <f>IF(V23&lt;='Options and results'!$W$20,IF(AD23&gt;0,(VLOOKUP($W$8,Treecost!$B$6:$AH$49,Treecost!$AG$2,FALSE)/60*AD23)*IF(V23&gt;='Options and results'!$I$25,'Options and results'!$I$24,1),0),0)</f>
        <v>0</v>
      </c>
      <c r="BU23" s="740">
        <f>IF(V23&lt;='Options and results'!$W$20,IF(AD23&gt;0,(VLOOKUP($W$8,Treecost!$B$6:$AH$49,Treecost!$AH$2,FALSE)/60*AD23)*IF(V23&gt;='Options and results'!$I$25,'Options and results'!$I$24,1),0),0)</f>
        <v>0</v>
      </c>
      <c r="BV23" s="740">
        <f>(BT23*$AX$22+BU23*$AX$23)*IF(V23&gt;='Options and results'!$I$27,'Options and results'!$I$26,1)*IF(1+'Options and results'!$Q$21*(V23-1)&gt;0,1+'Options and results'!$Q$21*(V23-1),0)</f>
        <v>0</v>
      </c>
      <c r="BW23" s="1033">
        <f t="shared" si="138"/>
        <v>0</v>
      </c>
      <c r="BX23" s="1027">
        <f t="shared" si="139"/>
        <v>0</v>
      </c>
      <c r="BY23" s="1027">
        <f t="shared" si="140"/>
        <v>0</v>
      </c>
      <c r="BZ23" s="740">
        <f t="shared" si="124"/>
        <v>3</v>
      </c>
      <c r="CA23" s="740">
        <f t="shared" si="141"/>
        <v>-3</v>
      </c>
      <c r="CB23" s="894">
        <f>IF($V23&lt;='Options and results'!$W$20,SUM(BX$8:$BX23),0)</f>
        <v>0</v>
      </c>
      <c r="CC23" s="740">
        <f>IF($V23&lt;='Options and results'!$W$20,SUM($BY$8:BY23),0)</f>
        <v>0</v>
      </c>
      <c r="CD23" s="740">
        <f>IF($V23&lt;='Options and results'!$W$20,SUM($BZ$8:BZ23),0)</f>
        <v>1616.7443691843955</v>
      </c>
      <c r="CE23" s="740">
        <f>IF(V23&lt;='Options and results'!$W$20,CB23+CC23-CD23,0)</f>
        <v>-1616.7443691843955</v>
      </c>
      <c r="CF23" s="1381">
        <f t="shared" si="142"/>
        <v>370.80842142167756</v>
      </c>
      <c r="CG23" s="1027">
        <f t="shared" si="143"/>
        <v>367.80842142167756</v>
      </c>
      <c r="CH23" s="1027">
        <f t="shared" si="144"/>
        <v>0</v>
      </c>
      <c r="CI23" s="1189">
        <f>IF(V23&lt;='Options and results'!$W$20,CE23+AO23,0)</f>
        <v>-869.949670362147</v>
      </c>
      <c r="CJ23" s="1023"/>
      <c r="CK23" s="895">
        <f t="shared" si="145"/>
        <v>16</v>
      </c>
      <c r="CL23" s="1011" t="str">
        <f>IF('Options and results'!$C$54="None",0,IF(AND(CK23&gt;='Options and results'!$K$57,CK22&lt;'Options and results'!$W$20),'Options and results'!$K$56,IF(Optimisation!$B$3="No",CONCATENATE('Options and results'!$C$60," ",(HLOOKUP(CONCATENATE('Options and results'!$C$54," ",Agroforestrysystem!$B$12),Agroforestrysystem!$B$11:$IM$74,$CK23+4,FALSE))),Optimisation!AA43)))</f>
        <v>UK - Agriculture (BPS: from 2015) Agroforestry fallow</v>
      </c>
      <c r="CM23" s="1012">
        <f>IF(HLOOKUP(CONCATENATE('Options and results'!$C$54," ",Agroforestrysystem!$C$12),Agroforestrysystem!$B$11:$IM$74,$CK23+4,FALSE)="T",(VLOOKUP(CL23,Arablefinance!$Z$6:$AB$105,Arablefinance!$AB$2,FALSE)*CO23+VLOOKUP(CL23,Arablefinance!$Z$6:$AC$105,Arablefinance!$AC$2,FALSE)*CP23)/VLOOKUP(CL23,Arablefinance!$Z$6:$AA$105,Arablefinance!$AA$2,FALSE),0)</f>
        <v>0</v>
      </c>
      <c r="CN23" s="1012">
        <f>IF(CL23=0,0,HLOOKUP(CONCATENATE('Options and results'!$C$54," ",Agroforestrysystem!$D$12),Agroforestrysystem!$B$11:$IM$74,$CK23+4,FALSE))</f>
        <v>0.99</v>
      </c>
      <c r="CO23" s="1440">
        <f ca="1">IF(CL23=0,0,IF(AND(Optimisation!$B$3="yes",Optimisation!$B$4=1,CK23&gt;Optimisation!$B$9),0,HLOOKUP(CONCATENATE('Options and results'!$C$54," ",Agroforestrysystem!$E$12),Agroforestrysystem!$B$11:$IM$74,$CK23+4,FALSE)*IF(CK23&gt;='Options and results'!$J$19,'Options and results'!$J$18,1)))</f>
        <v>0</v>
      </c>
      <c r="CP23" s="1440">
        <f ca="1">IF(CL23=0,0,IF(AND(Optimisation!$B$3="yes",Optimisation!$B$4=1,CK23&gt;Optimisation!$B$9),0,HLOOKUP(CONCATENATE('Options and results'!$C$54," ",Agroforestrysystem!$F$12),Agroforestrysystem!$B$11:$IM$74,$CK23+4,FALSE)*IF(CK23&gt;='Options and results'!$J$19,'Options and results'!$J$18,1)))</f>
        <v>0</v>
      </c>
      <c r="CQ23" s="1013">
        <f ca="1">IF(CN23&lt;=0,0,IF(CK23&lt;='Options and results'!$W$20,IF(CM23&gt;0,VLOOKUP(CL23,Arablefinance!$Z$6:$AE$105,Arablefinance!$AD$2,FALSE)*CM23*CN23,((VLOOKUP(CL23,Arablefinance!$E$6:$H$126,2,FALSE)*CO23+VLOOKUP(CL23,Arablefinance!$E$6:$H$126,3,FALSE)*CP23)*CN23)),0)*IF(CK23&gt;='Options and results'!$J$21,'Options and results'!$J$20,1))*IF(1+'Options and results'!$O$20*(CK23-1)&gt;0,1+'Options and results'!$O$20*(CK23-1),0)</f>
        <v>0</v>
      </c>
      <c r="CR23" s="1441">
        <f>IF(CN23&lt;=0,0,IF(AND(CM23&gt;0,VLOOKUP(CL23,Arablefinance!$Z$6:$AI$105,Arablefinance!$AI$2,FALSE)=2),VLOOKUP(CL23,Arablefinance!$Z$6:$AE$105,Arablefinance!$AE$2,FALSE)*CM23*CN23,IF('Options and results'!$C$62&gt;0,IF(VLOOKUP(CL23,Arablefinance!$E$6:$W$126,Arablefinance!$H$2,FALSE)*(1-Plot!DM23*'Options and results'!$C$62)&gt;0,VLOOKUP(CL23,Arablefinance!$E$6:$W$126,Arablefinance!$H$2,FALSE)*(1-Plot!DM23*'Options and results'!$C$62),0),IF(CK23&lt;='Options and results'!$W$20,(VLOOKUP(CL23,Arablefinance!$E$6:$W$126,Arablefinance!$H$2,FALSE)*IF('Options and results'!$C$61="area",CN23,'Options and results'!$C$61)),0)))*IF(CK23&gt;='Options and results'!$J$23,'Options and results'!$J$22,1))*IF(AND(1+'Options and results'!$O$23*(CK23-1)&gt;0,1+'Options and results'!$O$23*(CK23-1)&gt;'Options and results'!$S$24),1+'Options and results'!$O$23*(CK23-1),'Options and results'!$S$24)</f>
        <v>0</v>
      </c>
      <c r="CS23" s="1441">
        <f t="shared" ca="1" si="146"/>
        <v>0</v>
      </c>
      <c r="CT23" s="1441">
        <f>IF(CN23&lt;=0,0,IF(CK23&lt;='Options and results'!$W$20,IF(CM23&gt;0,VLOOKUP(CL23,Arablefinance!$Z$6:$AF$105,Arablefinance!$AF$2,FALSE)*CM23*CN23,VLOOKUP(CL23,Arablefinance!$E$6:$X$126,Arablefinance!$R$2,FALSE)*CN23),0)*IF(CK23&gt;='Options and results'!$J$27,'Options and results'!$J$26,1))*IF(1+'Options and results'!$O$22*(CK23-1)&gt;0,1+'Options and results'!$O$22*(CK23-1),0)</f>
        <v>0</v>
      </c>
      <c r="CU23" s="1441">
        <f t="shared" ca="1" si="147"/>
        <v>0</v>
      </c>
      <c r="CV23" s="1441">
        <f>IF(CN23&lt;=0,0,IF(CK23&lt;='Options and results'!$W$20,IF(CM23&gt;0,VLOOKUP(CL23,Arablefinance!$Z$6:$AG$105,Arablefinance!$AG$2,FALSE)*CM23*CN23,VLOOKUP(CL23,Arablefinance!$E$6:$X$126,Arablefinance!$X$2,FALSE)*CN23),0)*IF(CK23&gt;='Options and results'!$J$27,'Options and results'!$J$26,1))*IF(1+'Options and results'!$O$22*(CK23-1)&gt;0,1+'Options and results'!$O$22*(CK23-1),0)</f>
        <v>0</v>
      </c>
      <c r="CW23" s="1442">
        <f>IF(CN23&lt;=0,0,IF(CK23&lt;='Options and results'!$W$20,'Options and results'!$C$27*IF(CK23&gt;='Options and results'!$J$27,'Options and results'!$J$26,1),0))*IF(1+'Options and results'!$O$21*(CK23-1)&gt;0,1+'Options and results'!$O$21*(CK23-1),0)</f>
        <v>14.6</v>
      </c>
      <c r="CX23" s="1442">
        <f>IF(CN23&lt;=0,0,IF(CK23&lt;='Options and results'!$W$20,IF(CM23&gt;0,VLOOKUP(CL23,Arablefinance!$Z$6:$AH$105,Arablefinance!$AH$2,FALSE)*CM23*CN23,VLOOKUP(CL23,Arablefinance!$E$6:$W$126,Arablefinance!$V$2,FALSE)*CN23),0)*IF(CK23&gt;='Options and results'!$J$25,'Options and results'!$J$24,1))</f>
        <v>0</v>
      </c>
      <c r="CY23" s="1013">
        <f t="shared" si="148"/>
        <v>0</v>
      </c>
      <c r="CZ23" s="1353">
        <f t="shared" ca="1" si="149"/>
        <v>0</v>
      </c>
      <c r="DA23" s="1013">
        <f ca="1">IF($CK23&lt;='Options and results'!$W$20,SUM($CQ$8:CQ23),0)</f>
        <v>18417.950100000002</v>
      </c>
      <c r="DB23" s="1441">
        <f>IF($CK23&lt;='Options and results'!$W$20,SUM($CR$8:CR23),0)</f>
        <v>0</v>
      </c>
      <c r="DC23" s="1441">
        <f>IF($CK23&lt;='Options and results'!$W$20,SUM($CY$8:CY23),0)</f>
        <v>16943.30918829242</v>
      </c>
      <c r="DD23" s="1189">
        <f ca="1">IF(CK23&lt;='Options and results'!$W$20,DA23+DB23-DC23,0)</f>
        <v>1474.6409117075818</v>
      </c>
      <c r="DE23" s="401"/>
      <c r="DF23" s="895">
        <f t="shared" si="150"/>
        <v>16</v>
      </c>
      <c r="DG23" s="173"/>
      <c r="DH23" s="1422"/>
      <c r="DI23" s="1427">
        <f>IF(DF23&lt;='Options and results'!$M$61,'Options and results'!$M$60,0)</f>
        <v>0</v>
      </c>
      <c r="DJ23" s="740">
        <f t="shared" si="151"/>
        <v>0</v>
      </c>
      <c r="DK23" s="740">
        <f t="shared" si="152"/>
        <v>0</v>
      </c>
      <c r="DL23" s="1428">
        <f t="shared" si="153"/>
        <v>100</v>
      </c>
      <c r="DM23" s="1429">
        <f>IF($DG$8=0,0,HLOOKUP(CONCATENATE('Options and results'!$C$54," ",Agroforestrysystem!$J$12),Agroforestrysystem!$11:$74,DF23+3,FALSE))/100</f>
        <v>1</v>
      </c>
      <c r="DN23" s="740">
        <f>IF($DG$8=0,0,IF(HLOOKUP(CONCATENATE('Options and results'!$C$54," ",Agroforestrysystem!$H$12),Agroforestrysystem!$11:$74,DF23+4,FALSE)&lt;DL23,HLOOKUP(CONCATENATE('Options and results'!$C$54," ",Agroforestrysystem!$H$12),Agroforestrysystem!$11:$74,DF23+4,FALSE),0))</f>
        <v>0</v>
      </c>
      <c r="DO23" s="1027">
        <f>IF($DG$8=0,0,IF(HLOOKUP(CONCATENATE('Options and results'!$C$54," ",Agroforestrysystem!$H$12),Agroforestrysystem!$11:$74,DF23+4,FALSE)&gt;=DL23,DL23,0))</f>
        <v>0</v>
      </c>
      <c r="DP23" s="1430">
        <f>IF($DG$8=0,0,HLOOKUP(CONCATENATE('Options and results'!$C$54," ",Agroforestrysystem!$I$12),Agroforestrysystem!$11:$74,DF23+4,FALSE))</f>
        <v>19.09945159140986</v>
      </c>
      <c r="DQ23" s="1038"/>
      <c r="DR23" s="1390">
        <f>IF($DG$8=0,0,IF(DF23&gt;'Options and results'!$W$20,0,)+IF(DF23=1,'Options and results'!$M$64)+IF('Options and results'!$M$67="yes",IF(AND(DR22+'Options and results'!$M$65&lt;=$DQ$8,DR22+'Options and results'!$M$65+IF(DF23=1,'Options and results'!$M$64,0)&lt;='Options and results'!$M$66*DP23),DR22+'Options and results'!$M$65,DR22),(HLOOKUP(CONCATENATE('Options and results'!$C$54," ",Agroforestrysystem!$K$12),Agroforestrysystem!$11:$74,DF23+4,FALSE)-IF(DF23=1,'Options and results'!$M$64))))</f>
        <v>7.5</v>
      </c>
      <c r="DS23" s="1027">
        <f>IF(OR($DG$8=0,DL23=0),0,HLOOKUP(CONCATENATE('Options and results'!$C$54," ",Agroforestrysystem!$L$12),Agroforestrysystem!$11:$74,DF23+4,FALSE)*IF(DF23&gt;='Options and results'!$K$19,'Options and results'!$K$18,1))</f>
        <v>40.629431907125252</v>
      </c>
      <c r="DT23" s="1431">
        <f t="shared" si="154"/>
        <v>0.40629431907125252</v>
      </c>
      <c r="DU23" s="889">
        <f t="shared" si="155"/>
        <v>0</v>
      </c>
      <c r="DV23" s="1027">
        <f>IF($DG$8=0,0,(HLOOKUP(CONCATENATE('Options and results'!$C$54," ",Agroforestrysystem!$M$12),Agroforestrysystem!$11:$74,DF23+4,FALSE))*IF(DF23&gt;='Options and results'!$K$19,'Options and results'!$K$18,1))-DW23</f>
        <v>17.915445675409455</v>
      </c>
      <c r="DW23" s="303">
        <f>IF($DG$8=0,0,(HLOOKUP(CONCATENATE('Options and results'!$C$54," ",Agroforestrysystem!$N$12),Agroforestrysystem!$11:$74,DF23+4,FALSE))*IF(DF23&gt;='Options and results'!$K$19,'Options and results'!$K$18,1))</f>
        <v>0</v>
      </c>
      <c r="DX23" s="303">
        <f>IF($DG$8=0,0,HLOOKUP(CONCATENATE('Options and results'!$C$54," ",Agroforestrysystem!$O$12),Agroforestrysystem!$11:$74,DF23+4,FALSE)*IF(DF23&gt;='Options and results'!$K$19,'Options and results'!$K$18,1))</f>
        <v>0</v>
      </c>
      <c r="DY23" s="1192">
        <f>IF(DT23&gt;0,HLOOKUP(DT23,Treevalue!$I$4:$BC$34,'Options and results'!$C$66+1),0)*IF(DF23&gt;='Options and results'!$K$21,'Options and results'!$K$20,1)*IF(1+'Options and results'!$Q$20*(DF23-1)&gt;0,1+'Options and results'!$Q$20*(DF23-1),0)</f>
        <v>16.279174727217832</v>
      </c>
      <c r="DZ23" s="1027">
        <f t="shared" si="156"/>
        <v>661.41362108369117</v>
      </c>
      <c r="EA23" s="1027">
        <f t="shared" si="125"/>
        <v>0</v>
      </c>
      <c r="EB23" s="1027">
        <f>(IF('Options and results'!$C$66&gt;0,IF(DF23&lt;='Options and results'!$W$20,VLOOKUP('Options and results'!$C$66,Treevalue!$A$4:$F$34,5,FALSE),0),0)*DV23)*IF(DF23&gt;='Options and results'!$K$21,'Options and results'!$K$20,1)*IF(1+'Options and results'!$Q$20*(DF23-1)&gt;0,1+'Options and results'!$Q$20*(DF23-1),0)</f>
        <v>447.88614188523638</v>
      </c>
      <c r="EC23" s="740">
        <f>(IF('Options and results'!$C$66&gt;0,IF(DF23&lt;='Options and results'!$W$20,VLOOKUP('Options and results'!$C$66,Treevalue!$A$4:$F$34,5,FALSE),0),0)*DW23)*IF(DF23&gt;='Options and results'!$K$21,'Options and results'!$K$20,1)*IF(1+'Options and results'!$Q$20*(DF23-1)&gt;0,1+'Options and results'!$Q$20*(DF23-1),0)</f>
        <v>0</v>
      </c>
      <c r="ED23" s="889">
        <f>(IF('Options and results'!$C$66&gt;0,IF(DF23&lt;='Options and results'!$W$20,VLOOKUP('Options and results'!$C$66,Treevalue!$A$4:$F$34,6,FALSE),0),0)*DX23)*IF(DF23&gt;='Options and results'!$K$21,'Options and results'!$K$20,1)*IF(1+'Options and results'!$Q$20*(DF23-1)&gt;0,1+'Options and results'!$Q$20*(DF23-1),0)</f>
        <v>0</v>
      </c>
      <c r="EE23" s="740">
        <f>IF(DF23&lt;='Options and results'!$W$20,IF(DL23&lt;=0,0,IF('Options and results'!$C$70="cost",(IF(DF23&lt;='Options and results'!$C$71,FK23*SUM('Options and results'!$C$72:$C$73),0)),IF('Options and results'!$C$68&gt;0,(IF(VLOOKUP('Options and results'!$C$69,Treegrant!$B$6:$L$42,Treegrant!$C$2,FALSE)=DF23,VLOOKUP('Options and results'!$C$69,Treegrant!$B$6:$L$42,Treegrant!$D$2,FALSE),0)+IF(VLOOKUP('Options and results'!$C$69,Treegrant!$B$6:$L$42,Treegrant!$E$2,FALSE)=DF23,VLOOKUP('Options and results'!$C$69,Treegrant!$B$6:$L$42,Treegrant!$F$2,FALSE),0)+IF(VLOOKUP('Options and results'!$C$69,Treegrant!$B$6:$L$42,Treegrant!$G$2,FALSE)=DF23,VLOOKUP('Options and results'!$C$69,Treegrant!$B$6:$L$42,Treegrant!$H$2,FALSE)))*IF('Options and results'!$C$70="area",Unit!C24,'Options and results'!$C$70),0))*IF(DF23&gt;='Options and results'!$K$23,'Options and results'!$K$22,1)),0)*IF(1+'Options and results'!$Q$23*(DF23-1)&gt;0,1+'Options and results'!$Q$23*(DF23-1),0)</f>
        <v>0</v>
      </c>
      <c r="EF23" s="740">
        <f>IF($DG$8=0,0,IF(DF23&lt;='Options and results'!$W$20,IF(DL23&lt;=0,0,IF('Options and results'!$C$68&gt;0,IF(AND(VLOOKUP('Options and results'!$C$69,Treegrant!$B$6:$L$42,Treegrant!$J$2,FALSE)&lt;=DF23,VLOOKUP('Options and results'!$C$69,Treegrant!$B$6:$L$42,Treegrant!$K$2,FALSE)&gt;=DF23),(VLOOKUP('Options and results'!$C$69,Treegrant!$B$6:$L$42,Treegrant!$L$2,FALSE)),0)*IF('Options and results'!$C$74="area",Unit!C24,'Options and results'!$C$74))*IF(DF23&gt;='Options and results'!$K$23,'Options and results'!$K$22,1)),0))*IF(1+'Options and results'!$Q$23*(DF23-1)&gt;0,1+'Options and results'!$Q$23*(DF23-1),0)</f>
        <v>0</v>
      </c>
      <c r="EG23" s="1034">
        <f>IF($DG$8=0,0,IF(DF23&lt;='Options and results'!$W$20,IF(DL23&lt;=0,0,IF('Options and results'!$C$68&gt;0,((IF(AND(VLOOKUP('Options and results'!$C$69,Treegrant!$B$6:$O$42,Treegrant!$M$2,FALSE)&lt;=DF23,VLOOKUP('Options and results'!$C$69,Treegrant!$B$6:$O$42,Treegrant!$N$2,FALSE)&gt;=DF23),(VLOOKUP('Options and results'!$C$69,Treegrant!$B$6:$O$42,Treegrant!$O$2,FALSE)),0)*IF('Options and results'!$C$75="area",Unit!C24,'Options and results'!$C$75))+(IF(AND(VLOOKUP('Options and results'!$C$69,Treegrant!$B$6:$R$42,Treegrant!$P$2,FALSE)&lt;=DF23,VLOOKUP('Options and results'!$C$69,Treegrant!$B$6:$R$42,Treegrant!$Q$2,FALSE)&gt;=DF23),(VLOOKUP('Options and results'!$C$69,Treegrant!$B$6:$R$42,Treegrant!$R$2,FALSE)),0))*IF('Options and results'!$C$76="area",Unit!C24,'Options and results'!$C$76)))*IF(DF23&gt;='Options and results'!$K$23,'Options and results'!$K$22,1)),0))*IF(1+'Options and results'!$Q$23*(DF23-1)&gt;0,1+'Options and results'!$Q$23*(DF23-1),0)</f>
        <v>0</v>
      </c>
      <c r="EH23" s="1039" t="s">
        <v>310</v>
      </c>
      <c r="EI23" s="1040">
        <f>'Options and results'!$S49</f>
        <v>14.6</v>
      </c>
      <c r="EJ23" s="1419">
        <f>IF($DH$8+DK23&lt;1,0,IF(DF23=1,VLOOKUP($DG$8,Treecost!$B$6:$AH$49,Treecost!$E$2,FALSE),0)*IF(DF23&gt;='Options and results'!$K$25,'Options and results'!$K$24,1))</f>
        <v>0</v>
      </c>
      <c r="EK23" s="889">
        <f>IF($DH$8+DK23&lt;1,0,IF(DF23=1,VLOOKUP($DG$8,Treecost!$B$6:$AH$49,Treecost!$F$2,FALSE),0)*IF(DF23&gt;='Options and results'!$K$25,'Options and results'!$K$24,1))</f>
        <v>0</v>
      </c>
      <c r="EL23" s="889">
        <f>IF($DH$8+DK23&lt;1,0,IF(DF23=1,VLOOKUP($DG$8,Treecost!$B$6:$AH$49,Treecost!$G$2,FALSE),0)*IF(DF23&gt;='Options and results'!$K$25,'Options and results'!$K$24,1))</f>
        <v>0</v>
      </c>
      <c r="EM23" s="889">
        <f>IF($DG$8=0,0,IF(DF23&lt;='Options and results'!$W$20,((VLOOKUP($DG$8,Treecost!$B$6:$AH$49,Treecost!$H$2,FALSE)*(DH23+DK23))/60)*IF(DF23&gt;='Options and results'!$K$25,'Options and results'!$K$24,1),0))</f>
        <v>0</v>
      </c>
      <c r="EN23" s="889">
        <f>IF($DG$8=0,0,IF(DF23&lt;='Options and results'!$W$20,(((VLOOKUP($DG$8,Treecost!$B$6:$AH$49,Treecost!$I$2,FALSE))*(DH23+DK23))/60)*IF(DF23&gt;='Options and results'!$K$25,'Options and results'!$K$24,1),0))</f>
        <v>0</v>
      </c>
      <c r="EO23" s="889">
        <f>IF($DG$8=0,0,IF(DF23&lt;='Options and results'!$W$20,(((VLOOKUP($DG$8,Treecost!$B$6:$AH$49,Treecost!$J$2,FALSE))/60)*(DH23+DK23))*IF(DF23&gt;='Options and results'!$K$25,'Options and results'!$K$24,1),0))</f>
        <v>0</v>
      </c>
      <c r="EP23" s="1019">
        <f>IF($DG$8=0,0,IF(DF23&lt;='Options and results'!$W$20,(((VLOOKUP($DG$8,Treecost!$B$6:$AH$49,Treecost!$C$2,FALSE)+VLOOKUP($DG$8,Treecost!$B$6:$AH$49,Treecost!$D$2,FALSE))*(DH23+DK23)*IF(1+'Options and results'!$Q$22*(DF23-1)&gt;0,1+'Options and results'!$Q$22*(DF23-1),0))+(EJ23*$EI$8+EK23*$EI$9+EL23*$EI$10+EM23*$EI$11+EN23*$EI$12+EO23*$EI$13)*IF(1+'Options and results'!$Q$21*(DF23-1)&gt;0,1+'Options and results'!$Q$21*(DF23-1),0))*IF(DF23&gt;='Options and results'!$K$27,'Options and results'!$K$26,1),0))</f>
        <v>0</v>
      </c>
      <c r="EQ23" s="740">
        <f>IF($DG$8=0,0,IF(DF23&lt;='Options and results'!$W$20,IF(AND(VLOOKUP($DG$8,Treecost!$B$6:$AH$49,Treecost!$K$2,FALSE)&lt;=DF23,DF23&lt;=(VLOOKUP($DG$8,Treecost!$B$6:$AH$49,Treecost!$L$2,FALSE))),VLOOKUP($DG$8,Treecost!$B$6:$AH$49,Treecost!$M$2,FALSE)*DL23/60,0)*IF(DF23&gt;='Options and results'!$K$25,'Options and results'!$K$24,1),0))</f>
        <v>0</v>
      </c>
      <c r="ER23" s="1019">
        <f>IF(EQ23&gt;0,(VLOOKUP($DG$8,Treecost!$B$6:$AH$49,Treecost!$N$2,FALSE)*DL23*IF(1+'Options and results'!$Q$22*(DF23-1)&gt;0,1+'Options and results'!$Q$22*(DF23-1),0)+EQ23*$EI$14*IF(1+'Options and results'!$Q$21*(DF23-1)&gt;0,1+'Options and results'!$Q$21*(DF23-1),0)),0)*IF(DF23&gt;='Options and results'!$K$27,'Options and results'!$K$26,1)</f>
        <v>0</v>
      </c>
      <c r="ES23" s="889">
        <f>IF(DF23&lt;='Options and results'!$W$20,IF(AND(DR23-DR22&gt;0,DR23&gt;'Options and results'!$M$64),(DL23-DN23)*(VLOOKUP($DG$8,Treecost!$B$6:$AH$49,Treecost!$Y$2,FALSE)+(VLOOKUP($DG$8,Treecost!$B$6:$AH$49,Treecost!$AA$2,FALSE)-VLOOKUP($DG$8,Treecost!$B$6:$AH$49,Treecost!$Y$2,FALSE))/(VLOOKUP($DG$8,Treecost!$B$6:$AH$49,Treecost!$Z$2,FALSE)-VLOOKUP($DG$8,Treecost!$B$6:$AH$49,Treecost!$X$2,FALSE))*(DR23-VLOOKUP($DG$8,Treecost!$B$6:$AH$49,Treecost!$X$2,FALSE)))/60,0)*IF(DF23&gt;='Options and results'!$K$25,'Options and results'!$K$24,1),0)</f>
        <v>0</v>
      </c>
      <c r="ET23" s="889">
        <f>IF(DF23&lt;='Options and results'!$W$20,IF(ES23&gt;0,VLOOKUP($DG$8,Treecost!$B$6:$AH$49,Treecost!$AB$2,FALSE)/60*DL23,0)*IF(DF23&gt;='Options and results'!$K$25,'Options and results'!$K$24,1),0)*((ES23-(MIN($ES$8:$ES$67)))/((MAX($ES$8:$ES$67))-(MIN($ES$8:$ES$67))))</f>
        <v>0</v>
      </c>
      <c r="EU23" s="740">
        <f>IF(ES23&gt;0,(ES23*$EI$15+ET23*$EI$19)*IF(1+'Options and results'!$Q$21*(DF23-1)&gt;0,1+'Options and results'!$Q$21*(DF23-1),0),0)*IF(DF23&gt;='Options and results'!$K$27,'Options and results'!$K$26,1)</f>
        <v>0</v>
      </c>
      <c r="EV23" s="891">
        <f>IF($DG$8=0,0,IF(DF23&lt;='Options and results'!$W$20,IF(AND(VLOOKUP($DG$8,Treecost!$B$2:$AH$49,Treecost!$O$2,FALSE)=DF23,DF23&lt;=IF(AND(Optimisation!$B$3="Yes",Optimisation!$B$4=1),Optimisation!$B$9)),VLOOKUP($DG$8,Treecost!$B$2:$AH$49,Treecost!$P$2,FALSE)*(1-CN23),0)*IF(DF23&gt;='Options and results'!$K$25,'Options and results'!$K$24,1),0))</f>
        <v>0</v>
      </c>
      <c r="EW23" s="889">
        <f>IF($DG$8=0,0,IF(DF23&lt;='Options and results'!$W$20,IF(AND(DF23&gt;VLOOKUP($DG$8,Treecost!$B$2:$AH$49,Treecost!$O$2,FALSE),DF23&lt;=IF(AND(Optimisation!$B$3="Yes",Optimisation!$B$4=1),Optimisation!$B$9,VLOOKUP($DG$8,Treecost!$B$2:$AH$49,Treecost!$R$2,FALSE))),VLOOKUP($DG$8,Treecost!$B$2:$AH$49,Treecost!$S$2,FALSE)*(1-CN23),0)*IF(DF23&gt;='Options and results'!$K$25,'Options and results'!$K$24,1),0))</f>
        <v>0</v>
      </c>
      <c r="EX23" s="740">
        <f>IF($DG$8=0,0,IF(DF23&lt;='Options and results'!$W$20,(IF(AND(VLOOKUP($DG$8,Treecost!$B$2:$AH$49,Treecost!$O$2,FALSE)=DF23,DF23&lt;=IF(AND(Optimisation!$B$3="Yes",Optimisation!$B$4=1),Optimisation!$B$9)),VLOOKUP($DG$8,Treecost!$B$2:$AH$49,Treecost!$Q$2,FALSE),0)*(1-CN23)+IF(AND(DF23&gt;VLOOKUP($DG$8,Treecost!$B$2:$AH$49,Treecost!$O$2,FALSE),DF23&lt;=IF(AND(Optimisation!$B$3="Yes",Optimisation!$B$4=1),Optimisation!$B$9,VLOOKUP($DG$8,Treecost!$B$2:$AH$49,Treecost!$R$2,FALSE))),VLOOKUP($DG$8,Treecost!$B$2:$AH$49,Treecost!$T$2,FALSE),0)*(1-CN23)+(EV23*$EI$16+EW23*$EI$17))*IF(DF23&gt;='Options and results'!$K$27,'Options and results'!$K$26,1),0))*IF(1+'Options and results'!$Q$21*(DF23-1)&gt;0,1+'Options and results'!$Q$21*(DF23-1),0)</f>
        <v>0</v>
      </c>
      <c r="EY23" s="894">
        <f>IF($DG$8=0,0,IF(DF23&lt;='Options and results'!$W$20,IF(AND(DF23&gt;=VLOOKUP($DG$8,Treecost!$B$2:$W$49,Treecost!$U$2,FALSE),DF23&lt;=VLOOKUP($DG$8,Treecost!$B$2:$W$49,Treecost!$V$2,FALSE)),(DL23*VLOOKUP($DG$8,Treecost!$B$2:$W$49,Treecost!$W$2,FALSE)/60),0)*IF(DF23&gt;='Options and results'!$K$25,'Options and results'!$K$24,1),0))</f>
        <v>0</v>
      </c>
      <c r="EZ23" s="740">
        <f>EY23*$EI$18*IF(DF23&gt;='Options and results'!$K$27,'Options and results'!$K$26,1)*IF(1+'Options and results'!$Q$21*(DF23-1)&gt;0,1+'Options and results'!$Q$21*(DF23-1),0)</f>
        <v>0</v>
      </c>
      <c r="FA23" s="1025">
        <f>IF(DF23&lt;='Options and results'!$W$20,IF(DL23&lt;=0,0,VLOOKUP($DG$8,Treecost!$B$6:$AH$49,Treecost!$AC$2,FALSE)+VLOOKUP($DG$8,Treecost!$B$6:$AH$49,Treecost!$AD$2,FALSE)+IF(AND(DF23&gt;=VLOOKUP($DG$8,Treecost!$B$2:$AK$49,Treecost!$AI$2,FALSE),DF23&lt;=VLOOKUP($DG$8,Treecost!$B$2:$AK$49,Treecost!$AJ$2,FALSE)),VLOOKUP($DG$8,Treecost!$B$2:$AK$49,Treecost!$AK$2,FALSE)*(1-CN23),0))*IF(DF23&gt;='Options and results'!$K$27,'Options and results'!$K$26,1),0)*IF(1+'Options and results'!$Q$22*(DF23-1)&gt;0,1+'Options and results'!$Q$22*(DF23-1),0)</f>
        <v>3</v>
      </c>
      <c r="FB23" s="894">
        <f>IF(DF23&lt;='Options and results'!$W$20,IF(DN23&gt;0,VLOOKUP($DG$8,Treecost!$B$6:$AH$49,Treecost!$AE$2,FALSE)/60*DN23,0)*IF(DF23&gt;='Options and results'!$K$25,'Options and results'!$K$24,1),0)</f>
        <v>0</v>
      </c>
      <c r="FC23" s="740">
        <f>IF(DF23&lt;='Options and results'!$W$20,IF(DN23&gt;0,VLOOKUP($DG$8,Treecost!$B$6:$AH$49,Treecost!$AF$2,FALSE)/60*DN23,0)*IF(DF23&gt;='Options and results'!$K$25,'Options and results'!$K$24,1),0)</f>
        <v>0</v>
      </c>
      <c r="FD23" s="740">
        <f>(FB23*$EI$20+FC23*$EI$21)*IF(DF23&gt;='Options and results'!$K$27,'Options and results'!$K$26,1)*IF(1+'Options and results'!$Q$21*(DF23-1)&gt;0,1+'Options and results'!$Q$21*(DF23-1),0)</f>
        <v>0</v>
      </c>
      <c r="FE23" s="894">
        <f>IF(DF23&lt;='Options and results'!$W$20,IF(DO23&gt;0,(VLOOKUP($DG$8,Treecost!$B$6:$AH$49,Treecost!$AG$2,FALSE)/60*DO23)*IF(DF23&gt;='Options and results'!$K$25,'Options and results'!$K$24,1),0),0)</f>
        <v>0</v>
      </c>
      <c r="FF23" s="740">
        <f>IF(DF23&lt;='Options and results'!$W$20,IF(DO23&gt;0,(VLOOKUP($DG$8,Treecost!$B$6:$AH$49,Treecost!$AH$2,FALSE)/60*DO23)*IF(DF23&gt;='Options and results'!$K$25,'Options and results'!$K$24,1),0),0)</f>
        <v>0</v>
      </c>
      <c r="FG23" s="740">
        <f>(FE23*$EI$22+FF23*$EI$23)*IF(DF23&gt;='Options and results'!$K$27,'Options and results'!$K$26,1)*IF(1+'Options and results'!$Q$21*(DF23-1)&gt;0,1+'Options and results'!$Q$21*(DF23-1),0)</f>
        <v>0</v>
      </c>
      <c r="FH23" s="894">
        <f t="shared" si="157"/>
        <v>0</v>
      </c>
      <c r="FI23" s="1027">
        <f t="shared" si="158"/>
        <v>0</v>
      </c>
      <c r="FJ23" s="1027">
        <f t="shared" si="159"/>
        <v>0</v>
      </c>
      <c r="FK23" s="1027">
        <f t="shared" si="160"/>
        <v>3</v>
      </c>
      <c r="FL23" s="1027">
        <f t="shared" si="183"/>
        <v>-3</v>
      </c>
      <c r="FM23" s="1027">
        <f>IF($DF23&lt;='Options and results'!$W$20,SUM(FI$8:$FI23),0)</f>
        <v>0</v>
      </c>
      <c r="FN23" s="1027">
        <f>IF($DF23&lt;='Options and results'!$W$20,SUM($FJ$8:FJ23),0)</f>
        <v>0</v>
      </c>
      <c r="FO23" s="1027">
        <f>IF($DF23&lt;='Options and results'!$W$20,SUM($FK$8:FK23),0)</f>
        <v>1088.0448753513026</v>
      </c>
      <c r="FP23" s="1027">
        <f>IF($DF23&lt;='Options and results'!$W$20,FM23+FN23-FO23,0)</f>
        <v>-1088.0448753513026</v>
      </c>
      <c r="FQ23" s="1027">
        <f t="shared" si="162"/>
        <v>341.04521471818862</v>
      </c>
      <c r="FR23" s="1027">
        <f t="shared" si="163"/>
        <v>338.04521471818862</v>
      </c>
      <c r="FS23" s="1027">
        <f t="shared" si="164"/>
        <v>0</v>
      </c>
      <c r="FT23" s="1189">
        <f>IF(DF23&lt;='Options and results'!$W$20,FP23+DZ23,0)</f>
        <v>-426.63125426761144</v>
      </c>
      <c r="FU23" s="401"/>
      <c r="FV23" s="895">
        <f t="shared" si="165"/>
        <v>16</v>
      </c>
      <c r="FW23" s="894">
        <f>G23/(1+'Options and results'!$W$33)^(FV23-1)</f>
        <v>725.27804662883136</v>
      </c>
      <c r="FX23" s="740">
        <f>(AP23+AR23+AS23)/(1+'Options and results'!$W$33)^(FV23-1)</f>
        <v>0</v>
      </c>
      <c r="FY23" s="740">
        <f ca="1">CQ23/(1+'Options and results'!$W$33)^(FV23-1)</f>
        <v>0</v>
      </c>
      <c r="FZ23" s="740">
        <f>(EA23+EC23+ED23)/(1+'Options and results'!$W$33)^(FV23-1)</f>
        <v>0</v>
      </c>
      <c r="GA23" s="1019">
        <f t="shared" ca="1" si="180"/>
        <v>0</v>
      </c>
      <c r="GB23" s="1026">
        <f>(AO23+AQ23)/(1+'Options and results'!$W$33)^(FV23-1)+FX23</f>
        <v>732.38841672335514</v>
      </c>
      <c r="GC23" s="1027">
        <f>IF(FV23&gt;'Options and results'!$W$27,0,GB23-GB22)</f>
        <v>184.83708720257221</v>
      </c>
      <c r="GD23" s="1027">
        <f>(DZ23+EB23)/(1+'Options and results'!$W$33)^(FV23-1)+FZ23</f>
        <v>615.95478124489512</v>
      </c>
      <c r="GE23" s="1379">
        <f>IF(FV23&gt;'Options and results'!$W$27,0,GD23-GD22)</f>
        <v>172.30692236557064</v>
      </c>
      <c r="GF23" s="894">
        <f>IF(FV23&lt;='Options and results'!$W$20,SUM(FW$8:FW23),0)</f>
        <v>19113.902738845296</v>
      </c>
      <c r="GG23" s="740">
        <f>IF(FV23&lt;='Options and results'!$W$20,SUM(FX$8:FX23), 0)</f>
        <v>0</v>
      </c>
      <c r="GH23" s="740">
        <f ca="1">IF(FV23&lt;='Options and results'!$W$20,SUM(FY$8:FY23),0)</f>
        <v>14787.259868716837</v>
      </c>
      <c r="GI23" s="740">
        <f>IF(FV23&lt;='Options and results'!$W$20,SUM(FZ$8:FZ23),0)</f>
        <v>0</v>
      </c>
      <c r="GJ23" s="1019">
        <f t="shared" ca="1" si="166"/>
        <v>14787.259868716837</v>
      </c>
      <c r="GK23" s="894">
        <f>IF(FV23&gt;'Options and results'!$W$27,0,GG23+SUM(GC$8:GC23)-FX23)</f>
        <v>732.38841672335514</v>
      </c>
      <c r="GL23" s="740">
        <f>IF(FV23&lt;='Options and results'!$W$20,SUM(GD$8:GD23),0)</f>
        <v>2003.3162415715319</v>
      </c>
      <c r="GM23" s="1034">
        <f t="shared" ca="1" si="167"/>
        <v>16790.57611028837</v>
      </c>
      <c r="GN23" s="401"/>
      <c r="GO23" s="895">
        <f t="shared" si="168"/>
        <v>16</v>
      </c>
      <c r="GP23" s="894">
        <f>H23/(1+'Options and results'!$W$33)^(GO23-1)</f>
        <v>130.59821103816222</v>
      </c>
      <c r="GQ23" s="740">
        <f>SUM(AT23:AV23)/(1+'Options and results'!$W$33)^(GO23-1)</f>
        <v>0</v>
      </c>
      <c r="GR23" s="740">
        <f>CR23/(1+'Options and results'!$W$33)^(GO23-1)</f>
        <v>0</v>
      </c>
      <c r="GS23" s="740">
        <f>SUM(EE23:EG23)/(1+'Options and results'!$W$33)^(GO23-1)</f>
        <v>0</v>
      </c>
      <c r="GT23" s="1019">
        <f t="shared" si="181"/>
        <v>0</v>
      </c>
      <c r="GU23" s="894">
        <f>IF(GO23&lt;='Options and results'!$W$20,SUM(GP$8:GP23),0)</f>
        <v>2850.244724045941</v>
      </c>
      <c r="GV23" s="740">
        <f>IF(GO23&lt;='Options and results'!$W$20,SUM(GQ$8:GQ23),0)</f>
        <v>0</v>
      </c>
      <c r="GW23" s="740">
        <f>IF(GO23&lt;='Options and results'!$W$20,SUM(GR$8:GR23),0)</f>
        <v>0</v>
      </c>
      <c r="GX23" s="740">
        <f>IF(GO23&lt;='Options and results'!$W$20,SUM(GS$8:GS23),0)</f>
        <v>0</v>
      </c>
      <c r="GY23" s="1034">
        <f>IF(GO23&lt;='Options and results'!$W$20,SUM(GT$8:GT23),0)</f>
        <v>0</v>
      </c>
      <c r="GZ23" s="401"/>
      <c r="HA23" s="895">
        <f t="shared" si="169"/>
        <v>16</v>
      </c>
      <c r="HB23" s="1026">
        <f>(J23+L23+(M23*N23))/(1+'Options and results'!$W$33)^(HA23-1)</f>
        <v>659.23022047393476</v>
      </c>
      <c r="HC23" s="740">
        <f>BZ23/(1+'Options and results'!$W$33)^(HA23-1)</f>
        <v>1.6657935081398245</v>
      </c>
      <c r="HD23" s="1027">
        <f>(CT23+CV23+(CW23*CX23))/(1+'Options and results'!$W$33)^(HA23-1)</f>
        <v>0</v>
      </c>
      <c r="HE23" s="740">
        <f>FK23/(1+'Options and results'!$W$33)^(HA23-1)</f>
        <v>1.6657935081398245</v>
      </c>
      <c r="HF23" s="1019">
        <f t="shared" si="182"/>
        <v>1.6657935081398245</v>
      </c>
      <c r="HG23" s="894">
        <f>IF(HA23&lt;='Options and results'!$W$20,SUM(HB$8:HB23),0)</f>
        <v>14745.564150966449</v>
      </c>
      <c r="HH23" s="740">
        <f>IF(HA23&lt;='Options and results'!$W$20,SUM(HC$8:HC23),0)</f>
        <v>1387.5619373254608</v>
      </c>
      <c r="HI23" s="740">
        <f>IF(HA23&lt;='Options and results'!$W$20,SUM(HD$8:HD23),0)</f>
        <v>13294.975863606456</v>
      </c>
      <c r="HJ23" s="740">
        <f>IF(HA23&lt;='Options and results'!$W$20,SUM(HE$8:HE23),0)</f>
        <v>931.94174927364918</v>
      </c>
      <c r="HK23" s="1034">
        <f>IF(HA23&lt;='Options and results'!$W$20,SUM(HF$8:HF23),0)</f>
        <v>14226.917612880106</v>
      </c>
      <c r="HL23" s="405"/>
      <c r="HM23" s="895">
        <f t="shared" si="170"/>
        <v>16</v>
      </c>
      <c r="HN23" s="1026">
        <f t="shared" si="171"/>
        <v>196.64603719305876</v>
      </c>
      <c r="HO23" s="1027">
        <f t="shared" si="172"/>
        <v>-1.6657935081398245</v>
      </c>
      <c r="HP23" s="1027">
        <f t="shared" ca="1" si="173"/>
        <v>0</v>
      </c>
      <c r="HQ23" s="1027">
        <f t="shared" si="174"/>
        <v>-1.6657935081398245</v>
      </c>
      <c r="HR23" s="1027">
        <f t="shared" si="175"/>
        <v>183.17129369443239</v>
      </c>
      <c r="HS23" s="1379">
        <f t="shared" si="176"/>
        <v>170.64112885743083</v>
      </c>
      <c r="HT23" s="1026">
        <f>IF($HM23&lt;='Options and results'!$W$20,SUM(HN$8:HN23),0)</f>
        <v>7218.5833119247836</v>
      </c>
      <c r="HU23" s="1027">
        <f>IF($HM23&lt;='Options and results'!$W$20,SUM(HO$8:HO23),0)</f>
        <v>-1387.5619373254608</v>
      </c>
      <c r="HV23" s="1027">
        <f ca="1">IF($HM23&lt;='Options and results'!$W$20,SUM(HP$8:HP23),0)</f>
        <v>1492.284005110379</v>
      </c>
      <c r="HW23" s="1027">
        <f>IF($HM23&lt;='Options and results'!$W$20,SUM(HQ$8:HQ23),0)</f>
        <v>-931.94174927364918</v>
      </c>
      <c r="HX23" s="1027">
        <f t="shared" ca="1" si="177"/>
        <v>560.34225583672981</v>
      </c>
      <c r="HY23" s="1027">
        <f>IF($HM23&lt;='Options and results'!$W$20,SUM(HR$8:HR23),0)</f>
        <v>-655.17352060210578</v>
      </c>
      <c r="HZ23" s="1027">
        <f>IF($HM23&lt;='Options and results'!$W$20,SUM(HS$8:HS23),0)</f>
        <v>-315.98696802875372</v>
      </c>
      <c r="IA23" s="1189">
        <f t="shared" ca="1" si="178"/>
        <v>1176.2970370816251</v>
      </c>
    </row>
    <row r="24" spans="1:235" x14ac:dyDescent="0.25">
      <c r="A24" s="1010">
        <f t="shared" si="126"/>
        <v>17</v>
      </c>
      <c r="B24" s="1011" t="str">
        <f>IF('Options and results'!$C$17="None",0,CONCATENATE('Options and results'!$C$23," ",(HLOOKUP(CONCATENATE('Options and results'!$C$17," ",Arablesystem!$B$11),Arablesystem!$B$10:$ER$72,$A24+3,FALSE))))</f>
        <v>UK - Agriculture (BPS: from 2015) Wheat</v>
      </c>
      <c r="C24" s="1012">
        <f>IF(HLOOKUP(CONCATENATE('Options and results'!$C$17," ",Arablesystem!$C$11),Arablesystem!$B$10:$ER$72,$A24+3,FALSE)="T",(VLOOKUP(B24,Arablefinance!$Z$6:$AB$105,Arablefinance!$AB$2,FALSE)*E24+VLOOKUP(B24,Arablefinance!$Z$6:$AC$105,Arablefinance!$AC$2,FALSE)*F24)/VLOOKUP(B24,Arablefinance!$Z$6:$AA$105,Arablefinance!$AA$2,FALSE),0)</f>
        <v>0</v>
      </c>
      <c r="D24" s="1012">
        <f>IF(B24=0,0,HLOOKUP(CONCATENATE('Options and results'!$C$17," ",Arablesystem!$D$11),Arablesystem!$B$10:$ER$72,$A24+3,FALSE))</f>
        <v>1</v>
      </c>
      <c r="E24" s="1440">
        <f>IF(B24=0,0,HLOOKUP(CONCATENATE('Options and results'!$C$17," ",Arablesystem!$E$11),Arablesystem!$B$10:$ER$72,$A24+3,FALSE)*IF(A24&gt;='Options and results'!$H$19,'Options and results'!$H$18,1))</f>
        <v>9.2046218257840753</v>
      </c>
      <c r="F24" s="1440">
        <f>IF(B24=0,0,HLOOKUP(CONCATENATE('Options and results'!$C$17," ",Arablesystem!$F$11),Arablesystem!$B$10:$ER$72,$A24+3,FALSE)*IF(A24&gt;='Options and results'!$H$19,'Options and results'!$H$18,1))</f>
        <v>3.6818487303136305</v>
      </c>
      <c r="G24" s="1013">
        <f>IF(D24&lt;=0,0,IF(A24&lt;='Options and results'!$W$20,IF(C24&gt;0,VLOOKUP(B24,Arablefinance!$Z$6:$AE$105,Arablefinance!$AD$2,FALSE)*C24*D24,((VLOOKUP(B24,Arablefinance!$E$6:$G$126,Arablefinance!$F$2,FALSE)*(E24*D24)+VLOOKUP(B24,Arablefinance!$E$6:$G$126,Arablefinance!$G$2,FALSE)*(F24*D24)))),0)*IF(A24&gt;='Options and results'!$H$21,'Options and results'!$H$20,1))*IF(1+'Options and results'!$O$20*(A24-1)&gt;0,1+'Options and results'!$O$20*(A24-1),0)</f>
        <v>1736.0939499187186</v>
      </c>
      <c r="H24" s="1441">
        <f>IF(D24&lt;=0,0,IF(A24&lt;='Options and results'!$W$20,IF(AND(C24&gt;0,VLOOKUP(B24,Arablefinance!$Z$6:$AI$105,Arablefinance!$AI$2,FALSE)=2),VLOOKUP(B24,Arablefinance!$Z$6:$AE$105,Arablefinance!$AE$2,FALSE)*C24*D24,(VLOOKUP(B24,Arablefinance!$E$6:$H$126,Arablefinance!$H$2,FALSE)*D24))*IF(A24&gt;='Options and results'!$H$23,'Options and results'!$H$22,1),0)*IF(AND(1+'Options and results'!$O$23*(A24-1)&gt;0,1+'Options and results'!$O$23*(A24-1)&gt;'Options and results'!$S$24),1+'Options and results'!$O$23*(A24-1),'Options and results'!$S$24))</f>
        <v>235.2</v>
      </c>
      <c r="I24" s="1441">
        <f t="shared" si="127"/>
        <v>1971.2939499187187</v>
      </c>
      <c r="J24" s="1441">
        <f>IF(D24&lt;=0,0,IF(A24&lt;='Options and results'!$W$20,IF(C24&gt;0,VLOOKUP(B24,Arablefinance!$Z$6:$AF$105,Arablefinance!$AF$2,FALSE)*C24*D24,(VLOOKUP(B24,Arablefinance!$E$6:$X$126,Arablefinance!$R$2,FALSE))*D24),0)*IF(A24&gt;='Options and results'!$H$27,'Options and results'!$H$26,1))*IF(1+'Options and results'!$O$22*(A24-1)&gt;0,1+'Options and results'!$O$22*(A24-1),0)</f>
        <v>653.12499999999989</v>
      </c>
      <c r="K24" s="1441">
        <f t="shared" si="128"/>
        <v>1318.1689499187187</v>
      </c>
      <c r="L24" s="1441">
        <f>IF(D24&lt;=0,0,IF(A24&lt;='Options and results'!$W$20,IF(C24&gt;0,VLOOKUP(B24,Arablefinance!$Z$6:$AG$105,Arablefinance!$AG$2,FALSE)*C24*D24,VLOOKUP(B24,Arablefinance!$E$6:$X$126,Arablefinance!$X$2,FALSE)*D24),0)*IF(A24&gt;='Options and results'!$H$27,'Options and results'!$H$26,1))*IF(1+'Options and results'!$O$22*(A24-1)&gt;0,1+'Options and results'!$O$22*(A24-1),0)</f>
        <v>444.44444444444446</v>
      </c>
      <c r="M24" s="1442">
        <f>IF(D24&lt;=0,0,IF(A24&lt;='Options and results'!$W$20,'Options and results'!$C$27,0)*IF(A24&gt;='Options and results'!$H$27,'Options and results'!$H$26,1))*IF(1+'Options and results'!$O$21*(A24-1)&gt;0,1+'Options and results'!$O$21*(A24-1),0)</f>
        <v>14.6</v>
      </c>
      <c r="N24" s="1442">
        <f>IF(D24&lt;=0,0,IF(A24&lt;='Options and results'!$W$20,IF(C24&gt;0,VLOOKUP(B24,Arablefinance!$Z$6:$AH$105,Arablefinance!$AH$2,FALSE)*C24*D24,VLOOKUP(B24,Arablefinance!$E$6:$W$126,Arablefinance!$V$2,FALSE)*D24),0)*IF(A24&gt;='Options and results'!$H$25,'Options and results'!$H$24,1))</f>
        <v>11.632834596849463</v>
      </c>
      <c r="O24" s="1013">
        <f t="shared" si="129"/>
        <v>1267.4088295584465</v>
      </c>
      <c r="P24" s="1353">
        <f t="shared" si="130"/>
        <v>703.88512036027203</v>
      </c>
      <c r="Q24" s="1013">
        <f>IF(A24&lt;='Options and results'!$W$20,SUM(G$8:$G24),0)</f>
        <v>26859.246862542426</v>
      </c>
      <c r="R24" s="1441">
        <f>IF($A24&lt;='Options and results'!$W$20,SUM($H$8:H24),0)</f>
        <v>3998.3999999999987</v>
      </c>
      <c r="S24" s="1441">
        <f>IF($A24&lt;='Options and results'!$W$20,SUM($O$8:O24),0)</f>
        <v>20706.923584799781</v>
      </c>
      <c r="T24" s="1032">
        <f>IF(A24&lt;='Options and results'!$W$20,Q24+R24-S24,0)</f>
        <v>10150.723277742643</v>
      </c>
      <c r="U24" s="405"/>
      <c r="V24" s="1010">
        <f t="shared" si="131"/>
        <v>17</v>
      </c>
      <c r="W24" s="173"/>
      <c r="X24" s="1036"/>
      <c r="Y24" s="1030">
        <f>IF(V24&lt;='Options and results'!$M$34,'Options and results'!$M$33,0)</f>
        <v>0</v>
      </c>
      <c r="Z24" s="1441">
        <f t="shared" si="132"/>
        <v>0</v>
      </c>
      <c r="AA24" s="1441">
        <f t="shared" si="133"/>
        <v>0</v>
      </c>
      <c r="AB24" s="1428">
        <f t="shared" si="134"/>
        <v>156</v>
      </c>
      <c r="AC24" s="1441">
        <f>IF($W$8=0,0,IF(HLOOKUP(CONCATENATE('Options and results'!$C$32," ",Forestrysystem!$C$8),Forestrysystem!$A$7:$IH$70,V24+4,FALSE)&lt;AB24,HLOOKUP(CONCATENATE('Options and results'!$C$32," ",Forestrysystem!$C$8),Forestrysystem!$A$7:$IH$70,V24+4,FALSE),0))</f>
        <v>0</v>
      </c>
      <c r="AD24" s="1441">
        <f>IF($W$8=0,0,IF(HLOOKUP(CONCATENATE('Options and results'!$C$32," ",Forestrysystem!$C$8),Forestrysystem!$A$7:$IH$70,V24+4,FALSE)&gt;=AB24,AB24,0))</f>
        <v>0</v>
      </c>
      <c r="AE24" s="1440">
        <f>IF($W$8=0,0,HLOOKUP(CONCATENATE('Options and results'!$C$32," ",Forestrysystem!$D$8),Forestrysystem!$A$7:$IH$70,$V24+4,FALSE))</f>
        <v>19.315856380867629</v>
      </c>
      <c r="AF24" s="1037"/>
      <c r="AG24" s="1440">
        <f>IF($W$8=0,0,IF(V24=1,'Options and results'!$M$36,0)+IF('Options and results'!$M$39="yes",IF(AND(AG23+'Options and results'!$M$37&lt;=$AF$8,AG23+'Options and results'!$M$37+IF(V24=1,'Options and results'!$M$36,0)&lt;='Options and results'!$M$38*AE24),AG23+'Options and results'!$M$37,AG23),(HLOOKUP(CONCATENATE('Options and results'!$C$32," ",Forestrysystem!$E$8),Forestrysystem!$A$7:$IH$70,V24+4,FALSE))-IF(V24=1,'Options and results'!$M$36,0)))</f>
        <v>7.5</v>
      </c>
      <c r="AH24" s="1442">
        <f>IF(OR($W$8=0,AB24&lt;=0),0,(HLOOKUP(CONCATENATE('Options and results'!$C$32," ",Forestrysystem!$F$8),Forestrysystem!$A$7:$IH$70,$V24+4,FALSE)) * IF(V24&gt;='Options and results'!$I$19,'Options and results'!$I$18,1) )</f>
        <v>65.560847497173981</v>
      </c>
      <c r="AI24" s="1452">
        <f t="shared" si="179"/>
        <v>0.42026184293060243</v>
      </c>
      <c r="AJ24" s="1442">
        <f t="shared" si="135"/>
        <v>0</v>
      </c>
      <c r="AK24" s="1453">
        <f>IF(OR($W$8=0,AE24&lt;=0),0,(HLOOKUP(CONCATENATE('Options and results'!$C$32," ",Forestrysystem!$G$8),Forestrysystem!$A$7:$IH$70,$V24+4,FALSE)) * IF(Y24&gt;='Options and results'!$I$19,'Options and results'!$I$18,1) )</f>
        <v>28.908890590799558</v>
      </c>
      <c r="AL24" s="1453">
        <f>IF($W$8=0,0,HLOOKUP(CONCATENATE('Options and results'!$C$32," ",Forestrysystem!$H$8),Forestrysystem!$A$7:$IH$70,$V24+4,FALSE)*IF(V24&gt;='Options and results'!$I$19,'Options and results'!$I$18,1))</f>
        <v>0</v>
      </c>
      <c r="AM24" s="1383">
        <f>IF($W$8=0,0,HLOOKUP(CONCATENATE('Options and results'!$C$32," ",Forestrysystem!$I$8),Forestrysystem!$A$7:$IH$70,$V24+4,FALSE)*IF(V24&gt;='Options and results'!$I$19,'Options and results'!$I$18,1))</f>
        <v>0</v>
      </c>
      <c r="AN24" s="1382">
        <f>IF(AI24&gt;0,HLOOKUP(AI24,Treevalue!$I$4:$BC$34,'Options and results'!$C$39+1),0)*IF(V24&gt;='Options and results'!$I$21,'Options and results'!$I$20,1)*IF(1+'Options and results'!$Q$20*(V24-1)&gt;0,1+'Options and results'!$Q$20*(V24-1),0)</f>
        <v>16.279174727217832</v>
      </c>
      <c r="AO24" s="1454">
        <f t="shared" si="136"/>
        <v>1067.2764916709771</v>
      </c>
      <c r="AP24" s="1454">
        <f t="shared" si="137"/>
        <v>0</v>
      </c>
      <c r="AQ24" s="1454">
        <f>(IF('Options and results'!$C$39&gt;0,IF(V24&lt;='Options and results'!$W$20,VLOOKUP('Options and results'!$C$39,Treevalue!$A$4:$F$34,5,FALSE),0),0)*AK24)*IF(V24&gt;='Options and results'!$I$21,'Options and results'!$I$20,1)*IF(1+'Options and results'!$Q$20*(V24-1)&gt;0,1+'Options and results'!$Q$20*(V24-1),0)-AR24</f>
        <v>722.7222647699889</v>
      </c>
      <c r="AR24" s="1441">
        <f>(IF('Options and results'!$C$39&gt;0,IF(V24&lt;='Options and results'!$W$20,VLOOKUP('Options and results'!$C$39,Treevalue!$A$4:$F$34,5,FALSE),0),0)*AL24)*IF(V24&gt;='Options and results'!$I$21,'Options and results'!$I$20,1)*IF(1+'Options and results'!$Q$20*(V24-1)&gt;0,1+'Options and results'!$Q$20*(V24-1),0)</f>
        <v>0</v>
      </c>
      <c r="AS24" s="1441">
        <f>(IF('Options and results'!$C$39&gt;0,IF(V24&lt;='Options and results'!$W$20,VLOOKUP('Options and results'!$C$39,Treevalue!$A$4:$F$34,6,FALSE),0),0)*AM24)*IF(V24&gt;='Options and results'!$I$21,'Options and results'!$I$20,1)*IF(1+'Options and results'!$Q$20*(V24-1)&gt;0,1+'Options and results'!$Q$20*(V24-1),0)</f>
        <v>0</v>
      </c>
      <c r="AT24" s="1441">
        <f>IF(V24&lt;='Options and results'!$W$20,(IF(AB24&lt;=0,0,IF('Options and results'!$C$43="cost",(IF(V24&lt;='Options and results'!$C$44,BZ24*SUM('Options and results'!$C$45:$C$46),0)),IF('Options and results'!$C$41&gt;0,(IF(VLOOKUP('Options and results'!$C$42,Treegrant!$B$6:$L$42,Treegrant!$C$2,FALSE)=V24,VLOOKUP('Options and results'!$C$42,Treegrant!$B$6:$L$42,Treegrant!$D$2,FALSE),0)+IF(VLOOKUP('Options and results'!$C$42,Treegrant!$B$6:$L$42,Treegrant!$E$2,FALSE)=V24,VLOOKUP('Options and results'!$C$42,Treegrant!$B$6:$L$42,Treegrant!$F$2,FALSE),0)+IF(VLOOKUP('Options and results'!$C$42,Treegrant!$B$6:$L$42,Treegrant!$G$2,FALSE)=V24,VLOOKUP('Options and results'!$C$42,Treegrant!$B$6:$L$42,Treegrant!$H$2,FALSE)))*IF('Options and results'!$C$43="area",1,'Options and results'!$C$43),0)))*IF(V24&gt;='Options and results'!$I$23,'Options and results'!$I$22,1)),0)*IF(1+'Options and results'!$Q$23*(V24-1)&gt;0,1+'Options and results'!$Q$23*(V24-1),0)</f>
        <v>0</v>
      </c>
      <c r="AU24" s="1441">
        <f>IF($W$8=0,0,IF(V24&lt;='Options and results'!$W$20,IF(AB24&lt;=0,0,IF('Options and results'!$C$41&gt;0,IF(AND(VLOOKUP('Options and results'!$C$42,Treegrant!$B$6:$L$42,Treegrant!$J$2,FALSE)&lt;=V24,VLOOKUP('Options and results'!$C$42,Treegrant!$B$6:$L$42,Treegrant!$K$2,FALSE)&gt;=V24),(VLOOKUP('Options and results'!$C$42,Treegrant!$B$6:$L$42,Treegrant!$L$2,FALSE)),0)*IF('Options and results'!$C$47="full",1,'Options and results'!$C$47))*IF(V24&gt;='Options and results'!$I$23,'Options and results'!$I$22,1)),0))*IF(1+'Options and results'!$Q$23*(V24-1)&gt;0,1+'Options and results'!$Q$23*(V24-1),0)</f>
        <v>0</v>
      </c>
      <c r="AV24" s="1032">
        <f>IF($W$8=0,0,IF(V24&lt;='Options and results'!$W$20,IF(AB24&lt;=0,0,(IF('Options and results'!$C$41&gt;0,(IF(AND(VLOOKUP('Options and results'!$C$42,Treegrant!$B$6:$O$42,Treegrant!$M$2,FALSE)&lt;=V24,VLOOKUP('Options and results'!$C$42,Treegrant!$B$6:$O$42,Treegrant!$N$2,FALSE)&gt;=V24),(VLOOKUP('Options and results'!$C$42,Treegrant!$B$6:$O$42,Treegrant!$O$2,FALSE)),0)*IF('Options and results'!$C$48="full",1,'Options and results'!$C$48))+(IF(AND(VLOOKUP('Options and results'!$C$42,Treegrant!$B$6:$R$42,Treegrant!$P$2,FALSE)&lt;=V24,VLOOKUP('Options and results'!$C$42,Treegrant!$B$6:$R$42,Treegrant!$Q$2,FALSE)&gt;=V24),(VLOOKUP('Options and results'!$C$42,Treegrant!$B$6:$R$42,Treegrant!$R$2,FALSE)),0))*IF('Options and results'!$C$49="full",1,'Options and results'!$C$49)))*IF(V24&gt;='Options and results'!$I$23,'Options and results'!$I$22,1)),0))*IF(1+'Options and results'!$Q$23*(V24-1)&gt;0,1+'Options and results'!$Q$23*(V24-1),0)</f>
        <v>0</v>
      </c>
      <c r="AW24" s="1041"/>
      <c r="AX24" s="1042"/>
      <c r="AY24" s="1419">
        <f>IF($W$8=0,0,IF(V24=1,VLOOKUP($W$8,Treecost!$B$6:$AH$49,Treecost!$E$2,FALSE),0)*IF(V24&gt;='Options and results'!$I$25,'Options and results'!$I$24,1))</f>
        <v>0</v>
      </c>
      <c r="AZ24" s="889">
        <f>IF($W$8=0,0,IF(V24=1,VLOOKUP($W$8,Treecost!$B$6:$AH$49,Treecost!$F$2,FALSE),0)*IF(V24&gt;='Options and results'!$I$25,'Options and results'!$I$24,1))</f>
        <v>0</v>
      </c>
      <c r="BA24" s="889">
        <f>IF($W$8=0,0,IF(V24=1,VLOOKUP($W$8,Treecost!$B$6:$AH$49,Treecost!$G$2,FALSE),0)*IF(V24&gt;='Options and results'!$I$25,'Options and results'!$I$24,1))</f>
        <v>0</v>
      </c>
      <c r="BB24" s="889">
        <f>IF($W$8=0,0,IF(V24&lt;='Options and results'!$W$20,((VLOOKUP($W$8,Treecost!$B$6:$AH$49,Treecost!$H$2,FALSE)*(X24+AA24))/60)*IF(V24&gt;='Options and results'!$I$25,'Options and results'!$I$24,1),0))</f>
        <v>0</v>
      </c>
      <c r="BC24" s="889">
        <f>IF($W$8=0,0,IF(V24&lt;='Options and results'!$W$20,(((VLOOKUP($W$8,Treecost!$B$6:$AH$49,Treecost!$I$2,FALSE))*(X24+AA24))/60)*IF(V24&gt;='Options and results'!$I$25,'Options and results'!$I$24,1),0))</f>
        <v>0</v>
      </c>
      <c r="BD24" s="889">
        <f>IF($W$8=0,0,IF(V24&lt;='Options and results'!$W$20,(((VLOOKUP($W$8,Treecost!$B$6:$AH$49,Treecost!$J$2,FALSE))/60)*(X24+AA24))*IF(V24&gt;='Options and results'!$I$25,'Options and results'!$I$24,1),0))</f>
        <v>0</v>
      </c>
      <c r="BE24" s="1019">
        <f>IF($W$8=0,0,IF(V24&lt;='Options and results'!$W$20,(((VLOOKUP($W$8,Treecost!$B$6:$AH$49,Treecost!$C$2,FALSE)+VLOOKUP($W$8,Treecost!$B$6:$AH$49,Treecost!$D$2,FALSE))*(X24+AA24)*IF(1+'Options and results'!$Q$22*(V24-1)&gt;0,1+'Options and results'!$Q$22*(V24-1),0))+((AY24*$AX$8+AZ24*$AX$9+BA24*$AX$10+BB24*$AX$11+BC24*$AX$12+BD24*$AX$13)*IF(1+'Options and results'!$Q$21*(V24-1)&gt;0,1+'Options and results'!$Q$21*(V24-1),0)))*IF(V24&gt;='Options and results'!$I$27,'Options and results'!$I$26,1),0))</f>
        <v>0</v>
      </c>
      <c r="BF24" s="889">
        <f>IF($W$8=0,0,IF(V24&lt;='Options and results'!$W$20,IF(AND(VLOOKUP($W$8,Treecost!$B$6:$AH$49,Treecost!$K$2,FALSE)&lt;=V24,V24&lt;=(VLOOKUP($W$8,Treecost!$B$6:$AH$49,Treecost!$L$2,FALSE))),VLOOKUP($W$8,Treecost!$B$6:$AH$49,Treecost!$M$2,FALSE)*AB24/60,0)*IF(V24&gt;='Options and results'!$I$25,'Options and results'!$I$24,1),0))</f>
        <v>0</v>
      </c>
      <c r="BG24" s="1019">
        <f>IF(BF24&gt;0,(VLOOKUP($W$8,Treecost!$B$6:$AH$49,Treecost!$N$2,FALSE)*AB24*IF(1+'Options and results'!$Q$22*(V24-1)&gt;0,1+'Options and results'!$Q$22*(V24-1),0)+BF24*$AX$14*IF(1+'Options and results'!$Q$21*(V24-1)&gt;0,1+'Options and results'!$Q$21*(V24-1),0)),0)*IF(V24&gt;='Options and results'!$I$27,'Options and results'!$I$26,1)</f>
        <v>0</v>
      </c>
      <c r="BH24" s="889">
        <f>IF(V24&lt;='Options and results'!$W$20,IF(AND(AG24-AG23&gt;0,AG24&gt;'Options and results'!$M$36),(AB24-AC24)*(VLOOKUP($W$8,Treecost!$B$6:$AH$49,Treecost!$Y$2,FALSE)+(VLOOKUP($W$8,Treecost!$B$6:$AH$49,Treecost!$AA$2,FALSE)-VLOOKUP($W$8,Treecost!$B$6:$AH$49,Treecost!$Y$2,FALSE))/(VLOOKUP($W$8,Treecost!$B$6:$AH$49,Treecost!$Z$2,FALSE)-VLOOKUP($W$8,Treecost!$B$6:$AH$49,Treecost!$X$2,FALSE))*(AG24-VLOOKUP($W$8,Treecost!$B$6:$AH$49,Treecost!$X$2,FALSE)))/60,0)*IF(V24&gt;='Options and results'!$I$25,'Options and results'!$I$24,1),0)</f>
        <v>0</v>
      </c>
      <c r="BI24" s="303">
        <f>IF(V24&lt;='Options and results'!$W$20,IF(BH24&gt;0,VLOOKUP($W$8,Treecost!$B$6:$AH$49,Treecost!$AB$2,FALSE)/60*AB24,0)*IF(V24&gt;='Options and results'!$I$25,'Options and results'!$I$24,1),0)*((BH24-(MIN($BH$8:$BH$67)))/((MAX($BH$8:$BH$67))-(MIN($BH$8:$BH$67))))</f>
        <v>0</v>
      </c>
      <c r="BJ24" s="740">
        <f>IF(BH24&gt;0,(BH24*$AX$15+BI24*$AX$19)*IF(1+'Options and results'!$Q$21*(V24-1)&gt;0,1+'Options and results'!$Q$21*(V24-1),0),0)*IF(V24&gt;='Options and results'!$I$27,'Options and results'!$I$26,1)</f>
        <v>0</v>
      </c>
      <c r="BK24" s="891">
        <f>IF($W$8=0,0,IF(V24&lt;='Options and results'!$W$20,IF(VLOOKUP($W$8,Treecost!$B$2:$AH$49,Treecost!$O$2,FALSE)=V24,VLOOKUP($W$8,Treecost!$B$2:$AH$49,Treecost!$P$2,FALSE),0)*IF(V24&gt;='Options and results'!$I$25,'Options and results'!$I$24,1),0))</f>
        <v>0</v>
      </c>
      <c r="BL24" s="889">
        <f>IF($W$8=0,0,IF(V24&lt;='Options and results'!$W$20,IF(AND(V24&gt;VLOOKUP($W$8,Treecost!$B$2:$AH$49,Treecost!$O$2,FALSE),V24&lt;=VLOOKUP($W$8,Treecost!$B$2:$AH$49,Treecost!$R$2,FALSE)),VLOOKUP($W$8,Treecost!$B$2:$AH$49,Treecost!$S$2,FALSE),0)*IF(V24&gt;='Options and results'!$I$25,'Options and results'!$I$24,1),0))</f>
        <v>0</v>
      </c>
      <c r="BM24" s="740">
        <f>IF($W$8=0,0,IF(V24&lt;='Options and results'!$W$20,((IF(VLOOKUP($W$8,Treecost!$B$2:$AH$49,Treecost!$O$2,FALSE)=V24,VLOOKUP($W$8,Treecost!$B$2:$AH$49,Treecost!$Q$2,FALSE),0)+IF(AND(V24&gt;VLOOKUP($W$8,Treecost!$B$2:$AH$49,Treecost!$O$2,FALSE),V24&lt;=VLOOKUP($W$8,Treecost!$B$2:$AH$49,Treecost!$R$2,FALSE)),VLOOKUP($W$8,Treecost!$B$2:$AH$49,Treecost!$T$2,FALSE),0)*IF(1+'Options and results'!$Q$22*(V24-1)&gt;0,1+'Options and results'!$Q$22*(V24-1),0))+(BK24*$AX$16+BL24*$AX$17)*IF(1+'Options and results'!$Q$21*(V24-1)&gt;0,1+'Options and results'!$Q$21*(V24-1),0))*IF(V24&gt;='Options and results'!$I$27,'Options and results'!$I$26,1),0))</f>
        <v>0</v>
      </c>
      <c r="BN24" s="894">
        <f>IF($W$8=0,0,IF(V24&lt;='Options and results'!$W$20,IF(AND(V24&gt;=VLOOKUP($W$8,Treecost!$B$2:$W$49,Treecost!$U$2,FALSE),V24&lt;=VLOOKUP($W$8,Treecost!$B$2:$W$49,Treecost!$V$2,FALSE)),(AB24*VLOOKUP($W$8,Treecost!$B$2:$W$49,Treecost!$W$2,FALSE)/60),0)*IF(V24&gt;='Options and results'!$I$25,'Options and results'!$I$24,1),0))</f>
        <v>0</v>
      </c>
      <c r="BO24" s="740">
        <f>BN24*$AX$18*IF(V24&gt;='Options and results'!$I$27,'Options and results'!$I$26,1)*IF(1+'Options and results'!$Q$21*(V24-1)&gt;0,1+'Options and results'!$Q$21*(V24-1),0)</f>
        <v>0</v>
      </c>
      <c r="BP24" s="894">
        <f>IF(V24&lt;='Options and results'!$W$20,IF(AB24&lt;=0,0,VLOOKUP($W$8,Treecost!$B$6:$AH$49,Treecost!$AC$2,FALSE)+VLOOKUP($W$8,Treecost!$B$6:$AH$49,Treecost!$AD$2,FALSE)+IF(AND(V24&gt;=VLOOKUP($W$8,Treecost!$B$2:$AK$49,Treecost!$AI$2,FALSE),V24&lt;=VLOOKUP($W$8,Treecost!$B$2:$AK$49,Treecost!$AJ$2,FALSE)),(VLOOKUP($W$8,Treecost!$B$2:$AK$49,Treecost!$AK$2,FALSE)),0))*IF(V24&gt;='Options and results'!$I$27,'Options and results'!$I$26,1),0)*IF(1+'Options and results'!$Q$22*(V24-1)&gt;0,1+'Options and results'!$Q$22*(V24-1),0)</f>
        <v>3</v>
      </c>
      <c r="BQ24" s="894">
        <f>IF(V24&lt;='Options and results'!$W$20,IF(AC24&gt;0,VLOOKUP($W$8,Treecost!$B$6:$AH$49,Treecost!$AE$2,FALSE)/60*AC24,0)*IF(V24&gt;='Options and results'!$I$25,'Options and results'!$I$24,1),0)</f>
        <v>0</v>
      </c>
      <c r="BR24" s="740">
        <f>IF(V24&lt;='Options and results'!$W$20,IF(AC24&gt;0,VLOOKUP($W$8,Treecost!$B$6:$AH$49,Treecost!$AF$2,FALSE)/60*AC24,0)*IF(V24&gt;='Options and results'!$I$25,'Options and results'!$I$24,1),0)</f>
        <v>0</v>
      </c>
      <c r="BS24" s="740">
        <f>(BQ24*$AX$20+BR24*$AX$21)*IF(V24&gt;='Options and results'!$I$27,'Options and results'!$I$26,1)*IF(1+'Options and results'!$Q$21*(V24-1)&gt;0,1+'Options and results'!$Q$21*(V24-1),0)</f>
        <v>0</v>
      </c>
      <c r="BT24" s="894">
        <f>IF(V24&lt;='Options and results'!$W$20,IF(AD24&gt;0,(VLOOKUP($W$8,Treecost!$B$6:$AH$49,Treecost!$AG$2,FALSE)/60*AD24)*IF(V24&gt;='Options and results'!$I$25,'Options and results'!$I$24,1),0),0)</f>
        <v>0</v>
      </c>
      <c r="BU24" s="740">
        <f>IF(V24&lt;='Options and results'!$W$20,IF(AD24&gt;0,(VLOOKUP($W$8,Treecost!$B$6:$AH$49,Treecost!$AH$2,FALSE)/60*AD24)*IF(V24&gt;='Options and results'!$I$25,'Options and results'!$I$24,1),0),0)</f>
        <v>0</v>
      </c>
      <c r="BV24" s="740">
        <f>(BT24*$AX$22+BU24*$AX$23)*IF(V24&gt;='Options and results'!$I$27,'Options and results'!$I$26,1)*IF(1+'Options and results'!$Q$21*(V24-1)&gt;0,1+'Options and results'!$Q$21*(V24-1),0)</f>
        <v>0</v>
      </c>
      <c r="BW24" s="1033">
        <f t="shared" si="138"/>
        <v>0</v>
      </c>
      <c r="BX24" s="1027">
        <f t="shared" si="139"/>
        <v>0</v>
      </c>
      <c r="BY24" s="1027">
        <f t="shared" si="140"/>
        <v>0</v>
      </c>
      <c r="BZ24" s="740">
        <f t="shared" si="124"/>
        <v>3</v>
      </c>
      <c r="CA24" s="740">
        <f t="shared" si="141"/>
        <v>-3</v>
      </c>
      <c r="CB24" s="894">
        <f>IF($V24&lt;='Options and results'!$W$20,SUM(BX$8:$BX24),0)</f>
        <v>0</v>
      </c>
      <c r="CC24" s="740">
        <f>IF($V24&lt;='Options and results'!$W$20,SUM($BY$8:BY24),0)</f>
        <v>0</v>
      </c>
      <c r="CD24" s="740">
        <f>IF($V24&lt;='Options and results'!$W$20,SUM($BZ$8:BZ24),0)</f>
        <v>1619.7443691843955</v>
      </c>
      <c r="CE24" s="740">
        <f>IF(V24&lt;='Options and results'!$W$20,CB24+CC24-CD24,0)</f>
        <v>-1619.7443691843955</v>
      </c>
      <c r="CF24" s="1381">
        <f t="shared" si="142"/>
        <v>471.00859383454633</v>
      </c>
      <c r="CG24" s="1027">
        <f t="shared" si="143"/>
        <v>468.00859383454633</v>
      </c>
      <c r="CH24" s="1027">
        <f t="shared" si="144"/>
        <v>0</v>
      </c>
      <c r="CI24" s="1189">
        <f>IF(V24&lt;='Options and results'!$W$20,CE24+AO24,0)</f>
        <v>-552.46787751341844</v>
      </c>
      <c r="CJ24" s="1023"/>
      <c r="CK24" s="895">
        <f t="shared" si="145"/>
        <v>17</v>
      </c>
      <c r="CL24" s="1011" t="str">
        <f>IF('Options and results'!$C$54="None",0,IF(AND(CK24&gt;='Options and results'!$K$57,CK23&lt;'Options and results'!$W$20),'Options and results'!$K$56,IF(Optimisation!$B$3="No",CONCATENATE('Options and results'!$C$60," ",(HLOOKUP(CONCATENATE('Options and results'!$C$54," ",Agroforestrysystem!$B$12),Agroforestrysystem!$B$11:$IM$74,$CK24+4,FALSE))),Optimisation!AA44)))</f>
        <v>UK - Agriculture (BPS: from 2015) Agroforestry fallow</v>
      </c>
      <c r="CM24" s="1012">
        <f>IF(HLOOKUP(CONCATENATE('Options and results'!$C$54," ",Agroforestrysystem!$C$12),Agroforestrysystem!$B$11:$IM$74,$CK24+4,FALSE)="T",(VLOOKUP(CL24,Arablefinance!$Z$6:$AB$105,Arablefinance!$AB$2,FALSE)*CO24+VLOOKUP(CL24,Arablefinance!$Z$6:$AC$105,Arablefinance!$AC$2,FALSE)*CP24)/VLOOKUP(CL24,Arablefinance!$Z$6:$AA$105,Arablefinance!$AA$2,FALSE),0)</f>
        <v>0</v>
      </c>
      <c r="CN24" s="1012">
        <f>IF(CL24=0,0,HLOOKUP(CONCATENATE('Options and results'!$C$54," ",Agroforestrysystem!$D$12),Agroforestrysystem!$B$11:$IM$74,$CK24+4,FALSE))</f>
        <v>0.99</v>
      </c>
      <c r="CO24" s="1440">
        <f ca="1">IF(CL24=0,0,IF(AND(Optimisation!$B$3="yes",Optimisation!$B$4=1,CK24&gt;Optimisation!$B$9),0,HLOOKUP(CONCATENATE('Options and results'!$C$54," ",Agroforestrysystem!$E$12),Agroforestrysystem!$B$11:$IM$74,$CK24+4,FALSE)*IF(CK24&gt;='Options and results'!$J$19,'Options and results'!$J$18,1)))</f>
        <v>0</v>
      </c>
      <c r="CP24" s="1440">
        <f ca="1">IF(CL24=0,0,IF(AND(Optimisation!$B$3="yes",Optimisation!$B$4=1,CK24&gt;Optimisation!$B$9),0,HLOOKUP(CONCATENATE('Options and results'!$C$54," ",Agroforestrysystem!$F$12),Agroforestrysystem!$B$11:$IM$74,$CK24+4,FALSE)*IF(CK24&gt;='Options and results'!$J$19,'Options and results'!$J$18,1)))</f>
        <v>0</v>
      </c>
      <c r="CQ24" s="1013">
        <f ca="1">IF(CN24&lt;=0,0,IF(CK24&lt;='Options and results'!$W$20,IF(CM24&gt;0,VLOOKUP(CL24,Arablefinance!$Z$6:$AE$105,Arablefinance!$AD$2,FALSE)*CM24*CN24,((VLOOKUP(CL24,Arablefinance!$E$6:$H$126,2,FALSE)*CO24+VLOOKUP(CL24,Arablefinance!$E$6:$H$126,3,FALSE)*CP24)*CN24)),0)*IF(CK24&gt;='Options and results'!$J$21,'Options and results'!$J$20,1))*IF(1+'Options and results'!$O$20*(CK24-1)&gt;0,1+'Options and results'!$O$20*(CK24-1),0)</f>
        <v>0</v>
      </c>
      <c r="CR24" s="1441">
        <f>IF(CN24&lt;=0,0,IF(AND(CM24&gt;0,VLOOKUP(CL24,Arablefinance!$Z$6:$AI$105,Arablefinance!$AI$2,FALSE)=2),VLOOKUP(CL24,Arablefinance!$Z$6:$AE$105,Arablefinance!$AE$2,FALSE)*CM24*CN24,IF('Options and results'!$C$62&gt;0,IF(VLOOKUP(CL24,Arablefinance!$E$6:$W$126,Arablefinance!$H$2,FALSE)*(1-Plot!DM24*'Options and results'!$C$62)&gt;0,VLOOKUP(CL24,Arablefinance!$E$6:$W$126,Arablefinance!$H$2,FALSE)*(1-Plot!DM24*'Options and results'!$C$62),0),IF(CK24&lt;='Options and results'!$W$20,(VLOOKUP(CL24,Arablefinance!$E$6:$W$126,Arablefinance!$H$2,FALSE)*IF('Options and results'!$C$61="area",CN24,'Options and results'!$C$61)),0)))*IF(CK24&gt;='Options and results'!$J$23,'Options and results'!$J$22,1))*IF(AND(1+'Options and results'!$O$23*(CK24-1)&gt;0,1+'Options and results'!$O$23*(CK24-1)&gt;'Options and results'!$S$24),1+'Options and results'!$O$23*(CK24-1),'Options and results'!$S$24)</f>
        <v>0</v>
      </c>
      <c r="CS24" s="1441">
        <f t="shared" ca="1" si="146"/>
        <v>0</v>
      </c>
      <c r="CT24" s="1441">
        <f>IF(CN24&lt;=0,0,IF(CK24&lt;='Options and results'!$W$20,IF(CM24&gt;0,VLOOKUP(CL24,Arablefinance!$Z$6:$AF$105,Arablefinance!$AF$2,FALSE)*CM24*CN24,VLOOKUP(CL24,Arablefinance!$E$6:$X$126,Arablefinance!$R$2,FALSE)*CN24),0)*IF(CK24&gt;='Options and results'!$J$27,'Options and results'!$J$26,1))*IF(1+'Options and results'!$O$22*(CK24-1)&gt;0,1+'Options and results'!$O$22*(CK24-1),0)</f>
        <v>0</v>
      </c>
      <c r="CU24" s="1441">
        <f t="shared" ca="1" si="147"/>
        <v>0</v>
      </c>
      <c r="CV24" s="1441">
        <f>IF(CN24&lt;=0,0,IF(CK24&lt;='Options and results'!$W$20,IF(CM24&gt;0,VLOOKUP(CL24,Arablefinance!$Z$6:$AG$105,Arablefinance!$AG$2,FALSE)*CM24*CN24,VLOOKUP(CL24,Arablefinance!$E$6:$X$126,Arablefinance!$X$2,FALSE)*CN24),0)*IF(CK24&gt;='Options and results'!$J$27,'Options and results'!$J$26,1))*IF(1+'Options and results'!$O$22*(CK24-1)&gt;0,1+'Options and results'!$O$22*(CK24-1),0)</f>
        <v>0</v>
      </c>
      <c r="CW24" s="1442">
        <f>IF(CN24&lt;=0,0,IF(CK24&lt;='Options and results'!$W$20,'Options and results'!$C$27*IF(CK24&gt;='Options and results'!$J$27,'Options and results'!$J$26,1),0))*IF(1+'Options and results'!$O$21*(CK24-1)&gt;0,1+'Options and results'!$O$21*(CK24-1),0)</f>
        <v>14.6</v>
      </c>
      <c r="CX24" s="1442">
        <f>IF(CN24&lt;=0,0,IF(CK24&lt;='Options and results'!$W$20,IF(CM24&gt;0,VLOOKUP(CL24,Arablefinance!$Z$6:$AH$105,Arablefinance!$AH$2,FALSE)*CM24*CN24,VLOOKUP(CL24,Arablefinance!$E$6:$W$126,Arablefinance!$V$2,FALSE)*CN24),0)*IF(CK24&gt;='Options and results'!$J$25,'Options and results'!$J$24,1))</f>
        <v>0</v>
      </c>
      <c r="CY24" s="1013">
        <f t="shared" si="148"/>
        <v>0</v>
      </c>
      <c r="CZ24" s="1353">
        <f t="shared" ca="1" si="149"/>
        <v>0</v>
      </c>
      <c r="DA24" s="1013">
        <f ca="1">IF($CK24&lt;='Options and results'!$W$20,SUM($CQ$8:CQ24),0)</f>
        <v>18417.950100000002</v>
      </c>
      <c r="DB24" s="1441">
        <f>IF($CK24&lt;='Options and results'!$W$20,SUM($CR$8:CR24),0)</f>
        <v>0</v>
      </c>
      <c r="DC24" s="1441">
        <f>IF($CK24&lt;='Options and results'!$W$20,SUM($CY$8:CY24),0)</f>
        <v>16943.30918829242</v>
      </c>
      <c r="DD24" s="1189">
        <f ca="1">IF(CK24&lt;='Options and results'!$W$20,DA24+DB24-DC24,0)</f>
        <v>1474.6409117075818</v>
      </c>
      <c r="DE24" s="401"/>
      <c r="DF24" s="895">
        <f t="shared" si="150"/>
        <v>17</v>
      </c>
      <c r="DG24" s="173"/>
      <c r="DH24" s="1422"/>
      <c r="DI24" s="1427">
        <f>IF(DF24&lt;='Options and results'!$M$61,'Options and results'!$M$60,0)</f>
        <v>0</v>
      </c>
      <c r="DJ24" s="740">
        <f t="shared" si="151"/>
        <v>0</v>
      </c>
      <c r="DK24" s="740">
        <f t="shared" si="152"/>
        <v>0</v>
      </c>
      <c r="DL24" s="1428">
        <f t="shared" si="153"/>
        <v>100</v>
      </c>
      <c r="DM24" s="1429">
        <f>IF($DG$8=0,0,HLOOKUP(CONCATENATE('Options and results'!$C$54," ",Agroforestrysystem!$J$12),Agroforestrysystem!$11:$74,DF24+3,FALSE))/100</f>
        <v>1</v>
      </c>
      <c r="DN24" s="740">
        <f>IF($DG$8=0,0,IF(HLOOKUP(CONCATENATE('Options and results'!$C$54," ",Agroforestrysystem!$H$12),Agroforestrysystem!$11:$74,DF24+4,FALSE)&lt;DL24,HLOOKUP(CONCATENATE('Options and results'!$C$54," ",Agroforestrysystem!$H$12),Agroforestrysystem!$11:$74,DF24+4,FALSE),0))</f>
        <v>0</v>
      </c>
      <c r="DO24" s="1027">
        <f>IF($DG$8=0,0,IF(HLOOKUP(CONCATENATE('Options and results'!$C$54," ",Agroforestrysystem!$H$12),Agroforestrysystem!$11:$74,DF24+4,FALSE)&gt;=DL24,DL24,0))</f>
        <v>0</v>
      </c>
      <c r="DP24" s="1430">
        <f>IF($DG$8=0,0,HLOOKUP(CONCATENATE('Options and results'!$C$54," ",Agroforestrysystem!$I$12),Agroforestrysystem!$11:$74,DF24+4,FALSE))</f>
        <v>20.894585316533927</v>
      </c>
      <c r="DQ24" s="1038"/>
      <c r="DR24" s="1390">
        <f>IF($DG$8=0,0,IF(DF24&gt;'Options and results'!$W$20,0,)+IF(DF24=1,'Options and results'!$M$64)+IF('Options and results'!$M$67="yes",IF(AND(DR23+'Options and results'!$M$65&lt;=$DQ$8,DR23+'Options and results'!$M$65+IF(DF24=1,'Options and results'!$M$64,0)&lt;='Options and results'!$M$66*DP24),DR23+'Options and results'!$M$65,DR23),(HLOOKUP(CONCATENATE('Options and results'!$C$54," ",Agroforestrysystem!$K$12),Agroforestrysystem!$11:$74,DF24+4,FALSE)-IF(DF24=1,'Options and results'!$M$64))))</f>
        <v>7.5</v>
      </c>
      <c r="DS24" s="1027">
        <f>IF(OR($DG$8=0,DL24=0),0,HLOOKUP(CONCATENATE('Options and results'!$C$54," ",Agroforestrysystem!$L$12),Agroforestrysystem!$11:$74,DF24+4,FALSE)*IF(DF24&gt;='Options and results'!$K$19,'Options and results'!$K$18,1))</f>
        <v>53.196042808101986</v>
      </c>
      <c r="DT24" s="1431">
        <f t="shared" si="154"/>
        <v>0.53196042808101984</v>
      </c>
      <c r="DU24" s="889">
        <f t="shared" si="155"/>
        <v>0</v>
      </c>
      <c r="DV24" s="1027">
        <f>IF($DG$8=0,0,(HLOOKUP(CONCATENATE('Options and results'!$C$54," ",Agroforestrysystem!$M$12),Agroforestrysystem!$11:$74,DF24+4,FALSE))*IF(DF24&gt;='Options and results'!$K$19,'Options and results'!$K$18,1))-DW24</f>
        <v>23.45666110355268</v>
      </c>
      <c r="DW24" s="303">
        <f>IF($DG$8=0,0,(HLOOKUP(CONCATENATE('Options and results'!$C$54," ",Agroforestrysystem!$N$12),Agroforestrysystem!$11:$74,DF24+4,FALSE))*IF(DF24&gt;='Options and results'!$K$19,'Options and results'!$K$18,1))</f>
        <v>0</v>
      </c>
      <c r="DX24" s="303">
        <f>IF($DG$8=0,0,HLOOKUP(CONCATENATE('Options and results'!$C$54," ",Agroforestrysystem!$O$12),Agroforestrysystem!$11:$74,DF24+4,FALSE)*IF(DF24&gt;='Options and results'!$K$19,'Options and results'!$K$18,1))</f>
        <v>0</v>
      </c>
      <c r="DY24" s="1192">
        <f>IF(DT24&gt;0,HLOOKUP(DT24,Treevalue!$I$4:$BC$34,'Options and results'!$C$66+1),0)*IF(DF24&gt;='Options and results'!$K$21,'Options and results'!$K$20,1)*IF(1+'Options and results'!$Q$20*(DF24-1)&gt;0,1+'Options and results'!$Q$20*(DF24-1),0)</f>
        <v>17.916185242497633</v>
      </c>
      <c r="DZ24" s="1027">
        <f t="shared" si="156"/>
        <v>953.07015711778911</v>
      </c>
      <c r="EA24" s="1027">
        <f t="shared" si="125"/>
        <v>0</v>
      </c>
      <c r="EB24" s="1027">
        <f>(IF('Options and results'!$C$66&gt;0,IF(DF24&lt;='Options and results'!$W$20,VLOOKUP('Options and results'!$C$66,Treevalue!$A$4:$F$34,5,FALSE),0),0)*DV24)*IF(DF24&gt;='Options and results'!$K$21,'Options and results'!$K$20,1)*IF(1+'Options and results'!$Q$20*(DF24-1)&gt;0,1+'Options and results'!$Q$20*(DF24-1),0)</f>
        <v>586.41652758881696</v>
      </c>
      <c r="EC24" s="740">
        <f>(IF('Options and results'!$C$66&gt;0,IF(DF24&lt;='Options and results'!$W$20,VLOOKUP('Options and results'!$C$66,Treevalue!$A$4:$F$34,5,FALSE),0),0)*DW24)*IF(DF24&gt;='Options and results'!$K$21,'Options and results'!$K$20,1)*IF(1+'Options and results'!$Q$20*(DF24-1)&gt;0,1+'Options and results'!$Q$20*(DF24-1),0)</f>
        <v>0</v>
      </c>
      <c r="ED24" s="889">
        <f>(IF('Options and results'!$C$66&gt;0,IF(DF24&lt;='Options and results'!$W$20,VLOOKUP('Options and results'!$C$66,Treevalue!$A$4:$F$34,6,FALSE),0),0)*DX24)*IF(DF24&gt;='Options and results'!$K$21,'Options and results'!$K$20,1)*IF(1+'Options and results'!$Q$20*(DF24-1)&gt;0,1+'Options and results'!$Q$20*(DF24-1),0)</f>
        <v>0</v>
      </c>
      <c r="EE24" s="740">
        <f>IF(DF24&lt;='Options and results'!$W$20,IF(DL24&lt;=0,0,IF('Options and results'!$C$70="cost",(IF(DF24&lt;='Options and results'!$C$71,FK24*SUM('Options and results'!$C$72:$C$73),0)),IF('Options and results'!$C$68&gt;0,(IF(VLOOKUP('Options and results'!$C$69,Treegrant!$B$6:$L$42,Treegrant!$C$2,FALSE)=DF24,VLOOKUP('Options and results'!$C$69,Treegrant!$B$6:$L$42,Treegrant!$D$2,FALSE),0)+IF(VLOOKUP('Options and results'!$C$69,Treegrant!$B$6:$L$42,Treegrant!$E$2,FALSE)=DF24,VLOOKUP('Options and results'!$C$69,Treegrant!$B$6:$L$42,Treegrant!$F$2,FALSE),0)+IF(VLOOKUP('Options and results'!$C$69,Treegrant!$B$6:$L$42,Treegrant!$G$2,FALSE)=DF24,VLOOKUP('Options and results'!$C$69,Treegrant!$B$6:$L$42,Treegrant!$H$2,FALSE)))*IF('Options and results'!$C$70="area",Unit!C25,'Options and results'!$C$70),0))*IF(DF24&gt;='Options and results'!$K$23,'Options and results'!$K$22,1)),0)*IF(1+'Options and results'!$Q$23*(DF24-1)&gt;0,1+'Options and results'!$Q$23*(DF24-1),0)</f>
        <v>0</v>
      </c>
      <c r="EF24" s="740">
        <f>IF($DG$8=0,0,IF(DF24&lt;='Options and results'!$W$20,IF(DL24&lt;=0,0,IF('Options and results'!$C$68&gt;0,IF(AND(VLOOKUP('Options and results'!$C$69,Treegrant!$B$6:$L$42,Treegrant!$J$2,FALSE)&lt;=DF24,VLOOKUP('Options and results'!$C$69,Treegrant!$B$6:$L$42,Treegrant!$K$2,FALSE)&gt;=DF24),(VLOOKUP('Options and results'!$C$69,Treegrant!$B$6:$L$42,Treegrant!$L$2,FALSE)),0)*IF('Options and results'!$C$74="area",Unit!C25,'Options and results'!$C$74))*IF(DF24&gt;='Options and results'!$K$23,'Options and results'!$K$22,1)),0))*IF(1+'Options and results'!$Q$23*(DF24-1)&gt;0,1+'Options and results'!$Q$23*(DF24-1),0)</f>
        <v>0</v>
      </c>
      <c r="EG24" s="1034">
        <f>IF($DG$8=0,0,IF(DF24&lt;='Options and results'!$W$20,IF(DL24&lt;=0,0,IF('Options and results'!$C$68&gt;0,((IF(AND(VLOOKUP('Options and results'!$C$69,Treegrant!$B$6:$O$42,Treegrant!$M$2,FALSE)&lt;=DF24,VLOOKUP('Options and results'!$C$69,Treegrant!$B$6:$O$42,Treegrant!$N$2,FALSE)&gt;=DF24),(VLOOKUP('Options and results'!$C$69,Treegrant!$B$6:$O$42,Treegrant!$O$2,FALSE)),0)*IF('Options and results'!$C$75="area",Unit!C25,'Options and results'!$C$75))+(IF(AND(VLOOKUP('Options and results'!$C$69,Treegrant!$B$6:$R$42,Treegrant!$P$2,FALSE)&lt;=DF24,VLOOKUP('Options and results'!$C$69,Treegrant!$B$6:$R$42,Treegrant!$Q$2,FALSE)&gt;=DF24),(VLOOKUP('Options and results'!$C$69,Treegrant!$B$6:$R$42,Treegrant!$R$2,FALSE)),0))*IF('Options and results'!$C$76="area",Unit!C25,'Options and results'!$C$76)))*IF(DF24&gt;='Options and results'!$K$23,'Options and results'!$K$22,1)),0))*IF(1+'Options and results'!$Q$23*(DF24-1)&gt;0,1+'Options and results'!$Q$23*(DF24-1),0)</f>
        <v>0</v>
      </c>
      <c r="EH24" s="1041"/>
      <c r="EI24" s="1042"/>
      <c r="EJ24" s="1419">
        <f>IF($DH$8+DK24&lt;1,0,IF(DF24=1,VLOOKUP($DG$8,Treecost!$B$6:$AH$49,Treecost!$E$2,FALSE),0)*IF(DF24&gt;='Options and results'!$K$25,'Options and results'!$K$24,1))</f>
        <v>0</v>
      </c>
      <c r="EK24" s="889">
        <f>IF($DH$8+DK24&lt;1,0,IF(DF24=1,VLOOKUP($DG$8,Treecost!$B$6:$AH$49,Treecost!$F$2,FALSE),0)*IF(DF24&gt;='Options and results'!$K$25,'Options and results'!$K$24,1))</f>
        <v>0</v>
      </c>
      <c r="EL24" s="889">
        <f>IF($DH$8+DK24&lt;1,0,IF(DF24=1,VLOOKUP($DG$8,Treecost!$B$6:$AH$49,Treecost!$G$2,FALSE),0)*IF(DF24&gt;='Options and results'!$K$25,'Options and results'!$K$24,1))</f>
        <v>0</v>
      </c>
      <c r="EM24" s="889">
        <f>IF($DG$8=0,0,IF(DF24&lt;='Options and results'!$W$20,((VLOOKUP($DG$8,Treecost!$B$6:$AH$49,Treecost!$H$2,FALSE)*(DH24+DK24))/60)*IF(DF24&gt;='Options and results'!$K$25,'Options and results'!$K$24,1),0))</f>
        <v>0</v>
      </c>
      <c r="EN24" s="889">
        <f>IF($DG$8=0,0,IF(DF24&lt;='Options and results'!$W$20,(((VLOOKUP($DG$8,Treecost!$B$6:$AH$49,Treecost!$I$2,FALSE))*(DH24+DK24))/60)*IF(DF24&gt;='Options and results'!$K$25,'Options and results'!$K$24,1),0))</f>
        <v>0</v>
      </c>
      <c r="EO24" s="889">
        <f>IF($DG$8=0,0,IF(DF24&lt;='Options and results'!$W$20,(((VLOOKUP($DG$8,Treecost!$B$6:$AH$49,Treecost!$J$2,FALSE))/60)*(DH24+DK24))*IF(DF24&gt;='Options and results'!$K$25,'Options and results'!$K$24,1),0))</f>
        <v>0</v>
      </c>
      <c r="EP24" s="1019">
        <f>IF($DG$8=0,0,IF(DF24&lt;='Options and results'!$W$20,(((VLOOKUP($DG$8,Treecost!$B$6:$AH$49,Treecost!$C$2,FALSE)+VLOOKUP($DG$8,Treecost!$B$6:$AH$49,Treecost!$D$2,FALSE))*(DH24+DK24)*IF(1+'Options and results'!$Q$22*(DF24-1)&gt;0,1+'Options and results'!$Q$22*(DF24-1),0))+(EJ24*$EI$8+EK24*$EI$9+EL24*$EI$10+EM24*$EI$11+EN24*$EI$12+EO24*$EI$13)*IF(1+'Options and results'!$Q$21*(DF24-1)&gt;0,1+'Options and results'!$Q$21*(DF24-1),0))*IF(DF24&gt;='Options and results'!$K$27,'Options and results'!$K$26,1),0))</f>
        <v>0</v>
      </c>
      <c r="EQ24" s="740">
        <f>IF($DG$8=0,0,IF(DF24&lt;='Options and results'!$W$20,IF(AND(VLOOKUP($DG$8,Treecost!$B$6:$AH$49,Treecost!$K$2,FALSE)&lt;=DF24,DF24&lt;=(VLOOKUP($DG$8,Treecost!$B$6:$AH$49,Treecost!$L$2,FALSE))),VLOOKUP($DG$8,Treecost!$B$6:$AH$49,Treecost!$M$2,FALSE)*DL24/60,0)*IF(DF24&gt;='Options and results'!$K$25,'Options and results'!$K$24,1),0))</f>
        <v>0</v>
      </c>
      <c r="ER24" s="1019">
        <f>IF(EQ24&gt;0,(VLOOKUP($DG$8,Treecost!$B$6:$AH$49,Treecost!$N$2,FALSE)*DL24*IF(1+'Options and results'!$Q$22*(DF24-1)&gt;0,1+'Options and results'!$Q$22*(DF24-1),0)+EQ24*$EI$14*IF(1+'Options and results'!$Q$21*(DF24-1)&gt;0,1+'Options and results'!$Q$21*(DF24-1),0)),0)*IF(DF24&gt;='Options and results'!$K$27,'Options and results'!$K$26,1)</f>
        <v>0</v>
      </c>
      <c r="ES24" s="889">
        <f>IF(DF24&lt;='Options and results'!$W$20,IF(AND(DR24-DR23&gt;0,DR24&gt;'Options and results'!$M$64),(DL24-DN24)*(VLOOKUP($DG$8,Treecost!$B$6:$AH$49,Treecost!$Y$2,FALSE)+(VLOOKUP($DG$8,Treecost!$B$6:$AH$49,Treecost!$AA$2,FALSE)-VLOOKUP($DG$8,Treecost!$B$6:$AH$49,Treecost!$Y$2,FALSE))/(VLOOKUP($DG$8,Treecost!$B$6:$AH$49,Treecost!$Z$2,FALSE)-VLOOKUP($DG$8,Treecost!$B$6:$AH$49,Treecost!$X$2,FALSE))*(DR24-VLOOKUP($DG$8,Treecost!$B$6:$AH$49,Treecost!$X$2,FALSE)))/60,0)*IF(DF24&gt;='Options and results'!$K$25,'Options and results'!$K$24,1),0)</f>
        <v>0</v>
      </c>
      <c r="ET24" s="889">
        <f>IF(DF24&lt;='Options and results'!$W$20,IF(ES24&gt;0,VLOOKUP($DG$8,Treecost!$B$6:$AH$49,Treecost!$AB$2,FALSE)/60*DL24,0)*IF(DF24&gt;='Options and results'!$K$25,'Options and results'!$K$24,1),0)*((ES24-(MIN($ES$8:$ES$67)))/((MAX($ES$8:$ES$67))-(MIN($ES$8:$ES$67))))</f>
        <v>0</v>
      </c>
      <c r="EU24" s="740">
        <f>IF(ES24&gt;0,(ES24*$EI$15+ET24*$EI$19)*IF(1+'Options and results'!$Q$21*(DF24-1)&gt;0,1+'Options and results'!$Q$21*(DF24-1),0),0)*IF(DF24&gt;='Options and results'!$K$27,'Options and results'!$K$26,1)</f>
        <v>0</v>
      </c>
      <c r="EV24" s="891">
        <f>IF($DG$8=0,0,IF(DF24&lt;='Options and results'!$W$20,IF(AND(VLOOKUP($DG$8,Treecost!$B$2:$AH$49,Treecost!$O$2,FALSE)=DF24,DF24&lt;=IF(AND(Optimisation!$B$3="Yes",Optimisation!$B$4=1),Optimisation!$B$9)),VLOOKUP($DG$8,Treecost!$B$2:$AH$49,Treecost!$P$2,FALSE)*(1-CN24),0)*IF(DF24&gt;='Options and results'!$K$25,'Options and results'!$K$24,1),0))</f>
        <v>0</v>
      </c>
      <c r="EW24" s="889">
        <f>IF($DG$8=0,0,IF(DF24&lt;='Options and results'!$W$20,IF(AND(DF24&gt;VLOOKUP($DG$8,Treecost!$B$2:$AH$49,Treecost!$O$2,FALSE),DF24&lt;=IF(AND(Optimisation!$B$3="Yes",Optimisation!$B$4=1),Optimisation!$B$9,VLOOKUP($DG$8,Treecost!$B$2:$AH$49,Treecost!$R$2,FALSE))),VLOOKUP($DG$8,Treecost!$B$2:$AH$49,Treecost!$S$2,FALSE)*(1-CN24),0)*IF(DF24&gt;='Options and results'!$K$25,'Options and results'!$K$24,1),0))</f>
        <v>0</v>
      </c>
      <c r="EX24" s="740">
        <f>IF($DG$8=0,0,IF(DF24&lt;='Options and results'!$W$20,(IF(AND(VLOOKUP($DG$8,Treecost!$B$2:$AH$49,Treecost!$O$2,FALSE)=DF24,DF24&lt;=IF(AND(Optimisation!$B$3="Yes",Optimisation!$B$4=1),Optimisation!$B$9)),VLOOKUP($DG$8,Treecost!$B$2:$AH$49,Treecost!$Q$2,FALSE),0)*(1-CN24)+IF(AND(DF24&gt;VLOOKUP($DG$8,Treecost!$B$2:$AH$49,Treecost!$O$2,FALSE),DF24&lt;=IF(AND(Optimisation!$B$3="Yes",Optimisation!$B$4=1),Optimisation!$B$9,VLOOKUP($DG$8,Treecost!$B$2:$AH$49,Treecost!$R$2,FALSE))),VLOOKUP($DG$8,Treecost!$B$2:$AH$49,Treecost!$T$2,FALSE),0)*(1-CN24)+(EV24*$EI$16+EW24*$EI$17))*IF(DF24&gt;='Options and results'!$K$27,'Options and results'!$K$26,1),0))*IF(1+'Options and results'!$Q$21*(DF24-1)&gt;0,1+'Options and results'!$Q$21*(DF24-1),0)</f>
        <v>0</v>
      </c>
      <c r="EY24" s="894">
        <f>IF($DG$8=0,0,IF(DF24&lt;='Options and results'!$W$20,IF(AND(DF24&gt;=VLOOKUP($DG$8,Treecost!$B$2:$W$49,Treecost!$U$2,FALSE),DF24&lt;=VLOOKUP($DG$8,Treecost!$B$2:$W$49,Treecost!$V$2,FALSE)),(DL24*VLOOKUP($DG$8,Treecost!$B$2:$W$49,Treecost!$W$2,FALSE)/60),0)*IF(DF24&gt;='Options and results'!$K$25,'Options and results'!$K$24,1),0))</f>
        <v>0</v>
      </c>
      <c r="EZ24" s="740">
        <f>EY24*$EI$18*IF(DF24&gt;='Options and results'!$K$27,'Options and results'!$K$26,1)*IF(1+'Options and results'!$Q$21*(DF24-1)&gt;0,1+'Options and results'!$Q$21*(DF24-1),0)</f>
        <v>0</v>
      </c>
      <c r="FA24" s="1025">
        <f>IF(DF24&lt;='Options and results'!$W$20,IF(DL24&lt;=0,0,VLOOKUP($DG$8,Treecost!$B$6:$AH$49,Treecost!$AC$2,FALSE)+VLOOKUP($DG$8,Treecost!$B$6:$AH$49,Treecost!$AD$2,FALSE)+IF(AND(DF24&gt;=VLOOKUP($DG$8,Treecost!$B$2:$AK$49,Treecost!$AI$2,FALSE),DF24&lt;=VLOOKUP($DG$8,Treecost!$B$2:$AK$49,Treecost!$AJ$2,FALSE)),VLOOKUP($DG$8,Treecost!$B$2:$AK$49,Treecost!$AK$2,FALSE)*(1-CN24),0))*IF(DF24&gt;='Options and results'!$K$27,'Options and results'!$K$26,1),0)*IF(1+'Options and results'!$Q$22*(DF24-1)&gt;0,1+'Options and results'!$Q$22*(DF24-1),0)</f>
        <v>3</v>
      </c>
      <c r="FB24" s="894">
        <f>IF(DF24&lt;='Options and results'!$W$20,IF(DN24&gt;0,VLOOKUP($DG$8,Treecost!$B$6:$AH$49,Treecost!$AE$2,FALSE)/60*DN24,0)*IF(DF24&gt;='Options and results'!$K$25,'Options and results'!$K$24,1),0)</f>
        <v>0</v>
      </c>
      <c r="FC24" s="740">
        <f>IF(DF24&lt;='Options and results'!$W$20,IF(DN24&gt;0,VLOOKUP($DG$8,Treecost!$B$6:$AH$49,Treecost!$AF$2,FALSE)/60*DN24,0)*IF(DF24&gt;='Options and results'!$K$25,'Options and results'!$K$24,1),0)</f>
        <v>0</v>
      </c>
      <c r="FD24" s="740">
        <f>(FB24*$EI$20+FC24*$EI$21)*IF(DF24&gt;='Options and results'!$K$27,'Options and results'!$K$26,1)*IF(1+'Options and results'!$Q$21*(DF24-1)&gt;0,1+'Options and results'!$Q$21*(DF24-1),0)</f>
        <v>0</v>
      </c>
      <c r="FE24" s="894">
        <f>IF(DF24&lt;='Options and results'!$W$20,IF(DO24&gt;0,(VLOOKUP($DG$8,Treecost!$B$6:$AH$49,Treecost!$AG$2,FALSE)/60*DO24)*IF(DF24&gt;='Options and results'!$K$25,'Options and results'!$K$24,1),0),0)</f>
        <v>0</v>
      </c>
      <c r="FF24" s="740">
        <f>IF(DF24&lt;='Options and results'!$W$20,IF(DO24&gt;0,(VLOOKUP($DG$8,Treecost!$B$6:$AH$49,Treecost!$AH$2,FALSE)/60*DO24)*IF(DF24&gt;='Options and results'!$K$25,'Options and results'!$K$24,1),0),0)</f>
        <v>0</v>
      </c>
      <c r="FG24" s="740">
        <f>(FE24*$EI$22+FF24*$EI$23)*IF(DF24&gt;='Options and results'!$K$27,'Options and results'!$K$26,1)*IF(1+'Options and results'!$Q$21*(DF24-1)&gt;0,1+'Options and results'!$Q$21*(DF24-1),0)</f>
        <v>0</v>
      </c>
      <c r="FH24" s="894">
        <f t="shared" si="157"/>
        <v>0</v>
      </c>
      <c r="FI24" s="1027">
        <f t="shared" si="158"/>
        <v>0</v>
      </c>
      <c r="FJ24" s="1027">
        <f t="shared" si="159"/>
        <v>0</v>
      </c>
      <c r="FK24" s="1027">
        <f t="shared" si="160"/>
        <v>3</v>
      </c>
      <c r="FL24" s="1027">
        <f t="shared" si="183"/>
        <v>-3</v>
      </c>
      <c r="FM24" s="1027">
        <f>IF($DF24&lt;='Options and results'!$W$20,SUM(FI$8:$FI24),0)</f>
        <v>0</v>
      </c>
      <c r="FN24" s="1027">
        <f>IF($DF24&lt;='Options and results'!$W$20,SUM($FJ$8:FJ24),0)</f>
        <v>0</v>
      </c>
      <c r="FO24" s="1027">
        <f>IF($DF24&lt;='Options and results'!$W$20,SUM($FK$8:FK24),0)</f>
        <v>1091.0448753513026</v>
      </c>
      <c r="FP24" s="1027">
        <f>IF($DF24&lt;='Options and results'!$W$20,FM24+FN24-FO24,0)</f>
        <v>-1091.0448753513026</v>
      </c>
      <c r="FQ24" s="1027">
        <f t="shared" si="162"/>
        <v>430.18692173767852</v>
      </c>
      <c r="FR24" s="1027">
        <f t="shared" si="163"/>
        <v>427.18692173767852</v>
      </c>
      <c r="FS24" s="1027">
        <f t="shared" si="164"/>
        <v>0</v>
      </c>
      <c r="FT24" s="1189">
        <f>IF(DF24&lt;='Options and results'!$W$20,FP24+DZ24,0)</f>
        <v>-137.9747182335135</v>
      </c>
      <c r="FU24" s="401"/>
      <c r="FV24" s="895">
        <f t="shared" si="165"/>
        <v>17</v>
      </c>
      <c r="FW24" s="894">
        <f>G24/(1+'Options and results'!$W$33)^(FV24-1)</f>
        <v>926.91475362032895</v>
      </c>
      <c r="FX24" s="740">
        <f>(AP24+AR24+AS24)/(1+'Options and results'!$W$33)^(FV24-1)</f>
        <v>0</v>
      </c>
      <c r="FY24" s="740">
        <f ca="1">CQ24/(1+'Options and results'!$W$33)^(FV24-1)</f>
        <v>0</v>
      </c>
      <c r="FZ24" s="740">
        <f>(EA24+EC24+ED24)/(1+'Options and results'!$W$33)^(FV24-1)</f>
        <v>0</v>
      </c>
      <c r="GA24" s="1019">
        <f t="shared" ca="1" si="180"/>
        <v>0</v>
      </c>
      <c r="GB24" s="1026">
        <f>(AO24+AQ24)/(1+'Options and results'!$W$33)^(FV24-1)+FX24</f>
        <v>955.69497053132034</v>
      </c>
      <c r="GC24" s="1027">
        <f>IF(FV24&gt;'Options and results'!$W$27,0,GB24-GB23)</f>
        <v>223.3065538079652</v>
      </c>
      <c r="GD24" s="1027">
        <f>(DZ24+EB24)/(1+'Options and results'!$W$33)^(FV24-1)+FZ24</f>
        <v>821.94452732434763</v>
      </c>
      <c r="GE24" s="1379">
        <f>IF(FV24&gt;'Options and results'!$W$27,0,GD24-GD23)</f>
        <v>205.98974607945252</v>
      </c>
      <c r="GF24" s="894">
        <f>IF(FV24&lt;='Options and results'!$W$20,SUM(FW$8:FW24),0)</f>
        <v>20040.817492465623</v>
      </c>
      <c r="GG24" s="740">
        <f>IF(FV24&lt;='Options and results'!$W$20,SUM(FX$8:FX24), 0)</f>
        <v>0</v>
      </c>
      <c r="GH24" s="740">
        <f ca="1">IF(FV24&lt;='Options and results'!$W$20,SUM(FY$8:FY24),0)</f>
        <v>14787.259868716837</v>
      </c>
      <c r="GI24" s="740">
        <f>IF(FV24&lt;='Options and results'!$W$20,SUM(FZ$8:FZ24),0)</f>
        <v>0</v>
      </c>
      <c r="GJ24" s="1019">
        <f t="shared" ca="1" si="166"/>
        <v>14787.259868716837</v>
      </c>
      <c r="GK24" s="894">
        <f>IF(FV24&gt;'Options and results'!$W$27,0,GG24+SUM(GC$8:GC24)-FX24)</f>
        <v>955.69497053132034</v>
      </c>
      <c r="GL24" s="740">
        <f>IF(FV24&lt;='Options and results'!$W$20,SUM(GD$8:GD24),0)</f>
        <v>2825.2607688958797</v>
      </c>
      <c r="GM24" s="1034">
        <f t="shared" ca="1" si="167"/>
        <v>17612.520637612717</v>
      </c>
      <c r="GN24" s="401"/>
      <c r="GO24" s="895">
        <f t="shared" si="168"/>
        <v>17</v>
      </c>
      <c r="GP24" s="894">
        <f>H24/(1+'Options and results'!$W$33)^(GO24-1)</f>
        <v>125.57520292130981</v>
      </c>
      <c r="GQ24" s="740">
        <f>SUM(AT24:AV24)/(1+'Options and results'!$W$33)^(GO24-1)</f>
        <v>0</v>
      </c>
      <c r="GR24" s="740">
        <f>CR24/(1+'Options and results'!$W$33)^(GO24-1)</f>
        <v>0</v>
      </c>
      <c r="GS24" s="740">
        <f>SUM(EE24:EG24)/(1+'Options and results'!$W$33)^(GO24-1)</f>
        <v>0</v>
      </c>
      <c r="GT24" s="1019">
        <f t="shared" si="181"/>
        <v>0</v>
      </c>
      <c r="GU24" s="894">
        <f>IF(GO24&lt;='Options and results'!$W$20,SUM(GP$8:GP24),0)</f>
        <v>2975.8199269672509</v>
      </c>
      <c r="GV24" s="740">
        <f>IF(GO24&lt;='Options and results'!$W$20,SUM(GQ$8:GQ24),0)</f>
        <v>0</v>
      </c>
      <c r="GW24" s="740">
        <f>IF(GO24&lt;='Options and results'!$W$20,SUM(GR$8:GR24),0)</f>
        <v>0</v>
      </c>
      <c r="GX24" s="740">
        <f>IF(GO24&lt;='Options and results'!$W$20,SUM(GS$8:GS24),0)</f>
        <v>0</v>
      </c>
      <c r="GY24" s="1034">
        <f>IF(GO24&lt;='Options and results'!$W$20,SUM(GT$8:GT24),0)</f>
        <v>0</v>
      </c>
      <c r="GZ24" s="401"/>
      <c r="HA24" s="895">
        <f t="shared" si="169"/>
        <v>17</v>
      </c>
      <c r="HB24" s="1026">
        <f>(J24+L24+(M24*N24))/(1+'Options and results'!$W$33)^(HA24-1)</f>
        <v>676.67993603767729</v>
      </c>
      <c r="HC24" s="740">
        <f>BZ24/(1+'Options and results'!$W$33)^(HA24-1)</f>
        <v>1.6017245270575231</v>
      </c>
      <c r="HD24" s="1027">
        <f>(CT24+CV24+(CW24*CX24))/(1+'Options and results'!$W$33)^(HA24-1)</f>
        <v>0</v>
      </c>
      <c r="HE24" s="740">
        <f>FK24/(1+'Options and results'!$W$33)^(HA24-1)</f>
        <v>1.6017245270575231</v>
      </c>
      <c r="HF24" s="1019">
        <f t="shared" si="182"/>
        <v>1.6017245270575231</v>
      </c>
      <c r="HG24" s="894">
        <f>IF(HA24&lt;='Options and results'!$W$20,SUM(HB$8:HB24),0)</f>
        <v>15422.244087004126</v>
      </c>
      <c r="HH24" s="740">
        <f>IF(HA24&lt;='Options and results'!$W$20,SUM(HC$8:HC24),0)</f>
        <v>1389.1636618525183</v>
      </c>
      <c r="HI24" s="740">
        <f>IF(HA24&lt;='Options and results'!$W$20,SUM(HD$8:HD24),0)</f>
        <v>13294.975863606456</v>
      </c>
      <c r="HJ24" s="740">
        <f>IF(HA24&lt;='Options and results'!$W$20,SUM(HE$8:HE24),0)</f>
        <v>933.54347380070669</v>
      </c>
      <c r="HK24" s="1034">
        <f>IF(HA24&lt;='Options and results'!$W$20,SUM(HF$8:HF24),0)</f>
        <v>14228.519337407164</v>
      </c>
      <c r="HL24" s="405"/>
      <c r="HM24" s="895">
        <f t="shared" si="170"/>
        <v>17</v>
      </c>
      <c r="HN24" s="1026">
        <f t="shared" si="171"/>
        <v>375.81002050396148</v>
      </c>
      <c r="HO24" s="1027">
        <f t="shared" si="172"/>
        <v>-1.6017245270575231</v>
      </c>
      <c r="HP24" s="1027">
        <f t="shared" ca="1" si="173"/>
        <v>0</v>
      </c>
      <c r="HQ24" s="1027">
        <f t="shared" si="174"/>
        <v>-1.6017245270575231</v>
      </c>
      <c r="HR24" s="1027">
        <f t="shared" si="175"/>
        <v>221.70482928090769</v>
      </c>
      <c r="HS24" s="1379">
        <f t="shared" si="176"/>
        <v>204.388021552395</v>
      </c>
      <c r="HT24" s="1026">
        <f>IF($HM24&lt;='Options and results'!$W$20,SUM(HN$8:HN24),0)</f>
        <v>7594.3933324287455</v>
      </c>
      <c r="HU24" s="1027">
        <f>IF($HM24&lt;='Options and results'!$W$20,SUM(HO$8:HO24),0)</f>
        <v>-1389.1636618525183</v>
      </c>
      <c r="HV24" s="1027">
        <f ca="1">IF($HM24&lt;='Options and results'!$W$20,SUM(HP$8:HP24),0)</f>
        <v>1492.284005110379</v>
      </c>
      <c r="HW24" s="1027">
        <f>IF($HM24&lt;='Options and results'!$W$20,SUM(HQ$8:HQ24),0)</f>
        <v>-933.54347380070669</v>
      </c>
      <c r="HX24" s="1027">
        <f t="shared" ca="1" si="177"/>
        <v>558.74053130967229</v>
      </c>
      <c r="HY24" s="1027">
        <f>IF($HM24&lt;='Options and results'!$W$20,SUM(HR$8:HR24),0)</f>
        <v>-433.46869132119809</v>
      </c>
      <c r="HZ24" s="1027">
        <f>IF($HM24&lt;='Options and results'!$W$20,SUM(HS$8:HS24),0)</f>
        <v>-111.59894647635872</v>
      </c>
      <c r="IA24" s="1189">
        <f t="shared" ca="1" si="178"/>
        <v>1380.6850586340202</v>
      </c>
    </row>
    <row r="25" spans="1:235" x14ac:dyDescent="0.25">
      <c r="A25" s="1010">
        <f t="shared" si="126"/>
        <v>18</v>
      </c>
      <c r="B25" s="1011" t="str">
        <f>IF('Options and results'!$C$17="None",0,CONCATENATE('Options and results'!$C$23," ",(HLOOKUP(CONCATENATE('Options and results'!$C$17," ",Arablesystem!$B$11),Arablesystem!$B$10:$ER$72,$A25+3,FALSE))))</f>
        <v>UK - Agriculture (BPS: from 2015) Wheat</v>
      </c>
      <c r="C25" s="1012">
        <f>IF(HLOOKUP(CONCATENATE('Options and results'!$C$17," ",Arablesystem!$C$11),Arablesystem!$B$10:$ER$72,$A25+3,FALSE)="T",(VLOOKUP(B25,Arablefinance!$Z$6:$AB$105,Arablefinance!$AB$2,FALSE)*E25+VLOOKUP(B25,Arablefinance!$Z$6:$AC$105,Arablefinance!$AC$2,FALSE)*F25)/VLOOKUP(B25,Arablefinance!$Z$6:$AA$105,Arablefinance!$AA$2,FALSE),0)</f>
        <v>0</v>
      </c>
      <c r="D25" s="1012">
        <f>IF(B25=0,0,HLOOKUP(CONCATENATE('Options and results'!$C$17," ",Arablesystem!$D$11),Arablesystem!$B$10:$ER$72,$A25+3,FALSE))</f>
        <v>1</v>
      </c>
      <c r="E25" s="1440">
        <f>IF(B25=0,0,HLOOKUP(CONCATENATE('Options and results'!$C$17," ",Arablesystem!$E$11),Arablesystem!$B$10:$ER$72,$A25+3,FALSE)*IF(A25&gt;='Options and results'!$H$19,'Options and results'!$H$18,1))</f>
        <v>6.9787773046095287</v>
      </c>
      <c r="F25" s="1440">
        <f>IF(B25=0,0,HLOOKUP(CONCATENATE('Options and results'!$C$17," ",Arablesystem!$F$11),Arablesystem!$B$10:$ER$72,$A25+3,FALSE)*IF(A25&gt;='Options and results'!$H$19,'Options and results'!$H$18,1))</f>
        <v>2.7915109218438117</v>
      </c>
      <c r="G25" s="1013">
        <f>IF(D25&lt;=0,0,IF(A25&lt;='Options and results'!$W$20,IF(C25&gt;0,VLOOKUP(B25,Arablefinance!$Z$6:$AE$105,Arablefinance!$AD$2,FALSE)*C25*D25,((VLOOKUP(B25,Arablefinance!$E$6:$G$126,Arablefinance!$F$2,FALSE)*(E25*D25)+VLOOKUP(B25,Arablefinance!$E$6:$G$126,Arablefinance!$G$2,FALSE)*(F25*D25)))),0)*IF(A25&gt;='Options and results'!$H$21,'Options and results'!$H$20,1))*IF(1+'Options and results'!$O$20*(A25-1)&gt;0,1+'Options and results'!$O$20*(A25-1),0)</f>
        <v>1316.2749416194083</v>
      </c>
      <c r="H25" s="1441">
        <f>IF(D25&lt;=0,0,IF(A25&lt;='Options and results'!$W$20,IF(AND(C25&gt;0,VLOOKUP(B25,Arablefinance!$Z$6:$AI$105,Arablefinance!$AI$2,FALSE)=2),VLOOKUP(B25,Arablefinance!$Z$6:$AE$105,Arablefinance!$AE$2,FALSE)*C25*D25,(VLOOKUP(B25,Arablefinance!$E$6:$H$126,Arablefinance!$H$2,FALSE)*D25))*IF(A25&gt;='Options and results'!$H$23,'Options and results'!$H$22,1),0)*IF(AND(1+'Options and results'!$O$23*(A25-1)&gt;0,1+'Options and results'!$O$23*(A25-1)&gt;'Options and results'!$S$24),1+'Options and results'!$O$23*(A25-1),'Options and results'!$S$24))</f>
        <v>235.2</v>
      </c>
      <c r="I25" s="1441">
        <f t="shared" si="127"/>
        <v>1551.4749416194084</v>
      </c>
      <c r="J25" s="1441">
        <f>IF(D25&lt;=0,0,IF(A25&lt;='Options and results'!$W$20,IF(C25&gt;0,VLOOKUP(B25,Arablefinance!$Z$6:$AF$105,Arablefinance!$AF$2,FALSE)*C25*D25,(VLOOKUP(B25,Arablefinance!$E$6:$X$126,Arablefinance!$R$2,FALSE))*D25),0)*IF(A25&gt;='Options and results'!$H$27,'Options and results'!$H$26,1))*IF(1+'Options and results'!$O$22*(A25-1)&gt;0,1+'Options and results'!$O$22*(A25-1),0)</f>
        <v>653.12499999999989</v>
      </c>
      <c r="K25" s="1441">
        <f t="shared" si="128"/>
        <v>898.34994161940847</v>
      </c>
      <c r="L25" s="1441">
        <f>IF(D25&lt;=0,0,IF(A25&lt;='Options and results'!$W$20,IF(C25&gt;0,VLOOKUP(B25,Arablefinance!$Z$6:$AG$105,Arablefinance!$AG$2,FALSE)*C25*D25,VLOOKUP(B25,Arablefinance!$E$6:$X$126,Arablefinance!$X$2,FALSE)*D25),0)*IF(A25&gt;='Options and results'!$H$27,'Options and results'!$H$26,1))*IF(1+'Options and results'!$O$22*(A25-1)&gt;0,1+'Options and results'!$O$22*(A25-1),0)</f>
        <v>444.44444444444446</v>
      </c>
      <c r="M25" s="1442">
        <f>IF(D25&lt;=0,0,IF(A25&lt;='Options and results'!$W$20,'Options and results'!$C$27,0)*IF(A25&gt;='Options and results'!$H$27,'Options and results'!$H$26,1))*IF(1+'Options and results'!$O$21*(A25-1)&gt;0,1+'Options and results'!$O$21*(A25-1),0)</f>
        <v>14.6</v>
      </c>
      <c r="N25" s="1442">
        <f>IF(D25&lt;=0,0,IF(A25&lt;='Options and results'!$W$20,IF(C25&gt;0,VLOOKUP(B25,Arablefinance!$Z$6:$AH$105,Arablefinance!$AH$2,FALSE)*C25*D25,VLOOKUP(B25,Arablefinance!$E$6:$W$126,Arablefinance!$V$2,FALSE)*D25),0)*IF(A25&gt;='Options and results'!$H$25,'Options and results'!$H$24,1))</f>
        <v>11.632834596849463</v>
      </c>
      <c r="O25" s="1013">
        <f t="shared" si="129"/>
        <v>1267.4088295584465</v>
      </c>
      <c r="P25" s="1353">
        <f t="shared" si="130"/>
        <v>284.06611206096181</v>
      </c>
      <c r="Q25" s="1013">
        <f>IF(A25&lt;='Options and results'!$W$20,SUM(G$8:$G25),0)</f>
        <v>28175.521804161835</v>
      </c>
      <c r="R25" s="1441">
        <f>IF($A25&lt;='Options and results'!$W$20,SUM($H$8:H25),0)</f>
        <v>4233.5999999999985</v>
      </c>
      <c r="S25" s="1441">
        <f>IF($A25&lt;='Options and results'!$W$20,SUM($O$8:O25),0)</f>
        <v>21974.332414358229</v>
      </c>
      <c r="T25" s="1032">
        <f>IF(A25&lt;='Options and results'!$W$20,Q25+R25-S25,0)</f>
        <v>10434.789389803605</v>
      </c>
      <c r="U25" s="405"/>
      <c r="V25" s="1010">
        <f t="shared" si="131"/>
        <v>18</v>
      </c>
      <c r="W25" s="173"/>
      <c r="X25" s="1036"/>
      <c r="Y25" s="1030">
        <f>IF(V25&lt;='Options and results'!$M$34,'Options and results'!$M$33,0)</f>
        <v>0</v>
      </c>
      <c r="Z25" s="1441">
        <f t="shared" si="132"/>
        <v>0</v>
      </c>
      <c r="AA25" s="1441">
        <f t="shared" si="133"/>
        <v>0</v>
      </c>
      <c r="AB25" s="1428">
        <f t="shared" si="134"/>
        <v>156</v>
      </c>
      <c r="AC25" s="1441">
        <f>IF($W$8=0,0,IF(HLOOKUP(CONCATENATE('Options and results'!$C$32," ",Forestrysystem!$C$8),Forestrysystem!$A$7:$IH$70,V25+4,FALSE)&lt;AB25,HLOOKUP(CONCATENATE('Options and results'!$C$32," ",Forestrysystem!$C$8),Forestrysystem!$A$7:$IH$70,V25+4,FALSE),0))</f>
        <v>0</v>
      </c>
      <c r="AD25" s="1441">
        <f>IF($W$8=0,0,IF(HLOOKUP(CONCATENATE('Options and results'!$C$32," ",Forestrysystem!$C$8),Forestrysystem!$A$7:$IH$70,V25+4,FALSE)&gt;=AB25,AB25,0))</f>
        <v>0</v>
      </c>
      <c r="AE25" s="1440">
        <f>IF($W$8=0,0,HLOOKUP(CONCATENATE('Options and results'!$C$32," ",Forestrysystem!$D$8),Forestrysystem!$A$7:$IH$70,$V25+4,FALSE))</f>
        <v>20.458164288201111</v>
      </c>
      <c r="AF25" s="1037"/>
      <c r="AG25" s="1440">
        <f>IF($W$8=0,0,IF(V25=1,'Options and results'!$M$36,0)+IF('Options and results'!$M$39="yes",IF(AND(AG24+'Options and results'!$M$37&lt;=$AF$8,AG24+'Options and results'!$M$37+IF(V25=1,'Options and results'!$M$36,0)&lt;='Options and results'!$M$38*AE25),AG24+'Options and results'!$M$37,AG24),(HLOOKUP(CONCATENATE('Options and results'!$C$32," ",Forestrysystem!$E$8),Forestrysystem!$A$7:$IH$70,V25+4,FALSE))-IF(V25=1,'Options and results'!$M$36,0)))</f>
        <v>7.5</v>
      </c>
      <c r="AH25" s="1442">
        <f>IF(OR($W$8=0,AB25&lt;=0),0,(HLOOKUP(CONCATENATE('Options and results'!$C$32," ",Forestrysystem!$F$8),Forestrysystem!$A$7:$IH$70,$V25+4,FALSE)) * IF(V25&gt;='Options and results'!$I$19,'Options and results'!$I$18,1) )</f>
        <v>77.893755262702228</v>
      </c>
      <c r="AI25" s="1452">
        <f t="shared" si="179"/>
        <v>0.49931894399168097</v>
      </c>
      <c r="AJ25" s="1442">
        <f t="shared" si="135"/>
        <v>0</v>
      </c>
      <c r="AK25" s="1453">
        <f>IF(OR($W$8=0,AE25&lt;=0),0,(HLOOKUP(CONCATENATE('Options and results'!$C$32," ",Forestrysystem!$G$8),Forestrysystem!$A$7:$IH$70,$V25+4,FALSE)) * IF(Y25&gt;='Options and results'!$I$19,'Options and results'!$I$18,1) )</f>
        <v>34.347055209941288</v>
      </c>
      <c r="AL25" s="1453">
        <f>IF($W$8=0,0,HLOOKUP(CONCATENATE('Options and results'!$C$32," ",Forestrysystem!$H$8),Forestrysystem!$A$7:$IH$70,$V25+4,FALSE)*IF(V25&gt;='Options and results'!$I$19,'Options and results'!$I$18,1))</f>
        <v>0</v>
      </c>
      <c r="AM25" s="1383">
        <f>IF($W$8=0,0,HLOOKUP(CONCATENATE('Options and results'!$C$32," ",Forestrysystem!$I$8),Forestrysystem!$A$7:$IH$70,$V25+4,FALSE)*IF(V25&gt;='Options and results'!$I$19,'Options and results'!$I$18,1))</f>
        <v>0</v>
      </c>
      <c r="AN25" s="1382">
        <f>IF(AI25&gt;0,HLOOKUP(AI25,Treevalue!$I$4:$BC$34,'Options and results'!$C$39+1),0)*IF(V25&gt;='Options and results'!$I$21,'Options and results'!$I$20,1)*IF(1+'Options and results'!$Q$20*(V25-1)&gt;0,1+'Options and results'!$Q$20*(V25-1),0)</f>
        <v>16.279174727217832</v>
      </c>
      <c r="AO25" s="1454">
        <f t="shared" si="136"/>
        <v>1268.0460520806732</v>
      </c>
      <c r="AP25" s="1454">
        <f t="shared" si="137"/>
        <v>0</v>
      </c>
      <c r="AQ25" s="1454">
        <f>(IF('Options and results'!$C$39&gt;0,IF(V25&lt;='Options and results'!$W$20,VLOOKUP('Options and results'!$C$39,Treevalue!$A$4:$F$34,5,FALSE),0),0)*AK25)*IF(V25&gt;='Options and results'!$I$21,'Options and results'!$I$20,1)*IF(1+'Options and results'!$Q$20*(V25-1)&gt;0,1+'Options and results'!$Q$20*(V25-1),0)-AR25</f>
        <v>858.67638024853227</v>
      </c>
      <c r="AR25" s="1441">
        <f>(IF('Options and results'!$C$39&gt;0,IF(V25&lt;='Options and results'!$W$20,VLOOKUP('Options and results'!$C$39,Treevalue!$A$4:$F$34,5,FALSE),0),0)*AL25)*IF(V25&gt;='Options and results'!$I$21,'Options and results'!$I$20,1)*IF(1+'Options and results'!$Q$20*(V25-1)&gt;0,1+'Options and results'!$Q$20*(V25-1),0)</f>
        <v>0</v>
      </c>
      <c r="AS25" s="1441">
        <f>(IF('Options and results'!$C$39&gt;0,IF(V25&lt;='Options and results'!$W$20,VLOOKUP('Options and results'!$C$39,Treevalue!$A$4:$F$34,6,FALSE),0),0)*AM25)*IF(V25&gt;='Options and results'!$I$21,'Options and results'!$I$20,1)*IF(1+'Options and results'!$Q$20*(V25-1)&gt;0,1+'Options and results'!$Q$20*(V25-1),0)</f>
        <v>0</v>
      </c>
      <c r="AT25" s="1441">
        <f>IF(V25&lt;='Options and results'!$W$20,(IF(AB25&lt;=0,0,IF('Options and results'!$C$43="cost",(IF(V25&lt;='Options and results'!$C$44,BZ25*SUM('Options and results'!$C$45:$C$46),0)),IF('Options and results'!$C$41&gt;0,(IF(VLOOKUP('Options and results'!$C$42,Treegrant!$B$6:$L$42,Treegrant!$C$2,FALSE)=V25,VLOOKUP('Options and results'!$C$42,Treegrant!$B$6:$L$42,Treegrant!$D$2,FALSE),0)+IF(VLOOKUP('Options and results'!$C$42,Treegrant!$B$6:$L$42,Treegrant!$E$2,FALSE)=V25,VLOOKUP('Options and results'!$C$42,Treegrant!$B$6:$L$42,Treegrant!$F$2,FALSE),0)+IF(VLOOKUP('Options and results'!$C$42,Treegrant!$B$6:$L$42,Treegrant!$G$2,FALSE)=V25,VLOOKUP('Options and results'!$C$42,Treegrant!$B$6:$L$42,Treegrant!$H$2,FALSE)))*IF('Options and results'!$C$43="area",1,'Options and results'!$C$43),0)))*IF(V25&gt;='Options and results'!$I$23,'Options and results'!$I$22,1)),0)*IF(1+'Options and results'!$Q$23*(V25-1)&gt;0,1+'Options and results'!$Q$23*(V25-1),0)</f>
        <v>0</v>
      </c>
      <c r="AU25" s="1441">
        <f>IF($W$8=0,0,IF(V25&lt;='Options and results'!$W$20,IF(AB25&lt;=0,0,IF('Options and results'!$C$41&gt;0,IF(AND(VLOOKUP('Options and results'!$C$42,Treegrant!$B$6:$L$42,Treegrant!$J$2,FALSE)&lt;=V25,VLOOKUP('Options and results'!$C$42,Treegrant!$B$6:$L$42,Treegrant!$K$2,FALSE)&gt;=V25),(VLOOKUP('Options and results'!$C$42,Treegrant!$B$6:$L$42,Treegrant!$L$2,FALSE)),0)*IF('Options and results'!$C$47="full",1,'Options and results'!$C$47))*IF(V25&gt;='Options and results'!$I$23,'Options and results'!$I$22,1)),0))*IF(1+'Options and results'!$Q$23*(V25-1)&gt;0,1+'Options and results'!$Q$23*(V25-1),0)</f>
        <v>0</v>
      </c>
      <c r="AV25" s="1032">
        <f>IF($W$8=0,0,IF(V25&lt;='Options and results'!$W$20,IF(AB25&lt;=0,0,(IF('Options and results'!$C$41&gt;0,(IF(AND(VLOOKUP('Options and results'!$C$42,Treegrant!$B$6:$O$42,Treegrant!$M$2,FALSE)&lt;=V25,VLOOKUP('Options and results'!$C$42,Treegrant!$B$6:$O$42,Treegrant!$N$2,FALSE)&gt;=V25),(VLOOKUP('Options and results'!$C$42,Treegrant!$B$6:$O$42,Treegrant!$O$2,FALSE)),0)*IF('Options and results'!$C$48="full",1,'Options and results'!$C$48))+(IF(AND(VLOOKUP('Options and results'!$C$42,Treegrant!$B$6:$R$42,Treegrant!$P$2,FALSE)&lt;=V25,VLOOKUP('Options and results'!$C$42,Treegrant!$B$6:$R$42,Treegrant!$Q$2,FALSE)&gt;=V25),(VLOOKUP('Options and results'!$C$42,Treegrant!$B$6:$R$42,Treegrant!$R$2,FALSE)),0))*IF('Options and results'!$C$49="full",1,'Options and results'!$C$49)))*IF(V25&gt;='Options and results'!$I$23,'Options and results'!$I$22,1)),0))*IF(1+'Options and results'!$Q$23*(V25-1)&gt;0,1+'Options and results'!$Q$23*(V25-1),0)</f>
        <v>0</v>
      </c>
      <c r="AW25" s="1041"/>
      <c r="AX25" s="1042"/>
      <c r="AY25" s="1419">
        <f>IF($W$8=0,0,IF(V25=1,VLOOKUP($W$8,Treecost!$B$6:$AH$49,Treecost!$E$2,FALSE),0)*IF(V25&gt;='Options and results'!$I$25,'Options and results'!$I$24,1))</f>
        <v>0</v>
      </c>
      <c r="AZ25" s="889">
        <f>IF($W$8=0,0,IF(V25=1,VLOOKUP($W$8,Treecost!$B$6:$AH$49,Treecost!$F$2,FALSE),0)*IF(V25&gt;='Options and results'!$I$25,'Options and results'!$I$24,1))</f>
        <v>0</v>
      </c>
      <c r="BA25" s="889">
        <f>IF($W$8=0,0,IF(V25=1,VLOOKUP($W$8,Treecost!$B$6:$AH$49,Treecost!$G$2,FALSE),0)*IF(V25&gt;='Options and results'!$I$25,'Options and results'!$I$24,1))</f>
        <v>0</v>
      </c>
      <c r="BB25" s="889">
        <f>IF($W$8=0,0,IF(V25&lt;='Options and results'!$W$20,((VLOOKUP($W$8,Treecost!$B$6:$AH$49,Treecost!$H$2,FALSE)*(X25+AA25))/60)*IF(V25&gt;='Options and results'!$I$25,'Options and results'!$I$24,1),0))</f>
        <v>0</v>
      </c>
      <c r="BC25" s="889">
        <f>IF($W$8=0,0,IF(V25&lt;='Options and results'!$W$20,(((VLOOKUP($W$8,Treecost!$B$6:$AH$49,Treecost!$I$2,FALSE))*(X25+AA25))/60)*IF(V25&gt;='Options and results'!$I$25,'Options and results'!$I$24,1),0))</f>
        <v>0</v>
      </c>
      <c r="BD25" s="889">
        <f>IF($W$8=0,0,IF(V25&lt;='Options and results'!$W$20,(((VLOOKUP($W$8,Treecost!$B$6:$AH$49,Treecost!$J$2,FALSE))/60)*(X25+AA25))*IF(V25&gt;='Options and results'!$I$25,'Options and results'!$I$24,1),0))</f>
        <v>0</v>
      </c>
      <c r="BE25" s="1019">
        <f>IF($W$8=0,0,IF(V25&lt;='Options and results'!$W$20,(((VLOOKUP($W$8,Treecost!$B$6:$AH$49,Treecost!$C$2,FALSE)+VLOOKUP($W$8,Treecost!$B$6:$AH$49,Treecost!$D$2,FALSE))*(X25+AA25)*IF(1+'Options and results'!$Q$22*(V25-1)&gt;0,1+'Options and results'!$Q$22*(V25-1),0))+((AY25*$AX$8+AZ25*$AX$9+BA25*$AX$10+BB25*$AX$11+BC25*$AX$12+BD25*$AX$13)*IF(1+'Options and results'!$Q$21*(V25-1)&gt;0,1+'Options and results'!$Q$21*(V25-1),0)))*IF(V25&gt;='Options and results'!$I$27,'Options and results'!$I$26,1),0))</f>
        <v>0</v>
      </c>
      <c r="BF25" s="889">
        <f>IF($W$8=0,0,IF(V25&lt;='Options and results'!$W$20,IF(AND(VLOOKUP($W$8,Treecost!$B$6:$AH$49,Treecost!$K$2,FALSE)&lt;=V25,V25&lt;=(VLOOKUP($W$8,Treecost!$B$6:$AH$49,Treecost!$L$2,FALSE))),VLOOKUP($W$8,Treecost!$B$6:$AH$49,Treecost!$M$2,FALSE)*AB25/60,0)*IF(V25&gt;='Options and results'!$I$25,'Options and results'!$I$24,1),0))</f>
        <v>0</v>
      </c>
      <c r="BG25" s="1019">
        <f>IF(BF25&gt;0,(VLOOKUP($W$8,Treecost!$B$6:$AH$49,Treecost!$N$2,FALSE)*AB25*IF(1+'Options and results'!$Q$22*(V25-1)&gt;0,1+'Options and results'!$Q$22*(V25-1),0)+BF25*$AX$14*IF(1+'Options and results'!$Q$21*(V25-1)&gt;0,1+'Options and results'!$Q$21*(V25-1),0)),0)*IF(V25&gt;='Options and results'!$I$27,'Options and results'!$I$26,1)</f>
        <v>0</v>
      </c>
      <c r="BH25" s="889">
        <f>IF(V25&lt;='Options and results'!$W$20,IF(AND(AG25-AG24&gt;0,AG25&gt;'Options and results'!$M$36),(AB25-AC25)*(VLOOKUP($W$8,Treecost!$B$6:$AH$49,Treecost!$Y$2,FALSE)+(VLOOKUP($W$8,Treecost!$B$6:$AH$49,Treecost!$AA$2,FALSE)-VLOOKUP($W$8,Treecost!$B$6:$AH$49,Treecost!$Y$2,FALSE))/(VLOOKUP($W$8,Treecost!$B$6:$AH$49,Treecost!$Z$2,FALSE)-VLOOKUP($W$8,Treecost!$B$6:$AH$49,Treecost!$X$2,FALSE))*(AG25-VLOOKUP($W$8,Treecost!$B$6:$AH$49,Treecost!$X$2,FALSE)))/60,0)*IF(V25&gt;='Options and results'!$I$25,'Options and results'!$I$24,1),0)</f>
        <v>0</v>
      </c>
      <c r="BI25" s="303">
        <f>IF(V25&lt;='Options and results'!$W$20,IF(BH25&gt;0,VLOOKUP($W$8,Treecost!$B$6:$AH$49,Treecost!$AB$2,FALSE)/60*AB25,0)*IF(V25&gt;='Options and results'!$I$25,'Options and results'!$I$24,1),0)*((BH25-(MIN($BH$8:$BH$67)))/((MAX($BH$8:$BH$67))-(MIN($BH$8:$BH$67))))</f>
        <v>0</v>
      </c>
      <c r="BJ25" s="740">
        <f>IF(BH25&gt;0,(BH25*$AX$15+BI25*$AX$19)*IF(1+'Options and results'!$Q$21*(V25-1)&gt;0,1+'Options and results'!$Q$21*(V25-1),0),0)*IF(V25&gt;='Options and results'!$I$27,'Options and results'!$I$26,1)</f>
        <v>0</v>
      </c>
      <c r="BK25" s="891">
        <f>IF($W$8=0,0,IF(V25&lt;='Options and results'!$W$20,IF(VLOOKUP($W$8,Treecost!$B$2:$AH$49,Treecost!$O$2,FALSE)=V25,VLOOKUP($W$8,Treecost!$B$2:$AH$49,Treecost!$P$2,FALSE),0)*IF(V25&gt;='Options and results'!$I$25,'Options and results'!$I$24,1),0))</f>
        <v>0</v>
      </c>
      <c r="BL25" s="889">
        <f>IF($W$8=0,0,IF(V25&lt;='Options and results'!$W$20,IF(AND(V25&gt;VLOOKUP($W$8,Treecost!$B$2:$AH$49,Treecost!$O$2,FALSE),V25&lt;=VLOOKUP($W$8,Treecost!$B$2:$AH$49,Treecost!$R$2,FALSE)),VLOOKUP($W$8,Treecost!$B$2:$AH$49,Treecost!$S$2,FALSE),0)*IF(V25&gt;='Options and results'!$I$25,'Options and results'!$I$24,1),0))</f>
        <v>0</v>
      </c>
      <c r="BM25" s="740">
        <f>IF($W$8=0,0,IF(V25&lt;='Options and results'!$W$20,((IF(VLOOKUP($W$8,Treecost!$B$2:$AH$49,Treecost!$O$2,FALSE)=V25,VLOOKUP($W$8,Treecost!$B$2:$AH$49,Treecost!$Q$2,FALSE),0)+IF(AND(V25&gt;VLOOKUP($W$8,Treecost!$B$2:$AH$49,Treecost!$O$2,FALSE),V25&lt;=VLOOKUP($W$8,Treecost!$B$2:$AH$49,Treecost!$R$2,FALSE)),VLOOKUP($W$8,Treecost!$B$2:$AH$49,Treecost!$T$2,FALSE),0)*IF(1+'Options and results'!$Q$22*(V25-1)&gt;0,1+'Options and results'!$Q$22*(V25-1),0))+(BK25*$AX$16+BL25*$AX$17)*IF(1+'Options and results'!$Q$21*(V25-1)&gt;0,1+'Options and results'!$Q$21*(V25-1),0))*IF(V25&gt;='Options and results'!$I$27,'Options and results'!$I$26,1),0))</f>
        <v>0</v>
      </c>
      <c r="BN25" s="894">
        <f>IF($W$8=0,0,IF(V25&lt;='Options and results'!$W$20,IF(AND(V25&gt;=VLOOKUP($W$8,Treecost!$B$2:$W$49,Treecost!$U$2,FALSE),V25&lt;=VLOOKUP($W$8,Treecost!$B$2:$W$49,Treecost!$V$2,FALSE)),(AB25*VLOOKUP($W$8,Treecost!$B$2:$W$49,Treecost!$W$2,FALSE)/60),0)*IF(V25&gt;='Options and results'!$I$25,'Options and results'!$I$24,1),0))</f>
        <v>0</v>
      </c>
      <c r="BO25" s="740">
        <f>BN25*$AX$18*IF(V25&gt;='Options and results'!$I$27,'Options and results'!$I$26,1)*IF(1+'Options and results'!$Q$21*(V25-1)&gt;0,1+'Options and results'!$Q$21*(V25-1),0)</f>
        <v>0</v>
      </c>
      <c r="BP25" s="894">
        <f>IF(V25&lt;='Options and results'!$W$20,IF(AB25&lt;=0,0,VLOOKUP($W$8,Treecost!$B$6:$AH$49,Treecost!$AC$2,FALSE)+VLOOKUP($W$8,Treecost!$B$6:$AH$49,Treecost!$AD$2,FALSE)+IF(AND(V25&gt;=VLOOKUP($W$8,Treecost!$B$2:$AK$49,Treecost!$AI$2,FALSE),V25&lt;=VLOOKUP($W$8,Treecost!$B$2:$AK$49,Treecost!$AJ$2,FALSE)),(VLOOKUP($W$8,Treecost!$B$2:$AK$49,Treecost!$AK$2,FALSE)),0))*IF(V25&gt;='Options and results'!$I$27,'Options and results'!$I$26,1),0)*IF(1+'Options and results'!$Q$22*(V25-1)&gt;0,1+'Options and results'!$Q$22*(V25-1),0)</f>
        <v>3</v>
      </c>
      <c r="BQ25" s="894">
        <f>IF(V25&lt;='Options and results'!$W$20,IF(AC25&gt;0,VLOOKUP($W$8,Treecost!$B$6:$AH$49,Treecost!$AE$2,FALSE)/60*AC25,0)*IF(V25&gt;='Options and results'!$I$25,'Options and results'!$I$24,1),0)</f>
        <v>0</v>
      </c>
      <c r="BR25" s="740">
        <f>IF(V25&lt;='Options and results'!$W$20,IF(AC25&gt;0,VLOOKUP($W$8,Treecost!$B$6:$AH$49,Treecost!$AF$2,FALSE)/60*AC25,0)*IF(V25&gt;='Options and results'!$I$25,'Options and results'!$I$24,1),0)</f>
        <v>0</v>
      </c>
      <c r="BS25" s="740">
        <f>(BQ25*$AX$20+BR25*$AX$21)*IF(V25&gt;='Options and results'!$I$27,'Options and results'!$I$26,1)*IF(1+'Options and results'!$Q$21*(V25-1)&gt;0,1+'Options and results'!$Q$21*(V25-1),0)</f>
        <v>0</v>
      </c>
      <c r="BT25" s="894">
        <f>IF(V25&lt;='Options and results'!$W$20,IF(AD25&gt;0,(VLOOKUP($W$8,Treecost!$B$6:$AH$49,Treecost!$AG$2,FALSE)/60*AD25)*IF(V25&gt;='Options and results'!$I$25,'Options and results'!$I$24,1),0),0)</f>
        <v>0</v>
      </c>
      <c r="BU25" s="740">
        <f>IF(V25&lt;='Options and results'!$W$20,IF(AD25&gt;0,(VLOOKUP($W$8,Treecost!$B$6:$AH$49,Treecost!$AH$2,FALSE)/60*AD25)*IF(V25&gt;='Options and results'!$I$25,'Options and results'!$I$24,1),0),0)</f>
        <v>0</v>
      </c>
      <c r="BV25" s="740">
        <f>(BT25*$AX$22+BU25*$AX$23)*IF(V25&gt;='Options and results'!$I$27,'Options and results'!$I$26,1)*IF(1+'Options and results'!$Q$21*(V25-1)&gt;0,1+'Options and results'!$Q$21*(V25-1),0)</f>
        <v>0</v>
      </c>
      <c r="BW25" s="1033">
        <f t="shared" si="138"/>
        <v>0</v>
      </c>
      <c r="BX25" s="1027">
        <f t="shared" si="139"/>
        <v>0</v>
      </c>
      <c r="BY25" s="1027">
        <f t="shared" si="140"/>
        <v>0</v>
      </c>
      <c r="BZ25" s="740">
        <f t="shared" si="124"/>
        <v>3</v>
      </c>
      <c r="CA25" s="740">
        <f t="shared" si="141"/>
        <v>-3</v>
      </c>
      <c r="CB25" s="894">
        <f>IF($V25&lt;='Options and results'!$W$20,SUM(BX$8:$BX25),0)</f>
        <v>0</v>
      </c>
      <c r="CC25" s="740">
        <f>IF($V25&lt;='Options and results'!$W$20,SUM($BY$8:BY25),0)</f>
        <v>0</v>
      </c>
      <c r="CD25" s="740">
        <f>IF($V25&lt;='Options and results'!$W$20,SUM($BZ$8:BZ25),0)</f>
        <v>1622.7443691843955</v>
      </c>
      <c r="CE25" s="740">
        <f>IF(V25&lt;='Options and results'!$W$20,CB25+CC25-CD25,0)</f>
        <v>-1622.7443691843955</v>
      </c>
      <c r="CF25" s="1381">
        <f t="shared" si="142"/>
        <v>336.72367588823954</v>
      </c>
      <c r="CG25" s="1027">
        <f t="shared" si="143"/>
        <v>333.72367588823954</v>
      </c>
      <c r="CH25" s="1027">
        <f t="shared" si="144"/>
        <v>0</v>
      </c>
      <c r="CI25" s="1189">
        <f>IF(V25&lt;='Options and results'!$W$20,CE25+AO25,0)</f>
        <v>-354.69831710372227</v>
      </c>
      <c r="CJ25" s="1023"/>
      <c r="CK25" s="895">
        <f t="shared" si="145"/>
        <v>18</v>
      </c>
      <c r="CL25" s="1011" t="str">
        <f>IF('Options and results'!$C$54="None",0,IF(AND(CK25&gt;='Options and results'!$K$57,CK24&lt;'Options and results'!$W$20),'Options and results'!$K$56,IF(Optimisation!$B$3="No",CONCATENATE('Options and results'!$C$60," ",(HLOOKUP(CONCATENATE('Options and results'!$C$54," ",Agroforestrysystem!$B$12),Agroforestrysystem!$B$11:$IM$74,$CK25+4,FALSE))),Optimisation!AA45)))</f>
        <v>UK - Agriculture (BPS: from 2015) Agroforestry fallow</v>
      </c>
      <c r="CM25" s="1012">
        <f>IF(HLOOKUP(CONCATENATE('Options and results'!$C$54," ",Agroforestrysystem!$C$12),Agroforestrysystem!$B$11:$IM$74,$CK25+4,FALSE)="T",(VLOOKUP(CL25,Arablefinance!$Z$6:$AB$105,Arablefinance!$AB$2,FALSE)*CO25+VLOOKUP(CL25,Arablefinance!$Z$6:$AC$105,Arablefinance!$AC$2,FALSE)*CP25)/VLOOKUP(CL25,Arablefinance!$Z$6:$AA$105,Arablefinance!$AA$2,FALSE),0)</f>
        <v>0</v>
      </c>
      <c r="CN25" s="1012">
        <f>IF(CL25=0,0,HLOOKUP(CONCATENATE('Options and results'!$C$54," ",Agroforestrysystem!$D$12),Agroforestrysystem!$B$11:$IM$74,$CK25+4,FALSE))</f>
        <v>0.99</v>
      </c>
      <c r="CO25" s="1440">
        <f ca="1">IF(CL25=0,0,IF(AND(Optimisation!$B$3="yes",Optimisation!$B$4=1,CK25&gt;Optimisation!$B$9),0,HLOOKUP(CONCATENATE('Options and results'!$C$54," ",Agroforestrysystem!$E$12),Agroforestrysystem!$B$11:$IM$74,$CK25+4,FALSE)*IF(CK25&gt;='Options and results'!$J$19,'Options and results'!$J$18,1)))</f>
        <v>0</v>
      </c>
      <c r="CP25" s="1440">
        <f ca="1">IF(CL25=0,0,IF(AND(Optimisation!$B$3="yes",Optimisation!$B$4=1,CK25&gt;Optimisation!$B$9),0,HLOOKUP(CONCATENATE('Options and results'!$C$54," ",Agroforestrysystem!$F$12),Agroforestrysystem!$B$11:$IM$74,$CK25+4,FALSE)*IF(CK25&gt;='Options and results'!$J$19,'Options and results'!$J$18,1)))</f>
        <v>0</v>
      </c>
      <c r="CQ25" s="1013">
        <f ca="1">IF(CN25&lt;=0,0,IF(CK25&lt;='Options and results'!$W$20,IF(CM25&gt;0,VLOOKUP(CL25,Arablefinance!$Z$6:$AE$105,Arablefinance!$AD$2,FALSE)*CM25*CN25,((VLOOKUP(CL25,Arablefinance!$E$6:$H$126,2,FALSE)*CO25+VLOOKUP(CL25,Arablefinance!$E$6:$H$126,3,FALSE)*CP25)*CN25)),0)*IF(CK25&gt;='Options and results'!$J$21,'Options and results'!$J$20,1))*IF(1+'Options and results'!$O$20*(CK25-1)&gt;0,1+'Options and results'!$O$20*(CK25-1),0)</f>
        <v>0</v>
      </c>
      <c r="CR25" s="1441">
        <f>IF(CN25&lt;=0,0,IF(AND(CM25&gt;0,VLOOKUP(CL25,Arablefinance!$Z$6:$AI$105,Arablefinance!$AI$2,FALSE)=2),VLOOKUP(CL25,Arablefinance!$Z$6:$AE$105,Arablefinance!$AE$2,FALSE)*CM25*CN25,IF('Options and results'!$C$62&gt;0,IF(VLOOKUP(CL25,Arablefinance!$E$6:$W$126,Arablefinance!$H$2,FALSE)*(1-Plot!DM25*'Options and results'!$C$62)&gt;0,VLOOKUP(CL25,Arablefinance!$E$6:$W$126,Arablefinance!$H$2,FALSE)*(1-Plot!DM25*'Options and results'!$C$62),0),IF(CK25&lt;='Options and results'!$W$20,(VLOOKUP(CL25,Arablefinance!$E$6:$W$126,Arablefinance!$H$2,FALSE)*IF('Options and results'!$C$61="area",CN25,'Options and results'!$C$61)),0)))*IF(CK25&gt;='Options and results'!$J$23,'Options and results'!$J$22,1))*IF(AND(1+'Options and results'!$O$23*(CK25-1)&gt;0,1+'Options and results'!$O$23*(CK25-1)&gt;'Options and results'!$S$24),1+'Options and results'!$O$23*(CK25-1),'Options and results'!$S$24)</f>
        <v>0</v>
      </c>
      <c r="CS25" s="1441">
        <f t="shared" ca="1" si="146"/>
        <v>0</v>
      </c>
      <c r="CT25" s="1441">
        <f>IF(CN25&lt;=0,0,IF(CK25&lt;='Options and results'!$W$20,IF(CM25&gt;0,VLOOKUP(CL25,Arablefinance!$Z$6:$AF$105,Arablefinance!$AF$2,FALSE)*CM25*CN25,VLOOKUP(CL25,Arablefinance!$E$6:$X$126,Arablefinance!$R$2,FALSE)*CN25),0)*IF(CK25&gt;='Options and results'!$J$27,'Options and results'!$J$26,1))*IF(1+'Options and results'!$O$22*(CK25-1)&gt;0,1+'Options and results'!$O$22*(CK25-1),0)</f>
        <v>0</v>
      </c>
      <c r="CU25" s="1441">
        <f t="shared" ca="1" si="147"/>
        <v>0</v>
      </c>
      <c r="CV25" s="1441">
        <f>IF(CN25&lt;=0,0,IF(CK25&lt;='Options and results'!$W$20,IF(CM25&gt;0,VLOOKUP(CL25,Arablefinance!$Z$6:$AG$105,Arablefinance!$AG$2,FALSE)*CM25*CN25,VLOOKUP(CL25,Arablefinance!$E$6:$X$126,Arablefinance!$X$2,FALSE)*CN25),0)*IF(CK25&gt;='Options and results'!$J$27,'Options and results'!$J$26,1))*IF(1+'Options and results'!$O$22*(CK25-1)&gt;0,1+'Options and results'!$O$22*(CK25-1),0)</f>
        <v>0</v>
      </c>
      <c r="CW25" s="1442">
        <f>IF(CN25&lt;=0,0,IF(CK25&lt;='Options and results'!$W$20,'Options and results'!$C$27*IF(CK25&gt;='Options and results'!$J$27,'Options and results'!$J$26,1),0))*IF(1+'Options and results'!$O$21*(CK25-1)&gt;0,1+'Options and results'!$O$21*(CK25-1),0)</f>
        <v>14.6</v>
      </c>
      <c r="CX25" s="1442">
        <f>IF(CN25&lt;=0,0,IF(CK25&lt;='Options and results'!$W$20,IF(CM25&gt;0,VLOOKUP(CL25,Arablefinance!$Z$6:$AH$105,Arablefinance!$AH$2,FALSE)*CM25*CN25,VLOOKUP(CL25,Arablefinance!$E$6:$W$126,Arablefinance!$V$2,FALSE)*CN25),0)*IF(CK25&gt;='Options and results'!$J$25,'Options and results'!$J$24,1))</f>
        <v>0</v>
      </c>
      <c r="CY25" s="1013">
        <f t="shared" si="148"/>
        <v>0</v>
      </c>
      <c r="CZ25" s="1353">
        <f t="shared" ca="1" si="149"/>
        <v>0</v>
      </c>
      <c r="DA25" s="1013">
        <f ca="1">IF($CK25&lt;='Options and results'!$W$20,SUM($CQ$8:CQ25),0)</f>
        <v>18417.950100000002</v>
      </c>
      <c r="DB25" s="1441">
        <f>IF($CK25&lt;='Options and results'!$W$20,SUM($CR$8:CR25),0)</f>
        <v>0</v>
      </c>
      <c r="DC25" s="1441">
        <f>IF($CK25&lt;='Options and results'!$W$20,SUM($CY$8:CY25),0)</f>
        <v>16943.30918829242</v>
      </c>
      <c r="DD25" s="1189">
        <f ca="1">IF(CK25&lt;='Options and results'!$W$20,DA25+DB25-DC25,0)</f>
        <v>1474.6409117075818</v>
      </c>
      <c r="DE25" s="401"/>
      <c r="DF25" s="895">
        <f t="shared" si="150"/>
        <v>18</v>
      </c>
      <c r="DG25" s="173"/>
      <c r="DH25" s="1422"/>
      <c r="DI25" s="1427">
        <f>IF(DF25&lt;='Options and results'!$M$61,'Options and results'!$M$60,0)</f>
        <v>0</v>
      </c>
      <c r="DJ25" s="740">
        <f t="shared" si="151"/>
        <v>0</v>
      </c>
      <c r="DK25" s="740">
        <f t="shared" si="152"/>
        <v>0</v>
      </c>
      <c r="DL25" s="1428">
        <f t="shared" si="153"/>
        <v>100</v>
      </c>
      <c r="DM25" s="1429">
        <f>IF($DG$8=0,0,HLOOKUP(CONCATENATE('Options and results'!$C$54," ",Agroforestrysystem!$J$12),Agroforestrysystem!$11:$74,DF25+3,FALSE))/100</f>
        <v>1</v>
      </c>
      <c r="DN25" s="740">
        <f>IF($DG$8=0,0,IF(HLOOKUP(CONCATENATE('Options and results'!$C$54," ",Agroforestrysystem!$H$12),Agroforestrysystem!$11:$74,DF25+4,FALSE)&lt;DL25,HLOOKUP(CONCATENATE('Options and results'!$C$54," ",Agroforestrysystem!$H$12),Agroforestrysystem!$11:$74,DF25+4,FALSE),0))</f>
        <v>0</v>
      </c>
      <c r="DO25" s="1027">
        <f>IF($DG$8=0,0,IF(HLOOKUP(CONCATENATE('Options and results'!$C$54," ",Agroforestrysystem!$H$12),Agroforestrysystem!$11:$74,DF25+4,FALSE)&gt;=DL25,DL25,0))</f>
        <v>0</v>
      </c>
      <c r="DP25" s="1430">
        <f>IF($DG$8=0,0,HLOOKUP(CONCATENATE('Options and results'!$C$54," ",Agroforestrysystem!$I$12),Agroforestrysystem!$11:$74,DF25+4,FALSE))</f>
        <v>22.326452250793562</v>
      </c>
      <c r="DQ25" s="1038"/>
      <c r="DR25" s="1390">
        <f>IF($DG$8=0,0,IF(DF25&gt;'Options and results'!$W$20,0,)+IF(DF25=1,'Options and results'!$M$64)+IF('Options and results'!$M$67="yes",IF(AND(DR24+'Options and results'!$M$65&lt;=$DQ$8,DR24+'Options and results'!$M$65+IF(DF25=1,'Options and results'!$M$64,0)&lt;='Options and results'!$M$66*DP25),DR24+'Options and results'!$M$65,DR24),(HLOOKUP(CONCATENATE('Options and results'!$C$54," ",Agroforestrysystem!$K$12),Agroforestrysystem!$11:$74,DF25+4,FALSE)-IF(DF25=1,'Options and results'!$M$64))))</f>
        <v>7.5</v>
      </c>
      <c r="DS25" s="1027">
        <f>IF(OR($DG$8=0,DL25=0),0,HLOOKUP(CONCATENATE('Options and results'!$C$54," ",Agroforestrysystem!$L$12),Agroforestrysystem!$11:$74,DF25+4,FALSE)*IF(DF25&gt;='Options and results'!$K$19,'Options and results'!$K$18,1))</f>
        <v>64.898881319576986</v>
      </c>
      <c r="DT25" s="1431">
        <f t="shared" si="154"/>
        <v>0.64898881319576984</v>
      </c>
      <c r="DU25" s="889">
        <f t="shared" si="155"/>
        <v>0</v>
      </c>
      <c r="DV25" s="1027">
        <f>IF($DG$8=0,0,(HLOOKUP(CONCATENATE('Options and results'!$C$54," ",Agroforestrysystem!$M$12),Agroforestrysystem!$11:$74,DF25+4,FALSE))*IF(DF25&gt;='Options and results'!$K$19,'Options and results'!$K$18,1))-DW25</f>
        <v>28.616998271930647</v>
      </c>
      <c r="DW25" s="303">
        <f>IF($DG$8=0,0,(HLOOKUP(CONCATENATE('Options and results'!$C$54," ",Agroforestrysystem!$N$12),Agroforestrysystem!$11:$74,DF25+4,FALSE))*IF(DF25&gt;='Options and results'!$K$19,'Options and results'!$K$18,1))</f>
        <v>0</v>
      </c>
      <c r="DX25" s="303">
        <f>IF($DG$8=0,0,HLOOKUP(CONCATENATE('Options and results'!$C$54," ",Agroforestrysystem!$O$12),Agroforestrysystem!$11:$74,DF25+4,FALSE)*IF(DF25&gt;='Options and results'!$K$19,'Options and results'!$K$18,1))</f>
        <v>0</v>
      </c>
      <c r="DY25" s="1192">
        <f>IF(DT25&gt;0,HLOOKUP(DT25,Treevalue!$I$4:$BC$34,'Options and results'!$C$66+1),0)*IF(DF25&gt;='Options and results'!$K$21,'Options and results'!$K$20,1)*IF(1+'Options and results'!$Q$20*(DF25-1)&gt;0,1+'Options and results'!$Q$20*(DF25-1),0)</f>
        <v>19.375190051089614</v>
      </c>
      <c r="DZ25" s="1027">
        <f t="shared" si="156"/>
        <v>1257.4281596699136</v>
      </c>
      <c r="EA25" s="1027">
        <f t="shared" si="125"/>
        <v>0</v>
      </c>
      <c r="EB25" s="1027">
        <f>(IF('Options and results'!$C$66&gt;0,IF(DF25&lt;='Options and results'!$W$20,VLOOKUP('Options and results'!$C$66,Treevalue!$A$4:$F$34,5,FALSE),0),0)*DV25)*IF(DF25&gt;='Options and results'!$K$21,'Options and results'!$K$20,1)*IF(1+'Options and results'!$Q$20*(DF25-1)&gt;0,1+'Options and results'!$Q$20*(DF25-1),0)</f>
        <v>715.42495679826618</v>
      </c>
      <c r="EC25" s="740">
        <f>(IF('Options and results'!$C$66&gt;0,IF(DF25&lt;='Options and results'!$W$20,VLOOKUP('Options and results'!$C$66,Treevalue!$A$4:$F$34,5,FALSE),0),0)*DW25)*IF(DF25&gt;='Options and results'!$K$21,'Options and results'!$K$20,1)*IF(1+'Options and results'!$Q$20*(DF25-1)&gt;0,1+'Options and results'!$Q$20*(DF25-1),0)</f>
        <v>0</v>
      </c>
      <c r="ED25" s="889">
        <f>(IF('Options and results'!$C$66&gt;0,IF(DF25&lt;='Options and results'!$W$20,VLOOKUP('Options and results'!$C$66,Treevalue!$A$4:$F$34,6,FALSE),0),0)*DX25)*IF(DF25&gt;='Options and results'!$K$21,'Options and results'!$K$20,1)*IF(1+'Options and results'!$Q$20*(DF25-1)&gt;0,1+'Options and results'!$Q$20*(DF25-1),0)</f>
        <v>0</v>
      </c>
      <c r="EE25" s="740">
        <f>IF(DF25&lt;='Options and results'!$W$20,IF(DL25&lt;=0,0,IF('Options and results'!$C$70="cost",(IF(DF25&lt;='Options and results'!$C$71,FK25*SUM('Options and results'!$C$72:$C$73),0)),IF('Options and results'!$C$68&gt;0,(IF(VLOOKUP('Options and results'!$C$69,Treegrant!$B$6:$L$42,Treegrant!$C$2,FALSE)=DF25,VLOOKUP('Options and results'!$C$69,Treegrant!$B$6:$L$42,Treegrant!$D$2,FALSE),0)+IF(VLOOKUP('Options and results'!$C$69,Treegrant!$B$6:$L$42,Treegrant!$E$2,FALSE)=DF25,VLOOKUP('Options and results'!$C$69,Treegrant!$B$6:$L$42,Treegrant!$F$2,FALSE),0)+IF(VLOOKUP('Options and results'!$C$69,Treegrant!$B$6:$L$42,Treegrant!$G$2,FALSE)=DF25,VLOOKUP('Options and results'!$C$69,Treegrant!$B$6:$L$42,Treegrant!$H$2,FALSE)))*IF('Options and results'!$C$70="area",Unit!C26,'Options and results'!$C$70),0))*IF(DF25&gt;='Options and results'!$K$23,'Options and results'!$K$22,1)),0)*IF(1+'Options and results'!$Q$23*(DF25-1)&gt;0,1+'Options and results'!$Q$23*(DF25-1),0)</f>
        <v>0</v>
      </c>
      <c r="EF25" s="740">
        <f>IF($DG$8=0,0,IF(DF25&lt;='Options and results'!$W$20,IF(DL25&lt;=0,0,IF('Options and results'!$C$68&gt;0,IF(AND(VLOOKUP('Options and results'!$C$69,Treegrant!$B$6:$L$42,Treegrant!$J$2,FALSE)&lt;=DF25,VLOOKUP('Options and results'!$C$69,Treegrant!$B$6:$L$42,Treegrant!$K$2,FALSE)&gt;=DF25),(VLOOKUP('Options and results'!$C$69,Treegrant!$B$6:$L$42,Treegrant!$L$2,FALSE)),0)*IF('Options and results'!$C$74="area",Unit!C26,'Options and results'!$C$74))*IF(DF25&gt;='Options and results'!$K$23,'Options and results'!$K$22,1)),0))*IF(1+'Options and results'!$Q$23*(DF25-1)&gt;0,1+'Options and results'!$Q$23*(DF25-1),0)</f>
        <v>0</v>
      </c>
      <c r="EG25" s="1034">
        <f>IF($DG$8=0,0,IF(DF25&lt;='Options and results'!$W$20,IF(DL25&lt;=0,0,IF('Options and results'!$C$68&gt;0,((IF(AND(VLOOKUP('Options and results'!$C$69,Treegrant!$B$6:$O$42,Treegrant!$M$2,FALSE)&lt;=DF25,VLOOKUP('Options and results'!$C$69,Treegrant!$B$6:$O$42,Treegrant!$N$2,FALSE)&gt;=DF25),(VLOOKUP('Options and results'!$C$69,Treegrant!$B$6:$O$42,Treegrant!$O$2,FALSE)),0)*IF('Options and results'!$C$75="area",Unit!C26,'Options and results'!$C$75))+(IF(AND(VLOOKUP('Options and results'!$C$69,Treegrant!$B$6:$R$42,Treegrant!$P$2,FALSE)&lt;=DF25,VLOOKUP('Options and results'!$C$69,Treegrant!$B$6:$R$42,Treegrant!$Q$2,FALSE)&gt;=DF25),(VLOOKUP('Options and results'!$C$69,Treegrant!$B$6:$R$42,Treegrant!$R$2,FALSE)),0))*IF('Options and results'!$C$76="area",Unit!C26,'Options and results'!$C$76)))*IF(DF25&gt;='Options and results'!$K$23,'Options and results'!$K$22,1)),0))*IF(1+'Options and results'!$Q$23*(DF25-1)&gt;0,1+'Options and results'!$Q$23*(DF25-1),0)</f>
        <v>0</v>
      </c>
      <c r="EH25" s="1041"/>
      <c r="EI25" s="1042"/>
      <c r="EJ25" s="1419">
        <f>IF($DH$8+DK25&lt;1,0,IF(DF25=1,VLOOKUP($DG$8,Treecost!$B$6:$AH$49,Treecost!$E$2,FALSE),0)*IF(DF25&gt;='Options and results'!$K$25,'Options and results'!$K$24,1))</f>
        <v>0</v>
      </c>
      <c r="EK25" s="889">
        <f>IF($DH$8+DK25&lt;1,0,IF(DF25=1,VLOOKUP($DG$8,Treecost!$B$6:$AH$49,Treecost!$F$2,FALSE),0)*IF(DF25&gt;='Options and results'!$K$25,'Options and results'!$K$24,1))</f>
        <v>0</v>
      </c>
      <c r="EL25" s="889">
        <f>IF($DH$8+DK25&lt;1,0,IF(DF25=1,VLOOKUP($DG$8,Treecost!$B$6:$AH$49,Treecost!$G$2,FALSE),0)*IF(DF25&gt;='Options and results'!$K$25,'Options and results'!$K$24,1))</f>
        <v>0</v>
      </c>
      <c r="EM25" s="889">
        <f>IF($DG$8=0,0,IF(DF25&lt;='Options and results'!$W$20,((VLOOKUP($DG$8,Treecost!$B$6:$AH$49,Treecost!$H$2,FALSE)*(DH25+DK25))/60)*IF(DF25&gt;='Options and results'!$K$25,'Options and results'!$K$24,1),0))</f>
        <v>0</v>
      </c>
      <c r="EN25" s="889">
        <f>IF($DG$8=0,0,IF(DF25&lt;='Options and results'!$W$20,(((VLOOKUP($DG$8,Treecost!$B$6:$AH$49,Treecost!$I$2,FALSE))*(DH25+DK25))/60)*IF(DF25&gt;='Options and results'!$K$25,'Options and results'!$K$24,1),0))</f>
        <v>0</v>
      </c>
      <c r="EO25" s="889">
        <f>IF($DG$8=0,0,IF(DF25&lt;='Options and results'!$W$20,(((VLOOKUP($DG$8,Treecost!$B$6:$AH$49,Treecost!$J$2,FALSE))/60)*(DH25+DK25))*IF(DF25&gt;='Options and results'!$K$25,'Options and results'!$K$24,1),0))</f>
        <v>0</v>
      </c>
      <c r="EP25" s="1019">
        <f>IF($DG$8=0,0,IF(DF25&lt;='Options and results'!$W$20,(((VLOOKUP($DG$8,Treecost!$B$6:$AH$49,Treecost!$C$2,FALSE)+VLOOKUP($DG$8,Treecost!$B$6:$AH$49,Treecost!$D$2,FALSE))*(DH25+DK25)*IF(1+'Options and results'!$Q$22*(DF25-1)&gt;0,1+'Options and results'!$Q$22*(DF25-1),0))+(EJ25*$EI$8+EK25*$EI$9+EL25*$EI$10+EM25*$EI$11+EN25*$EI$12+EO25*$EI$13)*IF(1+'Options and results'!$Q$21*(DF25-1)&gt;0,1+'Options and results'!$Q$21*(DF25-1),0))*IF(DF25&gt;='Options and results'!$K$27,'Options and results'!$K$26,1),0))</f>
        <v>0</v>
      </c>
      <c r="EQ25" s="740">
        <f>IF($DG$8=0,0,IF(DF25&lt;='Options and results'!$W$20,IF(AND(VLOOKUP($DG$8,Treecost!$B$6:$AH$49,Treecost!$K$2,FALSE)&lt;=DF25,DF25&lt;=(VLOOKUP($DG$8,Treecost!$B$6:$AH$49,Treecost!$L$2,FALSE))),VLOOKUP($DG$8,Treecost!$B$6:$AH$49,Treecost!$M$2,FALSE)*DL25/60,0)*IF(DF25&gt;='Options and results'!$K$25,'Options and results'!$K$24,1),0))</f>
        <v>0</v>
      </c>
      <c r="ER25" s="1019">
        <f>IF(EQ25&gt;0,(VLOOKUP($DG$8,Treecost!$B$6:$AH$49,Treecost!$N$2,FALSE)*DL25*IF(1+'Options and results'!$Q$22*(DF25-1)&gt;0,1+'Options and results'!$Q$22*(DF25-1),0)+EQ25*$EI$14*IF(1+'Options and results'!$Q$21*(DF25-1)&gt;0,1+'Options and results'!$Q$21*(DF25-1),0)),0)*IF(DF25&gt;='Options and results'!$K$27,'Options and results'!$K$26,1)</f>
        <v>0</v>
      </c>
      <c r="ES25" s="889">
        <f>IF(DF25&lt;='Options and results'!$W$20,IF(AND(DR25-DR24&gt;0,DR25&gt;'Options and results'!$M$64),(DL25-DN25)*(VLOOKUP($DG$8,Treecost!$B$6:$AH$49,Treecost!$Y$2,FALSE)+(VLOOKUP($DG$8,Treecost!$B$6:$AH$49,Treecost!$AA$2,FALSE)-VLOOKUP($DG$8,Treecost!$B$6:$AH$49,Treecost!$Y$2,FALSE))/(VLOOKUP($DG$8,Treecost!$B$6:$AH$49,Treecost!$Z$2,FALSE)-VLOOKUP($DG$8,Treecost!$B$6:$AH$49,Treecost!$X$2,FALSE))*(DR25-VLOOKUP($DG$8,Treecost!$B$6:$AH$49,Treecost!$X$2,FALSE)))/60,0)*IF(DF25&gt;='Options and results'!$K$25,'Options and results'!$K$24,1),0)</f>
        <v>0</v>
      </c>
      <c r="ET25" s="889">
        <f>IF(DF25&lt;='Options and results'!$W$20,IF(ES25&gt;0,VLOOKUP($DG$8,Treecost!$B$6:$AH$49,Treecost!$AB$2,FALSE)/60*DL25,0)*IF(DF25&gt;='Options and results'!$K$25,'Options and results'!$K$24,1),0)*((ES25-(MIN($ES$8:$ES$67)))/((MAX($ES$8:$ES$67))-(MIN($ES$8:$ES$67))))</f>
        <v>0</v>
      </c>
      <c r="EU25" s="740">
        <f>IF(ES25&gt;0,(ES25*$EI$15+ET25*$EI$19)*IF(1+'Options and results'!$Q$21*(DF25-1)&gt;0,1+'Options and results'!$Q$21*(DF25-1),0),0)*IF(DF25&gt;='Options and results'!$K$27,'Options and results'!$K$26,1)</f>
        <v>0</v>
      </c>
      <c r="EV25" s="891">
        <f>IF($DG$8=0,0,IF(DF25&lt;='Options and results'!$W$20,IF(AND(VLOOKUP($DG$8,Treecost!$B$2:$AH$49,Treecost!$O$2,FALSE)=DF25,DF25&lt;=IF(AND(Optimisation!$B$3="Yes",Optimisation!$B$4=1),Optimisation!$B$9)),VLOOKUP($DG$8,Treecost!$B$2:$AH$49,Treecost!$P$2,FALSE)*(1-CN25),0)*IF(DF25&gt;='Options and results'!$K$25,'Options and results'!$K$24,1),0))</f>
        <v>0</v>
      </c>
      <c r="EW25" s="889">
        <f>IF($DG$8=0,0,IF(DF25&lt;='Options and results'!$W$20,IF(AND(DF25&gt;VLOOKUP($DG$8,Treecost!$B$2:$AH$49,Treecost!$O$2,FALSE),DF25&lt;=IF(AND(Optimisation!$B$3="Yes",Optimisation!$B$4=1),Optimisation!$B$9,VLOOKUP($DG$8,Treecost!$B$2:$AH$49,Treecost!$R$2,FALSE))),VLOOKUP($DG$8,Treecost!$B$2:$AH$49,Treecost!$S$2,FALSE)*(1-CN25),0)*IF(DF25&gt;='Options and results'!$K$25,'Options and results'!$K$24,1),0))</f>
        <v>0</v>
      </c>
      <c r="EX25" s="740">
        <f>IF($DG$8=0,0,IF(DF25&lt;='Options and results'!$W$20,(IF(AND(VLOOKUP($DG$8,Treecost!$B$2:$AH$49,Treecost!$O$2,FALSE)=DF25,DF25&lt;=IF(AND(Optimisation!$B$3="Yes",Optimisation!$B$4=1),Optimisation!$B$9)),VLOOKUP($DG$8,Treecost!$B$2:$AH$49,Treecost!$Q$2,FALSE),0)*(1-CN25)+IF(AND(DF25&gt;VLOOKUP($DG$8,Treecost!$B$2:$AH$49,Treecost!$O$2,FALSE),DF25&lt;=IF(AND(Optimisation!$B$3="Yes",Optimisation!$B$4=1),Optimisation!$B$9,VLOOKUP($DG$8,Treecost!$B$2:$AH$49,Treecost!$R$2,FALSE))),VLOOKUP($DG$8,Treecost!$B$2:$AH$49,Treecost!$T$2,FALSE),0)*(1-CN25)+(EV25*$EI$16+EW25*$EI$17))*IF(DF25&gt;='Options and results'!$K$27,'Options and results'!$K$26,1),0))*IF(1+'Options and results'!$Q$21*(DF25-1)&gt;0,1+'Options and results'!$Q$21*(DF25-1),0)</f>
        <v>0</v>
      </c>
      <c r="EY25" s="894">
        <f>IF($DG$8=0,0,IF(DF25&lt;='Options and results'!$W$20,IF(AND(DF25&gt;=VLOOKUP($DG$8,Treecost!$B$2:$W$49,Treecost!$U$2,FALSE),DF25&lt;=VLOOKUP($DG$8,Treecost!$B$2:$W$49,Treecost!$V$2,FALSE)),(DL25*VLOOKUP($DG$8,Treecost!$B$2:$W$49,Treecost!$W$2,FALSE)/60),0)*IF(DF25&gt;='Options and results'!$K$25,'Options and results'!$K$24,1),0))</f>
        <v>0</v>
      </c>
      <c r="EZ25" s="740">
        <f>EY25*$EI$18*IF(DF25&gt;='Options and results'!$K$27,'Options and results'!$K$26,1)*IF(1+'Options and results'!$Q$21*(DF25-1)&gt;0,1+'Options and results'!$Q$21*(DF25-1),0)</f>
        <v>0</v>
      </c>
      <c r="FA25" s="1025">
        <f>IF(DF25&lt;='Options and results'!$W$20,IF(DL25&lt;=0,0,VLOOKUP($DG$8,Treecost!$B$6:$AH$49,Treecost!$AC$2,FALSE)+VLOOKUP($DG$8,Treecost!$B$6:$AH$49,Treecost!$AD$2,FALSE)+IF(AND(DF25&gt;=VLOOKUP($DG$8,Treecost!$B$2:$AK$49,Treecost!$AI$2,FALSE),DF25&lt;=VLOOKUP($DG$8,Treecost!$B$2:$AK$49,Treecost!$AJ$2,FALSE)),VLOOKUP($DG$8,Treecost!$B$2:$AK$49,Treecost!$AK$2,FALSE)*(1-CN25),0))*IF(DF25&gt;='Options and results'!$K$27,'Options and results'!$K$26,1),0)*IF(1+'Options and results'!$Q$22*(DF25-1)&gt;0,1+'Options and results'!$Q$22*(DF25-1),0)</f>
        <v>3</v>
      </c>
      <c r="FB25" s="894">
        <f>IF(DF25&lt;='Options and results'!$W$20,IF(DN25&gt;0,VLOOKUP($DG$8,Treecost!$B$6:$AH$49,Treecost!$AE$2,FALSE)/60*DN25,0)*IF(DF25&gt;='Options and results'!$K$25,'Options and results'!$K$24,1),0)</f>
        <v>0</v>
      </c>
      <c r="FC25" s="740">
        <f>IF(DF25&lt;='Options and results'!$W$20,IF(DN25&gt;0,VLOOKUP($DG$8,Treecost!$B$6:$AH$49,Treecost!$AF$2,FALSE)/60*DN25,0)*IF(DF25&gt;='Options and results'!$K$25,'Options and results'!$K$24,1),0)</f>
        <v>0</v>
      </c>
      <c r="FD25" s="740">
        <f>(FB25*$EI$20+FC25*$EI$21)*IF(DF25&gt;='Options and results'!$K$27,'Options and results'!$K$26,1)*IF(1+'Options and results'!$Q$21*(DF25-1)&gt;0,1+'Options and results'!$Q$21*(DF25-1),0)</f>
        <v>0</v>
      </c>
      <c r="FE25" s="894">
        <f>IF(DF25&lt;='Options and results'!$W$20,IF(DO25&gt;0,(VLOOKUP($DG$8,Treecost!$B$6:$AH$49,Treecost!$AG$2,FALSE)/60*DO25)*IF(DF25&gt;='Options and results'!$K$25,'Options and results'!$K$24,1),0),0)</f>
        <v>0</v>
      </c>
      <c r="FF25" s="740">
        <f>IF(DF25&lt;='Options and results'!$W$20,IF(DO25&gt;0,(VLOOKUP($DG$8,Treecost!$B$6:$AH$49,Treecost!$AH$2,FALSE)/60*DO25)*IF(DF25&gt;='Options and results'!$K$25,'Options and results'!$K$24,1),0),0)</f>
        <v>0</v>
      </c>
      <c r="FG25" s="740">
        <f>(FE25*$EI$22+FF25*$EI$23)*IF(DF25&gt;='Options and results'!$K$27,'Options and results'!$K$26,1)*IF(1+'Options and results'!$Q$21*(DF25-1)&gt;0,1+'Options and results'!$Q$21*(DF25-1),0)</f>
        <v>0</v>
      </c>
      <c r="FH25" s="894">
        <f t="shared" si="157"/>
        <v>0</v>
      </c>
      <c r="FI25" s="1027">
        <f t="shared" si="158"/>
        <v>0</v>
      </c>
      <c r="FJ25" s="1027">
        <f t="shared" si="159"/>
        <v>0</v>
      </c>
      <c r="FK25" s="1027">
        <f t="shared" si="160"/>
        <v>3</v>
      </c>
      <c r="FL25" s="1027">
        <f t="shared" si="183"/>
        <v>-3</v>
      </c>
      <c r="FM25" s="1027">
        <f>IF($DF25&lt;='Options and results'!$W$20,SUM(FI$8:$FI25),0)</f>
        <v>0</v>
      </c>
      <c r="FN25" s="1027">
        <f>IF($DF25&lt;='Options and results'!$W$20,SUM($FJ$8:FJ25),0)</f>
        <v>0</v>
      </c>
      <c r="FO25" s="1027">
        <f>IF($DF25&lt;='Options and results'!$W$20,SUM($FK$8:FK25),0)</f>
        <v>1094.0448753513026</v>
      </c>
      <c r="FP25" s="1027">
        <f>IF($DF25&lt;='Options and results'!$W$20,FM25+FN25-FO25,0)</f>
        <v>-1094.0448753513026</v>
      </c>
      <c r="FQ25" s="1027">
        <f t="shared" si="162"/>
        <v>433.36643176157372</v>
      </c>
      <c r="FR25" s="1027">
        <f t="shared" si="163"/>
        <v>430.36643176157372</v>
      </c>
      <c r="FS25" s="1027">
        <f t="shared" si="164"/>
        <v>0</v>
      </c>
      <c r="FT25" s="1189">
        <f>IF(DF25&lt;='Options and results'!$W$20,FP25+DZ25,0)</f>
        <v>163.383284318611</v>
      </c>
      <c r="FU25" s="401"/>
      <c r="FV25" s="895">
        <f t="shared" si="165"/>
        <v>18</v>
      </c>
      <c r="FW25" s="894">
        <f>G25/(1+'Options and results'!$W$33)^(FV25-1)</f>
        <v>675.74033921250498</v>
      </c>
      <c r="FX25" s="740">
        <f>(AP25+AR25+AS25)/(1+'Options and results'!$W$33)^(FV25-1)</f>
        <v>0</v>
      </c>
      <c r="FY25" s="740">
        <f ca="1">CQ25/(1+'Options and results'!$W$33)^(FV25-1)</f>
        <v>0</v>
      </c>
      <c r="FZ25" s="740">
        <f>(EA25+EC25+ED25)/(1+'Options and results'!$W$33)^(FV25-1)</f>
        <v>0</v>
      </c>
      <c r="GA25" s="1019">
        <f t="shared" ca="1" si="180"/>
        <v>0</v>
      </c>
      <c r="GB25" s="1026">
        <f>(AO25+AQ25)/(1+'Options and results'!$W$33)^(FV25-1)+FX25</f>
        <v>1091.8023981106162</v>
      </c>
      <c r="GC25" s="1027">
        <f>IF(FV25&gt;'Options and results'!$W$27,0,GB25-GB24)</f>
        <v>136.10742757929586</v>
      </c>
      <c r="GD25" s="1027">
        <f>(DZ25+EB25)/(1+'Options and results'!$W$33)^(FV25-1)+FZ25</f>
        <v>1012.8100079900501</v>
      </c>
      <c r="GE25" s="1379">
        <f>IF(FV25&gt;'Options and results'!$W$27,0,GD25-GD24)</f>
        <v>190.86548066570242</v>
      </c>
      <c r="GF25" s="894">
        <f>IF(FV25&lt;='Options and results'!$W$20,SUM(FW$8:FW25),0)</f>
        <v>20716.557831678128</v>
      </c>
      <c r="GG25" s="740">
        <f>IF(FV25&lt;='Options and results'!$W$20,SUM(FX$8:FX25), 0)</f>
        <v>0</v>
      </c>
      <c r="GH25" s="740">
        <f ca="1">IF(FV25&lt;='Options and results'!$W$20,SUM(FY$8:FY25),0)</f>
        <v>14787.259868716837</v>
      </c>
      <c r="GI25" s="740">
        <f>IF(FV25&lt;='Options and results'!$W$20,SUM(FZ$8:FZ25),0)</f>
        <v>0</v>
      </c>
      <c r="GJ25" s="1019">
        <f t="shared" ca="1" si="166"/>
        <v>14787.259868716837</v>
      </c>
      <c r="GK25" s="894">
        <f>IF(FV25&gt;'Options and results'!$W$27,0,GG25+SUM(GC$8:GC25)-FX25)</f>
        <v>1091.8023981106162</v>
      </c>
      <c r="GL25" s="740">
        <f>IF(FV25&lt;='Options and results'!$W$20,SUM(GD$8:GD25),0)</f>
        <v>3838.0707768859297</v>
      </c>
      <c r="GM25" s="1034">
        <f t="shared" ca="1" si="167"/>
        <v>18625.330645602768</v>
      </c>
      <c r="GN25" s="401"/>
      <c r="GO25" s="895">
        <f t="shared" si="168"/>
        <v>18</v>
      </c>
      <c r="GP25" s="894">
        <f>H25/(1+'Options and results'!$W$33)^(GO25-1)</f>
        <v>120.74538742433636</v>
      </c>
      <c r="GQ25" s="740">
        <f>SUM(AT25:AV25)/(1+'Options and results'!$W$33)^(GO25-1)</f>
        <v>0</v>
      </c>
      <c r="GR25" s="740">
        <f>CR25/(1+'Options and results'!$W$33)^(GO25-1)</f>
        <v>0</v>
      </c>
      <c r="GS25" s="740">
        <f>SUM(EE25:EG25)/(1+'Options and results'!$W$33)^(GO25-1)</f>
        <v>0</v>
      </c>
      <c r="GT25" s="1019">
        <f t="shared" si="181"/>
        <v>0</v>
      </c>
      <c r="GU25" s="894">
        <f>IF(GO25&lt;='Options and results'!$W$20,SUM(GP$8:GP25),0)</f>
        <v>3096.5653143915874</v>
      </c>
      <c r="GV25" s="740">
        <f>IF(GO25&lt;='Options and results'!$W$20,SUM(GQ$8:GQ25),0)</f>
        <v>0</v>
      </c>
      <c r="GW25" s="740">
        <f>IF(GO25&lt;='Options and results'!$W$20,SUM(GR$8:GR25),0)</f>
        <v>0</v>
      </c>
      <c r="GX25" s="740">
        <f>IF(GO25&lt;='Options and results'!$W$20,SUM(GS$8:GS25),0)</f>
        <v>0</v>
      </c>
      <c r="GY25" s="1034">
        <f>IF(GO25&lt;='Options and results'!$W$20,SUM(GT$8:GT25),0)</f>
        <v>0</v>
      </c>
      <c r="GZ25" s="401"/>
      <c r="HA25" s="895">
        <f t="shared" si="169"/>
        <v>18</v>
      </c>
      <c r="HB25" s="1026">
        <f>(J25+L25+(M25*N25))/(1+'Options and results'!$W$33)^(HA25-1)</f>
        <v>650.6537846516128</v>
      </c>
      <c r="HC25" s="740">
        <f>BZ25/(1+'Options and results'!$W$33)^(HA25-1)</f>
        <v>1.5401197375553106</v>
      </c>
      <c r="HD25" s="1027">
        <f>(CT25+CV25+(CW25*CX25))/(1+'Options and results'!$W$33)^(HA25-1)</f>
        <v>0</v>
      </c>
      <c r="HE25" s="740">
        <f>FK25/(1+'Options and results'!$W$33)^(HA25-1)</f>
        <v>1.5401197375553106</v>
      </c>
      <c r="HF25" s="1019">
        <f t="shared" si="182"/>
        <v>1.5401197375553106</v>
      </c>
      <c r="HG25" s="894">
        <f>IF(HA25&lt;='Options and results'!$W$20,SUM(HB$8:HB25),0)</f>
        <v>16072.897871655739</v>
      </c>
      <c r="HH25" s="740">
        <f>IF(HA25&lt;='Options and results'!$W$20,SUM(HC$8:HC25),0)</f>
        <v>1390.7037815900737</v>
      </c>
      <c r="HI25" s="740">
        <f>IF(HA25&lt;='Options and results'!$W$20,SUM(HD$8:HD25),0)</f>
        <v>13294.975863606456</v>
      </c>
      <c r="HJ25" s="740">
        <f>IF(HA25&lt;='Options and results'!$W$20,SUM(HE$8:HE25),0)</f>
        <v>935.08359353826199</v>
      </c>
      <c r="HK25" s="1034">
        <f>IF(HA25&lt;='Options and results'!$W$20,SUM(HF$8:HF25),0)</f>
        <v>14230.05945714472</v>
      </c>
      <c r="HL25" s="405"/>
      <c r="HM25" s="895">
        <f t="shared" si="170"/>
        <v>18</v>
      </c>
      <c r="HN25" s="1026">
        <f t="shared" si="171"/>
        <v>145.83194198522858</v>
      </c>
      <c r="HO25" s="1027">
        <f t="shared" si="172"/>
        <v>-1.5401197375553106</v>
      </c>
      <c r="HP25" s="1027">
        <f t="shared" ca="1" si="173"/>
        <v>0</v>
      </c>
      <c r="HQ25" s="1027">
        <f t="shared" si="174"/>
        <v>-1.5401197375553106</v>
      </c>
      <c r="HR25" s="1027">
        <f t="shared" si="175"/>
        <v>134.56730784174056</v>
      </c>
      <c r="HS25" s="1379">
        <f t="shared" si="176"/>
        <v>189.32536092814712</v>
      </c>
      <c r="HT25" s="1026">
        <f>IF($HM25&lt;='Options and results'!$W$20,SUM(HN$8:HN25),0)</f>
        <v>7740.2252744139741</v>
      </c>
      <c r="HU25" s="1027">
        <f>IF($HM25&lt;='Options and results'!$W$20,SUM(HO$8:HO25),0)</f>
        <v>-1390.7037815900737</v>
      </c>
      <c r="HV25" s="1027">
        <f ca="1">IF($HM25&lt;='Options and results'!$W$20,SUM(HP$8:HP25),0)</f>
        <v>1492.284005110379</v>
      </c>
      <c r="HW25" s="1027">
        <f>IF($HM25&lt;='Options and results'!$W$20,SUM(HQ$8:HQ25),0)</f>
        <v>-935.08359353826199</v>
      </c>
      <c r="HX25" s="1027">
        <f t="shared" ca="1" si="177"/>
        <v>557.20041157211699</v>
      </c>
      <c r="HY25" s="1027">
        <f>IF($HM25&lt;='Options and results'!$W$20,SUM(HR$8:HR25),0)</f>
        <v>-298.90138347945754</v>
      </c>
      <c r="HZ25" s="1027">
        <f>IF($HM25&lt;='Options and results'!$W$20,SUM(HS$8:HS25),0)</f>
        <v>77.726414451788401</v>
      </c>
      <c r="IA25" s="1189">
        <f t="shared" ca="1" si="178"/>
        <v>1570.0104195621675</v>
      </c>
    </row>
    <row r="26" spans="1:235" x14ac:dyDescent="0.25">
      <c r="A26" s="1010">
        <f t="shared" si="126"/>
        <v>19</v>
      </c>
      <c r="B26" s="1011" t="str">
        <f>IF('Options and results'!$C$17="None",0,CONCATENATE('Options and results'!$C$23," ",(HLOOKUP(CONCATENATE('Options and results'!$C$17," ",Arablesystem!$B$11),Arablesystem!$B$10:$ER$72,$A26+3,FALSE))))</f>
        <v>UK - Agriculture (BPS: from 2015) Barley</v>
      </c>
      <c r="C26" s="1012">
        <f>IF(HLOOKUP(CONCATENATE('Options and results'!$C$17," ",Arablesystem!$C$11),Arablesystem!$B$10:$ER$72,$A26+3,FALSE)="T",(VLOOKUP(B26,Arablefinance!$Z$6:$AB$105,Arablefinance!$AB$2,FALSE)*E26+VLOOKUP(B26,Arablefinance!$Z$6:$AC$105,Arablefinance!$AC$2,FALSE)*F26)/VLOOKUP(B26,Arablefinance!$Z$6:$AA$105,Arablefinance!$AA$2,FALSE),0)</f>
        <v>0</v>
      </c>
      <c r="D26" s="1012">
        <f>IF(B26=0,0,HLOOKUP(CONCATENATE('Options and results'!$C$17," ",Arablesystem!$D$11),Arablesystem!$B$10:$ER$72,$A26+3,FALSE))</f>
        <v>1</v>
      </c>
      <c r="E26" s="1440">
        <f>IF(B26=0,0,HLOOKUP(CONCATENATE('Options and results'!$C$17," ",Arablesystem!$E$11),Arablesystem!$B$10:$ER$72,$A26+3,FALSE)*IF(A26&gt;='Options and results'!$H$19,'Options and results'!$H$18,1))</f>
        <v>8.9197894611856832</v>
      </c>
      <c r="F26" s="1440">
        <f>IF(B26=0,0,HLOOKUP(CONCATENATE('Options and results'!$C$17," ",Arablesystem!$F$11),Arablesystem!$B$10:$ER$72,$A26+3,FALSE)*IF(A26&gt;='Options and results'!$H$19,'Options and results'!$H$18,1))</f>
        <v>5.3518736767114099</v>
      </c>
      <c r="G26" s="1013">
        <f>IF(D26&lt;=0,0,IF(A26&lt;='Options and results'!$W$20,IF(C26&gt;0,VLOOKUP(B26,Arablefinance!$Z$6:$AE$105,Arablefinance!$AD$2,FALSE)*C26*D26,((VLOOKUP(B26,Arablefinance!$E$6:$G$126,Arablefinance!$F$2,FALSE)*(E26*D26)+VLOOKUP(B26,Arablefinance!$E$6:$G$126,Arablefinance!$G$2,FALSE)*(F26*D26)))),0)*IF(A26&gt;='Options and results'!$H$21,'Options and results'!$H$20,1))*IF(1+'Options and results'!$O$20*(A26-1)&gt;0,1+'Options and results'!$O$20*(A26-1),0)</f>
        <v>1719.0416467140631</v>
      </c>
      <c r="H26" s="1441">
        <f>IF(D26&lt;=0,0,IF(A26&lt;='Options and results'!$W$20,IF(AND(C26&gt;0,VLOOKUP(B26,Arablefinance!$Z$6:$AI$105,Arablefinance!$AI$2,FALSE)=2),VLOOKUP(B26,Arablefinance!$Z$6:$AE$105,Arablefinance!$AE$2,FALSE)*C26*D26,(VLOOKUP(B26,Arablefinance!$E$6:$H$126,Arablefinance!$H$2,FALSE)*D26))*IF(A26&gt;='Options and results'!$H$23,'Options and results'!$H$22,1),0)*IF(AND(1+'Options and results'!$O$23*(A26-1)&gt;0,1+'Options and results'!$O$23*(A26-1)&gt;'Options and results'!$S$24),1+'Options and results'!$O$23*(A26-1),'Options and results'!$S$24))</f>
        <v>235.2</v>
      </c>
      <c r="I26" s="1441">
        <f t="shared" si="127"/>
        <v>1954.2416467140631</v>
      </c>
      <c r="J26" s="1441">
        <f>IF(D26&lt;=0,0,IF(A26&lt;='Options and results'!$W$20,IF(C26&gt;0,VLOOKUP(B26,Arablefinance!$Z$6:$AF$105,Arablefinance!$AF$2,FALSE)*C26*D26,(VLOOKUP(B26,Arablefinance!$E$6:$X$126,Arablefinance!$R$2,FALSE))*D26),0)*IF(A26&gt;='Options and results'!$H$27,'Options and results'!$H$26,1))*IF(1+'Options and results'!$O$22*(A26-1)&gt;0,1+'Options and results'!$O$22*(A26-1),0)</f>
        <v>535.20833333333326</v>
      </c>
      <c r="K26" s="1441">
        <f t="shared" si="128"/>
        <v>1419.0333133807299</v>
      </c>
      <c r="L26" s="1441">
        <f>IF(D26&lt;=0,0,IF(A26&lt;='Options and results'!$W$20,IF(C26&gt;0,VLOOKUP(B26,Arablefinance!$Z$6:$AG$105,Arablefinance!$AG$2,FALSE)*C26*D26,VLOOKUP(B26,Arablefinance!$E$6:$X$126,Arablefinance!$X$2,FALSE)*D26),0)*IF(A26&gt;='Options and results'!$H$27,'Options and results'!$H$26,1))*IF(1+'Options and results'!$O$22*(A26-1)&gt;0,1+'Options and results'!$O$22*(A26-1),0)</f>
        <v>444.44444444444446</v>
      </c>
      <c r="M26" s="1442">
        <f>IF(D26&lt;=0,0,IF(A26&lt;='Options and results'!$W$20,'Options and results'!$C$27,0)*IF(A26&gt;='Options and results'!$H$27,'Options and results'!$H$26,1))*IF(1+'Options and results'!$O$21*(A26-1)&gt;0,1+'Options and results'!$O$21*(A26-1),0)</f>
        <v>14.6</v>
      </c>
      <c r="N26" s="1442">
        <f>IF(D26&lt;=0,0,IF(A26&lt;='Options and results'!$W$20,IF(C26&gt;0,VLOOKUP(B26,Arablefinance!$Z$6:$AH$105,Arablefinance!$AH$2,FALSE)*C26*D26,VLOOKUP(B26,Arablefinance!$E$6:$W$126,Arablefinance!$V$2,FALSE)*D26),0)*IF(A26&gt;='Options and results'!$H$25,'Options and results'!$H$24,1))</f>
        <v>10.833689569810836</v>
      </c>
      <c r="O26" s="1013">
        <f t="shared" si="129"/>
        <v>1137.8246454970158</v>
      </c>
      <c r="P26" s="1353">
        <f t="shared" si="130"/>
        <v>816.41700121704719</v>
      </c>
      <c r="Q26" s="1013">
        <f>IF(A26&lt;='Options and results'!$W$20,SUM(G$8:$G26),0)</f>
        <v>29894.563450875899</v>
      </c>
      <c r="R26" s="1441">
        <f>IF($A26&lt;='Options and results'!$W$20,SUM($H$8:H26),0)</f>
        <v>4468.7999999999984</v>
      </c>
      <c r="S26" s="1441">
        <f>IF($A26&lt;='Options and results'!$W$20,SUM($O$8:O26),0)</f>
        <v>23112.157059855243</v>
      </c>
      <c r="T26" s="1032">
        <f>IF(A26&lt;='Options and results'!$W$20,Q26+R26-S26,0)</f>
        <v>11251.206391020656</v>
      </c>
      <c r="U26" s="405"/>
      <c r="V26" s="1010">
        <f t="shared" si="131"/>
        <v>19</v>
      </c>
      <c r="W26" s="173"/>
      <c r="X26" s="1036"/>
      <c r="Y26" s="1030">
        <f>IF(V26&lt;='Options and results'!$M$34,'Options and results'!$M$33,0)</f>
        <v>0</v>
      </c>
      <c r="Z26" s="1441">
        <f t="shared" si="132"/>
        <v>0</v>
      </c>
      <c r="AA26" s="1441">
        <f t="shared" si="133"/>
        <v>0</v>
      </c>
      <c r="AB26" s="1428">
        <f t="shared" si="134"/>
        <v>156</v>
      </c>
      <c r="AC26" s="1441">
        <f>IF($W$8=0,0,IF(HLOOKUP(CONCATENATE('Options and results'!$C$32," ",Forestrysystem!$C$8),Forestrysystem!$A$7:$IH$70,V26+4,FALSE)&lt;AB26,HLOOKUP(CONCATENATE('Options and results'!$C$32," ",Forestrysystem!$C$8),Forestrysystem!$A$7:$IH$70,V26+4,FALSE),0))</f>
        <v>0</v>
      </c>
      <c r="AD26" s="1441">
        <f>IF($W$8=0,0,IF(HLOOKUP(CONCATENATE('Options and results'!$C$32," ",Forestrysystem!$C$8),Forestrysystem!$A$7:$IH$70,V26+4,FALSE)&gt;=AB26,AB26,0))</f>
        <v>0</v>
      </c>
      <c r="AE26" s="1440">
        <f>IF($W$8=0,0,HLOOKUP(CONCATENATE('Options and results'!$C$32," ",Forestrysystem!$D$8),Forestrysystem!$A$7:$IH$70,$V26+4,FALSE))</f>
        <v>21.416100776787999</v>
      </c>
      <c r="AF26" s="1037"/>
      <c r="AG26" s="1440">
        <f>IF($W$8=0,0,IF(V26=1,'Options and results'!$M$36,0)+IF('Options and results'!$M$39="yes",IF(AND(AG25+'Options and results'!$M$37&lt;=$AF$8,AG25+'Options and results'!$M$37+IF(V26=1,'Options and results'!$M$36,0)&lt;='Options and results'!$M$38*AE26),AG25+'Options and results'!$M$37,AG25),(HLOOKUP(CONCATENATE('Options and results'!$C$32," ",Forestrysystem!$E$8),Forestrysystem!$A$7:$IH$70,V26+4,FALSE))-IF(V26=1,'Options and results'!$M$36,0)))</f>
        <v>7.5</v>
      </c>
      <c r="AH26" s="1442">
        <f>IF(OR($W$8=0,AB26&lt;=0),0,(HLOOKUP(CONCATENATE('Options and results'!$C$32," ",Forestrysystem!$F$8),Forestrysystem!$A$7:$IH$70,$V26+4,FALSE)) * IF(V26&gt;='Options and results'!$I$19,'Options and results'!$I$18,1) )</f>
        <v>89.356029243091129</v>
      </c>
      <c r="AI26" s="1452">
        <f t="shared" si="179"/>
        <v>0.57279505925058416</v>
      </c>
      <c r="AJ26" s="1442">
        <f t="shared" si="135"/>
        <v>0</v>
      </c>
      <c r="AK26" s="1453">
        <f>IF(OR($W$8=0,AE26&lt;=0),0,(HLOOKUP(CONCATENATE('Options and results'!$C$32," ",Forestrysystem!$G$8),Forestrysystem!$A$7:$IH$70,$V26+4,FALSE)) * IF(Y26&gt;='Options and results'!$I$19,'Options and results'!$I$18,1) )</f>
        <v>39.401316054191582</v>
      </c>
      <c r="AL26" s="1453">
        <f>IF($W$8=0,0,HLOOKUP(CONCATENATE('Options and results'!$C$32," ",Forestrysystem!$H$8),Forestrysystem!$A$7:$IH$70,$V26+4,FALSE)*IF(V26&gt;='Options and results'!$I$19,'Options and results'!$I$18,1))</f>
        <v>0</v>
      </c>
      <c r="AM26" s="1383">
        <f>IF($W$8=0,0,HLOOKUP(CONCATENATE('Options and results'!$C$32," ",Forestrysystem!$I$8),Forestrysystem!$A$7:$IH$70,$V26+4,FALSE)*IF(V26&gt;='Options and results'!$I$19,'Options and results'!$I$18,1))</f>
        <v>0</v>
      </c>
      <c r="AN26" s="1382">
        <f>IF(AI26&gt;0,HLOOKUP(AI26,Treevalue!$I$4:$BC$34,'Options and results'!$C$39+1),0)*IF(V26&gt;='Options and results'!$I$21,'Options and results'!$I$20,1)*IF(1+'Options and results'!$Q$20*(V26-1)&gt;0,1+'Options and results'!$Q$20*(V26-1),0)</f>
        <v>17.916185242497633</v>
      </c>
      <c r="AO26" s="1454">
        <f t="shared" si="136"/>
        <v>1600.9191724532564</v>
      </c>
      <c r="AP26" s="1454">
        <f t="shared" si="137"/>
        <v>0</v>
      </c>
      <c r="AQ26" s="1454">
        <f>(IF('Options and results'!$C$39&gt;0,IF(V26&lt;='Options and results'!$W$20,VLOOKUP('Options and results'!$C$39,Treevalue!$A$4:$F$34,5,FALSE),0),0)*AK26)*IF(V26&gt;='Options and results'!$I$21,'Options and results'!$I$20,1)*IF(1+'Options and results'!$Q$20*(V26-1)&gt;0,1+'Options and results'!$Q$20*(V26-1),0)-AR26</f>
        <v>985.0329013547896</v>
      </c>
      <c r="AR26" s="1441">
        <f>(IF('Options and results'!$C$39&gt;0,IF(V26&lt;='Options and results'!$W$20,VLOOKUP('Options and results'!$C$39,Treevalue!$A$4:$F$34,5,FALSE),0),0)*AL26)*IF(V26&gt;='Options and results'!$I$21,'Options and results'!$I$20,1)*IF(1+'Options and results'!$Q$20*(V26-1)&gt;0,1+'Options and results'!$Q$20*(V26-1),0)</f>
        <v>0</v>
      </c>
      <c r="AS26" s="1441">
        <f>(IF('Options and results'!$C$39&gt;0,IF(V26&lt;='Options and results'!$W$20,VLOOKUP('Options and results'!$C$39,Treevalue!$A$4:$F$34,6,FALSE),0),0)*AM26)*IF(V26&gt;='Options and results'!$I$21,'Options and results'!$I$20,1)*IF(1+'Options and results'!$Q$20*(V26-1)&gt;0,1+'Options and results'!$Q$20*(V26-1),0)</f>
        <v>0</v>
      </c>
      <c r="AT26" s="1441">
        <f>IF(V26&lt;='Options and results'!$W$20,(IF(AB26&lt;=0,0,IF('Options and results'!$C$43="cost",(IF(V26&lt;='Options and results'!$C$44,BZ26*SUM('Options and results'!$C$45:$C$46),0)),IF('Options and results'!$C$41&gt;0,(IF(VLOOKUP('Options and results'!$C$42,Treegrant!$B$6:$L$42,Treegrant!$C$2,FALSE)=V26,VLOOKUP('Options and results'!$C$42,Treegrant!$B$6:$L$42,Treegrant!$D$2,FALSE),0)+IF(VLOOKUP('Options and results'!$C$42,Treegrant!$B$6:$L$42,Treegrant!$E$2,FALSE)=V26,VLOOKUP('Options and results'!$C$42,Treegrant!$B$6:$L$42,Treegrant!$F$2,FALSE),0)+IF(VLOOKUP('Options and results'!$C$42,Treegrant!$B$6:$L$42,Treegrant!$G$2,FALSE)=V26,VLOOKUP('Options and results'!$C$42,Treegrant!$B$6:$L$42,Treegrant!$H$2,FALSE)))*IF('Options and results'!$C$43="area",1,'Options and results'!$C$43),0)))*IF(V26&gt;='Options and results'!$I$23,'Options and results'!$I$22,1)),0)*IF(1+'Options and results'!$Q$23*(V26-1)&gt;0,1+'Options and results'!$Q$23*(V26-1),0)</f>
        <v>0</v>
      </c>
      <c r="AU26" s="1441">
        <f>IF($W$8=0,0,IF(V26&lt;='Options and results'!$W$20,IF(AB26&lt;=0,0,IF('Options and results'!$C$41&gt;0,IF(AND(VLOOKUP('Options and results'!$C$42,Treegrant!$B$6:$L$42,Treegrant!$J$2,FALSE)&lt;=V26,VLOOKUP('Options and results'!$C$42,Treegrant!$B$6:$L$42,Treegrant!$K$2,FALSE)&gt;=V26),(VLOOKUP('Options and results'!$C$42,Treegrant!$B$6:$L$42,Treegrant!$L$2,FALSE)),0)*IF('Options and results'!$C$47="full",1,'Options and results'!$C$47))*IF(V26&gt;='Options and results'!$I$23,'Options and results'!$I$22,1)),0))*IF(1+'Options and results'!$Q$23*(V26-1)&gt;0,1+'Options and results'!$Q$23*(V26-1),0)</f>
        <v>0</v>
      </c>
      <c r="AV26" s="1032">
        <f>IF($W$8=0,0,IF(V26&lt;='Options and results'!$W$20,IF(AB26&lt;=0,0,(IF('Options and results'!$C$41&gt;0,(IF(AND(VLOOKUP('Options and results'!$C$42,Treegrant!$B$6:$O$42,Treegrant!$M$2,FALSE)&lt;=V26,VLOOKUP('Options and results'!$C$42,Treegrant!$B$6:$O$42,Treegrant!$N$2,FALSE)&gt;=V26),(VLOOKUP('Options and results'!$C$42,Treegrant!$B$6:$O$42,Treegrant!$O$2,FALSE)),0)*IF('Options and results'!$C$48="full",1,'Options and results'!$C$48))+(IF(AND(VLOOKUP('Options and results'!$C$42,Treegrant!$B$6:$R$42,Treegrant!$P$2,FALSE)&lt;=V26,VLOOKUP('Options and results'!$C$42,Treegrant!$B$6:$R$42,Treegrant!$Q$2,FALSE)&gt;=V26),(VLOOKUP('Options and results'!$C$42,Treegrant!$B$6:$R$42,Treegrant!$R$2,FALSE)),0))*IF('Options and results'!$C$49="full",1,'Options and results'!$C$49)))*IF(V26&gt;='Options and results'!$I$23,'Options and results'!$I$22,1)),0))*IF(1+'Options and results'!$Q$23*(V26-1)&gt;0,1+'Options and results'!$Q$23*(V26-1),0)</f>
        <v>0</v>
      </c>
      <c r="AW26" s="1041"/>
      <c r="AX26" s="1042"/>
      <c r="AY26" s="1419">
        <f>IF($W$8=0,0,IF(V26=1,VLOOKUP($W$8,Treecost!$B$6:$AH$49,Treecost!$E$2,FALSE),0)*IF(V26&gt;='Options and results'!$I$25,'Options and results'!$I$24,1))</f>
        <v>0</v>
      </c>
      <c r="AZ26" s="889">
        <f>IF($W$8=0,0,IF(V26=1,VLOOKUP($W$8,Treecost!$B$6:$AH$49,Treecost!$F$2,FALSE),0)*IF(V26&gt;='Options and results'!$I$25,'Options and results'!$I$24,1))</f>
        <v>0</v>
      </c>
      <c r="BA26" s="889">
        <f>IF($W$8=0,0,IF(V26=1,VLOOKUP($W$8,Treecost!$B$6:$AH$49,Treecost!$G$2,FALSE),0)*IF(V26&gt;='Options and results'!$I$25,'Options and results'!$I$24,1))</f>
        <v>0</v>
      </c>
      <c r="BB26" s="889">
        <f>IF($W$8=0,0,IF(V26&lt;='Options and results'!$W$20,((VLOOKUP($W$8,Treecost!$B$6:$AH$49,Treecost!$H$2,FALSE)*(X26+AA26))/60)*IF(V26&gt;='Options and results'!$I$25,'Options and results'!$I$24,1),0))</f>
        <v>0</v>
      </c>
      <c r="BC26" s="889">
        <f>IF($W$8=0,0,IF(V26&lt;='Options and results'!$W$20,(((VLOOKUP($W$8,Treecost!$B$6:$AH$49,Treecost!$I$2,FALSE))*(X26+AA26))/60)*IF(V26&gt;='Options and results'!$I$25,'Options and results'!$I$24,1),0))</f>
        <v>0</v>
      </c>
      <c r="BD26" s="889">
        <f>IF($W$8=0,0,IF(V26&lt;='Options and results'!$W$20,(((VLOOKUP($W$8,Treecost!$B$6:$AH$49,Treecost!$J$2,FALSE))/60)*(X26+AA26))*IF(V26&gt;='Options and results'!$I$25,'Options and results'!$I$24,1),0))</f>
        <v>0</v>
      </c>
      <c r="BE26" s="1019">
        <f>IF($W$8=0,0,IF(V26&lt;='Options and results'!$W$20,(((VLOOKUP($W$8,Treecost!$B$6:$AH$49,Treecost!$C$2,FALSE)+VLOOKUP($W$8,Treecost!$B$6:$AH$49,Treecost!$D$2,FALSE))*(X26+AA26)*IF(1+'Options and results'!$Q$22*(V26-1)&gt;0,1+'Options and results'!$Q$22*(V26-1),0))+((AY26*$AX$8+AZ26*$AX$9+BA26*$AX$10+BB26*$AX$11+BC26*$AX$12+BD26*$AX$13)*IF(1+'Options and results'!$Q$21*(V26-1)&gt;0,1+'Options and results'!$Q$21*(V26-1),0)))*IF(V26&gt;='Options and results'!$I$27,'Options and results'!$I$26,1),0))</f>
        <v>0</v>
      </c>
      <c r="BF26" s="889">
        <f>IF($W$8=0,0,IF(V26&lt;='Options and results'!$W$20,IF(AND(VLOOKUP($W$8,Treecost!$B$6:$AH$49,Treecost!$K$2,FALSE)&lt;=V26,V26&lt;=(VLOOKUP($W$8,Treecost!$B$6:$AH$49,Treecost!$L$2,FALSE))),VLOOKUP($W$8,Treecost!$B$6:$AH$49,Treecost!$M$2,FALSE)*AB26/60,0)*IF(V26&gt;='Options and results'!$I$25,'Options and results'!$I$24,1),0))</f>
        <v>0</v>
      </c>
      <c r="BG26" s="1019">
        <f>IF(BF26&gt;0,(VLOOKUP($W$8,Treecost!$B$6:$AH$49,Treecost!$N$2,FALSE)*AB26*IF(1+'Options and results'!$Q$22*(V26-1)&gt;0,1+'Options and results'!$Q$22*(V26-1),0)+BF26*$AX$14*IF(1+'Options and results'!$Q$21*(V26-1)&gt;0,1+'Options and results'!$Q$21*(V26-1),0)),0)*IF(V26&gt;='Options and results'!$I$27,'Options and results'!$I$26,1)</f>
        <v>0</v>
      </c>
      <c r="BH26" s="889">
        <f>IF(V26&lt;='Options and results'!$W$20,IF(AND(AG26-AG25&gt;0,AG26&gt;'Options and results'!$M$36),(AB26-AC26)*(VLOOKUP($W$8,Treecost!$B$6:$AH$49,Treecost!$Y$2,FALSE)+(VLOOKUP($W$8,Treecost!$B$6:$AH$49,Treecost!$AA$2,FALSE)-VLOOKUP($W$8,Treecost!$B$6:$AH$49,Treecost!$Y$2,FALSE))/(VLOOKUP($W$8,Treecost!$B$6:$AH$49,Treecost!$Z$2,FALSE)-VLOOKUP($W$8,Treecost!$B$6:$AH$49,Treecost!$X$2,FALSE))*(AG26-VLOOKUP($W$8,Treecost!$B$6:$AH$49,Treecost!$X$2,FALSE)))/60,0)*IF(V26&gt;='Options and results'!$I$25,'Options and results'!$I$24,1),0)</f>
        <v>0</v>
      </c>
      <c r="BI26" s="303">
        <f>IF(V26&lt;='Options and results'!$W$20,IF(BH26&gt;0,VLOOKUP($W$8,Treecost!$B$6:$AH$49,Treecost!$AB$2,FALSE)/60*AB26,0)*IF(V26&gt;='Options and results'!$I$25,'Options and results'!$I$24,1),0)*((BH26-(MIN($BH$8:$BH$67)))/((MAX($BH$8:$BH$67))-(MIN($BH$8:$BH$67))))</f>
        <v>0</v>
      </c>
      <c r="BJ26" s="740">
        <f>IF(BH26&gt;0,(BH26*$AX$15+BI26*$AX$19)*IF(1+'Options and results'!$Q$21*(V26-1)&gt;0,1+'Options and results'!$Q$21*(V26-1),0),0)*IF(V26&gt;='Options and results'!$I$27,'Options and results'!$I$26,1)</f>
        <v>0</v>
      </c>
      <c r="BK26" s="891">
        <f>IF($W$8=0,0,IF(V26&lt;='Options and results'!$W$20,IF(VLOOKUP($W$8,Treecost!$B$2:$AH$49,Treecost!$O$2,FALSE)=V26,VLOOKUP($W$8,Treecost!$B$2:$AH$49,Treecost!$P$2,FALSE),0)*IF(V26&gt;='Options and results'!$I$25,'Options and results'!$I$24,1),0))</f>
        <v>0</v>
      </c>
      <c r="BL26" s="889">
        <f>IF($W$8=0,0,IF(V26&lt;='Options and results'!$W$20,IF(AND(V26&gt;VLOOKUP($W$8,Treecost!$B$2:$AH$49,Treecost!$O$2,FALSE),V26&lt;=VLOOKUP($W$8,Treecost!$B$2:$AH$49,Treecost!$R$2,FALSE)),VLOOKUP($W$8,Treecost!$B$2:$AH$49,Treecost!$S$2,FALSE),0)*IF(V26&gt;='Options and results'!$I$25,'Options and results'!$I$24,1),0))</f>
        <v>0</v>
      </c>
      <c r="BM26" s="740">
        <f>IF($W$8=0,0,IF(V26&lt;='Options and results'!$W$20,((IF(VLOOKUP($W$8,Treecost!$B$2:$AH$49,Treecost!$O$2,FALSE)=V26,VLOOKUP($W$8,Treecost!$B$2:$AH$49,Treecost!$Q$2,FALSE),0)+IF(AND(V26&gt;VLOOKUP($W$8,Treecost!$B$2:$AH$49,Treecost!$O$2,FALSE),V26&lt;=VLOOKUP($W$8,Treecost!$B$2:$AH$49,Treecost!$R$2,FALSE)),VLOOKUP($W$8,Treecost!$B$2:$AH$49,Treecost!$T$2,FALSE),0)*IF(1+'Options and results'!$Q$22*(V26-1)&gt;0,1+'Options and results'!$Q$22*(V26-1),0))+(BK26*$AX$16+BL26*$AX$17)*IF(1+'Options and results'!$Q$21*(V26-1)&gt;0,1+'Options and results'!$Q$21*(V26-1),0))*IF(V26&gt;='Options and results'!$I$27,'Options and results'!$I$26,1),0))</f>
        <v>0</v>
      </c>
      <c r="BN26" s="894">
        <f>IF($W$8=0,0,IF(V26&lt;='Options and results'!$W$20,IF(AND(V26&gt;=VLOOKUP($W$8,Treecost!$B$2:$W$49,Treecost!$U$2,FALSE),V26&lt;=VLOOKUP($W$8,Treecost!$B$2:$W$49,Treecost!$V$2,FALSE)),(AB26*VLOOKUP($W$8,Treecost!$B$2:$W$49,Treecost!$W$2,FALSE)/60),0)*IF(V26&gt;='Options and results'!$I$25,'Options and results'!$I$24,1),0))</f>
        <v>0</v>
      </c>
      <c r="BO26" s="740">
        <f>BN26*$AX$18*IF(V26&gt;='Options and results'!$I$27,'Options and results'!$I$26,1)*IF(1+'Options and results'!$Q$21*(V26-1)&gt;0,1+'Options and results'!$Q$21*(V26-1),0)</f>
        <v>0</v>
      </c>
      <c r="BP26" s="894">
        <f>IF(V26&lt;='Options and results'!$W$20,IF(AB26&lt;=0,0,VLOOKUP($W$8,Treecost!$B$6:$AH$49,Treecost!$AC$2,FALSE)+VLOOKUP($W$8,Treecost!$B$6:$AH$49,Treecost!$AD$2,FALSE)+IF(AND(V26&gt;=VLOOKUP($W$8,Treecost!$B$2:$AK$49,Treecost!$AI$2,FALSE),V26&lt;=VLOOKUP($W$8,Treecost!$B$2:$AK$49,Treecost!$AJ$2,FALSE)),(VLOOKUP($W$8,Treecost!$B$2:$AK$49,Treecost!$AK$2,FALSE)),0))*IF(V26&gt;='Options and results'!$I$27,'Options and results'!$I$26,1),0)*IF(1+'Options and results'!$Q$22*(V26-1)&gt;0,1+'Options and results'!$Q$22*(V26-1),0)</f>
        <v>3</v>
      </c>
      <c r="BQ26" s="894">
        <f>IF(V26&lt;='Options and results'!$W$20,IF(AC26&gt;0,VLOOKUP($W$8,Treecost!$B$6:$AH$49,Treecost!$AE$2,FALSE)/60*AC26,0)*IF(V26&gt;='Options and results'!$I$25,'Options and results'!$I$24,1),0)</f>
        <v>0</v>
      </c>
      <c r="BR26" s="740">
        <f>IF(V26&lt;='Options and results'!$W$20,IF(AC26&gt;0,VLOOKUP($W$8,Treecost!$B$6:$AH$49,Treecost!$AF$2,FALSE)/60*AC26,0)*IF(V26&gt;='Options and results'!$I$25,'Options and results'!$I$24,1),0)</f>
        <v>0</v>
      </c>
      <c r="BS26" s="740">
        <f>(BQ26*$AX$20+BR26*$AX$21)*IF(V26&gt;='Options and results'!$I$27,'Options and results'!$I$26,1)*IF(1+'Options and results'!$Q$21*(V26-1)&gt;0,1+'Options and results'!$Q$21*(V26-1),0)</f>
        <v>0</v>
      </c>
      <c r="BT26" s="894">
        <f>IF(V26&lt;='Options and results'!$W$20,IF(AD26&gt;0,(VLOOKUP($W$8,Treecost!$B$6:$AH$49,Treecost!$AG$2,FALSE)/60*AD26)*IF(V26&gt;='Options and results'!$I$25,'Options and results'!$I$24,1),0),0)</f>
        <v>0</v>
      </c>
      <c r="BU26" s="740">
        <f>IF(V26&lt;='Options and results'!$W$20,IF(AD26&gt;0,(VLOOKUP($W$8,Treecost!$B$6:$AH$49,Treecost!$AH$2,FALSE)/60*AD26)*IF(V26&gt;='Options and results'!$I$25,'Options and results'!$I$24,1),0),0)</f>
        <v>0</v>
      </c>
      <c r="BV26" s="740">
        <f>(BT26*$AX$22+BU26*$AX$23)*IF(V26&gt;='Options and results'!$I$27,'Options and results'!$I$26,1)*IF(1+'Options and results'!$Q$21*(V26-1)&gt;0,1+'Options and results'!$Q$21*(V26-1),0)</f>
        <v>0</v>
      </c>
      <c r="BW26" s="1033">
        <f t="shared" si="138"/>
        <v>0</v>
      </c>
      <c r="BX26" s="1027">
        <f t="shared" si="139"/>
        <v>0</v>
      </c>
      <c r="BY26" s="1027">
        <f t="shared" si="140"/>
        <v>0</v>
      </c>
      <c r="BZ26" s="740">
        <f t="shared" si="124"/>
        <v>3</v>
      </c>
      <c r="CA26" s="740">
        <f t="shared" si="141"/>
        <v>-3</v>
      </c>
      <c r="CB26" s="894">
        <f>IF($V26&lt;='Options and results'!$W$20,SUM(BX$8:$BX26),0)</f>
        <v>0</v>
      </c>
      <c r="CC26" s="740">
        <f>IF($V26&lt;='Options and results'!$W$20,SUM($BY$8:BY26),0)</f>
        <v>0</v>
      </c>
      <c r="CD26" s="740">
        <f>IF($V26&lt;='Options and results'!$W$20,SUM($BZ$8:BZ26),0)</f>
        <v>1625.7443691843955</v>
      </c>
      <c r="CE26" s="740">
        <f>IF(V26&lt;='Options and results'!$W$20,CB26+CC26-CD26,0)</f>
        <v>-1625.7443691843955</v>
      </c>
      <c r="CF26" s="1381">
        <f t="shared" si="142"/>
        <v>459.22964147884045</v>
      </c>
      <c r="CG26" s="1027">
        <f t="shared" si="143"/>
        <v>456.22964147884045</v>
      </c>
      <c r="CH26" s="1027">
        <f t="shared" si="144"/>
        <v>0</v>
      </c>
      <c r="CI26" s="1189">
        <f>IF(V26&lt;='Options and results'!$W$20,CE26+AO26,0)</f>
        <v>-24.825196731139158</v>
      </c>
      <c r="CJ26" s="1023"/>
      <c r="CK26" s="895">
        <f t="shared" si="145"/>
        <v>19</v>
      </c>
      <c r="CL26" s="1011" t="str">
        <f>IF('Options and results'!$C$54="None",0,IF(AND(CK26&gt;='Options and results'!$K$57,CK25&lt;'Options and results'!$W$20),'Options and results'!$K$56,IF(Optimisation!$B$3="No",CONCATENATE('Options and results'!$C$60," ",(HLOOKUP(CONCATENATE('Options and results'!$C$54," ",Agroforestrysystem!$B$12),Agroforestrysystem!$B$11:$IM$74,$CK26+4,FALSE))),Optimisation!AA46)))</f>
        <v>UK - Agriculture (BPS: from 2015) Agroforestry fallow</v>
      </c>
      <c r="CM26" s="1012">
        <f>IF(HLOOKUP(CONCATENATE('Options and results'!$C$54," ",Agroforestrysystem!$C$12),Agroforestrysystem!$B$11:$IM$74,$CK26+4,FALSE)="T",(VLOOKUP(CL26,Arablefinance!$Z$6:$AB$105,Arablefinance!$AB$2,FALSE)*CO26+VLOOKUP(CL26,Arablefinance!$Z$6:$AC$105,Arablefinance!$AC$2,FALSE)*CP26)/VLOOKUP(CL26,Arablefinance!$Z$6:$AA$105,Arablefinance!$AA$2,FALSE),0)</f>
        <v>0</v>
      </c>
      <c r="CN26" s="1012">
        <f>IF(CL26=0,0,HLOOKUP(CONCATENATE('Options and results'!$C$54," ",Agroforestrysystem!$D$12),Agroforestrysystem!$B$11:$IM$74,$CK26+4,FALSE))</f>
        <v>0.99</v>
      </c>
      <c r="CO26" s="1440">
        <f ca="1">IF(CL26=0,0,IF(AND(Optimisation!$B$3="yes",Optimisation!$B$4=1,CK26&gt;Optimisation!$B$9),0,HLOOKUP(CONCATENATE('Options and results'!$C$54," ",Agroforestrysystem!$E$12),Agroforestrysystem!$B$11:$IM$74,$CK26+4,FALSE)*IF(CK26&gt;='Options and results'!$J$19,'Options and results'!$J$18,1)))</f>
        <v>0</v>
      </c>
      <c r="CP26" s="1440">
        <f ca="1">IF(CL26=0,0,IF(AND(Optimisation!$B$3="yes",Optimisation!$B$4=1,CK26&gt;Optimisation!$B$9),0,HLOOKUP(CONCATENATE('Options and results'!$C$54," ",Agroforestrysystem!$F$12),Agroforestrysystem!$B$11:$IM$74,$CK26+4,FALSE)*IF(CK26&gt;='Options and results'!$J$19,'Options and results'!$J$18,1)))</f>
        <v>0</v>
      </c>
      <c r="CQ26" s="1013">
        <f ca="1">IF(CN26&lt;=0,0,IF(CK26&lt;='Options and results'!$W$20,IF(CM26&gt;0,VLOOKUP(CL26,Arablefinance!$Z$6:$AE$105,Arablefinance!$AD$2,FALSE)*CM26*CN26,((VLOOKUP(CL26,Arablefinance!$E$6:$H$126,2,FALSE)*CO26+VLOOKUP(CL26,Arablefinance!$E$6:$H$126,3,FALSE)*CP26)*CN26)),0)*IF(CK26&gt;='Options and results'!$J$21,'Options and results'!$J$20,1))*IF(1+'Options and results'!$O$20*(CK26-1)&gt;0,1+'Options and results'!$O$20*(CK26-1),0)</f>
        <v>0</v>
      </c>
      <c r="CR26" s="1441">
        <f>IF(CN26&lt;=0,0,IF(AND(CM26&gt;0,VLOOKUP(CL26,Arablefinance!$Z$6:$AI$105,Arablefinance!$AI$2,FALSE)=2),VLOOKUP(CL26,Arablefinance!$Z$6:$AE$105,Arablefinance!$AE$2,FALSE)*CM26*CN26,IF('Options and results'!$C$62&gt;0,IF(VLOOKUP(CL26,Arablefinance!$E$6:$W$126,Arablefinance!$H$2,FALSE)*(1-Plot!DM26*'Options and results'!$C$62)&gt;0,VLOOKUP(CL26,Arablefinance!$E$6:$W$126,Arablefinance!$H$2,FALSE)*(1-Plot!DM26*'Options and results'!$C$62),0),IF(CK26&lt;='Options and results'!$W$20,(VLOOKUP(CL26,Arablefinance!$E$6:$W$126,Arablefinance!$H$2,FALSE)*IF('Options and results'!$C$61="area",CN26,'Options and results'!$C$61)),0)))*IF(CK26&gt;='Options and results'!$J$23,'Options and results'!$J$22,1))*IF(AND(1+'Options and results'!$O$23*(CK26-1)&gt;0,1+'Options and results'!$O$23*(CK26-1)&gt;'Options and results'!$S$24),1+'Options and results'!$O$23*(CK26-1),'Options and results'!$S$24)</f>
        <v>0</v>
      </c>
      <c r="CS26" s="1441">
        <f t="shared" ca="1" si="146"/>
        <v>0</v>
      </c>
      <c r="CT26" s="1441">
        <f>IF(CN26&lt;=0,0,IF(CK26&lt;='Options and results'!$W$20,IF(CM26&gt;0,VLOOKUP(CL26,Arablefinance!$Z$6:$AF$105,Arablefinance!$AF$2,FALSE)*CM26*CN26,VLOOKUP(CL26,Arablefinance!$E$6:$X$126,Arablefinance!$R$2,FALSE)*CN26),0)*IF(CK26&gt;='Options and results'!$J$27,'Options and results'!$J$26,1))*IF(1+'Options and results'!$O$22*(CK26-1)&gt;0,1+'Options and results'!$O$22*(CK26-1),0)</f>
        <v>0</v>
      </c>
      <c r="CU26" s="1441">
        <f t="shared" ca="1" si="147"/>
        <v>0</v>
      </c>
      <c r="CV26" s="1441">
        <f>IF(CN26&lt;=0,0,IF(CK26&lt;='Options and results'!$W$20,IF(CM26&gt;0,VLOOKUP(CL26,Arablefinance!$Z$6:$AG$105,Arablefinance!$AG$2,FALSE)*CM26*CN26,VLOOKUP(CL26,Arablefinance!$E$6:$X$126,Arablefinance!$X$2,FALSE)*CN26),0)*IF(CK26&gt;='Options and results'!$J$27,'Options and results'!$J$26,1))*IF(1+'Options and results'!$O$22*(CK26-1)&gt;0,1+'Options and results'!$O$22*(CK26-1),0)</f>
        <v>0</v>
      </c>
      <c r="CW26" s="1442">
        <f>IF(CN26&lt;=0,0,IF(CK26&lt;='Options and results'!$W$20,'Options and results'!$C$27*IF(CK26&gt;='Options and results'!$J$27,'Options and results'!$J$26,1),0))*IF(1+'Options and results'!$O$21*(CK26-1)&gt;0,1+'Options and results'!$O$21*(CK26-1),0)</f>
        <v>14.6</v>
      </c>
      <c r="CX26" s="1442">
        <f>IF(CN26&lt;=0,0,IF(CK26&lt;='Options and results'!$W$20,IF(CM26&gt;0,VLOOKUP(CL26,Arablefinance!$Z$6:$AH$105,Arablefinance!$AH$2,FALSE)*CM26*CN26,VLOOKUP(CL26,Arablefinance!$E$6:$W$126,Arablefinance!$V$2,FALSE)*CN26),0)*IF(CK26&gt;='Options and results'!$J$25,'Options and results'!$J$24,1))</f>
        <v>0</v>
      </c>
      <c r="CY26" s="1013">
        <f t="shared" si="148"/>
        <v>0</v>
      </c>
      <c r="CZ26" s="1353">
        <f t="shared" ca="1" si="149"/>
        <v>0</v>
      </c>
      <c r="DA26" s="1013">
        <f ca="1">IF($CK26&lt;='Options and results'!$W$20,SUM($CQ$8:CQ26),0)</f>
        <v>18417.950100000002</v>
      </c>
      <c r="DB26" s="1441">
        <f>IF($CK26&lt;='Options and results'!$W$20,SUM($CR$8:CR26),0)</f>
        <v>0</v>
      </c>
      <c r="DC26" s="1441">
        <f>IF($CK26&lt;='Options and results'!$W$20,SUM($CY$8:CY26),0)</f>
        <v>16943.30918829242</v>
      </c>
      <c r="DD26" s="1189">
        <f ca="1">IF(CK26&lt;='Options and results'!$W$20,DA26+DB26-DC26,0)</f>
        <v>1474.6409117075818</v>
      </c>
      <c r="DE26" s="401"/>
      <c r="DF26" s="895">
        <f t="shared" si="150"/>
        <v>19</v>
      </c>
      <c r="DG26" s="173"/>
      <c r="DH26" s="1422"/>
      <c r="DI26" s="1427">
        <f>IF(DF26&lt;='Options and results'!$M$61,'Options and results'!$M$60,0)</f>
        <v>0</v>
      </c>
      <c r="DJ26" s="740">
        <f t="shared" si="151"/>
        <v>0</v>
      </c>
      <c r="DK26" s="740">
        <f t="shared" si="152"/>
        <v>0</v>
      </c>
      <c r="DL26" s="1428">
        <f t="shared" si="153"/>
        <v>100</v>
      </c>
      <c r="DM26" s="1429">
        <f>IF($DG$8=0,0,HLOOKUP(CONCATENATE('Options and results'!$C$54," ",Agroforestrysystem!$J$12),Agroforestrysystem!$11:$74,DF26+3,FALSE))/100</f>
        <v>1</v>
      </c>
      <c r="DN26" s="740">
        <f>IF($DG$8=0,0,IF(HLOOKUP(CONCATENATE('Options and results'!$C$54," ",Agroforestrysystem!$H$12),Agroforestrysystem!$11:$74,DF26+4,FALSE)&lt;DL26,HLOOKUP(CONCATENATE('Options and results'!$C$54," ",Agroforestrysystem!$H$12),Agroforestrysystem!$11:$74,DF26+4,FALSE),0))</f>
        <v>0</v>
      </c>
      <c r="DO26" s="1027">
        <f>IF($DG$8=0,0,IF(HLOOKUP(CONCATENATE('Options and results'!$C$54," ",Agroforestrysystem!$H$12),Agroforestrysystem!$11:$74,DF26+4,FALSE)&gt;=DL26,DL26,0))</f>
        <v>0</v>
      </c>
      <c r="DP26" s="1430">
        <f>IF($DG$8=0,0,HLOOKUP(CONCATENATE('Options and results'!$C$54," ",Agroforestrysystem!$I$12),Agroforestrysystem!$11:$74,DF26+4,FALSE))</f>
        <v>23.614133271957773</v>
      </c>
      <c r="DQ26" s="1038"/>
      <c r="DR26" s="1390">
        <f>IF($DG$8=0,0,IF(DF26&gt;'Options and results'!$W$20,0,)+IF(DF26=1,'Options and results'!$M$64)+IF('Options and results'!$M$67="yes",IF(AND(DR25+'Options and results'!$M$65&lt;=$DQ$8,DR25+'Options and results'!$M$65+IF(DF26=1,'Options and results'!$M$64,0)&lt;='Options and results'!$M$66*DP26),DR25+'Options and results'!$M$65,DR25),(HLOOKUP(CONCATENATE('Options and results'!$C$54," ",Agroforestrysystem!$K$12),Agroforestrysystem!$11:$74,DF26+4,FALSE)-IF(DF26=1,'Options and results'!$M$64))))</f>
        <v>7.5</v>
      </c>
      <c r="DS26" s="1027">
        <f>IF(OR($DG$8=0,DL26=0),0,HLOOKUP(CONCATENATE('Options and results'!$C$54," ",Agroforestrysystem!$L$12),Agroforestrysystem!$11:$74,DF26+4,FALSE)*IF(DF26&gt;='Options and results'!$K$19,'Options and results'!$K$18,1))</f>
        <v>76.788129320326519</v>
      </c>
      <c r="DT26" s="1431">
        <f t="shared" si="154"/>
        <v>0.76788129320326515</v>
      </c>
      <c r="DU26" s="889">
        <f t="shared" si="155"/>
        <v>0</v>
      </c>
      <c r="DV26" s="1027">
        <f>IF($DG$8=0,0,(HLOOKUP(CONCATENATE('Options and results'!$C$54," ",Agroforestrysystem!$M$12),Agroforestrysystem!$11:$74,DF26+4,FALSE))*IF(DF26&gt;='Options and results'!$K$19,'Options and results'!$K$18,1))-DW26</f>
        <v>33.859532235137358</v>
      </c>
      <c r="DW26" s="303">
        <f>IF($DG$8=0,0,(HLOOKUP(CONCATENATE('Options and results'!$C$54," ",Agroforestrysystem!$N$12),Agroforestrysystem!$11:$74,DF26+4,FALSE))*IF(DF26&gt;='Options and results'!$K$19,'Options and results'!$K$18,1))</f>
        <v>0</v>
      </c>
      <c r="DX26" s="303">
        <f>IF($DG$8=0,0,HLOOKUP(CONCATENATE('Options and results'!$C$54," ",Agroforestrysystem!$O$12),Agroforestrysystem!$11:$74,DF26+4,FALSE)*IF(DF26&gt;='Options and results'!$K$19,'Options and results'!$K$18,1))</f>
        <v>0</v>
      </c>
      <c r="DY26" s="1192">
        <f>IF(DT26&gt;0,HLOOKUP(DT26,Treevalue!$I$4:$BC$34,'Options and results'!$C$66+1),0)*IF(DF26&gt;='Options and results'!$K$21,'Options and results'!$K$20,1)*IF(1+'Options and results'!$Q$20*(DF26-1)&gt;0,1+'Options and results'!$Q$20*(DF26-1),0)</f>
        <v>20.701076136646137</v>
      </c>
      <c r="DZ26" s="1027">
        <f t="shared" si="156"/>
        <v>1589.5969114507088</v>
      </c>
      <c r="EA26" s="1027">
        <f t="shared" si="125"/>
        <v>0</v>
      </c>
      <c r="EB26" s="1027">
        <f>(IF('Options and results'!$C$66&gt;0,IF(DF26&lt;='Options and results'!$W$20,VLOOKUP('Options and results'!$C$66,Treevalue!$A$4:$F$34,5,FALSE),0),0)*DV26)*IF(DF26&gt;='Options and results'!$K$21,'Options and results'!$K$20,1)*IF(1+'Options and results'!$Q$20*(DF26-1)&gt;0,1+'Options and results'!$Q$20*(DF26-1),0)</f>
        <v>846.48830587843395</v>
      </c>
      <c r="EC26" s="740">
        <f>(IF('Options and results'!$C$66&gt;0,IF(DF26&lt;='Options and results'!$W$20,VLOOKUP('Options and results'!$C$66,Treevalue!$A$4:$F$34,5,FALSE),0),0)*DW26)*IF(DF26&gt;='Options and results'!$K$21,'Options and results'!$K$20,1)*IF(1+'Options and results'!$Q$20*(DF26-1)&gt;0,1+'Options and results'!$Q$20*(DF26-1),0)</f>
        <v>0</v>
      </c>
      <c r="ED26" s="889">
        <f>(IF('Options and results'!$C$66&gt;0,IF(DF26&lt;='Options and results'!$W$20,VLOOKUP('Options and results'!$C$66,Treevalue!$A$4:$F$34,6,FALSE),0),0)*DX26)*IF(DF26&gt;='Options and results'!$K$21,'Options and results'!$K$20,1)*IF(1+'Options and results'!$Q$20*(DF26-1)&gt;0,1+'Options and results'!$Q$20*(DF26-1),0)</f>
        <v>0</v>
      </c>
      <c r="EE26" s="740">
        <f>IF(DF26&lt;='Options and results'!$W$20,IF(DL26&lt;=0,0,IF('Options and results'!$C$70="cost",(IF(DF26&lt;='Options and results'!$C$71,FK26*SUM('Options and results'!$C$72:$C$73),0)),IF('Options and results'!$C$68&gt;0,(IF(VLOOKUP('Options and results'!$C$69,Treegrant!$B$6:$L$42,Treegrant!$C$2,FALSE)=DF26,VLOOKUP('Options and results'!$C$69,Treegrant!$B$6:$L$42,Treegrant!$D$2,FALSE),0)+IF(VLOOKUP('Options and results'!$C$69,Treegrant!$B$6:$L$42,Treegrant!$E$2,FALSE)=DF26,VLOOKUP('Options and results'!$C$69,Treegrant!$B$6:$L$42,Treegrant!$F$2,FALSE),0)+IF(VLOOKUP('Options and results'!$C$69,Treegrant!$B$6:$L$42,Treegrant!$G$2,FALSE)=DF26,VLOOKUP('Options and results'!$C$69,Treegrant!$B$6:$L$42,Treegrant!$H$2,FALSE)))*IF('Options and results'!$C$70="area",Unit!C27,'Options and results'!$C$70),0))*IF(DF26&gt;='Options and results'!$K$23,'Options and results'!$K$22,1)),0)*IF(1+'Options and results'!$Q$23*(DF26-1)&gt;0,1+'Options and results'!$Q$23*(DF26-1),0)</f>
        <v>0</v>
      </c>
      <c r="EF26" s="740">
        <f>IF($DG$8=0,0,IF(DF26&lt;='Options and results'!$W$20,IF(DL26&lt;=0,0,IF('Options and results'!$C$68&gt;0,IF(AND(VLOOKUP('Options and results'!$C$69,Treegrant!$B$6:$L$42,Treegrant!$J$2,FALSE)&lt;=DF26,VLOOKUP('Options and results'!$C$69,Treegrant!$B$6:$L$42,Treegrant!$K$2,FALSE)&gt;=DF26),(VLOOKUP('Options and results'!$C$69,Treegrant!$B$6:$L$42,Treegrant!$L$2,FALSE)),0)*IF('Options and results'!$C$74="area",Unit!C27,'Options and results'!$C$74))*IF(DF26&gt;='Options and results'!$K$23,'Options and results'!$K$22,1)),0))*IF(1+'Options and results'!$Q$23*(DF26-1)&gt;0,1+'Options and results'!$Q$23*(DF26-1),0)</f>
        <v>0</v>
      </c>
      <c r="EG26" s="1034">
        <f>IF($DG$8=0,0,IF(DF26&lt;='Options and results'!$W$20,IF(DL26&lt;=0,0,IF('Options and results'!$C$68&gt;0,((IF(AND(VLOOKUP('Options and results'!$C$69,Treegrant!$B$6:$O$42,Treegrant!$M$2,FALSE)&lt;=DF26,VLOOKUP('Options and results'!$C$69,Treegrant!$B$6:$O$42,Treegrant!$N$2,FALSE)&gt;=DF26),(VLOOKUP('Options and results'!$C$69,Treegrant!$B$6:$O$42,Treegrant!$O$2,FALSE)),0)*IF('Options and results'!$C$75="area",Unit!C27,'Options and results'!$C$75))+(IF(AND(VLOOKUP('Options and results'!$C$69,Treegrant!$B$6:$R$42,Treegrant!$P$2,FALSE)&lt;=DF26,VLOOKUP('Options and results'!$C$69,Treegrant!$B$6:$R$42,Treegrant!$Q$2,FALSE)&gt;=DF26),(VLOOKUP('Options and results'!$C$69,Treegrant!$B$6:$R$42,Treegrant!$R$2,FALSE)),0))*IF('Options and results'!$C$76="area",Unit!C27,'Options and results'!$C$76)))*IF(DF26&gt;='Options and results'!$K$23,'Options and results'!$K$22,1)),0))*IF(1+'Options and results'!$Q$23*(DF26-1)&gt;0,1+'Options and results'!$Q$23*(DF26-1),0)</f>
        <v>0</v>
      </c>
      <c r="EH26" s="1041"/>
      <c r="EI26" s="1042"/>
      <c r="EJ26" s="1419">
        <f>IF($DH$8+DK26&lt;1,0,IF(DF26=1,VLOOKUP($DG$8,Treecost!$B$6:$AH$49,Treecost!$E$2,FALSE),0)*IF(DF26&gt;='Options and results'!$K$25,'Options and results'!$K$24,1))</f>
        <v>0</v>
      </c>
      <c r="EK26" s="889">
        <f>IF($DH$8+DK26&lt;1,0,IF(DF26=1,VLOOKUP($DG$8,Treecost!$B$6:$AH$49,Treecost!$F$2,FALSE),0)*IF(DF26&gt;='Options and results'!$K$25,'Options and results'!$K$24,1))</f>
        <v>0</v>
      </c>
      <c r="EL26" s="889">
        <f>IF($DH$8+DK26&lt;1,0,IF(DF26=1,VLOOKUP($DG$8,Treecost!$B$6:$AH$49,Treecost!$G$2,FALSE),0)*IF(DF26&gt;='Options and results'!$K$25,'Options and results'!$K$24,1))</f>
        <v>0</v>
      </c>
      <c r="EM26" s="889">
        <f>IF($DG$8=0,0,IF(DF26&lt;='Options and results'!$W$20,((VLOOKUP($DG$8,Treecost!$B$6:$AH$49,Treecost!$H$2,FALSE)*(DH26+DK26))/60)*IF(DF26&gt;='Options and results'!$K$25,'Options and results'!$K$24,1),0))</f>
        <v>0</v>
      </c>
      <c r="EN26" s="889">
        <f>IF($DG$8=0,0,IF(DF26&lt;='Options and results'!$W$20,(((VLOOKUP($DG$8,Treecost!$B$6:$AH$49,Treecost!$I$2,FALSE))*(DH26+DK26))/60)*IF(DF26&gt;='Options and results'!$K$25,'Options and results'!$K$24,1),0))</f>
        <v>0</v>
      </c>
      <c r="EO26" s="889">
        <f>IF($DG$8=0,0,IF(DF26&lt;='Options and results'!$W$20,(((VLOOKUP($DG$8,Treecost!$B$6:$AH$49,Treecost!$J$2,FALSE))/60)*(DH26+DK26))*IF(DF26&gt;='Options and results'!$K$25,'Options and results'!$K$24,1),0))</f>
        <v>0</v>
      </c>
      <c r="EP26" s="1019">
        <f>IF($DG$8=0,0,IF(DF26&lt;='Options and results'!$W$20,(((VLOOKUP($DG$8,Treecost!$B$6:$AH$49,Treecost!$C$2,FALSE)+VLOOKUP($DG$8,Treecost!$B$6:$AH$49,Treecost!$D$2,FALSE))*(DH26+DK26)*IF(1+'Options and results'!$Q$22*(DF26-1)&gt;0,1+'Options and results'!$Q$22*(DF26-1),0))+(EJ26*$EI$8+EK26*$EI$9+EL26*$EI$10+EM26*$EI$11+EN26*$EI$12+EO26*$EI$13)*IF(1+'Options and results'!$Q$21*(DF26-1)&gt;0,1+'Options and results'!$Q$21*(DF26-1),0))*IF(DF26&gt;='Options and results'!$K$27,'Options and results'!$K$26,1),0))</f>
        <v>0</v>
      </c>
      <c r="EQ26" s="740">
        <f>IF($DG$8=0,0,IF(DF26&lt;='Options and results'!$W$20,IF(AND(VLOOKUP($DG$8,Treecost!$B$6:$AH$49,Treecost!$K$2,FALSE)&lt;=DF26,DF26&lt;=(VLOOKUP($DG$8,Treecost!$B$6:$AH$49,Treecost!$L$2,FALSE))),VLOOKUP($DG$8,Treecost!$B$6:$AH$49,Treecost!$M$2,FALSE)*DL26/60,0)*IF(DF26&gt;='Options and results'!$K$25,'Options and results'!$K$24,1),0))</f>
        <v>0</v>
      </c>
      <c r="ER26" s="1019">
        <f>IF(EQ26&gt;0,(VLOOKUP($DG$8,Treecost!$B$6:$AH$49,Treecost!$N$2,FALSE)*DL26*IF(1+'Options and results'!$Q$22*(DF26-1)&gt;0,1+'Options and results'!$Q$22*(DF26-1),0)+EQ26*$EI$14*IF(1+'Options and results'!$Q$21*(DF26-1)&gt;0,1+'Options and results'!$Q$21*(DF26-1),0)),0)*IF(DF26&gt;='Options and results'!$K$27,'Options and results'!$K$26,1)</f>
        <v>0</v>
      </c>
      <c r="ES26" s="889">
        <f>IF(DF26&lt;='Options and results'!$W$20,IF(AND(DR26-DR25&gt;0,DR26&gt;'Options and results'!$M$64),(DL26-DN26)*(VLOOKUP($DG$8,Treecost!$B$6:$AH$49,Treecost!$Y$2,FALSE)+(VLOOKUP($DG$8,Treecost!$B$6:$AH$49,Treecost!$AA$2,FALSE)-VLOOKUP($DG$8,Treecost!$B$6:$AH$49,Treecost!$Y$2,FALSE))/(VLOOKUP($DG$8,Treecost!$B$6:$AH$49,Treecost!$Z$2,FALSE)-VLOOKUP($DG$8,Treecost!$B$6:$AH$49,Treecost!$X$2,FALSE))*(DR26-VLOOKUP($DG$8,Treecost!$B$6:$AH$49,Treecost!$X$2,FALSE)))/60,0)*IF(DF26&gt;='Options and results'!$K$25,'Options and results'!$K$24,1),0)</f>
        <v>0</v>
      </c>
      <c r="ET26" s="889">
        <f>IF(DF26&lt;='Options and results'!$W$20,IF(ES26&gt;0,VLOOKUP($DG$8,Treecost!$B$6:$AH$49,Treecost!$AB$2,FALSE)/60*DL26,0)*IF(DF26&gt;='Options and results'!$K$25,'Options and results'!$K$24,1),0)*((ES26-(MIN($ES$8:$ES$67)))/((MAX($ES$8:$ES$67))-(MIN($ES$8:$ES$67))))</f>
        <v>0</v>
      </c>
      <c r="EU26" s="740">
        <f>IF(ES26&gt;0,(ES26*$EI$15+ET26*$EI$19)*IF(1+'Options and results'!$Q$21*(DF26-1)&gt;0,1+'Options and results'!$Q$21*(DF26-1),0),0)*IF(DF26&gt;='Options and results'!$K$27,'Options and results'!$K$26,1)</f>
        <v>0</v>
      </c>
      <c r="EV26" s="891">
        <f>IF($DG$8=0,0,IF(DF26&lt;='Options and results'!$W$20,IF(AND(VLOOKUP($DG$8,Treecost!$B$2:$AH$49,Treecost!$O$2,FALSE)=DF26,DF26&lt;=IF(AND(Optimisation!$B$3="Yes",Optimisation!$B$4=1),Optimisation!$B$9)),VLOOKUP($DG$8,Treecost!$B$2:$AH$49,Treecost!$P$2,FALSE)*(1-CN26),0)*IF(DF26&gt;='Options and results'!$K$25,'Options and results'!$K$24,1),0))</f>
        <v>0</v>
      </c>
      <c r="EW26" s="889">
        <f>IF($DG$8=0,0,IF(DF26&lt;='Options and results'!$W$20,IF(AND(DF26&gt;VLOOKUP($DG$8,Treecost!$B$2:$AH$49,Treecost!$O$2,FALSE),DF26&lt;=IF(AND(Optimisation!$B$3="Yes",Optimisation!$B$4=1),Optimisation!$B$9,VLOOKUP($DG$8,Treecost!$B$2:$AH$49,Treecost!$R$2,FALSE))),VLOOKUP($DG$8,Treecost!$B$2:$AH$49,Treecost!$S$2,FALSE)*(1-CN26),0)*IF(DF26&gt;='Options and results'!$K$25,'Options and results'!$K$24,1),0))</f>
        <v>0</v>
      </c>
      <c r="EX26" s="740">
        <f>IF($DG$8=0,0,IF(DF26&lt;='Options and results'!$W$20,(IF(AND(VLOOKUP($DG$8,Treecost!$B$2:$AH$49,Treecost!$O$2,FALSE)=DF26,DF26&lt;=IF(AND(Optimisation!$B$3="Yes",Optimisation!$B$4=1),Optimisation!$B$9)),VLOOKUP($DG$8,Treecost!$B$2:$AH$49,Treecost!$Q$2,FALSE),0)*(1-CN26)+IF(AND(DF26&gt;VLOOKUP($DG$8,Treecost!$B$2:$AH$49,Treecost!$O$2,FALSE),DF26&lt;=IF(AND(Optimisation!$B$3="Yes",Optimisation!$B$4=1),Optimisation!$B$9,VLOOKUP($DG$8,Treecost!$B$2:$AH$49,Treecost!$R$2,FALSE))),VLOOKUP($DG$8,Treecost!$B$2:$AH$49,Treecost!$T$2,FALSE),0)*(1-CN26)+(EV26*$EI$16+EW26*$EI$17))*IF(DF26&gt;='Options and results'!$K$27,'Options and results'!$K$26,1),0))*IF(1+'Options and results'!$Q$21*(DF26-1)&gt;0,1+'Options and results'!$Q$21*(DF26-1),0)</f>
        <v>0</v>
      </c>
      <c r="EY26" s="894">
        <f>IF($DG$8=0,0,IF(DF26&lt;='Options and results'!$W$20,IF(AND(DF26&gt;=VLOOKUP($DG$8,Treecost!$B$2:$W$49,Treecost!$U$2,FALSE),DF26&lt;=VLOOKUP($DG$8,Treecost!$B$2:$W$49,Treecost!$V$2,FALSE)),(DL26*VLOOKUP($DG$8,Treecost!$B$2:$W$49,Treecost!$W$2,FALSE)/60),0)*IF(DF26&gt;='Options and results'!$K$25,'Options and results'!$K$24,1),0))</f>
        <v>0</v>
      </c>
      <c r="EZ26" s="740">
        <f>EY26*$EI$18*IF(DF26&gt;='Options and results'!$K$27,'Options and results'!$K$26,1)*IF(1+'Options and results'!$Q$21*(DF26-1)&gt;0,1+'Options and results'!$Q$21*(DF26-1),0)</f>
        <v>0</v>
      </c>
      <c r="FA26" s="1025">
        <f>IF(DF26&lt;='Options and results'!$W$20,IF(DL26&lt;=0,0,VLOOKUP($DG$8,Treecost!$B$6:$AH$49,Treecost!$AC$2,FALSE)+VLOOKUP($DG$8,Treecost!$B$6:$AH$49,Treecost!$AD$2,FALSE)+IF(AND(DF26&gt;=VLOOKUP($DG$8,Treecost!$B$2:$AK$49,Treecost!$AI$2,FALSE),DF26&lt;=VLOOKUP($DG$8,Treecost!$B$2:$AK$49,Treecost!$AJ$2,FALSE)),VLOOKUP($DG$8,Treecost!$B$2:$AK$49,Treecost!$AK$2,FALSE)*(1-CN26),0))*IF(DF26&gt;='Options and results'!$K$27,'Options and results'!$K$26,1),0)*IF(1+'Options and results'!$Q$22*(DF26-1)&gt;0,1+'Options and results'!$Q$22*(DF26-1),0)</f>
        <v>3</v>
      </c>
      <c r="FB26" s="894">
        <f>IF(DF26&lt;='Options and results'!$W$20,IF(DN26&gt;0,VLOOKUP($DG$8,Treecost!$B$6:$AH$49,Treecost!$AE$2,FALSE)/60*DN26,0)*IF(DF26&gt;='Options and results'!$K$25,'Options and results'!$K$24,1),0)</f>
        <v>0</v>
      </c>
      <c r="FC26" s="740">
        <f>IF(DF26&lt;='Options and results'!$W$20,IF(DN26&gt;0,VLOOKUP($DG$8,Treecost!$B$6:$AH$49,Treecost!$AF$2,FALSE)/60*DN26,0)*IF(DF26&gt;='Options and results'!$K$25,'Options and results'!$K$24,1),0)</f>
        <v>0</v>
      </c>
      <c r="FD26" s="740">
        <f>(FB26*$EI$20+FC26*$EI$21)*IF(DF26&gt;='Options and results'!$K$27,'Options and results'!$K$26,1)*IF(1+'Options and results'!$Q$21*(DF26-1)&gt;0,1+'Options and results'!$Q$21*(DF26-1),0)</f>
        <v>0</v>
      </c>
      <c r="FE26" s="894">
        <f>IF(DF26&lt;='Options and results'!$W$20,IF(DO26&gt;0,(VLOOKUP($DG$8,Treecost!$B$6:$AH$49,Treecost!$AG$2,FALSE)/60*DO26)*IF(DF26&gt;='Options and results'!$K$25,'Options and results'!$K$24,1),0),0)</f>
        <v>0</v>
      </c>
      <c r="FF26" s="740">
        <f>IF(DF26&lt;='Options and results'!$W$20,IF(DO26&gt;0,(VLOOKUP($DG$8,Treecost!$B$6:$AH$49,Treecost!$AH$2,FALSE)/60*DO26)*IF(DF26&gt;='Options and results'!$K$25,'Options and results'!$K$24,1),0),0)</f>
        <v>0</v>
      </c>
      <c r="FG26" s="740">
        <f>(FE26*$EI$22+FF26*$EI$23)*IF(DF26&gt;='Options and results'!$K$27,'Options and results'!$K$26,1)*IF(1+'Options and results'!$Q$21*(DF26-1)&gt;0,1+'Options and results'!$Q$21*(DF26-1),0)</f>
        <v>0</v>
      </c>
      <c r="FH26" s="894">
        <f t="shared" si="157"/>
        <v>0</v>
      </c>
      <c r="FI26" s="1027">
        <f t="shared" si="158"/>
        <v>0</v>
      </c>
      <c r="FJ26" s="1027">
        <f t="shared" si="159"/>
        <v>0</v>
      </c>
      <c r="FK26" s="1027">
        <f t="shared" si="160"/>
        <v>3</v>
      </c>
      <c r="FL26" s="1027">
        <f t="shared" si="183"/>
        <v>-3</v>
      </c>
      <c r="FM26" s="1027">
        <f>IF($DF26&lt;='Options and results'!$W$20,SUM(FI$8:$FI26),0)</f>
        <v>0</v>
      </c>
      <c r="FN26" s="1027">
        <f>IF($DF26&lt;='Options and results'!$W$20,SUM($FJ$8:FJ26),0)</f>
        <v>0</v>
      </c>
      <c r="FO26" s="1027">
        <f>IF($DF26&lt;='Options and results'!$W$20,SUM($FK$8:FK26),0)</f>
        <v>1097.0448753513026</v>
      </c>
      <c r="FP26" s="1027">
        <f>IF($DF26&lt;='Options and results'!$W$20,FM26+FN26-FO26,0)</f>
        <v>-1097.0448753513026</v>
      </c>
      <c r="FQ26" s="1027">
        <f t="shared" si="162"/>
        <v>463.23210086096299</v>
      </c>
      <c r="FR26" s="1027">
        <f t="shared" si="163"/>
        <v>460.23210086096299</v>
      </c>
      <c r="FS26" s="1027">
        <f t="shared" si="164"/>
        <v>0</v>
      </c>
      <c r="FT26" s="1189">
        <f>IF(DF26&lt;='Options and results'!$W$20,FP26+DZ26,0)</f>
        <v>492.55203609940622</v>
      </c>
      <c r="FU26" s="401"/>
      <c r="FV26" s="895">
        <f t="shared" si="165"/>
        <v>19</v>
      </c>
      <c r="FW26" s="894">
        <f>G26/(1+'Options and results'!$W$33)^(FV26-1)</f>
        <v>848.56729800766402</v>
      </c>
      <c r="FX26" s="740">
        <f>(AP26+AR26+AS26)/(1+'Options and results'!$W$33)^(FV26-1)</f>
        <v>0</v>
      </c>
      <c r="FY26" s="740">
        <f ca="1">CQ26/(1+'Options and results'!$W$33)^(FV26-1)</f>
        <v>0</v>
      </c>
      <c r="FZ26" s="740">
        <f>(EA26+EC26+ED26)/(1+'Options and results'!$W$33)^(FV26-1)</f>
        <v>0</v>
      </c>
      <c r="GA26" s="1019">
        <f t="shared" ca="1" si="180"/>
        <v>0</v>
      </c>
      <c r="GB26" s="1026">
        <f>(AO26+AQ26)/(1+'Options and results'!$W$33)^(FV26-1)+FX26</f>
        <v>1276.4986632191856</v>
      </c>
      <c r="GC26" s="1027">
        <f>IF(FV26&gt;'Options and results'!$W$27,0,GB26-GB25)</f>
        <v>184.69626510856938</v>
      </c>
      <c r="GD26" s="1027">
        <f>(DZ26+EB26)/(1+'Options and results'!$W$33)^(FV26-1)+FZ26</f>
        <v>1202.5201684536316</v>
      </c>
      <c r="GE26" s="1379">
        <f>IF(FV26&gt;'Options and results'!$W$27,0,GD26-GD25)</f>
        <v>189.71016046358159</v>
      </c>
      <c r="GF26" s="894">
        <f>IF(FV26&lt;='Options and results'!$W$20,SUM(FW$8:FW26),0)</f>
        <v>21565.125129685792</v>
      </c>
      <c r="GG26" s="740">
        <f>IF(FV26&lt;='Options and results'!$W$20,SUM(FX$8:FX26), 0)</f>
        <v>0</v>
      </c>
      <c r="GH26" s="740">
        <f ca="1">IF(FV26&lt;='Options and results'!$W$20,SUM(FY$8:FY26),0)</f>
        <v>14787.259868716837</v>
      </c>
      <c r="GI26" s="740">
        <f>IF(FV26&lt;='Options and results'!$W$20,SUM(FZ$8:FZ26),0)</f>
        <v>0</v>
      </c>
      <c r="GJ26" s="1019">
        <f t="shared" ca="1" si="166"/>
        <v>14787.259868716837</v>
      </c>
      <c r="GK26" s="894">
        <f>IF(FV26&gt;'Options and results'!$W$27,0,GG26+SUM(GC$8:GC26)-FX26)</f>
        <v>1276.4986632191856</v>
      </c>
      <c r="GL26" s="740">
        <f>IF(FV26&lt;='Options and results'!$W$20,SUM(GD$8:GD26),0)</f>
        <v>5040.5909453395616</v>
      </c>
      <c r="GM26" s="1034">
        <f t="shared" ca="1" si="167"/>
        <v>19827.850814056401</v>
      </c>
      <c r="GN26" s="401"/>
      <c r="GO26" s="895">
        <f t="shared" si="168"/>
        <v>19</v>
      </c>
      <c r="GP26" s="894">
        <f>H26/(1+'Options and results'!$W$33)^(GO26-1)</f>
        <v>116.10133406186186</v>
      </c>
      <c r="GQ26" s="740">
        <f>SUM(AT26:AV26)/(1+'Options and results'!$W$33)^(GO26-1)</f>
        <v>0</v>
      </c>
      <c r="GR26" s="740">
        <f>CR26/(1+'Options and results'!$W$33)^(GO26-1)</f>
        <v>0</v>
      </c>
      <c r="GS26" s="740">
        <f>SUM(EE26:EG26)/(1+'Options and results'!$W$33)^(GO26-1)</f>
        <v>0</v>
      </c>
      <c r="GT26" s="1019">
        <f t="shared" si="181"/>
        <v>0</v>
      </c>
      <c r="GU26" s="894">
        <f>IF(GO26&lt;='Options and results'!$W$20,SUM(GP$8:GP26),0)</f>
        <v>3212.6666484534494</v>
      </c>
      <c r="GV26" s="740">
        <f>IF(GO26&lt;='Options and results'!$W$20,SUM(GQ$8:GQ26),0)</f>
        <v>0</v>
      </c>
      <c r="GW26" s="740">
        <f>IF(GO26&lt;='Options and results'!$W$20,SUM(GR$8:GR26),0)</f>
        <v>0</v>
      </c>
      <c r="GX26" s="740">
        <f>IF(GO26&lt;='Options and results'!$W$20,SUM(GS$8:GS26),0)</f>
        <v>0</v>
      </c>
      <c r="GY26" s="1034">
        <f>IF(GO26&lt;='Options and results'!$W$20,SUM(GT$8:GT26),0)</f>
        <v>0</v>
      </c>
      <c r="GZ26" s="401"/>
      <c r="HA26" s="895">
        <f t="shared" si="169"/>
        <v>19</v>
      </c>
      <c r="HB26" s="1026">
        <f>(J26+L26+(M26*N26))/(1+'Options and results'!$W$33)^(HA26-1)</f>
        <v>561.66224179706035</v>
      </c>
      <c r="HC26" s="740">
        <f>BZ26/(1+'Options and results'!$W$33)^(HA26-1)</f>
        <v>1.4808843630339525</v>
      </c>
      <c r="HD26" s="1027">
        <f>(CT26+CV26+(CW26*CX26))/(1+'Options and results'!$W$33)^(HA26-1)</f>
        <v>0</v>
      </c>
      <c r="HE26" s="740">
        <f>FK26/(1+'Options and results'!$W$33)^(HA26-1)</f>
        <v>1.4808843630339525</v>
      </c>
      <c r="HF26" s="1019">
        <f t="shared" si="182"/>
        <v>1.4808843630339525</v>
      </c>
      <c r="HG26" s="894">
        <f>IF(HA26&lt;='Options and results'!$W$20,SUM(HB$8:HB26),0)</f>
        <v>16634.560113452801</v>
      </c>
      <c r="HH26" s="740">
        <f>IF(HA26&lt;='Options and results'!$W$20,SUM(HC$8:HC26),0)</f>
        <v>1392.1846659531077</v>
      </c>
      <c r="HI26" s="740">
        <f>IF(HA26&lt;='Options and results'!$W$20,SUM(HD$8:HD26),0)</f>
        <v>13294.975863606456</v>
      </c>
      <c r="HJ26" s="740">
        <f>IF(HA26&lt;='Options and results'!$W$20,SUM(HE$8:HE26),0)</f>
        <v>936.56447790129596</v>
      </c>
      <c r="HK26" s="1034">
        <f>IF(HA26&lt;='Options and results'!$W$20,SUM(HF$8:HF26),0)</f>
        <v>14231.540341507754</v>
      </c>
      <c r="HL26" s="405"/>
      <c r="HM26" s="895">
        <f t="shared" si="170"/>
        <v>19</v>
      </c>
      <c r="HN26" s="1026">
        <f t="shared" si="171"/>
        <v>403.00639027246552</v>
      </c>
      <c r="HO26" s="1027">
        <f t="shared" si="172"/>
        <v>-1.4808843630339525</v>
      </c>
      <c r="HP26" s="1027">
        <f t="shared" ca="1" si="173"/>
        <v>0</v>
      </c>
      <c r="HQ26" s="1027">
        <f t="shared" si="174"/>
        <v>-1.4808843630339525</v>
      </c>
      <c r="HR26" s="1027">
        <f t="shared" si="175"/>
        <v>183.21538074553541</v>
      </c>
      <c r="HS26" s="1379">
        <f t="shared" si="176"/>
        <v>188.22927610054762</v>
      </c>
      <c r="HT26" s="1026">
        <f>IF($HM26&lt;='Options and results'!$W$20,SUM(HN$8:HN26),0)</f>
        <v>8143.2316646864401</v>
      </c>
      <c r="HU26" s="1027">
        <f>IF($HM26&lt;='Options and results'!$W$20,SUM(HO$8:HO26),0)</f>
        <v>-1392.1846659531077</v>
      </c>
      <c r="HV26" s="1027">
        <f ca="1">IF($HM26&lt;='Options and results'!$W$20,SUM(HP$8:HP26),0)</f>
        <v>1492.284005110379</v>
      </c>
      <c r="HW26" s="1027">
        <f>IF($HM26&lt;='Options and results'!$W$20,SUM(HQ$8:HQ26),0)</f>
        <v>-936.56447790129596</v>
      </c>
      <c r="HX26" s="1027">
        <f t="shared" ca="1" si="177"/>
        <v>555.71952720908303</v>
      </c>
      <c r="HY26" s="1027">
        <f>IF($HM26&lt;='Options and results'!$W$20,SUM(HR$8:HR26),0)</f>
        <v>-115.68600273392212</v>
      </c>
      <c r="HZ26" s="1027">
        <f>IF($HM26&lt;='Options and results'!$W$20,SUM(HS$8:HS26),0)</f>
        <v>265.95569055233602</v>
      </c>
      <c r="IA26" s="1189">
        <f t="shared" ca="1" si="178"/>
        <v>1758.2396956627149</v>
      </c>
    </row>
    <row r="27" spans="1:235" x14ac:dyDescent="0.25">
      <c r="A27" s="1010">
        <f t="shared" si="126"/>
        <v>20</v>
      </c>
      <c r="B27" s="1011" t="str">
        <f>IF('Options and results'!$C$17="None",0,CONCATENATE('Options and results'!$C$23," ",(HLOOKUP(CONCATENATE('Options and results'!$C$17," ",Arablesystem!$B$11),Arablesystem!$B$10:$ER$72,$A27+3,FALSE))))</f>
        <v>UK - Agriculture (BPS: from 2015) Oilseed</v>
      </c>
      <c r="C27" s="1012">
        <f>IF(HLOOKUP(CONCATENATE('Options and results'!$C$17," ",Arablesystem!$C$11),Arablesystem!$B$10:$ER$72,$A27+3,FALSE)="T",(VLOOKUP(B27,Arablefinance!$Z$6:$AB$105,Arablefinance!$AB$2,FALSE)*E27+VLOOKUP(B27,Arablefinance!$Z$6:$AC$105,Arablefinance!$AC$2,FALSE)*F27)/VLOOKUP(B27,Arablefinance!$Z$6:$AA$105,Arablefinance!$AA$2,FALSE),0)</f>
        <v>0</v>
      </c>
      <c r="D27" s="1012">
        <f>IF(B27=0,0,HLOOKUP(CONCATENATE('Options and results'!$C$17," ",Arablesystem!$D$11),Arablesystem!$B$10:$ER$72,$A27+3,FALSE))</f>
        <v>1</v>
      </c>
      <c r="E27" s="1440">
        <f>IF(B27=0,0,HLOOKUP(CONCATENATE('Options and results'!$C$17," ",Arablesystem!$E$11),Arablesystem!$B$10:$ER$72,$A27+3,FALSE)*IF(A27&gt;='Options and results'!$H$19,'Options and results'!$H$18,1))</f>
        <v>3.640381106165357</v>
      </c>
      <c r="F27" s="1440">
        <f>IF(B27=0,0,HLOOKUP(CONCATENATE('Options and results'!$C$17," ",Arablesystem!$F$11),Arablesystem!$B$10:$ER$72,$A27+3,FALSE)*IF(A27&gt;='Options and results'!$H$19,'Options and results'!$H$18,1))</f>
        <v>1.8201905530826785</v>
      </c>
      <c r="G27" s="1013">
        <f>IF(D27&lt;=0,0,IF(A27&lt;='Options and results'!$W$20,IF(C27&gt;0,VLOOKUP(B27,Arablefinance!$Z$6:$AE$105,Arablefinance!$AD$2,FALSE)*C27*D27,((VLOOKUP(B27,Arablefinance!$E$6:$G$126,Arablefinance!$F$2,FALSE)*(E27*D27)+VLOOKUP(B27,Arablefinance!$E$6:$G$126,Arablefinance!$G$2,FALSE)*(F27*D27)))),0)*IF(A27&gt;='Options and results'!$H$21,'Options and results'!$H$20,1))*IF(1+'Options and results'!$O$20*(A27-1)&gt;0,1+'Options and results'!$O$20*(A27-1),0)</f>
        <v>1314.5820661152677</v>
      </c>
      <c r="H27" s="1441">
        <f>IF(D27&lt;=0,0,IF(A27&lt;='Options and results'!$W$20,IF(AND(C27&gt;0,VLOOKUP(B27,Arablefinance!$Z$6:$AI$105,Arablefinance!$AI$2,FALSE)=2),VLOOKUP(B27,Arablefinance!$Z$6:$AE$105,Arablefinance!$AE$2,FALSE)*C27*D27,(VLOOKUP(B27,Arablefinance!$E$6:$H$126,Arablefinance!$H$2,FALSE)*D27))*IF(A27&gt;='Options and results'!$H$23,'Options and results'!$H$22,1),0)*IF(AND(1+'Options and results'!$O$23*(A27-1)&gt;0,1+'Options and results'!$O$23*(A27-1)&gt;'Options and results'!$S$24),1+'Options and results'!$O$23*(A27-1),'Options and results'!$S$24))</f>
        <v>235.2</v>
      </c>
      <c r="I27" s="1441">
        <f t="shared" si="127"/>
        <v>1549.7820661152678</v>
      </c>
      <c r="J27" s="1441">
        <f>IF(D27&lt;=0,0,IF(A27&lt;='Options and results'!$W$20,IF(C27&gt;0,VLOOKUP(B27,Arablefinance!$Z$6:$AF$105,Arablefinance!$AF$2,FALSE)*C27*D27,(VLOOKUP(B27,Arablefinance!$E$6:$X$126,Arablefinance!$R$2,FALSE))*D27),0)*IF(A27&gt;='Options and results'!$H$27,'Options and results'!$H$26,1))*IF(1+'Options and results'!$O$22*(A27-1)&gt;0,1+'Options and results'!$O$22*(A27-1),0)</f>
        <v>633.88888888888891</v>
      </c>
      <c r="K27" s="1441">
        <f t="shared" si="128"/>
        <v>915.89317722637884</v>
      </c>
      <c r="L27" s="1441">
        <f>IF(D27&lt;=0,0,IF(A27&lt;='Options and results'!$W$20,IF(C27&gt;0,VLOOKUP(B27,Arablefinance!$Z$6:$AG$105,Arablefinance!$AG$2,FALSE)*C27*D27,VLOOKUP(B27,Arablefinance!$E$6:$X$126,Arablefinance!$X$2,FALSE)*D27),0)*IF(A27&gt;='Options and results'!$H$27,'Options and results'!$H$26,1))*IF(1+'Options and results'!$O$22*(A27-1)&gt;0,1+'Options and results'!$O$22*(A27-1),0)</f>
        <v>444.44444444444446</v>
      </c>
      <c r="M27" s="1442">
        <f>IF(D27&lt;=0,0,IF(A27&lt;='Options and results'!$W$20,'Options and results'!$C$27,0)*IF(A27&gt;='Options and results'!$H$27,'Options and results'!$H$26,1))*IF(1+'Options and results'!$O$21*(A27-1)&gt;0,1+'Options and results'!$O$21*(A27-1),0)</f>
        <v>14.6</v>
      </c>
      <c r="N27" s="1442">
        <f>IF(D27&lt;=0,0,IF(A27&lt;='Options and results'!$W$20,IF(C27&gt;0,VLOOKUP(B27,Arablefinance!$Z$6:$AH$105,Arablefinance!$AH$2,FALSE)*C27*D27,VLOOKUP(B27,Arablefinance!$E$6:$W$126,Arablefinance!$V$2,FALSE)*D27),0)*IF(A27&gt;='Options and results'!$H$25,'Options and results'!$H$24,1))</f>
        <v>7.4591130728145263</v>
      </c>
      <c r="O27" s="1013">
        <f t="shared" si="129"/>
        <v>1187.2363841964257</v>
      </c>
      <c r="P27" s="1353">
        <f t="shared" si="130"/>
        <v>362.54568191884232</v>
      </c>
      <c r="Q27" s="1013">
        <f>IF(A27&lt;='Options and results'!$W$20,SUM(G$8:$G27),0)</f>
        <v>31209.145516991168</v>
      </c>
      <c r="R27" s="1441">
        <f>IF($A27&lt;='Options and results'!$W$20,SUM($H$8:H27),0)</f>
        <v>4703.9999999999982</v>
      </c>
      <c r="S27" s="1441">
        <f>IF($A27&lt;='Options and results'!$W$20,SUM($O$8:O27),0)</f>
        <v>24299.393444051668</v>
      </c>
      <c r="T27" s="1032">
        <f>IF(A27&lt;='Options and results'!$W$20,Q27+R27-S27,0)</f>
        <v>11613.752072939496</v>
      </c>
      <c r="U27" s="405"/>
      <c r="V27" s="1010">
        <f t="shared" si="131"/>
        <v>20</v>
      </c>
      <c r="W27" s="173"/>
      <c r="X27" s="1036"/>
      <c r="Y27" s="1030">
        <f>IF(V27&lt;='Options and results'!$M$34,'Options and results'!$M$33,0)</f>
        <v>0</v>
      </c>
      <c r="Z27" s="1441">
        <f t="shared" si="132"/>
        <v>0</v>
      </c>
      <c r="AA27" s="1441">
        <f t="shared" si="133"/>
        <v>0</v>
      </c>
      <c r="AB27" s="1428">
        <f t="shared" si="134"/>
        <v>156</v>
      </c>
      <c r="AC27" s="1441">
        <f>IF($W$8=0,0,IF(HLOOKUP(CONCATENATE('Options and results'!$C$32," ",Forestrysystem!$C$8),Forestrysystem!$A$7:$IH$70,V27+4,FALSE)&lt;AB27,HLOOKUP(CONCATENATE('Options and results'!$C$32," ",Forestrysystem!$C$8),Forestrysystem!$A$7:$IH$70,V27+4,FALSE),0))</f>
        <v>0</v>
      </c>
      <c r="AD27" s="1441">
        <f>IF($W$8=0,0,IF(HLOOKUP(CONCATENATE('Options and results'!$C$32," ",Forestrysystem!$C$8),Forestrysystem!$A$7:$IH$70,V27+4,FALSE)&gt;=AB27,AB27,0))</f>
        <v>0</v>
      </c>
      <c r="AE27" s="1440">
        <f>IF($W$8=0,0,HLOOKUP(CONCATENATE('Options and results'!$C$32," ",Forestrysystem!$D$8),Forestrysystem!$A$7:$IH$70,$V27+4,FALSE))</f>
        <v>22.265649732193484</v>
      </c>
      <c r="AF27" s="1037"/>
      <c r="AG27" s="1440">
        <f>IF($W$8=0,0,IF(V27=1,'Options and results'!$M$36,0)+IF('Options and results'!$M$39="yes",IF(AND(AG26+'Options and results'!$M$37&lt;=$AF$8,AG26+'Options and results'!$M$37+IF(V27=1,'Options and results'!$M$36,0)&lt;='Options and results'!$M$38*AE27),AG26+'Options and results'!$M$37,AG26),(HLOOKUP(CONCATENATE('Options and results'!$C$32," ",Forestrysystem!$E$8),Forestrysystem!$A$7:$IH$70,V27+4,FALSE))-IF(V27=1,'Options and results'!$M$36,0)))</f>
        <v>7.5</v>
      </c>
      <c r="AH27" s="1442">
        <f>IF(OR($W$8=0,AB27&lt;=0),0,(HLOOKUP(CONCATENATE('Options and results'!$C$32," ",Forestrysystem!$F$8),Forestrysystem!$A$7:$IH$70,$V27+4,FALSE)) * IF(V27&gt;='Options and results'!$I$19,'Options and results'!$I$18,1) )</f>
        <v>100.41735420603597</v>
      </c>
      <c r="AI27" s="1452">
        <f t="shared" si="179"/>
        <v>0.64370098850023061</v>
      </c>
      <c r="AJ27" s="1442">
        <f t="shared" si="135"/>
        <v>0</v>
      </c>
      <c r="AK27" s="1453">
        <f>IF(OR($W$8=0,AE27&lt;=0),0,(HLOOKUP(CONCATENATE('Options and results'!$C$32," ",Forestrysystem!$G$8),Forestrysystem!$A$7:$IH$70,$V27+4,FALSE)) * IF(Y27&gt;='Options and results'!$I$19,'Options and results'!$I$18,1) )</f>
        <v>44.278779438978304</v>
      </c>
      <c r="AL27" s="1453">
        <f>IF($W$8=0,0,HLOOKUP(CONCATENATE('Options and results'!$C$32," ",Forestrysystem!$H$8),Forestrysystem!$A$7:$IH$70,$V27+4,FALSE)*IF(V27&gt;='Options and results'!$I$19,'Options and results'!$I$18,1))</f>
        <v>0</v>
      </c>
      <c r="AM27" s="1383">
        <f>IF($W$8=0,0,HLOOKUP(CONCATENATE('Options and results'!$C$32," ",Forestrysystem!$I$8),Forestrysystem!$A$7:$IH$70,$V27+4,FALSE)*IF(V27&gt;='Options and results'!$I$19,'Options and results'!$I$18,1))</f>
        <v>0</v>
      </c>
      <c r="AN27" s="1382">
        <f>IF(AI27&gt;0,HLOOKUP(AI27,Treevalue!$I$4:$BC$34,'Options and results'!$C$39+1),0)*IF(V27&gt;='Options and results'!$I$21,'Options and results'!$I$20,1)*IF(1+'Options and results'!$Q$20*(V27-1)&gt;0,1+'Options and results'!$Q$20*(V27-1),0)</f>
        <v>19.375190051089614</v>
      </c>
      <c r="AO27" s="1454">
        <f>AI27*AN27*(AB27-(AC27+AD27))</f>
        <v>1945.6053221695299</v>
      </c>
      <c r="AP27" s="1454">
        <f t="shared" si="137"/>
        <v>0</v>
      </c>
      <c r="AQ27" s="1454">
        <f>(IF('Options and results'!$C$39&gt;0,IF(V27&lt;='Options and results'!$W$20,VLOOKUP('Options and results'!$C$39,Treevalue!$A$4:$F$34,5,FALSE),0),0)*AK27)*IF(V27&gt;='Options and results'!$I$21,'Options and results'!$I$20,1)*IF(1+'Options and results'!$Q$20*(V27-1)&gt;0,1+'Options and results'!$Q$20*(V27-1),0)-AR27</f>
        <v>1106.9694859744577</v>
      </c>
      <c r="AR27" s="1441">
        <f>(IF('Options and results'!$C$39&gt;0,IF(V27&lt;='Options and results'!$W$20,VLOOKUP('Options and results'!$C$39,Treevalue!$A$4:$F$34,5,FALSE),0),0)*AL27)*IF(V27&gt;='Options and results'!$I$21,'Options and results'!$I$20,1)*IF(1+'Options and results'!$Q$20*(V27-1)&gt;0,1+'Options and results'!$Q$20*(V27-1),0)</f>
        <v>0</v>
      </c>
      <c r="AS27" s="1441">
        <f>(IF('Options and results'!$C$39&gt;0,IF(V27&lt;='Options and results'!$W$20,VLOOKUP('Options and results'!$C$39,Treevalue!$A$4:$F$34,6,FALSE),0),0)*AM27)*IF(V27&gt;='Options and results'!$I$21,'Options and results'!$I$20,1)*IF(1+'Options and results'!$Q$20*(V27-1)&gt;0,1+'Options and results'!$Q$20*(V27-1),0)</f>
        <v>0</v>
      </c>
      <c r="AT27" s="1441">
        <f>IF(V27&lt;='Options and results'!$W$20,(IF(AB27&lt;=0,0,IF('Options and results'!$C$43="cost",(IF(V27&lt;='Options and results'!$C$44,BZ27*SUM('Options and results'!$C$45:$C$46),0)),IF('Options and results'!$C$41&gt;0,(IF(VLOOKUP('Options and results'!$C$42,Treegrant!$B$6:$L$42,Treegrant!$C$2,FALSE)=V27,VLOOKUP('Options and results'!$C$42,Treegrant!$B$6:$L$42,Treegrant!$D$2,FALSE),0)+IF(VLOOKUP('Options and results'!$C$42,Treegrant!$B$6:$L$42,Treegrant!$E$2,FALSE)=V27,VLOOKUP('Options and results'!$C$42,Treegrant!$B$6:$L$42,Treegrant!$F$2,FALSE),0)+IF(VLOOKUP('Options and results'!$C$42,Treegrant!$B$6:$L$42,Treegrant!$G$2,FALSE)=V27,VLOOKUP('Options and results'!$C$42,Treegrant!$B$6:$L$42,Treegrant!$H$2,FALSE)))*IF('Options and results'!$C$43="area",1,'Options and results'!$C$43),0)))*IF(V27&gt;='Options and results'!$I$23,'Options and results'!$I$22,1)),0)*IF(1+'Options and results'!$Q$23*(V27-1)&gt;0,1+'Options and results'!$Q$23*(V27-1),0)</f>
        <v>0</v>
      </c>
      <c r="AU27" s="1441">
        <f>IF($W$8=0,0,IF(V27&lt;='Options and results'!$W$20,IF(AB27&lt;=0,0,IF('Options and results'!$C$41&gt;0,IF(AND(VLOOKUP('Options and results'!$C$42,Treegrant!$B$6:$L$42,Treegrant!$J$2,FALSE)&lt;=V27,VLOOKUP('Options and results'!$C$42,Treegrant!$B$6:$L$42,Treegrant!$K$2,FALSE)&gt;=V27),(VLOOKUP('Options and results'!$C$42,Treegrant!$B$6:$L$42,Treegrant!$L$2,FALSE)),0)*IF('Options and results'!$C$47="full",1,'Options and results'!$C$47))*IF(V27&gt;='Options and results'!$I$23,'Options and results'!$I$22,1)),0))*IF(1+'Options and results'!$Q$23*(V27-1)&gt;0,1+'Options and results'!$Q$23*(V27-1),0)</f>
        <v>0</v>
      </c>
      <c r="AV27" s="1032">
        <f>IF($W$8=0,0,IF(V27&lt;='Options and results'!$W$20,IF(AB27&lt;=0,0,(IF('Options and results'!$C$41&gt;0,(IF(AND(VLOOKUP('Options and results'!$C$42,Treegrant!$B$6:$O$42,Treegrant!$M$2,FALSE)&lt;=V27,VLOOKUP('Options and results'!$C$42,Treegrant!$B$6:$O$42,Treegrant!$N$2,FALSE)&gt;=V27),(VLOOKUP('Options and results'!$C$42,Treegrant!$B$6:$O$42,Treegrant!$O$2,FALSE)),0)*IF('Options and results'!$C$48="full",1,'Options and results'!$C$48))+(IF(AND(VLOOKUP('Options and results'!$C$42,Treegrant!$B$6:$R$42,Treegrant!$P$2,FALSE)&lt;=V27,VLOOKUP('Options and results'!$C$42,Treegrant!$B$6:$R$42,Treegrant!$Q$2,FALSE)&gt;=V27),(VLOOKUP('Options and results'!$C$42,Treegrant!$B$6:$R$42,Treegrant!$R$2,FALSE)),0))*IF('Options and results'!$C$49="full",1,'Options and results'!$C$49)))*IF(V27&gt;='Options and results'!$I$23,'Options and results'!$I$22,1)),0))*IF(1+'Options and results'!$Q$23*(V27-1)&gt;0,1+'Options and results'!$Q$23*(V27-1),0)</f>
        <v>0</v>
      </c>
      <c r="AW27" s="1041"/>
      <c r="AX27" s="1042"/>
      <c r="AY27" s="1419">
        <f>IF($W$8=0,0,IF(V27=1,VLOOKUP($W$8,Treecost!$B$6:$AH$49,Treecost!$E$2,FALSE),0)*IF(V27&gt;='Options and results'!$I$25,'Options and results'!$I$24,1))</f>
        <v>0</v>
      </c>
      <c r="AZ27" s="889">
        <f>IF($W$8=0,0,IF(V27=1,VLOOKUP($W$8,Treecost!$B$6:$AH$49,Treecost!$F$2,FALSE),0)*IF(V27&gt;='Options and results'!$I$25,'Options and results'!$I$24,1))</f>
        <v>0</v>
      </c>
      <c r="BA27" s="889">
        <f>IF($W$8=0,0,IF(V27=1,VLOOKUP($W$8,Treecost!$B$6:$AH$49,Treecost!$G$2,FALSE),0)*IF(V27&gt;='Options and results'!$I$25,'Options and results'!$I$24,1))</f>
        <v>0</v>
      </c>
      <c r="BB27" s="889">
        <f>IF($W$8=0,0,IF(V27&lt;='Options and results'!$W$20,((VLOOKUP($W$8,Treecost!$B$6:$AH$49,Treecost!$H$2,FALSE)*(X27+AA27))/60)*IF(V27&gt;='Options and results'!$I$25,'Options and results'!$I$24,1),0))</f>
        <v>0</v>
      </c>
      <c r="BC27" s="889">
        <f>IF($W$8=0,0,IF(V27&lt;='Options and results'!$W$20,(((VLOOKUP($W$8,Treecost!$B$6:$AH$49,Treecost!$I$2,FALSE))*(X27+AA27))/60)*IF(V27&gt;='Options and results'!$I$25,'Options and results'!$I$24,1),0))</f>
        <v>0</v>
      </c>
      <c r="BD27" s="889">
        <f>IF($W$8=0,0,IF(V27&lt;='Options and results'!$W$20,(((VLOOKUP($W$8,Treecost!$B$6:$AH$49,Treecost!$J$2,FALSE))/60)*(X27+AA27))*IF(V27&gt;='Options and results'!$I$25,'Options and results'!$I$24,1),0))</f>
        <v>0</v>
      </c>
      <c r="BE27" s="1019">
        <f>IF($W$8=0,0,IF(V27&lt;='Options and results'!$W$20,(((VLOOKUP($W$8,Treecost!$B$6:$AH$49,Treecost!$C$2,FALSE)+VLOOKUP($W$8,Treecost!$B$6:$AH$49,Treecost!$D$2,FALSE))*(X27+AA27)*IF(1+'Options and results'!$Q$22*(V27-1)&gt;0,1+'Options and results'!$Q$22*(V27-1),0))+((AY27*$AX$8+AZ27*$AX$9+BA27*$AX$10+BB27*$AX$11+BC27*$AX$12+BD27*$AX$13)*IF(1+'Options and results'!$Q$21*(V27-1)&gt;0,1+'Options and results'!$Q$21*(V27-1),0)))*IF(V27&gt;='Options and results'!$I$27,'Options and results'!$I$26,1),0))</f>
        <v>0</v>
      </c>
      <c r="BF27" s="889">
        <f>IF($W$8=0,0,IF(V27&lt;='Options and results'!$W$20,IF(AND(VLOOKUP($W$8,Treecost!$B$6:$AH$49,Treecost!$K$2,FALSE)&lt;=V27,V27&lt;=(VLOOKUP($W$8,Treecost!$B$6:$AH$49,Treecost!$L$2,FALSE))),VLOOKUP($W$8,Treecost!$B$6:$AH$49,Treecost!$M$2,FALSE)*AB27/60,0)*IF(V27&gt;='Options and results'!$I$25,'Options and results'!$I$24,1),0))</f>
        <v>0</v>
      </c>
      <c r="BG27" s="1019">
        <f>IF(BF27&gt;0,(VLOOKUP($W$8,Treecost!$B$6:$AH$49,Treecost!$N$2,FALSE)*AB27*IF(1+'Options and results'!$Q$22*(V27-1)&gt;0,1+'Options and results'!$Q$22*(V27-1),0)+BF27*$AX$14*IF(1+'Options and results'!$Q$21*(V27-1)&gt;0,1+'Options and results'!$Q$21*(V27-1),0)),0)*IF(V27&gt;='Options and results'!$I$27,'Options and results'!$I$26,1)</f>
        <v>0</v>
      </c>
      <c r="BH27" s="889">
        <f>IF(V27&lt;='Options and results'!$W$20,IF(AND(AG27-AG26&gt;0,AG27&gt;'Options and results'!$M$36),(AB27-AC27)*(VLOOKUP($W$8,Treecost!$B$6:$AH$49,Treecost!$Y$2,FALSE)+(VLOOKUP($W$8,Treecost!$B$6:$AH$49,Treecost!$AA$2,FALSE)-VLOOKUP($W$8,Treecost!$B$6:$AH$49,Treecost!$Y$2,FALSE))/(VLOOKUP($W$8,Treecost!$B$6:$AH$49,Treecost!$Z$2,FALSE)-VLOOKUP($W$8,Treecost!$B$6:$AH$49,Treecost!$X$2,FALSE))*(AG27-VLOOKUP($W$8,Treecost!$B$6:$AH$49,Treecost!$X$2,FALSE)))/60,0)*IF(V27&gt;='Options and results'!$I$25,'Options and results'!$I$24,1),0)</f>
        <v>0</v>
      </c>
      <c r="BI27" s="303">
        <f>IF(V27&lt;='Options and results'!$W$20,IF(BH27&gt;0,VLOOKUP($W$8,Treecost!$B$6:$AH$49,Treecost!$AB$2,FALSE)/60*AB27,0)*IF(V27&gt;='Options and results'!$I$25,'Options and results'!$I$24,1),0)*((BH27-(MIN($BH$8:$BH$67)))/((MAX($BH$8:$BH$67))-(MIN($BH$8:$BH$67))))</f>
        <v>0</v>
      </c>
      <c r="BJ27" s="740">
        <f>IF(BH27&gt;0,(BH27*$AX$15+BI27*$AX$19)*IF(1+'Options and results'!$Q$21*(V27-1)&gt;0,1+'Options and results'!$Q$21*(V27-1),0),0)*IF(V27&gt;='Options and results'!$I$27,'Options and results'!$I$26,1)</f>
        <v>0</v>
      </c>
      <c r="BK27" s="891">
        <f>IF($W$8=0,0,IF(V27&lt;='Options and results'!$W$20,IF(VLOOKUP($W$8,Treecost!$B$2:$AH$49,Treecost!$O$2,FALSE)=V27,VLOOKUP($W$8,Treecost!$B$2:$AH$49,Treecost!$P$2,FALSE),0)*IF(V27&gt;='Options and results'!$I$25,'Options and results'!$I$24,1),0))</f>
        <v>0</v>
      </c>
      <c r="BL27" s="889">
        <f>IF($W$8=0,0,IF(V27&lt;='Options and results'!$W$20,IF(AND(V27&gt;VLOOKUP($W$8,Treecost!$B$2:$AH$49,Treecost!$O$2,FALSE),V27&lt;=VLOOKUP($W$8,Treecost!$B$2:$AH$49,Treecost!$R$2,FALSE)),VLOOKUP($W$8,Treecost!$B$2:$AH$49,Treecost!$S$2,FALSE),0)*IF(V27&gt;='Options and results'!$I$25,'Options and results'!$I$24,1),0))</f>
        <v>0</v>
      </c>
      <c r="BM27" s="740">
        <f>IF($W$8=0,0,IF(V27&lt;='Options and results'!$W$20,((IF(VLOOKUP($W$8,Treecost!$B$2:$AH$49,Treecost!$O$2,FALSE)=V27,VLOOKUP($W$8,Treecost!$B$2:$AH$49,Treecost!$Q$2,FALSE),0)+IF(AND(V27&gt;VLOOKUP($W$8,Treecost!$B$2:$AH$49,Treecost!$O$2,FALSE),V27&lt;=VLOOKUP($W$8,Treecost!$B$2:$AH$49,Treecost!$R$2,FALSE)),VLOOKUP($W$8,Treecost!$B$2:$AH$49,Treecost!$T$2,FALSE),0)*IF(1+'Options and results'!$Q$22*(V27-1)&gt;0,1+'Options and results'!$Q$22*(V27-1),0))+(BK27*$AX$16+BL27*$AX$17)*IF(1+'Options and results'!$Q$21*(V27-1)&gt;0,1+'Options and results'!$Q$21*(V27-1),0))*IF(V27&gt;='Options and results'!$I$27,'Options and results'!$I$26,1),0))</f>
        <v>0</v>
      </c>
      <c r="BN27" s="894">
        <f>IF($W$8=0,0,IF(V27&lt;='Options and results'!$W$20,IF(AND(V27&gt;=VLOOKUP($W$8,Treecost!$B$2:$W$49,Treecost!$U$2,FALSE),V27&lt;=VLOOKUP($W$8,Treecost!$B$2:$W$49,Treecost!$V$2,FALSE)),(AB27*VLOOKUP($W$8,Treecost!$B$2:$W$49,Treecost!$W$2,FALSE)/60),0)*IF(V27&gt;='Options and results'!$I$25,'Options and results'!$I$24,1),0))</f>
        <v>0</v>
      </c>
      <c r="BO27" s="740">
        <f>BN27*$AX$18*IF(V27&gt;='Options and results'!$I$27,'Options and results'!$I$26,1)*IF(1+'Options and results'!$Q$21*(V27-1)&gt;0,1+'Options and results'!$Q$21*(V27-1),0)</f>
        <v>0</v>
      </c>
      <c r="BP27" s="894">
        <f>IF(V27&lt;='Options and results'!$W$20,IF(AB27&lt;=0,0,VLOOKUP($W$8,Treecost!$B$6:$AH$49,Treecost!$AC$2,FALSE)+VLOOKUP($W$8,Treecost!$B$6:$AH$49,Treecost!$AD$2,FALSE)+IF(AND(V27&gt;=VLOOKUP($W$8,Treecost!$B$2:$AK$49,Treecost!$AI$2,FALSE),V27&lt;=VLOOKUP($W$8,Treecost!$B$2:$AK$49,Treecost!$AJ$2,FALSE)),(VLOOKUP($W$8,Treecost!$B$2:$AK$49,Treecost!$AK$2,FALSE)),0))*IF(V27&gt;='Options and results'!$I$27,'Options and results'!$I$26,1),0)*IF(1+'Options and results'!$Q$22*(V27-1)&gt;0,1+'Options and results'!$Q$22*(V27-1),0)</f>
        <v>3</v>
      </c>
      <c r="BQ27" s="894">
        <f>IF(V27&lt;='Options and results'!$W$20,IF(AC27&gt;0,VLOOKUP($W$8,Treecost!$B$6:$AH$49,Treecost!$AE$2,FALSE)/60*AC27,0)*IF(V27&gt;='Options and results'!$I$25,'Options and results'!$I$24,1),0)</f>
        <v>0</v>
      </c>
      <c r="BR27" s="740">
        <f>IF(V27&lt;='Options and results'!$W$20,IF(AC27&gt;0,VLOOKUP($W$8,Treecost!$B$6:$AH$49,Treecost!$AF$2,FALSE)/60*AC27,0)*IF(V27&gt;='Options and results'!$I$25,'Options and results'!$I$24,1),0)</f>
        <v>0</v>
      </c>
      <c r="BS27" s="740">
        <f>(BQ27*$AX$20+BR27*$AX$21)*IF(V27&gt;='Options and results'!$I$27,'Options and results'!$I$26,1)*IF(1+'Options and results'!$Q$21*(V27-1)&gt;0,1+'Options and results'!$Q$21*(V27-1),0)</f>
        <v>0</v>
      </c>
      <c r="BT27" s="894">
        <f>IF(V27&lt;='Options and results'!$W$20,IF(AD27&gt;0,(VLOOKUP($W$8,Treecost!$B$6:$AH$49,Treecost!$AG$2,FALSE)/60*AD27)*IF(V27&gt;='Options and results'!$I$25,'Options and results'!$I$24,1),0),0)</f>
        <v>0</v>
      </c>
      <c r="BU27" s="740">
        <f>IF(V27&lt;='Options and results'!$W$20,IF(AD27&gt;0,(VLOOKUP($W$8,Treecost!$B$6:$AH$49,Treecost!$AH$2,FALSE)/60*AD27)*IF(V27&gt;='Options and results'!$I$25,'Options and results'!$I$24,1),0),0)</f>
        <v>0</v>
      </c>
      <c r="BV27" s="740">
        <f>(BT27*$AX$22+BU27*$AX$23)*IF(V27&gt;='Options and results'!$I$27,'Options and results'!$I$26,1)*IF(1+'Options and results'!$Q$21*(V27-1)&gt;0,1+'Options and results'!$Q$21*(V27-1),0)</f>
        <v>0</v>
      </c>
      <c r="BW27" s="1033">
        <f t="shared" si="138"/>
        <v>0</v>
      </c>
      <c r="BX27" s="1027">
        <f t="shared" si="139"/>
        <v>0</v>
      </c>
      <c r="BY27" s="1027">
        <f t="shared" si="140"/>
        <v>0</v>
      </c>
      <c r="BZ27" s="740">
        <f t="shared" si="124"/>
        <v>3</v>
      </c>
      <c r="CA27" s="740">
        <f t="shared" si="141"/>
        <v>-3</v>
      </c>
      <c r="CB27" s="894">
        <f>IF($V27&lt;='Options and results'!$W$20,SUM(BX$8:$BX27),0)</f>
        <v>0</v>
      </c>
      <c r="CC27" s="740">
        <f>IF($V27&lt;='Options and results'!$W$20,SUM($BY$8:BY27),0)</f>
        <v>0</v>
      </c>
      <c r="CD27" s="740">
        <f>IF($V27&lt;='Options and results'!$W$20,SUM($BZ$8:BZ27),0)</f>
        <v>1628.7443691843955</v>
      </c>
      <c r="CE27" s="740">
        <f>IF(V27&lt;='Options and results'!$W$20,CB27+CC27-CD27,0)</f>
        <v>-1628.7443691843955</v>
      </c>
      <c r="CF27" s="1381">
        <f t="shared" si="142"/>
        <v>466.62273433594169</v>
      </c>
      <c r="CG27" s="1027">
        <f t="shared" si="143"/>
        <v>463.62273433594169</v>
      </c>
      <c r="CH27" s="1027">
        <f t="shared" si="144"/>
        <v>0</v>
      </c>
      <c r="CI27" s="1189">
        <f>IF(V27&lt;='Options and results'!$W$20,CE27+AO27,0)</f>
        <v>316.86095298513442</v>
      </c>
      <c r="CJ27" s="1023"/>
      <c r="CK27" s="895">
        <f t="shared" si="145"/>
        <v>20</v>
      </c>
      <c r="CL27" s="1011" t="str">
        <f>IF('Options and results'!$C$54="None",0,IF(AND(CK27&gt;='Options and results'!$K$57,CK26&lt;'Options and results'!$W$20),'Options and results'!$K$56,IF(Optimisation!$B$3="No",CONCATENATE('Options and results'!$C$60," ",(HLOOKUP(CONCATENATE('Options and results'!$C$54," ",Agroforestrysystem!$B$12),Agroforestrysystem!$B$11:$IM$74,$CK27+4,FALSE))),Optimisation!AA47)))</f>
        <v>UK - Agriculture (BPS: from 2015) Agroforestry fallow</v>
      </c>
      <c r="CM27" s="1012">
        <f>IF(HLOOKUP(CONCATENATE('Options and results'!$C$54," ",Agroforestrysystem!$C$12),Agroforestrysystem!$B$11:$IM$74,$CK27+4,FALSE)="T",(VLOOKUP(CL27,Arablefinance!$Z$6:$AB$105,Arablefinance!$AB$2,FALSE)*CO27+VLOOKUP(CL27,Arablefinance!$Z$6:$AC$105,Arablefinance!$AC$2,FALSE)*CP27)/VLOOKUP(CL27,Arablefinance!$Z$6:$AA$105,Arablefinance!$AA$2,FALSE),0)</f>
        <v>0</v>
      </c>
      <c r="CN27" s="1012">
        <f>IF(CL27=0,0,HLOOKUP(CONCATENATE('Options and results'!$C$54," ",Agroforestrysystem!$D$12),Agroforestrysystem!$B$11:$IM$74,$CK27+4,FALSE))</f>
        <v>0.99</v>
      </c>
      <c r="CO27" s="1440">
        <f ca="1">IF(CL27=0,0,IF(AND(Optimisation!$B$3="yes",Optimisation!$B$4=1,CK27&gt;Optimisation!$B$9),0,HLOOKUP(CONCATENATE('Options and results'!$C$54," ",Agroforestrysystem!$E$12),Agroforestrysystem!$B$11:$IM$74,$CK27+4,FALSE)*IF(CK27&gt;='Options and results'!$J$19,'Options and results'!$J$18,1)))</f>
        <v>0</v>
      </c>
      <c r="CP27" s="1440">
        <f ca="1">IF(CL27=0,0,IF(AND(Optimisation!$B$3="yes",Optimisation!$B$4=1,CK27&gt;Optimisation!$B$9),0,HLOOKUP(CONCATENATE('Options and results'!$C$54," ",Agroforestrysystem!$F$12),Agroforestrysystem!$B$11:$IM$74,$CK27+4,FALSE)*IF(CK27&gt;='Options and results'!$J$19,'Options and results'!$J$18,1)))</f>
        <v>0</v>
      </c>
      <c r="CQ27" s="1013">
        <f ca="1">IF(CN27&lt;=0,0,IF(CK27&lt;='Options and results'!$W$20,IF(CM27&gt;0,VLOOKUP(CL27,Arablefinance!$Z$6:$AE$105,Arablefinance!$AD$2,FALSE)*CM27*CN27,((VLOOKUP(CL27,Arablefinance!$E$6:$H$126,2,FALSE)*CO27+VLOOKUP(CL27,Arablefinance!$E$6:$H$126,3,FALSE)*CP27)*CN27)),0)*IF(CK27&gt;='Options and results'!$J$21,'Options and results'!$J$20,1))*IF(1+'Options and results'!$O$20*(CK27-1)&gt;0,1+'Options and results'!$O$20*(CK27-1),0)</f>
        <v>0</v>
      </c>
      <c r="CR27" s="1441">
        <f>IF(CN27&lt;=0,0,IF(AND(CM27&gt;0,VLOOKUP(CL27,Arablefinance!$Z$6:$AI$105,Arablefinance!$AI$2,FALSE)=2),VLOOKUP(CL27,Arablefinance!$Z$6:$AE$105,Arablefinance!$AE$2,FALSE)*CM27*CN27,IF('Options and results'!$C$62&gt;0,IF(VLOOKUP(CL27,Arablefinance!$E$6:$W$126,Arablefinance!$H$2,FALSE)*(1-Plot!DM27*'Options and results'!$C$62)&gt;0,VLOOKUP(CL27,Arablefinance!$E$6:$W$126,Arablefinance!$H$2,FALSE)*(1-Plot!DM27*'Options and results'!$C$62),0),IF(CK27&lt;='Options and results'!$W$20,(VLOOKUP(CL27,Arablefinance!$E$6:$W$126,Arablefinance!$H$2,FALSE)*IF('Options and results'!$C$61="area",CN27,'Options and results'!$C$61)),0)))*IF(CK27&gt;='Options and results'!$J$23,'Options and results'!$J$22,1))*IF(AND(1+'Options and results'!$O$23*(CK27-1)&gt;0,1+'Options and results'!$O$23*(CK27-1)&gt;'Options and results'!$S$24),1+'Options and results'!$O$23*(CK27-1),'Options and results'!$S$24)</f>
        <v>0</v>
      </c>
      <c r="CS27" s="1441">
        <f t="shared" ca="1" si="146"/>
        <v>0</v>
      </c>
      <c r="CT27" s="1441">
        <f>IF(CN27&lt;=0,0,IF(CK27&lt;='Options and results'!$W$20,IF(CM27&gt;0,VLOOKUP(CL27,Arablefinance!$Z$6:$AF$105,Arablefinance!$AF$2,FALSE)*CM27*CN27,VLOOKUP(CL27,Arablefinance!$E$6:$X$126,Arablefinance!$R$2,FALSE)*CN27),0)*IF(CK27&gt;='Options and results'!$J$27,'Options and results'!$J$26,1))*IF(1+'Options and results'!$O$22*(CK27-1)&gt;0,1+'Options and results'!$O$22*(CK27-1),0)</f>
        <v>0</v>
      </c>
      <c r="CU27" s="1441">
        <f t="shared" ca="1" si="147"/>
        <v>0</v>
      </c>
      <c r="CV27" s="1441">
        <f>IF(CN27&lt;=0,0,IF(CK27&lt;='Options and results'!$W$20,IF(CM27&gt;0,VLOOKUP(CL27,Arablefinance!$Z$6:$AG$105,Arablefinance!$AG$2,FALSE)*CM27*CN27,VLOOKUP(CL27,Arablefinance!$E$6:$X$126,Arablefinance!$X$2,FALSE)*CN27),0)*IF(CK27&gt;='Options and results'!$J$27,'Options and results'!$J$26,1))*IF(1+'Options and results'!$O$22*(CK27-1)&gt;0,1+'Options and results'!$O$22*(CK27-1),0)</f>
        <v>0</v>
      </c>
      <c r="CW27" s="1442">
        <f>IF(CN27&lt;=0,0,IF(CK27&lt;='Options and results'!$W$20,'Options and results'!$C$27*IF(CK27&gt;='Options and results'!$J$27,'Options and results'!$J$26,1),0))*IF(1+'Options and results'!$O$21*(CK27-1)&gt;0,1+'Options and results'!$O$21*(CK27-1),0)</f>
        <v>14.6</v>
      </c>
      <c r="CX27" s="1442">
        <f>IF(CN27&lt;=0,0,IF(CK27&lt;='Options and results'!$W$20,IF(CM27&gt;0,VLOOKUP(CL27,Arablefinance!$Z$6:$AH$105,Arablefinance!$AH$2,FALSE)*CM27*CN27,VLOOKUP(CL27,Arablefinance!$E$6:$W$126,Arablefinance!$V$2,FALSE)*CN27),0)*IF(CK27&gt;='Options and results'!$J$25,'Options and results'!$J$24,1))</f>
        <v>0</v>
      </c>
      <c r="CY27" s="1013">
        <f t="shared" si="148"/>
        <v>0</v>
      </c>
      <c r="CZ27" s="1353">
        <f t="shared" ca="1" si="149"/>
        <v>0</v>
      </c>
      <c r="DA27" s="1013">
        <f ca="1">IF($CK27&lt;='Options and results'!$W$20,SUM($CQ$8:CQ27),0)</f>
        <v>18417.950100000002</v>
      </c>
      <c r="DB27" s="1441">
        <f>IF($CK27&lt;='Options and results'!$W$20,SUM($CR$8:CR27),0)</f>
        <v>0</v>
      </c>
      <c r="DC27" s="1441">
        <f>IF($CK27&lt;='Options and results'!$W$20,SUM($CY$8:CY27),0)</f>
        <v>16943.30918829242</v>
      </c>
      <c r="DD27" s="1189">
        <f ca="1">IF(CK27&lt;='Options and results'!$W$20,DA27+DB27-DC27,0)</f>
        <v>1474.6409117075818</v>
      </c>
      <c r="DE27" s="401"/>
      <c r="DF27" s="895">
        <f t="shared" si="150"/>
        <v>20</v>
      </c>
      <c r="DG27" s="173"/>
      <c r="DH27" s="1422"/>
      <c r="DI27" s="1427">
        <f>IF(DF27&lt;='Options and results'!$M$61,'Options and results'!$M$60,0)</f>
        <v>0</v>
      </c>
      <c r="DJ27" s="740">
        <f t="shared" si="151"/>
        <v>0</v>
      </c>
      <c r="DK27" s="740">
        <f t="shared" si="152"/>
        <v>0</v>
      </c>
      <c r="DL27" s="1428">
        <f t="shared" si="153"/>
        <v>100</v>
      </c>
      <c r="DM27" s="1429">
        <f>IF($DG$8=0,0,HLOOKUP(CONCATENATE('Options and results'!$C$54," ",Agroforestrysystem!$J$12),Agroforestrysystem!$11:$74,DF27+3,FALSE))/100</f>
        <v>1</v>
      </c>
      <c r="DN27" s="740">
        <f>IF($DG$8=0,0,IF(HLOOKUP(CONCATENATE('Options and results'!$C$54," ",Agroforestrysystem!$H$12),Agroforestrysystem!$11:$74,DF27+4,FALSE)&lt;DL27,HLOOKUP(CONCATENATE('Options and results'!$C$54," ",Agroforestrysystem!$H$12),Agroforestrysystem!$11:$74,DF27+4,FALSE),0))</f>
        <v>0</v>
      </c>
      <c r="DO27" s="1027">
        <f>IF($DG$8=0,0,IF(HLOOKUP(CONCATENATE('Options and results'!$C$54," ",Agroforestrysystem!$H$12),Agroforestrysystem!$11:$74,DF27+4,FALSE)&gt;=DL27,DL27,0))</f>
        <v>0</v>
      </c>
      <c r="DP27" s="1430">
        <f>IF($DG$8=0,0,HLOOKUP(CONCATENATE('Options and results'!$C$54," ",Agroforestrysystem!$I$12),Agroforestrysystem!$11:$74,DF27+4,FALSE))</f>
        <v>24.889538456459135</v>
      </c>
      <c r="DQ27" s="1038"/>
      <c r="DR27" s="1390">
        <f>IF($DG$8=0,0,IF(DF27&gt;'Options and results'!$W$20,0,)+IF(DF27=1,'Options and results'!$M$64)+IF('Options and results'!$M$67="yes",IF(AND(DR26+'Options and results'!$M$65&lt;=$DQ$8,DR26+'Options and results'!$M$65+IF(DF27=1,'Options and results'!$M$64,0)&lt;='Options and results'!$M$66*DP27),DR26+'Options and results'!$M$65,DR26),(HLOOKUP(CONCATENATE('Options and results'!$C$54," ",Agroforestrysystem!$K$12),Agroforestrysystem!$11:$74,DF27+4,FALSE)-IF(DF27=1,'Options and results'!$M$64))))</f>
        <v>7.5</v>
      </c>
      <c r="DS27" s="1027">
        <f>IF(OR($DG$8=0,DL27=0),0,HLOOKUP(CONCATENATE('Options and results'!$C$54," ",Agroforestrysystem!$L$12),Agroforestrysystem!$11:$74,DF27+4,FALSE)*IF(DF27&gt;='Options and results'!$K$19,'Options and results'!$K$18,1))</f>
        <v>89.914262732444683</v>
      </c>
      <c r="DT27" s="1431">
        <f t="shared" si="154"/>
        <v>0.89914262732444683</v>
      </c>
      <c r="DU27" s="889">
        <f t="shared" si="155"/>
        <v>0</v>
      </c>
      <c r="DV27" s="1027">
        <f>IF($DG$8=0,0,(HLOOKUP(CONCATENATE('Options and results'!$C$54," ",Agroforestrysystem!$M$12),Agroforestrysystem!$11:$74,DF27+4,FALSE))*IF(DF27&gt;='Options and results'!$K$19,'Options and results'!$K$18,1))-DW27</f>
        <v>39.647467705427296</v>
      </c>
      <c r="DW27" s="303">
        <f>IF($DG$8=0,0,(HLOOKUP(CONCATENATE('Options and results'!$C$54," ",Agroforestrysystem!$N$12),Agroforestrysystem!$11:$74,DF27+4,FALSE))*IF(DF27&gt;='Options and results'!$K$19,'Options and results'!$K$18,1))</f>
        <v>0</v>
      </c>
      <c r="DX27" s="303">
        <f>IF($DG$8=0,0,HLOOKUP(CONCATENATE('Options and results'!$C$54," ",Agroforestrysystem!$O$12),Agroforestrysystem!$11:$74,DF27+4,FALSE)*IF(DF27&gt;='Options and results'!$K$19,'Options and results'!$K$18,1))</f>
        <v>0</v>
      </c>
      <c r="DY27" s="1192">
        <f>IF(DT27&gt;0,HLOOKUP(DT27,Treevalue!$I$4:$BC$34,'Options and results'!$C$66+1),0)*IF(DF27&gt;='Options and results'!$K$21,'Options and results'!$K$20,1)*IF(1+'Options and results'!$Q$20*(DF27-1)&gt;0,1+'Options and results'!$Q$20*(DF27-1),0)</f>
        <v>21.922731492282306</v>
      </c>
      <c r="DZ27" s="1027">
        <f t="shared" si="156"/>
        <v>1971.1662392099104</v>
      </c>
      <c r="EA27" s="1027">
        <f t="shared" si="125"/>
        <v>0</v>
      </c>
      <c r="EB27" s="1027">
        <f>(IF('Options and results'!$C$66&gt;0,IF(DF27&lt;='Options and results'!$W$20,VLOOKUP('Options and results'!$C$66,Treevalue!$A$4:$F$34,5,FALSE),0),0)*DV27)*IF(DF27&gt;='Options and results'!$K$21,'Options and results'!$K$20,1)*IF(1+'Options and results'!$Q$20*(DF27-1)&gt;0,1+'Options and results'!$Q$20*(DF27-1),0)</f>
        <v>991.18669263568245</v>
      </c>
      <c r="EC27" s="740">
        <f>(IF('Options and results'!$C$66&gt;0,IF(DF27&lt;='Options and results'!$W$20,VLOOKUP('Options and results'!$C$66,Treevalue!$A$4:$F$34,5,FALSE),0),0)*DW27)*IF(DF27&gt;='Options and results'!$K$21,'Options and results'!$K$20,1)*IF(1+'Options and results'!$Q$20*(DF27-1)&gt;0,1+'Options and results'!$Q$20*(DF27-1),0)</f>
        <v>0</v>
      </c>
      <c r="ED27" s="889">
        <f>(IF('Options and results'!$C$66&gt;0,IF(DF27&lt;='Options and results'!$W$20,VLOOKUP('Options and results'!$C$66,Treevalue!$A$4:$F$34,6,FALSE),0),0)*DX27)*IF(DF27&gt;='Options and results'!$K$21,'Options and results'!$K$20,1)*IF(1+'Options and results'!$Q$20*(DF27-1)&gt;0,1+'Options and results'!$Q$20*(DF27-1),0)</f>
        <v>0</v>
      </c>
      <c r="EE27" s="740">
        <f>IF(DF27&lt;='Options and results'!$W$20,IF(DL27&lt;=0,0,IF('Options and results'!$C$70="cost",(IF(DF27&lt;='Options and results'!$C$71,FK27*SUM('Options and results'!$C$72:$C$73),0)),IF('Options and results'!$C$68&gt;0,(IF(VLOOKUP('Options and results'!$C$69,Treegrant!$B$6:$L$42,Treegrant!$C$2,FALSE)=DF27,VLOOKUP('Options and results'!$C$69,Treegrant!$B$6:$L$42,Treegrant!$D$2,FALSE),0)+IF(VLOOKUP('Options and results'!$C$69,Treegrant!$B$6:$L$42,Treegrant!$E$2,FALSE)=DF27,VLOOKUP('Options and results'!$C$69,Treegrant!$B$6:$L$42,Treegrant!$F$2,FALSE),0)+IF(VLOOKUP('Options and results'!$C$69,Treegrant!$B$6:$L$42,Treegrant!$G$2,FALSE)=DF27,VLOOKUP('Options and results'!$C$69,Treegrant!$B$6:$L$42,Treegrant!$H$2,FALSE)))*IF('Options and results'!$C$70="area",Unit!C28,'Options and results'!$C$70),0))*IF(DF27&gt;='Options and results'!$K$23,'Options and results'!$K$22,1)),0)*IF(1+'Options and results'!$Q$23*(DF27-1)&gt;0,1+'Options and results'!$Q$23*(DF27-1),0)</f>
        <v>0</v>
      </c>
      <c r="EF27" s="740">
        <f>IF($DG$8=0,0,IF(DF27&lt;='Options and results'!$W$20,IF(DL27&lt;=0,0,IF('Options and results'!$C$68&gt;0,IF(AND(VLOOKUP('Options and results'!$C$69,Treegrant!$B$6:$L$42,Treegrant!$J$2,FALSE)&lt;=DF27,VLOOKUP('Options and results'!$C$69,Treegrant!$B$6:$L$42,Treegrant!$K$2,FALSE)&gt;=DF27),(VLOOKUP('Options and results'!$C$69,Treegrant!$B$6:$L$42,Treegrant!$L$2,FALSE)),0)*IF('Options and results'!$C$74="area",Unit!C28,'Options and results'!$C$74))*IF(DF27&gt;='Options and results'!$K$23,'Options and results'!$K$22,1)),0))*IF(1+'Options and results'!$Q$23*(DF27-1)&gt;0,1+'Options and results'!$Q$23*(DF27-1),0)</f>
        <v>0</v>
      </c>
      <c r="EG27" s="1034">
        <f>IF($DG$8=0,0,IF(DF27&lt;='Options and results'!$W$20,IF(DL27&lt;=0,0,IF('Options and results'!$C$68&gt;0,((IF(AND(VLOOKUP('Options and results'!$C$69,Treegrant!$B$6:$O$42,Treegrant!$M$2,FALSE)&lt;=DF27,VLOOKUP('Options and results'!$C$69,Treegrant!$B$6:$O$42,Treegrant!$N$2,FALSE)&gt;=DF27),(VLOOKUP('Options and results'!$C$69,Treegrant!$B$6:$O$42,Treegrant!$O$2,FALSE)),0)*IF('Options and results'!$C$75="area",Unit!C28,'Options and results'!$C$75))+(IF(AND(VLOOKUP('Options and results'!$C$69,Treegrant!$B$6:$R$42,Treegrant!$P$2,FALSE)&lt;=DF27,VLOOKUP('Options and results'!$C$69,Treegrant!$B$6:$R$42,Treegrant!$Q$2,FALSE)&gt;=DF27),(VLOOKUP('Options and results'!$C$69,Treegrant!$B$6:$R$42,Treegrant!$R$2,FALSE)),0))*IF('Options and results'!$C$76="area",Unit!C28,'Options and results'!$C$76)))*IF(DF27&gt;='Options and results'!$K$23,'Options and results'!$K$22,1)),0))*IF(1+'Options and results'!$Q$23*(DF27-1)&gt;0,1+'Options and results'!$Q$23*(DF27-1),0)</f>
        <v>0</v>
      </c>
      <c r="EH27" s="1041"/>
      <c r="EI27" s="1042"/>
      <c r="EJ27" s="1419">
        <f>IF($DH$8+DK27&lt;1,0,IF(DF27=1,VLOOKUP($DG$8,Treecost!$B$6:$AH$49,Treecost!$E$2,FALSE),0)*IF(DF27&gt;='Options and results'!$K$25,'Options and results'!$K$24,1))</f>
        <v>0</v>
      </c>
      <c r="EK27" s="889">
        <f>IF($DH$8+DK27&lt;1,0,IF(DF27=1,VLOOKUP($DG$8,Treecost!$B$6:$AH$49,Treecost!$F$2,FALSE),0)*IF(DF27&gt;='Options and results'!$K$25,'Options and results'!$K$24,1))</f>
        <v>0</v>
      </c>
      <c r="EL27" s="889">
        <f>IF($DH$8+DK27&lt;1,0,IF(DF27=1,VLOOKUP($DG$8,Treecost!$B$6:$AH$49,Treecost!$G$2,FALSE),0)*IF(DF27&gt;='Options and results'!$K$25,'Options and results'!$K$24,1))</f>
        <v>0</v>
      </c>
      <c r="EM27" s="889">
        <f>IF($DG$8=0,0,IF(DF27&lt;='Options and results'!$W$20,((VLOOKUP($DG$8,Treecost!$B$6:$AH$49,Treecost!$H$2,FALSE)*(DH27+DK27))/60)*IF(DF27&gt;='Options and results'!$K$25,'Options and results'!$K$24,1),0))</f>
        <v>0</v>
      </c>
      <c r="EN27" s="889">
        <f>IF($DG$8=0,0,IF(DF27&lt;='Options and results'!$W$20,(((VLOOKUP($DG$8,Treecost!$B$6:$AH$49,Treecost!$I$2,FALSE))*(DH27+DK27))/60)*IF(DF27&gt;='Options and results'!$K$25,'Options and results'!$K$24,1),0))</f>
        <v>0</v>
      </c>
      <c r="EO27" s="889">
        <f>IF($DG$8=0,0,IF(DF27&lt;='Options and results'!$W$20,(((VLOOKUP($DG$8,Treecost!$B$6:$AH$49,Treecost!$J$2,FALSE))/60)*(DH27+DK27))*IF(DF27&gt;='Options and results'!$K$25,'Options and results'!$K$24,1),0))</f>
        <v>0</v>
      </c>
      <c r="EP27" s="1019">
        <f>IF($DG$8=0,0,IF(DF27&lt;='Options and results'!$W$20,(((VLOOKUP($DG$8,Treecost!$B$6:$AH$49,Treecost!$C$2,FALSE)+VLOOKUP($DG$8,Treecost!$B$6:$AH$49,Treecost!$D$2,FALSE))*(DH27+DK27)*IF(1+'Options and results'!$Q$22*(DF27-1)&gt;0,1+'Options and results'!$Q$22*(DF27-1),0))+(EJ27*$EI$8+EK27*$EI$9+EL27*$EI$10+EM27*$EI$11+EN27*$EI$12+EO27*$EI$13)*IF(1+'Options and results'!$Q$21*(DF27-1)&gt;0,1+'Options and results'!$Q$21*(DF27-1),0))*IF(DF27&gt;='Options and results'!$K$27,'Options and results'!$K$26,1),0))</f>
        <v>0</v>
      </c>
      <c r="EQ27" s="740">
        <f>IF($DG$8=0,0,IF(DF27&lt;='Options and results'!$W$20,IF(AND(VLOOKUP($DG$8,Treecost!$B$6:$AH$49,Treecost!$K$2,FALSE)&lt;=DF27,DF27&lt;=(VLOOKUP($DG$8,Treecost!$B$6:$AH$49,Treecost!$L$2,FALSE))),VLOOKUP($DG$8,Treecost!$B$6:$AH$49,Treecost!$M$2,FALSE)*DL27/60,0)*IF(DF27&gt;='Options and results'!$K$25,'Options and results'!$K$24,1),0))</f>
        <v>0</v>
      </c>
      <c r="ER27" s="1019">
        <f>IF(EQ27&gt;0,(VLOOKUP($DG$8,Treecost!$B$6:$AH$49,Treecost!$N$2,FALSE)*DL27*IF(1+'Options and results'!$Q$22*(DF27-1)&gt;0,1+'Options and results'!$Q$22*(DF27-1),0)+EQ27*$EI$14*IF(1+'Options and results'!$Q$21*(DF27-1)&gt;0,1+'Options and results'!$Q$21*(DF27-1),0)),0)*IF(DF27&gt;='Options and results'!$K$27,'Options and results'!$K$26,1)</f>
        <v>0</v>
      </c>
      <c r="ES27" s="889">
        <f>IF(DF27&lt;='Options and results'!$W$20,IF(AND(DR27-DR26&gt;0,DR27&gt;'Options and results'!$M$64),(DL27-DN27)*(VLOOKUP($DG$8,Treecost!$B$6:$AH$49,Treecost!$Y$2,FALSE)+(VLOOKUP($DG$8,Treecost!$B$6:$AH$49,Treecost!$AA$2,FALSE)-VLOOKUP($DG$8,Treecost!$B$6:$AH$49,Treecost!$Y$2,FALSE))/(VLOOKUP($DG$8,Treecost!$B$6:$AH$49,Treecost!$Z$2,FALSE)-VLOOKUP($DG$8,Treecost!$B$6:$AH$49,Treecost!$X$2,FALSE))*(DR27-VLOOKUP($DG$8,Treecost!$B$6:$AH$49,Treecost!$X$2,FALSE)))/60,0)*IF(DF27&gt;='Options and results'!$K$25,'Options and results'!$K$24,1),0)</f>
        <v>0</v>
      </c>
      <c r="ET27" s="889">
        <f>IF(DF27&lt;='Options and results'!$W$20,IF(ES27&gt;0,VLOOKUP($DG$8,Treecost!$B$6:$AH$49,Treecost!$AB$2,FALSE)/60*DL27,0)*IF(DF27&gt;='Options and results'!$K$25,'Options and results'!$K$24,1),0)*((ES27-(MIN($ES$8:$ES$67)))/((MAX($ES$8:$ES$67))-(MIN($ES$8:$ES$67))))</f>
        <v>0</v>
      </c>
      <c r="EU27" s="740">
        <f>IF(ES27&gt;0,(ES27*$EI$15+ET27*$EI$19)*IF(1+'Options and results'!$Q$21*(DF27-1)&gt;0,1+'Options and results'!$Q$21*(DF27-1),0),0)*IF(DF27&gt;='Options and results'!$K$27,'Options and results'!$K$26,1)</f>
        <v>0</v>
      </c>
      <c r="EV27" s="891">
        <f>IF($DG$8=0,0,IF(DF27&lt;='Options and results'!$W$20,IF(AND(VLOOKUP($DG$8,Treecost!$B$2:$AH$49,Treecost!$O$2,FALSE)=DF27,DF27&lt;=IF(AND(Optimisation!$B$3="Yes",Optimisation!$B$4=1),Optimisation!$B$9)),VLOOKUP($DG$8,Treecost!$B$2:$AH$49,Treecost!$P$2,FALSE)*(1-CN27),0)*IF(DF27&gt;='Options and results'!$K$25,'Options and results'!$K$24,1),0))</f>
        <v>0</v>
      </c>
      <c r="EW27" s="889">
        <f>IF($DG$8=0,0,IF(DF27&lt;='Options and results'!$W$20,IF(AND(DF27&gt;VLOOKUP($DG$8,Treecost!$B$2:$AH$49,Treecost!$O$2,FALSE),DF27&lt;=IF(AND(Optimisation!$B$3="Yes",Optimisation!$B$4=1),Optimisation!$B$9,VLOOKUP($DG$8,Treecost!$B$2:$AH$49,Treecost!$R$2,FALSE))),VLOOKUP($DG$8,Treecost!$B$2:$AH$49,Treecost!$S$2,FALSE)*(1-CN27),0)*IF(DF27&gt;='Options and results'!$K$25,'Options and results'!$K$24,1),0))</f>
        <v>0</v>
      </c>
      <c r="EX27" s="740">
        <f>IF($DG$8=0,0,IF(DF27&lt;='Options and results'!$W$20,(IF(AND(VLOOKUP($DG$8,Treecost!$B$2:$AH$49,Treecost!$O$2,FALSE)=DF27,DF27&lt;=IF(AND(Optimisation!$B$3="Yes",Optimisation!$B$4=1),Optimisation!$B$9)),VLOOKUP($DG$8,Treecost!$B$2:$AH$49,Treecost!$Q$2,FALSE),0)*(1-CN27)+IF(AND(DF27&gt;VLOOKUP($DG$8,Treecost!$B$2:$AH$49,Treecost!$O$2,FALSE),DF27&lt;=IF(AND(Optimisation!$B$3="Yes",Optimisation!$B$4=1),Optimisation!$B$9,VLOOKUP($DG$8,Treecost!$B$2:$AH$49,Treecost!$R$2,FALSE))),VLOOKUP($DG$8,Treecost!$B$2:$AH$49,Treecost!$T$2,FALSE),0)*(1-CN27)+(EV27*$EI$16+EW27*$EI$17))*IF(DF27&gt;='Options and results'!$K$27,'Options and results'!$K$26,1),0))*IF(1+'Options and results'!$Q$21*(DF27-1)&gt;0,1+'Options and results'!$Q$21*(DF27-1),0)</f>
        <v>0</v>
      </c>
      <c r="EY27" s="894">
        <f>IF($DG$8=0,0,IF(DF27&lt;='Options and results'!$W$20,IF(AND(DF27&gt;=VLOOKUP($DG$8,Treecost!$B$2:$W$49,Treecost!$U$2,FALSE),DF27&lt;=VLOOKUP($DG$8,Treecost!$B$2:$W$49,Treecost!$V$2,FALSE)),(DL27*VLOOKUP($DG$8,Treecost!$B$2:$W$49,Treecost!$W$2,FALSE)/60),0)*IF(DF27&gt;='Options and results'!$K$25,'Options and results'!$K$24,1),0))</f>
        <v>0</v>
      </c>
      <c r="EZ27" s="740">
        <f>EY27*$EI$18*IF(DF27&gt;='Options and results'!$K$27,'Options and results'!$K$26,1)*IF(1+'Options and results'!$Q$21*(DF27-1)&gt;0,1+'Options and results'!$Q$21*(DF27-1),0)</f>
        <v>0</v>
      </c>
      <c r="FA27" s="1025">
        <f>IF(DF27&lt;='Options and results'!$W$20,IF(DL27&lt;=0,0,VLOOKUP($DG$8,Treecost!$B$6:$AH$49,Treecost!$AC$2,FALSE)+VLOOKUP($DG$8,Treecost!$B$6:$AH$49,Treecost!$AD$2,FALSE)+IF(AND(DF27&gt;=VLOOKUP($DG$8,Treecost!$B$2:$AK$49,Treecost!$AI$2,FALSE),DF27&lt;=VLOOKUP($DG$8,Treecost!$B$2:$AK$49,Treecost!$AJ$2,FALSE)),VLOOKUP($DG$8,Treecost!$B$2:$AK$49,Treecost!$AK$2,FALSE)*(1-CN27),0))*IF(DF27&gt;='Options and results'!$K$27,'Options and results'!$K$26,1),0)*IF(1+'Options and results'!$Q$22*(DF27-1)&gt;0,1+'Options and results'!$Q$22*(DF27-1),0)</f>
        <v>3</v>
      </c>
      <c r="FB27" s="894">
        <f>IF(DF27&lt;='Options and results'!$W$20,IF(DN27&gt;0,VLOOKUP($DG$8,Treecost!$B$6:$AH$49,Treecost!$AE$2,FALSE)/60*DN27,0)*IF(DF27&gt;='Options and results'!$K$25,'Options and results'!$K$24,1),0)</f>
        <v>0</v>
      </c>
      <c r="FC27" s="740">
        <f>IF(DF27&lt;='Options and results'!$W$20,IF(DN27&gt;0,VLOOKUP($DG$8,Treecost!$B$6:$AH$49,Treecost!$AF$2,FALSE)/60*DN27,0)*IF(DF27&gt;='Options and results'!$K$25,'Options and results'!$K$24,1),0)</f>
        <v>0</v>
      </c>
      <c r="FD27" s="740">
        <f>(FB27*$EI$20+FC27*$EI$21)*IF(DF27&gt;='Options and results'!$K$27,'Options and results'!$K$26,1)*IF(1+'Options and results'!$Q$21*(DF27-1)&gt;0,1+'Options and results'!$Q$21*(DF27-1),0)</f>
        <v>0</v>
      </c>
      <c r="FE27" s="894">
        <f>IF(DF27&lt;='Options and results'!$W$20,IF(DO27&gt;0,(VLOOKUP($DG$8,Treecost!$B$6:$AH$49,Treecost!$AG$2,FALSE)/60*DO27)*IF(DF27&gt;='Options and results'!$K$25,'Options and results'!$K$24,1),0),0)</f>
        <v>0</v>
      </c>
      <c r="FF27" s="740">
        <f>IF(DF27&lt;='Options and results'!$W$20,IF(DO27&gt;0,(VLOOKUP($DG$8,Treecost!$B$6:$AH$49,Treecost!$AH$2,FALSE)/60*DO27)*IF(DF27&gt;='Options and results'!$K$25,'Options and results'!$K$24,1),0),0)</f>
        <v>0</v>
      </c>
      <c r="FG27" s="740">
        <f>(FE27*$EI$22+FF27*$EI$23)*IF(DF27&gt;='Options and results'!$K$27,'Options and results'!$K$26,1)*IF(1+'Options and results'!$Q$21*(DF27-1)&gt;0,1+'Options and results'!$Q$21*(DF27-1),0)</f>
        <v>0</v>
      </c>
      <c r="FH27" s="894">
        <f t="shared" si="157"/>
        <v>0</v>
      </c>
      <c r="FI27" s="1027">
        <f t="shared" si="158"/>
        <v>0</v>
      </c>
      <c r="FJ27" s="1027">
        <f t="shared" si="159"/>
        <v>0</v>
      </c>
      <c r="FK27" s="1027">
        <f t="shared" si="160"/>
        <v>3</v>
      </c>
      <c r="FL27" s="1027">
        <f t="shared" si="183"/>
        <v>-3</v>
      </c>
      <c r="FM27" s="1027">
        <f>IF($DF27&lt;='Options and results'!$W$20,SUM(FI$8:$FI27),0)</f>
        <v>0</v>
      </c>
      <c r="FN27" s="1027">
        <f>IF($DF27&lt;='Options and results'!$W$20,SUM($FJ$8:FJ27),0)</f>
        <v>0</v>
      </c>
      <c r="FO27" s="1027">
        <f>IF($DF27&lt;='Options and results'!$W$20,SUM($FK$8:FK27),0)</f>
        <v>1100.0448753513026</v>
      </c>
      <c r="FP27" s="1027">
        <f>IF($DF27&lt;='Options and results'!$W$20,FM27+FN27-FO27,0)</f>
        <v>-1100.0448753513026</v>
      </c>
      <c r="FQ27" s="1027">
        <f t="shared" si="162"/>
        <v>526.26771451645004</v>
      </c>
      <c r="FR27" s="1027">
        <f t="shared" si="163"/>
        <v>523.26771451645004</v>
      </c>
      <c r="FS27" s="1027">
        <f t="shared" si="164"/>
        <v>0</v>
      </c>
      <c r="FT27" s="1189">
        <f>IF(DF27&lt;='Options and results'!$W$20,FP27+DZ27,0)</f>
        <v>871.12136385860776</v>
      </c>
      <c r="FU27" s="401"/>
      <c r="FV27" s="895">
        <f t="shared" si="165"/>
        <v>20</v>
      </c>
      <c r="FW27" s="894">
        <f>G27/(1+'Options and results'!$W$33)^(FV27-1)</f>
        <v>623.95641847274533</v>
      </c>
      <c r="FX27" s="740">
        <f>(AP27+AR27+AS27)/(1+'Options and results'!$W$33)^(FV27-1)</f>
        <v>0</v>
      </c>
      <c r="FY27" s="740">
        <f ca="1">CQ27/(1+'Options and results'!$W$33)^(FV27-1)</f>
        <v>0</v>
      </c>
      <c r="FZ27" s="740">
        <f>(EA27+EC27+ED27)/(1+'Options and results'!$W$33)^(FV27-1)</f>
        <v>0</v>
      </c>
      <c r="GA27" s="1019">
        <f t="shared" ca="1" si="180"/>
        <v>0</v>
      </c>
      <c r="GB27" s="1026">
        <f>(AO27+AQ27)/(1+'Options and results'!$W$33)^(FV27-1)+FX27</f>
        <v>1448.8815065294227</v>
      </c>
      <c r="GC27" s="1027">
        <f>IF(FV27&gt;'Options and results'!$W$27,0,GB27-GB26)</f>
        <v>172.38284331023715</v>
      </c>
      <c r="GD27" s="1027">
        <f>(DZ27+EB27)/(1+'Options and results'!$W$33)^(FV27-1)+FZ27</f>
        <v>1406.0583764608728</v>
      </c>
      <c r="GE27" s="1379">
        <f>IF(FV27&gt;'Options and results'!$W$27,0,GD27-GD26)</f>
        <v>203.53820800724111</v>
      </c>
      <c r="GF27" s="894">
        <f>IF(FV27&lt;='Options and results'!$W$20,SUM(FW$8:FW27),0)</f>
        <v>22189.081548158538</v>
      </c>
      <c r="GG27" s="740">
        <f>IF(FV27&lt;='Options and results'!$W$20,SUM(FX$8:FX27), 0)</f>
        <v>0</v>
      </c>
      <c r="GH27" s="740">
        <f ca="1">IF(FV27&lt;='Options and results'!$W$20,SUM(FY$8:FY27),0)</f>
        <v>14787.259868716837</v>
      </c>
      <c r="GI27" s="740">
        <f>IF(FV27&lt;='Options and results'!$W$20,SUM(FZ$8:FZ27),0)</f>
        <v>0</v>
      </c>
      <c r="GJ27" s="1019">
        <f t="shared" ca="1" si="166"/>
        <v>14787.259868716837</v>
      </c>
      <c r="GK27" s="894">
        <f>IF(FV27&gt;'Options and results'!$W$27,0,GG27+SUM(GC$8:GC27)-FX27)</f>
        <v>1448.8815065294227</v>
      </c>
      <c r="GL27" s="740">
        <f>IF(FV27&lt;='Options and results'!$W$20,SUM(GD$8:GD27),0)</f>
        <v>6446.6493218004343</v>
      </c>
      <c r="GM27" s="1034">
        <f t="shared" ca="1" si="167"/>
        <v>21233.909190517272</v>
      </c>
      <c r="GN27" s="401"/>
      <c r="GO27" s="895">
        <f t="shared" si="168"/>
        <v>20</v>
      </c>
      <c r="GP27" s="894">
        <f>H27/(1+'Options and results'!$W$33)^(GO27-1)</f>
        <v>111.63589813640564</v>
      </c>
      <c r="GQ27" s="740">
        <f>SUM(AT27:AV27)/(1+'Options and results'!$W$33)^(GO27-1)</f>
        <v>0</v>
      </c>
      <c r="GR27" s="740">
        <f>CR27/(1+'Options and results'!$W$33)^(GO27-1)</f>
        <v>0</v>
      </c>
      <c r="GS27" s="740">
        <f>SUM(EE27:EG27)/(1+'Options and results'!$W$33)^(GO27-1)</f>
        <v>0</v>
      </c>
      <c r="GT27" s="1019">
        <f t="shared" si="181"/>
        <v>0</v>
      </c>
      <c r="GU27" s="894">
        <f>IF(GO27&lt;='Options and results'!$W$20,SUM(GP$8:GP27),0)</f>
        <v>3324.302546589855</v>
      </c>
      <c r="GV27" s="740">
        <f>IF(GO27&lt;='Options and results'!$W$20,SUM(GQ$8:GQ27),0)</f>
        <v>0</v>
      </c>
      <c r="GW27" s="740">
        <f>IF(GO27&lt;='Options and results'!$W$20,SUM(GR$8:GR27),0)</f>
        <v>0</v>
      </c>
      <c r="GX27" s="740">
        <f>IF(GO27&lt;='Options and results'!$W$20,SUM(GS$8:GS27),0)</f>
        <v>0</v>
      </c>
      <c r="GY27" s="1034">
        <f>IF(GO27&lt;='Options and results'!$W$20,SUM(GT$8:GT27),0)</f>
        <v>0</v>
      </c>
      <c r="GZ27" s="401"/>
      <c r="HA27" s="895">
        <f t="shared" si="169"/>
        <v>20</v>
      </c>
      <c r="HB27" s="1026">
        <f>(J27+L27+(M27*N27))/(1+'Options and results'!$W$33)^(HA27-1)</f>
        <v>563.51275531456952</v>
      </c>
      <c r="HC27" s="740">
        <f>BZ27/(1+'Options and results'!$W$33)^(HA27-1)</f>
        <v>1.4239272721480312</v>
      </c>
      <c r="HD27" s="1027">
        <f>(CT27+CV27+(CW27*CX27))/(1+'Options and results'!$W$33)^(HA27-1)</f>
        <v>0</v>
      </c>
      <c r="HE27" s="740">
        <f>FK27/(1+'Options and results'!$W$33)^(HA27-1)</f>
        <v>1.4239272721480312</v>
      </c>
      <c r="HF27" s="1019">
        <f t="shared" si="182"/>
        <v>1.4239272721480312</v>
      </c>
      <c r="HG27" s="894">
        <f>IF(HA27&lt;='Options and results'!$W$20,SUM(HB$8:HB27),0)</f>
        <v>17198.072868767369</v>
      </c>
      <c r="HH27" s="740">
        <f>IF(HA27&lt;='Options and results'!$W$20,SUM(HC$8:HC27),0)</f>
        <v>1393.6085932252556</v>
      </c>
      <c r="HI27" s="740">
        <f>IF(HA27&lt;='Options and results'!$W$20,SUM(HD$8:HD27),0)</f>
        <v>13294.975863606456</v>
      </c>
      <c r="HJ27" s="740">
        <f>IF(HA27&lt;='Options and results'!$W$20,SUM(HE$8:HE27),0)</f>
        <v>937.98840517344399</v>
      </c>
      <c r="HK27" s="1034">
        <f>IF(HA27&lt;='Options and results'!$W$20,SUM(HF$8:HF27),0)</f>
        <v>14232.964268779902</v>
      </c>
      <c r="HL27" s="405"/>
      <c r="HM27" s="895">
        <f t="shared" si="170"/>
        <v>20</v>
      </c>
      <c r="HN27" s="1026">
        <f t="shared" si="171"/>
        <v>172.07956129458148</v>
      </c>
      <c r="HO27" s="1027">
        <f t="shared" si="172"/>
        <v>-1.4239272721480312</v>
      </c>
      <c r="HP27" s="1027">
        <f t="shared" ca="1" si="173"/>
        <v>0</v>
      </c>
      <c r="HQ27" s="1027">
        <f t="shared" si="174"/>
        <v>-1.4239272721480312</v>
      </c>
      <c r="HR27" s="1027">
        <f t="shared" si="175"/>
        <v>170.95891603808911</v>
      </c>
      <c r="HS27" s="1379">
        <f t="shared" si="176"/>
        <v>202.11428073509308</v>
      </c>
      <c r="HT27" s="1026">
        <f>IF($HM27&lt;='Options and results'!$W$20,SUM(HN$8:HN27),0)</f>
        <v>8315.3112259810223</v>
      </c>
      <c r="HU27" s="1027">
        <f>IF($HM27&lt;='Options and results'!$W$20,SUM(HO$8:HO27),0)</f>
        <v>-1393.6085932252556</v>
      </c>
      <c r="HV27" s="1027">
        <f ca="1">IF($HM27&lt;='Options and results'!$W$20,SUM(HP$8:HP27),0)</f>
        <v>1492.284005110379</v>
      </c>
      <c r="HW27" s="1027">
        <f>IF($HM27&lt;='Options and results'!$W$20,SUM(HQ$8:HQ27),0)</f>
        <v>-937.98840517344399</v>
      </c>
      <c r="HX27" s="1027">
        <f t="shared" ca="1" si="177"/>
        <v>554.29559993693499</v>
      </c>
      <c r="HY27" s="1027">
        <f>IF($HM27&lt;='Options and results'!$W$20,SUM(HR$8:HR27),0)</f>
        <v>55.272913304166991</v>
      </c>
      <c r="HZ27" s="1027">
        <f>IF($HM27&lt;='Options and results'!$W$20,SUM(HS$8:HS27),0)</f>
        <v>468.0699712874291</v>
      </c>
      <c r="IA27" s="1189">
        <f t="shared" ca="1" si="178"/>
        <v>1960.3539763978081</v>
      </c>
    </row>
    <row r="28" spans="1:235" x14ac:dyDescent="0.25">
      <c r="A28" s="1010">
        <f t="shared" si="126"/>
        <v>21</v>
      </c>
      <c r="B28" s="1011" t="str">
        <f>IF('Options and results'!$C$17="None",0,CONCATENATE('Options and results'!$C$23," ",(HLOOKUP(CONCATENATE('Options and results'!$C$17," ",Arablesystem!$B$11),Arablesystem!$B$10:$ER$72,$A28+3,FALSE))))</f>
        <v>UK - Agriculture (BPS: from 2015) Wheat</v>
      </c>
      <c r="C28" s="1012">
        <f>IF(HLOOKUP(CONCATENATE('Options and results'!$C$17," ",Arablesystem!$C$11),Arablesystem!$B$10:$ER$72,$A28+3,FALSE)="T",(VLOOKUP(B28,Arablefinance!$Z$6:$AB$105,Arablefinance!$AB$2,FALSE)*E28+VLOOKUP(B28,Arablefinance!$Z$6:$AC$105,Arablefinance!$AC$2,FALSE)*F28)/VLOOKUP(B28,Arablefinance!$Z$6:$AA$105,Arablefinance!$AA$2,FALSE),0)</f>
        <v>0</v>
      </c>
      <c r="D28" s="1012">
        <f>IF(B28=0,0,HLOOKUP(CONCATENATE('Options and results'!$C$17," ",Arablesystem!$D$11),Arablesystem!$B$10:$ER$72,$A28+3,FALSE))</f>
        <v>1</v>
      </c>
      <c r="E28" s="1440">
        <f>IF(B28=0,0,HLOOKUP(CONCATENATE('Options and results'!$C$17," ",Arablesystem!$E$11),Arablesystem!$B$10:$ER$72,$A28+3,FALSE)*IF(A28&gt;='Options and results'!$H$19,'Options and results'!$H$18,1))</f>
        <v>7.8448561677528508</v>
      </c>
      <c r="F28" s="1440">
        <f>IF(B28=0,0,HLOOKUP(CONCATENATE('Options and results'!$C$17," ",Arablesystem!$F$11),Arablesystem!$B$10:$ER$72,$A28+3,FALSE)*IF(A28&gt;='Options and results'!$H$19,'Options and results'!$H$18,1))</f>
        <v>3.1379424671011407</v>
      </c>
      <c r="G28" s="1013">
        <f>IF(D28&lt;=0,0,IF(A28&lt;='Options and results'!$W$20,IF(C28&gt;0,VLOOKUP(B28,Arablefinance!$Z$6:$AE$105,Arablefinance!$AD$2,FALSE)*C28*D28,((VLOOKUP(B28,Arablefinance!$E$6:$G$126,Arablefinance!$F$2,FALSE)*(E28*D28)+VLOOKUP(B28,Arablefinance!$E$6:$G$126,Arablefinance!$G$2,FALSE)*(F28*D28)))),0)*IF(A28&gt;='Options and results'!$H$21,'Options and results'!$H$20,1))*IF(1+'Options and results'!$O$20*(A28-1)&gt;0,1+'Options and results'!$O$20*(A28-1),0)</f>
        <v>1479.6270383067183</v>
      </c>
      <c r="H28" s="1441">
        <f>IF(D28&lt;=0,0,IF(A28&lt;='Options and results'!$W$20,IF(AND(C28&gt;0,VLOOKUP(B28,Arablefinance!$Z$6:$AI$105,Arablefinance!$AI$2,FALSE)=2),VLOOKUP(B28,Arablefinance!$Z$6:$AE$105,Arablefinance!$AE$2,FALSE)*C28*D28,(VLOOKUP(B28,Arablefinance!$E$6:$H$126,Arablefinance!$H$2,FALSE)*D28))*IF(A28&gt;='Options and results'!$H$23,'Options and results'!$H$22,1),0)*IF(AND(1+'Options and results'!$O$23*(A28-1)&gt;0,1+'Options and results'!$O$23*(A28-1)&gt;'Options and results'!$S$24),1+'Options and results'!$O$23*(A28-1),'Options and results'!$S$24))</f>
        <v>235.2</v>
      </c>
      <c r="I28" s="1441">
        <f t="shared" si="127"/>
        <v>1714.8270383067184</v>
      </c>
      <c r="J28" s="1441">
        <f>IF(D28&lt;=0,0,IF(A28&lt;='Options and results'!$W$20,IF(C28&gt;0,VLOOKUP(B28,Arablefinance!$Z$6:$AF$105,Arablefinance!$AF$2,FALSE)*C28*D28,(VLOOKUP(B28,Arablefinance!$E$6:$X$126,Arablefinance!$R$2,FALSE))*D28),0)*IF(A28&gt;='Options and results'!$H$27,'Options and results'!$H$26,1))*IF(1+'Options and results'!$O$22*(A28-1)&gt;0,1+'Options and results'!$O$22*(A28-1),0)</f>
        <v>653.12499999999989</v>
      </c>
      <c r="K28" s="1441">
        <f t="shared" si="128"/>
        <v>1061.7020383067184</v>
      </c>
      <c r="L28" s="1441">
        <f>IF(D28&lt;=0,0,IF(A28&lt;='Options and results'!$W$20,IF(C28&gt;0,VLOOKUP(B28,Arablefinance!$Z$6:$AG$105,Arablefinance!$AG$2,FALSE)*C28*D28,VLOOKUP(B28,Arablefinance!$E$6:$X$126,Arablefinance!$X$2,FALSE)*D28),0)*IF(A28&gt;='Options and results'!$H$27,'Options and results'!$H$26,1))*IF(1+'Options and results'!$O$22*(A28-1)&gt;0,1+'Options and results'!$O$22*(A28-1),0)</f>
        <v>444.44444444444446</v>
      </c>
      <c r="M28" s="1442">
        <f>IF(D28&lt;=0,0,IF(A28&lt;='Options and results'!$W$20,'Options and results'!$C$27,0)*IF(A28&gt;='Options and results'!$H$27,'Options and results'!$H$26,1))*IF(1+'Options and results'!$O$21*(A28-1)&gt;0,1+'Options and results'!$O$21*(A28-1),0)</f>
        <v>14.6</v>
      </c>
      <c r="N28" s="1442">
        <f>IF(D28&lt;=0,0,IF(A28&lt;='Options and results'!$W$20,IF(C28&gt;0,VLOOKUP(B28,Arablefinance!$Z$6:$AH$105,Arablefinance!$AH$2,FALSE)*C28*D28,VLOOKUP(B28,Arablefinance!$E$6:$W$126,Arablefinance!$V$2,FALSE)*D28),0)*IF(A28&gt;='Options and results'!$H$25,'Options and results'!$H$24,1))</f>
        <v>11.632834596849463</v>
      </c>
      <c r="O28" s="1013">
        <f t="shared" si="129"/>
        <v>1267.4088295584465</v>
      </c>
      <c r="P28" s="1353">
        <f t="shared" si="130"/>
        <v>447.4182087482717</v>
      </c>
      <c r="Q28" s="1013">
        <f>IF(A28&lt;='Options and results'!$W$20,SUM(G$8:$G28),0)</f>
        <v>32688.772555297885</v>
      </c>
      <c r="R28" s="1441">
        <f>IF($A28&lt;='Options and results'!$W$20,SUM($H$8:H28),0)</f>
        <v>4939.199999999998</v>
      </c>
      <c r="S28" s="1441">
        <f>IF($A28&lt;='Options and results'!$W$20,SUM($O$8:O28),0)</f>
        <v>25566.802273610116</v>
      </c>
      <c r="T28" s="1032">
        <f>IF(A28&lt;='Options and results'!$W$20,Q28+R28-S28,0)</f>
        <v>12061.17028168777</v>
      </c>
      <c r="U28" s="405"/>
      <c r="V28" s="1010">
        <f t="shared" si="131"/>
        <v>21</v>
      </c>
      <c r="W28" s="173"/>
      <c r="X28" s="1036"/>
      <c r="Y28" s="1030">
        <f>IF(V28&lt;='Options and results'!$M$34,'Options and results'!$M$33,0)</f>
        <v>0</v>
      </c>
      <c r="Z28" s="1441">
        <f t="shared" si="132"/>
        <v>0</v>
      </c>
      <c r="AA28" s="1441">
        <f t="shared" si="133"/>
        <v>0</v>
      </c>
      <c r="AB28" s="1428">
        <f t="shared" si="134"/>
        <v>156</v>
      </c>
      <c r="AC28" s="1441">
        <f>IF($W$8=0,0,IF(HLOOKUP(CONCATENATE('Options and results'!$C$32," ",Forestrysystem!$C$8),Forestrysystem!$A$7:$IH$70,V28+4,FALSE)&lt;AB28,HLOOKUP(CONCATENATE('Options and results'!$C$32," ",Forestrysystem!$C$8),Forestrysystem!$A$7:$IH$70,V28+4,FALSE),0))</f>
        <v>0</v>
      </c>
      <c r="AD28" s="1441">
        <f>IF($W$8=0,0,IF(HLOOKUP(CONCATENATE('Options and results'!$C$32," ",Forestrysystem!$C$8),Forestrysystem!$A$7:$IH$70,V28+4,FALSE)&gt;=AB28,AB28,0))</f>
        <v>0</v>
      </c>
      <c r="AE28" s="1440">
        <f>IF($W$8=0,0,HLOOKUP(CONCATENATE('Options and results'!$C$32," ",Forestrysystem!$D$8),Forestrysystem!$A$7:$IH$70,$V28+4,FALSE))</f>
        <v>23.171876038108632</v>
      </c>
      <c r="AF28" s="1037"/>
      <c r="AG28" s="1440">
        <f>IF($W$8=0,0,IF(V28=1,'Options and results'!$M$36,0)+IF('Options and results'!$M$39="yes",IF(AND(AG27+'Options and results'!$M$37&lt;=$AF$8,AG27+'Options and results'!$M$37+IF(V28=1,'Options and results'!$M$36,0)&lt;='Options and results'!$M$38*AE28),AG27+'Options and results'!$M$37,AG27),(HLOOKUP(CONCATENATE('Options and results'!$C$32," ",Forestrysystem!$E$8),Forestrysystem!$A$7:$IH$70,V28+4,FALSE))-IF(V28=1,'Options and results'!$M$36,0)))</f>
        <v>7.5</v>
      </c>
      <c r="AH28" s="1442">
        <f>IF(OR($W$8=0,AB28&lt;=0),0,(HLOOKUP(CONCATENATE('Options and results'!$C$32," ",Forestrysystem!$F$8),Forestrysystem!$A$7:$IH$70,$V28+4,FALSE)) * IF(V28&gt;='Options and results'!$I$19,'Options and results'!$I$18,1) )</f>
        <v>113.18431468887758</v>
      </c>
      <c r="AI28" s="1452">
        <f t="shared" si="179"/>
        <v>0.72554047877485628</v>
      </c>
      <c r="AJ28" s="1442">
        <f t="shared" si="135"/>
        <v>0</v>
      </c>
      <c r="AK28" s="1453">
        <f>IF(OR($W$8=0,AE28&lt;=0),0,(HLOOKUP(CONCATENATE('Options and results'!$C$32," ",Forestrysystem!$G$8),Forestrysystem!$A$7:$IH$70,$V28+4,FALSE)) * IF(Y28&gt;='Options and results'!$I$19,'Options and results'!$I$18,1) )</f>
        <v>49.908338510670276</v>
      </c>
      <c r="AL28" s="1453">
        <f>IF($W$8=0,0,HLOOKUP(CONCATENATE('Options and results'!$C$32," ",Forestrysystem!$H$8),Forestrysystem!$A$7:$IH$70,$V28+4,FALSE)*IF(V28&gt;='Options and results'!$I$19,'Options and results'!$I$18,1))</f>
        <v>0</v>
      </c>
      <c r="AM28" s="1383">
        <f>IF($W$8=0,0,HLOOKUP(CONCATENATE('Options and results'!$C$32," ",Forestrysystem!$I$8),Forestrysystem!$A$7:$IH$70,$V28+4,FALSE)*IF(V28&gt;='Options and results'!$I$19,'Options and results'!$I$18,1))</f>
        <v>0</v>
      </c>
      <c r="AN28" s="1382">
        <f>IF(AI28&gt;0,HLOOKUP(AI28,Treevalue!$I$4:$BC$34,'Options and results'!$C$39+1),0)*IF(V28&gt;='Options and results'!$I$21,'Options and results'!$I$20,1)*IF(1+'Options and results'!$Q$20*(V28-1)&gt;0,1+'Options and results'!$Q$20*(V28-1),0)</f>
        <v>20.701076136646137</v>
      </c>
      <c r="AO28" s="1454">
        <f t="shared" si="136"/>
        <v>2343.0371158485705</v>
      </c>
      <c r="AP28" s="1454">
        <f t="shared" si="137"/>
        <v>0</v>
      </c>
      <c r="AQ28" s="1454">
        <f>(IF('Options and results'!$C$39&gt;0,IF(V28&lt;='Options and results'!$W$20,VLOOKUP('Options and results'!$C$39,Treevalue!$A$4:$F$34,5,FALSE),0),0)*AK28)*IF(V28&gt;='Options and results'!$I$21,'Options and results'!$I$20,1)*IF(1+'Options and results'!$Q$20*(V28-1)&gt;0,1+'Options and results'!$Q$20*(V28-1),0)-AR28</f>
        <v>1247.7084627667568</v>
      </c>
      <c r="AR28" s="1441">
        <f>(IF('Options and results'!$C$39&gt;0,IF(V28&lt;='Options and results'!$W$20,VLOOKUP('Options and results'!$C$39,Treevalue!$A$4:$F$34,5,FALSE),0),0)*AL28)*IF(V28&gt;='Options and results'!$I$21,'Options and results'!$I$20,1)*IF(1+'Options and results'!$Q$20*(V28-1)&gt;0,1+'Options and results'!$Q$20*(V28-1),0)</f>
        <v>0</v>
      </c>
      <c r="AS28" s="1441">
        <f>(IF('Options and results'!$C$39&gt;0,IF(V28&lt;='Options and results'!$W$20,VLOOKUP('Options and results'!$C$39,Treevalue!$A$4:$F$34,6,FALSE),0),0)*AM28)*IF(V28&gt;='Options and results'!$I$21,'Options and results'!$I$20,1)*IF(1+'Options and results'!$Q$20*(V28-1)&gt;0,1+'Options and results'!$Q$20*(V28-1),0)</f>
        <v>0</v>
      </c>
      <c r="AT28" s="1441">
        <f>IF(V28&lt;='Options and results'!$W$20,(IF(AB28&lt;=0,0,IF('Options and results'!$C$43="cost",(IF(V28&lt;='Options and results'!$C$44,BZ28*SUM('Options and results'!$C$45:$C$46),0)),IF('Options and results'!$C$41&gt;0,(IF(VLOOKUP('Options and results'!$C$42,Treegrant!$B$6:$L$42,Treegrant!$C$2,FALSE)=V28,VLOOKUP('Options and results'!$C$42,Treegrant!$B$6:$L$42,Treegrant!$D$2,FALSE),0)+IF(VLOOKUP('Options and results'!$C$42,Treegrant!$B$6:$L$42,Treegrant!$E$2,FALSE)=V28,VLOOKUP('Options and results'!$C$42,Treegrant!$B$6:$L$42,Treegrant!$F$2,FALSE),0)+IF(VLOOKUP('Options and results'!$C$42,Treegrant!$B$6:$L$42,Treegrant!$G$2,FALSE)=V28,VLOOKUP('Options and results'!$C$42,Treegrant!$B$6:$L$42,Treegrant!$H$2,FALSE)))*IF('Options and results'!$C$43="area",1,'Options and results'!$C$43),0)))*IF(V28&gt;='Options and results'!$I$23,'Options and results'!$I$22,1)),0)*IF(1+'Options and results'!$Q$23*(V28-1)&gt;0,1+'Options and results'!$Q$23*(V28-1),0)</f>
        <v>0</v>
      </c>
      <c r="AU28" s="1441">
        <f>IF($W$8=0,0,IF(V28&lt;='Options and results'!$W$20,IF(AB28&lt;=0,0,IF('Options and results'!$C$41&gt;0,IF(AND(VLOOKUP('Options and results'!$C$42,Treegrant!$B$6:$L$42,Treegrant!$J$2,FALSE)&lt;=V28,VLOOKUP('Options and results'!$C$42,Treegrant!$B$6:$L$42,Treegrant!$K$2,FALSE)&gt;=V28),(VLOOKUP('Options and results'!$C$42,Treegrant!$B$6:$L$42,Treegrant!$L$2,FALSE)),0)*IF('Options and results'!$C$47="full",1,'Options and results'!$C$47))*IF(V28&gt;='Options and results'!$I$23,'Options and results'!$I$22,1)),0))*IF(1+'Options and results'!$Q$23*(V28-1)&gt;0,1+'Options and results'!$Q$23*(V28-1),0)</f>
        <v>0</v>
      </c>
      <c r="AV28" s="1032">
        <f>IF($W$8=0,0,IF(V28&lt;='Options and results'!$W$20,IF(AB28&lt;=0,0,(IF('Options and results'!$C$41&gt;0,(IF(AND(VLOOKUP('Options and results'!$C$42,Treegrant!$B$6:$O$42,Treegrant!$M$2,FALSE)&lt;=V28,VLOOKUP('Options and results'!$C$42,Treegrant!$B$6:$O$42,Treegrant!$N$2,FALSE)&gt;=V28),(VLOOKUP('Options and results'!$C$42,Treegrant!$B$6:$O$42,Treegrant!$O$2,FALSE)),0)*IF('Options and results'!$C$48="full",1,'Options and results'!$C$48))+(IF(AND(VLOOKUP('Options and results'!$C$42,Treegrant!$B$6:$R$42,Treegrant!$P$2,FALSE)&lt;=V28,VLOOKUP('Options and results'!$C$42,Treegrant!$B$6:$R$42,Treegrant!$Q$2,FALSE)&gt;=V28),(VLOOKUP('Options and results'!$C$42,Treegrant!$B$6:$R$42,Treegrant!$R$2,FALSE)),0))*IF('Options and results'!$C$49="full",1,'Options and results'!$C$49)))*IF(V28&gt;='Options and results'!$I$23,'Options and results'!$I$22,1)),0))*IF(1+'Options and results'!$Q$23*(V28-1)&gt;0,1+'Options and results'!$Q$23*(V28-1),0)</f>
        <v>0</v>
      </c>
      <c r="AW28" s="1041"/>
      <c r="AX28" s="1042"/>
      <c r="AY28" s="1419">
        <f>IF($W$8=0,0,IF(V28=1,VLOOKUP($W$8,Treecost!$B$6:$AH$49,Treecost!$E$2,FALSE),0)*IF(V28&gt;='Options and results'!$I$25,'Options and results'!$I$24,1))</f>
        <v>0</v>
      </c>
      <c r="AZ28" s="889">
        <f>IF($W$8=0,0,IF(V28=1,VLOOKUP($W$8,Treecost!$B$6:$AH$49,Treecost!$F$2,FALSE),0)*IF(V28&gt;='Options and results'!$I$25,'Options and results'!$I$24,1))</f>
        <v>0</v>
      </c>
      <c r="BA28" s="889">
        <f>IF($W$8=0,0,IF(V28=1,VLOOKUP($W$8,Treecost!$B$6:$AH$49,Treecost!$G$2,FALSE),0)*IF(V28&gt;='Options and results'!$I$25,'Options and results'!$I$24,1))</f>
        <v>0</v>
      </c>
      <c r="BB28" s="889">
        <f>IF($W$8=0,0,IF(V28&lt;='Options and results'!$W$20,((VLOOKUP($W$8,Treecost!$B$6:$AH$49,Treecost!$H$2,FALSE)*(X28+AA28))/60)*IF(V28&gt;='Options and results'!$I$25,'Options and results'!$I$24,1),0))</f>
        <v>0</v>
      </c>
      <c r="BC28" s="889">
        <f>IF($W$8=0,0,IF(V28&lt;='Options and results'!$W$20,(((VLOOKUP($W$8,Treecost!$B$6:$AH$49,Treecost!$I$2,FALSE))*(X28+AA28))/60)*IF(V28&gt;='Options and results'!$I$25,'Options and results'!$I$24,1),0))</f>
        <v>0</v>
      </c>
      <c r="BD28" s="889">
        <f>IF($W$8=0,0,IF(V28&lt;='Options and results'!$W$20,(((VLOOKUP($W$8,Treecost!$B$6:$AH$49,Treecost!$J$2,FALSE))/60)*(X28+AA28))*IF(V28&gt;='Options and results'!$I$25,'Options and results'!$I$24,1),0))</f>
        <v>0</v>
      </c>
      <c r="BE28" s="1019">
        <f>IF($W$8=0,0,IF(V28&lt;='Options and results'!$W$20,(((VLOOKUP($W$8,Treecost!$B$6:$AH$49,Treecost!$C$2,FALSE)+VLOOKUP($W$8,Treecost!$B$6:$AH$49,Treecost!$D$2,FALSE))*(X28+AA28)*IF(1+'Options and results'!$Q$22*(V28-1)&gt;0,1+'Options and results'!$Q$22*(V28-1),0))+((AY28*$AX$8+AZ28*$AX$9+BA28*$AX$10+BB28*$AX$11+BC28*$AX$12+BD28*$AX$13)*IF(1+'Options and results'!$Q$21*(V28-1)&gt;0,1+'Options and results'!$Q$21*(V28-1),0)))*IF(V28&gt;='Options and results'!$I$27,'Options and results'!$I$26,1),0))</f>
        <v>0</v>
      </c>
      <c r="BF28" s="889">
        <f>IF($W$8=0,0,IF(V28&lt;='Options and results'!$W$20,IF(AND(VLOOKUP($W$8,Treecost!$B$6:$AH$49,Treecost!$K$2,FALSE)&lt;=V28,V28&lt;=(VLOOKUP($W$8,Treecost!$B$6:$AH$49,Treecost!$L$2,FALSE))),VLOOKUP($W$8,Treecost!$B$6:$AH$49,Treecost!$M$2,FALSE)*AB28/60,0)*IF(V28&gt;='Options and results'!$I$25,'Options and results'!$I$24,1),0))</f>
        <v>0</v>
      </c>
      <c r="BG28" s="1019">
        <f>IF(BF28&gt;0,(VLOOKUP($W$8,Treecost!$B$6:$AH$49,Treecost!$N$2,FALSE)*AB28*IF(1+'Options and results'!$Q$22*(V28-1)&gt;0,1+'Options and results'!$Q$22*(V28-1),0)+BF28*$AX$14*IF(1+'Options and results'!$Q$21*(V28-1)&gt;0,1+'Options and results'!$Q$21*(V28-1),0)),0)*IF(V28&gt;='Options and results'!$I$27,'Options and results'!$I$26,1)</f>
        <v>0</v>
      </c>
      <c r="BH28" s="889">
        <f>IF(V28&lt;='Options and results'!$W$20,IF(AND(AG28-AG27&gt;0,AG28&gt;'Options and results'!$M$36),(AB28-AC28)*(VLOOKUP($W$8,Treecost!$B$6:$AH$49,Treecost!$Y$2,FALSE)+(VLOOKUP($W$8,Treecost!$B$6:$AH$49,Treecost!$AA$2,FALSE)-VLOOKUP($W$8,Treecost!$B$6:$AH$49,Treecost!$Y$2,FALSE))/(VLOOKUP($W$8,Treecost!$B$6:$AH$49,Treecost!$Z$2,FALSE)-VLOOKUP($W$8,Treecost!$B$6:$AH$49,Treecost!$X$2,FALSE))*(AG28-VLOOKUP($W$8,Treecost!$B$6:$AH$49,Treecost!$X$2,FALSE)))/60,0)*IF(V28&gt;='Options and results'!$I$25,'Options and results'!$I$24,1),0)</f>
        <v>0</v>
      </c>
      <c r="BI28" s="303">
        <f>IF(V28&lt;='Options and results'!$W$20,IF(BH28&gt;0,VLOOKUP($W$8,Treecost!$B$6:$AH$49,Treecost!$AB$2,FALSE)/60*AB28,0)*IF(V28&gt;='Options and results'!$I$25,'Options and results'!$I$24,1),0)*((BH28-(MIN($BH$8:$BH$67)))/((MAX($BH$8:$BH$67))-(MIN($BH$8:$BH$67))))</f>
        <v>0</v>
      </c>
      <c r="BJ28" s="740">
        <f>IF(BH28&gt;0,(BH28*$AX$15+BI28*$AX$19)*IF(1+'Options and results'!$Q$21*(V28-1)&gt;0,1+'Options and results'!$Q$21*(V28-1),0),0)*IF(V28&gt;='Options and results'!$I$27,'Options and results'!$I$26,1)</f>
        <v>0</v>
      </c>
      <c r="BK28" s="891">
        <f>IF($W$8=0,0,IF(V28&lt;='Options and results'!$W$20,IF(VLOOKUP($W$8,Treecost!$B$2:$AH$49,Treecost!$O$2,FALSE)=V28,VLOOKUP($W$8,Treecost!$B$2:$AH$49,Treecost!$P$2,FALSE),0)*IF(V28&gt;='Options and results'!$I$25,'Options and results'!$I$24,1),0))</f>
        <v>0</v>
      </c>
      <c r="BL28" s="889">
        <f>IF($W$8=0,0,IF(V28&lt;='Options and results'!$W$20,IF(AND(V28&gt;VLOOKUP($W$8,Treecost!$B$2:$AH$49,Treecost!$O$2,FALSE),V28&lt;=VLOOKUP($W$8,Treecost!$B$2:$AH$49,Treecost!$R$2,FALSE)),VLOOKUP($W$8,Treecost!$B$2:$AH$49,Treecost!$S$2,FALSE),0)*IF(V28&gt;='Options and results'!$I$25,'Options and results'!$I$24,1),0))</f>
        <v>0</v>
      </c>
      <c r="BM28" s="740">
        <f>IF($W$8=0,0,IF(V28&lt;='Options and results'!$W$20,((IF(VLOOKUP($W$8,Treecost!$B$2:$AH$49,Treecost!$O$2,FALSE)=V28,VLOOKUP($W$8,Treecost!$B$2:$AH$49,Treecost!$Q$2,FALSE),0)+IF(AND(V28&gt;VLOOKUP($W$8,Treecost!$B$2:$AH$49,Treecost!$O$2,FALSE),V28&lt;=VLOOKUP($W$8,Treecost!$B$2:$AH$49,Treecost!$R$2,FALSE)),VLOOKUP($W$8,Treecost!$B$2:$AH$49,Treecost!$T$2,FALSE),0)*IF(1+'Options and results'!$Q$22*(V28-1)&gt;0,1+'Options and results'!$Q$22*(V28-1),0))+(BK28*$AX$16+BL28*$AX$17)*IF(1+'Options and results'!$Q$21*(V28-1)&gt;0,1+'Options and results'!$Q$21*(V28-1),0))*IF(V28&gt;='Options and results'!$I$27,'Options and results'!$I$26,1),0))</f>
        <v>0</v>
      </c>
      <c r="BN28" s="894">
        <f>IF($W$8=0,0,IF(V28&lt;='Options and results'!$W$20,IF(AND(V28&gt;=VLOOKUP($W$8,Treecost!$B$2:$W$49,Treecost!$U$2,FALSE),V28&lt;=VLOOKUP($W$8,Treecost!$B$2:$W$49,Treecost!$V$2,FALSE)),(AB28*VLOOKUP($W$8,Treecost!$B$2:$W$49,Treecost!$W$2,FALSE)/60),0)*IF(V28&gt;='Options and results'!$I$25,'Options and results'!$I$24,1),0))</f>
        <v>0</v>
      </c>
      <c r="BO28" s="740">
        <f>BN28*$AX$18*IF(V28&gt;='Options and results'!$I$27,'Options and results'!$I$26,1)*IF(1+'Options and results'!$Q$21*(V28-1)&gt;0,1+'Options and results'!$Q$21*(V28-1),0)</f>
        <v>0</v>
      </c>
      <c r="BP28" s="894">
        <f>IF(V28&lt;='Options and results'!$W$20,IF(AB28&lt;=0,0,VLOOKUP($W$8,Treecost!$B$6:$AH$49,Treecost!$AC$2,FALSE)+VLOOKUP($W$8,Treecost!$B$6:$AH$49,Treecost!$AD$2,FALSE)+IF(AND(V28&gt;=VLOOKUP($W$8,Treecost!$B$2:$AK$49,Treecost!$AI$2,FALSE),V28&lt;=VLOOKUP($W$8,Treecost!$B$2:$AK$49,Treecost!$AJ$2,FALSE)),(VLOOKUP($W$8,Treecost!$B$2:$AK$49,Treecost!$AK$2,FALSE)),0))*IF(V28&gt;='Options and results'!$I$27,'Options and results'!$I$26,1),0)*IF(1+'Options and results'!$Q$22*(V28-1)&gt;0,1+'Options and results'!$Q$22*(V28-1),0)</f>
        <v>3</v>
      </c>
      <c r="BQ28" s="894">
        <f>IF(V28&lt;='Options and results'!$W$20,IF(AC28&gt;0,VLOOKUP($W$8,Treecost!$B$6:$AH$49,Treecost!$AE$2,FALSE)/60*AC28,0)*IF(V28&gt;='Options and results'!$I$25,'Options and results'!$I$24,1),0)</f>
        <v>0</v>
      </c>
      <c r="BR28" s="740">
        <f>IF(V28&lt;='Options and results'!$W$20,IF(AC28&gt;0,VLOOKUP($W$8,Treecost!$B$6:$AH$49,Treecost!$AF$2,FALSE)/60*AC28,0)*IF(V28&gt;='Options and results'!$I$25,'Options and results'!$I$24,1),0)</f>
        <v>0</v>
      </c>
      <c r="BS28" s="740">
        <f>(BQ28*$AX$20+BR28*$AX$21)*IF(V28&gt;='Options and results'!$I$27,'Options and results'!$I$26,1)*IF(1+'Options and results'!$Q$21*(V28-1)&gt;0,1+'Options and results'!$Q$21*(V28-1),0)</f>
        <v>0</v>
      </c>
      <c r="BT28" s="894">
        <f>IF(V28&lt;='Options and results'!$W$20,IF(AD28&gt;0,(VLOOKUP($W$8,Treecost!$B$6:$AH$49,Treecost!$AG$2,FALSE)/60*AD28)*IF(V28&gt;='Options and results'!$I$25,'Options and results'!$I$24,1),0),0)</f>
        <v>0</v>
      </c>
      <c r="BU28" s="740">
        <f>IF(V28&lt;='Options and results'!$W$20,IF(AD28&gt;0,(VLOOKUP($W$8,Treecost!$B$6:$AH$49,Treecost!$AH$2,FALSE)/60*AD28)*IF(V28&gt;='Options and results'!$I$25,'Options and results'!$I$24,1),0),0)</f>
        <v>0</v>
      </c>
      <c r="BV28" s="740">
        <f>(BT28*$AX$22+BU28*$AX$23)*IF(V28&gt;='Options and results'!$I$27,'Options and results'!$I$26,1)*IF(1+'Options and results'!$Q$21*(V28-1)&gt;0,1+'Options and results'!$Q$21*(V28-1),0)</f>
        <v>0</v>
      </c>
      <c r="BW28" s="1033">
        <f t="shared" si="138"/>
        <v>0</v>
      </c>
      <c r="BX28" s="1027">
        <f t="shared" si="139"/>
        <v>0</v>
      </c>
      <c r="BY28" s="1027">
        <f t="shared" si="140"/>
        <v>0</v>
      </c>
      <c r="BZ28" s="740">
        <f t="shared" si="124"/>
        <v>3</v>
      </c>
      <c r="CA28" s="740">
        <f t="shared" si="141"/>
        <v>-3</v>
      </c>
      <c r="CB28" s="894">
        <f>IF($V28&lt;='Options and results'!$W$20,SUM(BX$8:$BX28),0)</f>
        <v>0</v>
      </c>
      <c r="CC28" s="740">
        <f>IF($V28&lt;='Options and results'!$W$20,SUM($BY$8:BY28),0)</f>
        <v>0</v>
      </c>
      <c r="CD28" s="740">
        <f>IF($V28&lt;='Options and results'!$W$20,SUM($BZ$8:BZ28),0)</f>
        <v>1631.7443691843955</v>
      </c>
      <c r="CE28" s="740">
        <f>IF(V28&lt;='Options and results'!$W$20,CB28+CC28-CD28,0)</f>
        <v>-1631.7443691843955</v>
      </c>
      <c r="CF28" s="1381">
        <f t="shared" si="142"/>
        <v>538.17077047133967</v>
      </c>
      <c r="CG28" s="1027">
        <f t="shared" si="143"/>
        <v>535.17077047133967</v>
      </c>
      <c r="CH28" s="1027">
        <f t="shared" si="144"/>
        <v>0</v>
      </c>
      <c r="CI28" s="1189">
        <f>IF(V28&lt;='Options and results'!$W$20,CE28+AO28,0)</f>
        <v>711.29274666417496</v>
      </c>
      <c r="CJ28" s="1023"/>
      <c r="CK28" s="895">
        <f t="shared" si="145"/>
        <v>21</v>
      </c>
      <c r="CL28" s="1011" t="str">
        <f>IF('Options and results'!$C$54="None",0,IF(AND(CK28&gt;='Options and results'!$K$57,CK27&lt;'Options and results'!$W$20),'Options and results'!$K$56,IF(Optimisation!$B$3="No",CONCATENATE('Options and results'!$C$60," ",(HLOOKUP(CONCATENATE('Options and results'!$C$54," ",Agroforestrysystem!$B$12),Agroforestrysystem!$B$11:$IM$74,$CK28+4,FALSE))),Optimisation!AA48)))</f>
        <v>UK - Agriculture (BPS: from 2015) Agroforestry fallow</v>
      </c>
      <c r="CM28" s="1012">
        <f>IF(HLOOKUP(CONCATENATE('Options and results'!$C$54," ",Agroforestrysystem!$C$12),Agroforestrysystem!$B$11:$IM$74,$CK28+4,FALSE)="T",(VLOOKUP(CL28,Arablefinance!$Z$6:$AB$105,Arablefinance!$AB$2,FALSE)*CO28+VLOOKUP(CL28,Arablefinance!$Z$6:$AC$105,Arablefinance!$AC$2,FALSE)*CP28)/VLOOKUP(CL28,Arablefinance!$Z$6:$AA$105,Arablefinance!$AA$2,FALSE),0)</f>
        <v>0</v>
      </c>
      <c r="CN28" s="1012">
        <f>IF(CL28=0,0,HLOOKUP(CONCATENATE('Options and results'!$C$54," ",Agroforestrysystem!$D$12),Agroforestrysystem!$B$11:$IM$74,$CK28+4,FALSE))</f>
        <v>0.99</v>
      </c>
      <c r="CO28" s="1440">
        <f ca="1">IF(CL28=0,0,IF(AND(Optimisation!$B$3="yes",Optimisation!$B$4=1,CK28&gt;Optimisation!$B$9),0,HLOOKUP(CONCATENATE('Options and results'!$C$54," ",Agroforestrysystem!$E$12),Agroforestrysystem!$B$11:$IM$74,$CK28+4,FALSE)*IF(CK28&gt;='Options and results'!$J$19,'Options and results'!$J$18,1)))</f>
        <v>0</v>
      </c>
      <c r="CP28" s="1440">
        <f ca="1">IF(CL28=0,0,IF(AND(Optimisation!$B$3="yes",Optimisation!$B$4=1,CK28&gt;Optimisation!$B$9),0,HLOOKUP(CONCATENATE('Options and results'!$C$54," ",Agroforestrysystem!$F$12),Agroforestrysystem!$B$11:$IM$74,$CK28+4,FALSE)*IF(CK28&gt;='Options and results'!$J$19,'Options and results'!$J$18,1)))</f>
        <v>0</v>
      </c>
      <c r="CQ28" s="1013">
        <f ca="1">IF(CN28&lt;=0,0,IF(CK28&lt;='Options and results'!$W$20,IF(CM28&gt;0,VLOOKUP(CL28,Arablefinance!$Z$6:$AE$105,Arablefinance!$AD$2,FALSE)*CM28*CN28,((VLOOKUP(CL28,Arablefinance!$E$6:$H$126,2,FALSE)*CO28+VLOOKUP(CL28,Arablefinance!$E$6:$H$126,3,FALSE)*CP28)*CN28)),0)*IF(CK28&gt;='Options and results'!$J$21,'Options and results'!$J$20,1))*IF(1+'Options and results'!$O$20*(CK28-1)&gt;0,1+'Options and results'!$O$20*(CK28-1),0)</f>
        <v>0</v>
      </c>
      <c r="CR28" s="1441">
        <f>IF(CN28&lt;=0,0,IF(AND(CM28&gt;0,VLOOKUP(CL28,Arablefinance!$Z$6:$AI$105,Arablefinance!$AI$2,FALSE)=2),VLOOKUP(CL28,Arablefinance!$Z$6:$AE$105,Arablefinance!$AE$2,FALSE)*CM28*CN28,IF('Options and results'!$C$62&gt;0,IF(VLOOKUP(CL28,Arablefinance!$E$6:$W$126,Arablefinance!$H$2,FALSE)*(1-Plot!DM28*'Options and results'!$C$62)&gt;0,VLOOKUP(CL28,Arablefinance!$E$6:$W$126,Arablefinance!$H$2,FALSE)*(1-Plot!DM28*'Options and results'!$C$62),0),IF(CK28&lt;='Options and results'!$W$20,(VLOOKUP(CL28,Arablefinance!$E$6:$W$126,Arablefinance!$H$2,FALSE)*IF('Options and results'!$C$61="area",CN28,'Options and results'!$C$61)),0)))*IF(CK28&gt;='Options and results'!$J$23,'Options and results'!$J$22,1))*IF(AND(1+'Options and results'!$O$23*(CK28-1)&gt;0,1+'Options and results'!$O$23*(CK28-1)&gt;'Options and results'!$S$24),1+'Options and results'!$O$23*(CK28-1),'Options and results'!$S$24)</f>
        <v>0</v>
      </c>
      <c r="CS28" s="1441">
        <f t="shared" ca="1" si="146"/>
        <v>0</v>
      </c>
      <c r="CT28" s="1441">
        <f>IF(CN28&lt;=0,0,IF(CK28&lt;='Options and results'!$W$20,IF(CM28&gt;0,VLOOKUP(CL28,Arablefinance!$Z$6:$AF$105,Arablefinance!$AF$2,FALSE)*CM28*CN28,VLOOKUP(CL28,Arablefinance!$E$6:$X$126,Arablefinance!$R$2,FALSE)*CN28),0)*IF(CK28&gt;='Options and results'!$J$27,'Options and results'!$J$26,1))*IF(1+'Options and results'!$O$22*(CK28-1)&gt;0,1+'Options and results'!$O$22*(CK28-1),0)</f>
        <v>0</v>
      </c>
      <c r="CU28" s="1441">
        <f t="shared" ca="1" si="147"/>
        <v>0</v>
      </c>
      <c r="CV28" s="1441">
        <f>IF(CN28&lt;=0,0,IF(CK28&lt;='Options and results'!$W$20,IF(CM28&gt;0,VLOOKUP(CL28,Arablefinance!$Z$6:$AG$105,Arablefinance!$AG$2,FALSE)*CM28*CN28,VLOOKUP(CL28,Arablefinance!$E$6:$X$126,Arablefinance!$X$2,FALSE)*CN28),0)*IF(CK28&gt;='Options and results'!$J$27,'Options and results'!$J$26,1))*IF(1+'Options and results'!$O$22*(CK28-1)&gt;0,1+'Options and results'!$O$22*(CK28-1),0)</f>
        <v>0</v>
      </c>
      <c r="CW28" s="1442">
        <f>IF(CN28&lt;=0,0,IF(CK28&lt;='Options and results'!$W$20,'Options and results'!$C$27*IF(CK28&gt;='Options and results'!$J$27,'Options and results'!$J$26,1),0))*IF(1+'Options and results'!$O$21*(CK28-1)&gt;0,1+'Options and results'!$O$21*(CK28-1),0)</f>
        <v>14.6</v>
      </c>
      <c r="CX28" s="1442">
        <f>IF(CN28&lt;=0,0,IF(CK28&lt;='Options and results'!$W$20,IF(CM28&gt;0,VLOOKUP(CL28,Arablefinance!$Z$6:$AH$105,Arablefinance!$AH$2,FALSE)*CM28*CN28,VLOOKUP(CL28,Arablefinance!$E$6:$W$126,Arablefinance!$V$2,FALSE)*CN28),0)*IF(CK28&gt;='Options and results'!$J$25,'Options and results'!$J$24,1))</f>
        <v>0</v>
      </c>
      <c r="CY28" s="1013">
        <f t="shared" si="148"/>
        <v>0</v>
      </c>
      <c r="CZ28" s="1353">
        <f t="shared" ca="1" si="149"/>
        <v>0</v>
      </c>
      <c r="DA28" s="1013">
        <f ca="1">IF($CK28&lt;='Options and results'!$W$20,SUM($CQ$8:CQ28),0)</f>
        <v>18417.950100000002</v>
      </c>
      <c r="DB28" s="1441">
        <f>IF($CK28&lt;='Options and results'!$W$20,SUM($CR$8:CR28),0)</f>
        <v>0</v>
      </c>
      <c r="DC28" s="1441">
        <f>IF($CK28&lt;='Options and results'!$W$20,SUM($CY$8:CY28),0)</f>
        <v>16943.30918829242</v>
      </c>
      <c r="DD28" s="1189">
        <f ca="1">IF(CK28&lt;='Options and results'!$W$20,DA28+DB28-DC28,0)</f>
        <v>1474.6409117075818</v>
      </c>
      <c r="DE28" s="401"/>
      <c r="DF28" s="895">
        <f t="shared" si="150"/>
        <v>21</v>
      </c>
      <c r="DG28" s="173"/>
      <c r="DH28" s="1422"/>
      <c r="DI28" s="1427">
        <f>IF(DF28&lt;='Options and results'!$M$61,'Options and results'!$M$60,0)</f>
        <v>0</v>
      </c>
      <c r="DJ28" s="740">
        <f t="shared" si="151"/>
        <v>0</v>
      </c>
      <c r="DK28" s="740">
        <f t="shared" si="152"/>
        <v>0</v>
      </c>
      <c r="DL28" s="1428">
        <f t="shared" si="153"/>
        <v>100</v>
      </c>
      <c r="DM28" s="1429">
        <f>IF($DG$8=0,0,HLOOKUP(CONCATENATE('Options and results'!$C$54," ",Agroforestrysystem!$J$12),Agroforestrysystem!$11:$74,DF28+3,FALSE))/100</f>
        <v>1</v>
      </c>
      <c r="DN28" s="740">
        <f>IF($DG$8=0,0,IF(HLOOKUP(CONCATENATE('Options and results'!$C$54," ",Agroforestrysystem!$H$12),Agroforestrysystem!$11:$74,DF28+4,FALSE)&lt;DL28,HLOOKUP(CONCATENATE('Options and results'!$C$54," ",Agroforestrysystem!$H$12),Agroforestrysystem!$11:$74,DF28+4,FALSE),0))</f>
        <v>0</v>
      </c>
      <c r="DO28" s="1027">
        <f>IF($DG$8=0,0,IF(HLOOKUP(CONCATENATE('Options and results'!$C$54," ",Agroforestrysystem!$H$12),Agroforestrysystem!$11:$74,DF28+4,FALSE)&gt;=DL28,DL28,0))</f>
        <v>0</v>
      </c>
      <c r="DP28" s="1430">
        <f>IF($DG$8=0,0,HLOOKUP(CONCATENATE('Options and results'!$C$54," ",Agroforestrysystem!$I$12),Agroforestrysystem!$11:$74,DF28+4,FALSE))</f>
        <v>25.999911879858779</v>
      </c>
      <c r="DQ28" s="1038"/>
      <c r="DR28" s="1390">
        <f>IF($DG$8=0,0,IF(DF28&gt;'Options and results'!$W$20,0,)+IF(DF28=1,'Options and results'!$M$64)+IF('Options and results'!$M$67="yes",IF(AND(DR27+'Options and results'!$M$65&lt;=$DQ$8,DR27+'Options and results'!$M$65+IF(DF28=1,'Options and results'!$M$64,0)&lt;='Options and results'!$M$66*DP28),DR27+'Options and results'!$M$65,DR27),(HLOOKUP(CONCATENATE('Options and results'!$C$54," ",Agroforestrysystem!$K$12),Agroforestrysystem!$11:$74,DF28+4,FALSE)-IF(DF28=1,'Options and results'!$M$64))))</f>
        <v>7.5</v>
      </c>
      <c r="DS28" s="1027">
        <f>IF(OR($DG$8=0,DL28=0),0,HLOOKUP(CONCATENATE('Options and results'!$C$54," ",Agroforestrysystem!$L$12),Agroforestrysystem!$11:$74,DF28+4,FALSE)*IF(DF28&gt;='Options and results'!$K$19,'Options and results'!$K$18,1))</f>
        <v>102.49287743146732</v>
      </c>
      <c r="DT28" s="1431">
        <f t="shared" si="154"/>
        <v>1.0249287743146731</v>
      </c>
      <c r="DU28" s="889">
        <f t="shared" si="155"/>
        <v>0</v>
      </c>
      <c r="DV28" s="1027">
        <f>IF($DG$8=0,0,(HLOOKUP(CONCATENATE('Options and results'!$C$54," ",Agroforestrysystem!$M$12),Agroforestrysystem!$11:$74,DF28+4,FALSE))*IF(DF28&gt;='Options and results'!$K$19,'Options and results'!$K$18,1))-DW28</f>
        <v>45.193976178087645</v>
      </c>
      <c r="DW28" s="303">
        <f>IF($DG$8=0,0,(HLOOKUP(CONCATENATE('Options and results'!$C$54," ",Agroforestrysystem!$N$12),Agroforestrysystem!$11:$74,DF28+4,FALSE))*IF(DF28&gt;='Options and results'!$K$19,'Options and results'!$K$18,1))</f>
        <v>0</v>
      </c>
      <c r="DX28" s="303">
        <f>IF($DG$8=0,0,HLOOKUP(CONCATENATE('Options and results'!$C$54," ",Agroforestrysystem!$O$12),Agroforestrysystem!$11:$74,DF28+4,FALSE)*IF(DF28&gt;='Options and results'!$K$19,'Options and results'!$K$18,1))</f>
        <v>0</v>
      </c>
      <c r="DY28" s="1192">
        <f>IF(DT28&gt;0,HLOOKUP(DT28,Treevalue!$I$4:$BC$34,'Options and results'!$C$66+1),0)*IF(DF28&gt;='Options and results'!$K$21,'Options and results'!$K$20,1)*IF(1+'Options and results'!$Q$20*(DF28-1)&gt;0,1+'Options and results'!$Q$20*(DF28-1),0)</f>
        <v>24.127249999999997</v>
      </c>
      <c r="DZ28" s="1027">
        <f t="shared" si="156"/>
        <v>2472.8712770083694</v>
      </c>
      <c r="EA28" s="1027">
        <f t="shared" si="125"/>
        <v>0</v>
      </c>
      <c r="EB28" s="1027">
        <f>(IF('Options and results'!$C$66&gt;0,IF(DF28&lt;='Options and results'!$W$20,VLOOKUP('Options and results'!$C$66,Treevalue!$A$4:$F$34,5,FALSE),0),0)*DV28)*IF(DF28&gt;='Options and results'!$K$21,'Options and results'!$K$20,1)*IF(1+'Options and results'!$Q$20*(DF28-1)&gt;0,1+'Options and results'!$Q$20*(DF28-1),0)</f>
        <v>1129.849404452191</v>
      </c>
      <c r="EC28" s="740">
        <f>(IF('Options and results'!$C$66&gt;0,IF(DF28&lt;='Options and results'!$W$20,VLOOKUP('Options and results'!$C$66,Treevalue!$A$4:$F$34,5,FALSE),0),0)*DW28)*IF(DF28&gt;='Options and results'!$K$21,'Options and results'!$K$20,1)*IF(1+'Options and results'!$Q$20*(DF28-1)&gt;0,1+'Options and results'!$Q$20*(DF28-1),0)</f>
        <v>0</v>
      </c>
      <c r="ED28" s="889">
        <f>(IF('Options and results'!$C$66&gt;0,IF(DF28&lt;='Options and results'!$W$20,VLOOKUP('Options and results'!$C$66,Treevalue!$A$4:$F$34,6,FALSE),0),0)*DX28)*IF(DF28&gt;='Options and results'!$K$21,'Options and results'!$K$20,1)*IF(1+'Options and results'!$Q$20*(DF28-1)&gt;0,1+'Options and results'!$Q$20*(DF28-1),0)</f>
        <v>0</v>
      </c>
      <c r="EE28" s="740">
        <f>IF(DF28&lt;='Options and results'!$W$20,IF(DL28&lt;=0,0,IF('Options and results'!$C$70="cost",(IF(DF28&lt;='Options and results'!$C$71,FK28*SUM('Options and results'!$C$72:$C$73),0)),IF('Options and results'!$C$68&gt;0,(IF(VLOOKUP('Options and results'!$C$69,Treegrant!$B$6:$L$42,Treegrant!$C$2,FALSE)=DF28,VLOOKUP('Options and results'!$C$69,Treegrant!$B$6:$L$42,Treegrant!$D$2,FALSE),0)+IF(VLOOKUP('Options and results'!$C$69,Treegrant!$B$6:$L$42,Treegrant!$E$2,FALSE)=DF28,VLOOKUP('Options and results'!$C$69,Treegrant!$B$6:$L$42,Treegrant!$F$2,FALSE),0)+IF(VLOOKUP('Options and results'!$C$69,Treegrant!$B$6:$L$42,Treegrant!$G$2,FALSE)=DF28,VLOOKUP('Options and results'!$C$69,Treegrant!$B$6:$L$42,Treegrant!$H$2,FALSE)))*IF('Options and results'!$C$70="area",Unit!C29,'Options and results'!$C$70),0))*IF(DF28&gt;='Options and results'!$K$23,'Options and results'!$K$22,1)),0)*IF(1+'Options and results'!$Q$23*(DF28-1)&gt;0,1+'Options and results'!$Q$23*(DF28-1),0)</f>
        <v>0</v>
      </c>
      <c r="EF28" s="740">
        <f>IF($DG$8=0,0,IF(DF28&lt;='Options and results'!$W$20,IF(DL28&lt;=0,0,IF('Options and results'!$C$68&gt;0,IF(AND(VLOOKUP('Options and results'!$C$69,Treegrant!$B$6:$L$42,Treegrant!$J$2,FALSE)&lt;=DF28,VLOOKUP('Options and results'!$C$69,Treegrant!$B$6:$L$42,Treegrant!$K$2,FALSE)&gt;=DF28),(VLOOKUP('Options and results'!$C$69,Treegrant!$B$6:$L$42,Treegrant!$L$2,FALSE)),0)*IF('Options and results'!$C$74="area",Unit!C29,'Options and results'!$C$74))*IF(DF28&gt;='Options and results'!$K$23,'Options and results'!$K$22,1)),0))*IF(1+'Options and results'!$Q$23*(DF28-1)&gt;0,1+'Options and results'!$Q$23*(DF28-1),0)</f>
        <v>0</v>
      </c>
      <c r="EG28" s="1034">
        <f>IF($DG$8=0,0,IF(DF28&lt;='Options and results'!$W$20,IF(DL28&lt;=0,0,IF('Options and results'!$C$68&gt;0,((IF(AND(VLOOKUP('Options and results'!$C$69,Treegrant!$B$6:$O$42,Treegrant!$M$2,FALSE)&lt;=DF28,VLOOKUP('Options and results'!$C$69,Treegrant!$B$6:$O$42,Treegrant!$N$2,FALSE)&gt;=DF28),(VLOOKUP('Options and results'!$C$69,Treegrant!$B$6:$O$42,Treegrant!$O$2,FALSE)),0)*IF('Options and results'!$C$75="area",Unit!C29,'Options and results'!$C$75))+(IF(AND(VLOOKUP('Options and results'!$C$69,Treegrant!$B$6:$R$42,Treegrant!$P$2,FALSE)&lt;=DF28,VLOOKUP('Options and results'!$C$69,Treegrant!$B$6:$R$42,Treegrant!$Q$2,FALSE)&gt;=DF28),(VLOOKUP('Options and results'!$C$69,Treegrant!$B$6:$R$42,Treegrant!$R$2,FALSE)),0))*IF('Options and results'!$C$76="area",Unit!C29,'Options and results'!$C$76)))*IF(DF28&gt;='Options and results'!$K$23,'Options and results'!$K$22,1)),0))*IF(1+'Options and results'!$Q$23*(DF28-1)&gt;0,1+'Options and results'!$Q$23*(DF28-1),0)</f>
        <v>0</v>
      </c>
      <c r="EH28" s="1041"/>
      <c r="EI28" s="1042"/>
      <c r="EJ28" s="1419">
        <f>IF($DH$8+DK28&lt;1,0,IF(DF28=1,VLOOKUP($DG$8,Treecost!$B$6:$AH$49,Treecost!$E$2,FALSE),0)*IF(DF28&gt;='Options and results'!$K$25,'Options and results'!$K$24,1))</f>
        <v>0</v>
      </c>
      <c r="EK28" s="889">
        <f>IF($DH$8+DK28&lt;1,0,IF(DF28=1,VLOOKUP($DG$8,Treecost!$B$6:$AH$49,Treecost!$F$2,FALSE),0)*IF(DF28&gt;='Options and results'!$K$25,'Options and results'!$K$24,1))</f>
        <v>0</v>
      </c>
      <c r="EL28" s="889">
        <f>IF($DH$8+DK28&lt;1,0,IF(DF28=1,VLOOKUP($DG$8,Treecost!$B$6:$AH$49,Treecost!$G$2,FALSE),0)*IF(DF28&gt;='Options and results'!$K$25,'Options and results'!$K$24,1))</f>
        <v>0</v>
      </c>
      <c r="EM28" s="889">
        <f>IF($DG$8=0,0,IF(DF28&lt;='Options and results'!$W$20,((VLOOKUP($DG$8,Treecost!$B$6:$AH$49,Treecost!$H$2,FALSE)*(DH28+DK28))/60)*IF(DF28&gt;='Options and results'!$K$25,'Options and results'!$K$24,1),0))</f>
        <v>0</v>
      </c>
      <c r="EN28" s="889">
        <f>IF($DG$8=0,0,IF(DF28&lt;='Options and results'!$W$20,(((VLOOKUP($DG$8,Treecost!$B$6:$AH$49,Treecost!$I$2,FALSE))*(DH28+DK28))/60)*IF(DF28&gt;='Options and results'!$K$25,'Options and results'!$K$24,1),0))</f>
        <v>0</v>
      </c>
      <c r="EO28" s="889">
        <f>IF($DG$8=0,0,IF(DF28&lt;='Options and results'!$W$20,(((VLOOKUP($DG$8,Treecost!$B$6:$AH$49,Treecost!$J$2,FALSE))/60)*(DH28+DK28))*IF(DF28&gt;='Options and results'!$K$25,'Options and results'!$K$24,1),0))</f>
        <v>0</v>
      </c>
      <c r="EP28" s="1019">
        <f>IF($DG$8=0,0,IF(DF28&lt;='Options and results'!$W$20,(((VLOOKUP($DG$8,Treecost!$B$6:$AH$49,Treecost!$C$2,FALSE)+VLOOKUP($DG$8,Treecost!$B$6:$AH$49,Treecost!$D$2,FALSE))*(DH28+DK28)*IF(1+'Options and results'!$Q$22*(DF28-1)&gt;0,1+'Options and results'!$Q$22*(DF28-1),0))+(EJ28*$EI$8+EK28*$EI$9+EL28*$EI$10+EM28*$EI$11+EN28*$EI$12+EO28*$EI$13)*IF(1+'Options and results'!$Q$21*(DF28-1)&gt;0,1+'Options and results'!$Q$21*(DF28-1),0))*IF(DF28&gt;='Options and results'!$K$27,'Options and results'!$K$26,1),0))</f>
        <v>0</v>
      </c>
      <c r="EQ28" s="740">
        <f>IF($DG$8=0,0,IF(DF28&lt;='Options and results'!$W$20,IF(AND(VLOOKUP($DG$8,Treecost!$B$6:$AH$49,Treecost!$K$2,FALSE)&lt;=DF28,DF28&lt;=(VLOOKUP($DG$8,Treecost!$B$6:$AH$49,Treecost!$L$2,FALSE))),VLOOKUP($DG$8,Treecost!$B$6:$AH$49,Treecost!$M$2,FALSE)*DL28/60,0)*IF(DF28&gt;='Options and results'!$K$25,'Options and results'!$K$24,1),0))</f>
        <v>0</v>
      </c>
      <c r="ER28" s="1019">
        <f>IF(EQ28&gt;0,(VLOOKUP($DG$8,Treecost!$B$6:$AH$49,Treecost!$N$2,FALSE)*DL28*IF(1+'Options and results'!$Q$22*(DF28-1)&gt;0,1+'Options and results'!$Q$22*(DF28-1),0)+EQ28*$EI$14*IF(1+'Options and results'!$Q$21*(DF28-1)&gt;0,1+'Options and results'!$Q$21*(DF28-1),0)),0)*IF(DF28&gt;='Options and results'!$K$27,'Options and results'!$K$26,1)</f>
        <v>0</v>
      </c>
      <c r="ES28" s="889">
        <f>IF(DF28&lt;='Options and results'!$W$20,IF(AND(DR28-DR27&gt;0,DR28&gt;'Options and results'!$M$64),(DL28-DN28)*(VLOOKUP($DG$8,Treecost!$B$6:$AH$49,Treecost!$Y$2,FALSE)+(VLOOKUP($DG$8,Treecost!$B$6:$AH$49,Treecost!$AA$2,FALSE)-VLOOKUP($DG$8,Treecost!$B$6:$AH$49,Treecost!$Y$2,FALSE))/(VLOOKUP($DG$8,Treecost!$B$6:$AH$49,Treecost!$Z$2,FALSE)-VLOOKUP($DG$8,Treecost!$B$6:$AH$49,Treecost!$X$2,FALSE))*(DR28-VLOOKUP($DG$8,Treecost!$B$6:$AH$49,Treecost!$X$2,FALSE)))/60,0)*IF(DF28&gt;='Options and results'!$K$25,'Options and results'!$K$24,1),0)</f>
        <v>0</v>
      </c>
      <c r="ET28" s="889">
        <f>IF(DF28&lt;='Options and results'!$W$20,IF(ES28&gt;0,VLOOKUP($DG$8,Treecost!$B$6:$AH$49,Treecost!$AB$2,FALSE)/60*DL28,0)*IF(DF28&gt;='Options and results'!$K$25,'Options and results'!$K$24,1),0)*((ES28-(MIN($ES$8:$ES$67)))/((MAX($ES$8:$ES$67))-(MIN($ES$8:$ES$67))))</f>
        <v>0</v>
      </c>
      <c r="EU28" s="740">
        <f>IF(ES28&gt;0,(ES28*$EI$15+ET28*$EI$19)*IF(1+'Options and results'!$Q$21*(DF28-1)&gt;0,1+'Options and results'!$Q$21*(DF28-1),0),0)*IF(DF28&gt;='Options and results'!$K$27,'Options and results'!$K$26,1)</f>
        <v>0</v>
      </c>
      <c r="EV28" s="891">
        <f>IF($DG$8=0,0,IF(DF28&lt;='Options and results'!$W$20,IF(AND(VLOOKUP($DG$8,Treecost!$B$2:$AH$49,Treecost!$O$2,FALSE)=DF28,DF28&lt;=IF(AND(Optimisation!$B$3="Yes",Optimisation!$B$4=1),Optimisation!$B$9)),VLOOKUP($DG$8,Treecost!$B$2:$AH$49,Treecost!$P$2,FALSE)*(1-CN28),0)*IF(DF28&gt;='Options and results'!$K$25,'Options and results'!$K$24,1),0))</f>
        <v>0</v>
      </c>
      <c r="EW28" s="889">
        <f>IF($DG$8=0,0,IF(DF28&lt;='Options and results'!$W$20,IF(AND(DF28&gt;VLOOKUP($DG$8,Treecost!$B$2:$AH$49,Treecost!$O$2,FALSE),DF28&lt;=IF(AND(Optimisation!$B$3="Yes",Optimisation!$B$4=1),Optimisation!$B$9,VLOOKUP($DG$8,Treecost!$B$2:$AH$49,Treecost!$R$2,FALSE))),VLOOKUP($DG$8,Treecost!$B$2:$AH$49,Treecost!$S$2,FALSE)*(1-CN28),0)*IF(DF28&gt;='Options and results'!$K$25,'Options and results'!$K$24,1),0))</f>
        <v>0</v>
      </c>
      <c r="EX28" s="740">
        <f>IF($DG$8=0,0,IF(DF28&lt;='Options and results'!$W$20,(IF(AND(VLOOKUP($DG$8,Treecost!$B$2:$AH$49,Treecost!$O$2,FALSE)=DF28,DF28&lt;=IF(AND(Optimisation!$B$3="Yes",Optimisation!$B$4=1),Optimisation!$B$9)),VLOOKUP($DG$8,Treecost!$B$2:$AH$49,Treecost!$Q$2,FALSE),0)*(1-CN28)+IF(AND(DF28&gt;VLOOKUP($DG$8,Treecost!$B$2:$AH$49,Treecost!$O$2,FALSE),DF28&lt;=IF(AND(Optimisation!$B$3="Yes",Optimisation!$B$4=1),Optimisation!$B$9,VLOOKUP($DG$8,Treecost!$B$2:$AH$49,Treecost!$R$2,FALSE))),VLOOKUP($DG$8,Treecost!$B$2:$AH$49,Treecost!$T$2,FALSE),0)*(1-CN28)+(EV28*$EI$16+EW28*$EI$17))*IF(DF28&gt;='Options and results'!$K$27,'Options and results'!$K$26,1),0))*IF(1+'Options and results'!$Q$21*(DF28-1)&gt;0,1+'Options and results'!$Q$21*(DF28-1),0)</f>
        <v>0</v>
      </c>
      <c r="EY28" s="894">
        <f>IF($DG$8=0,0,IF(DF28&lt;='Options and results'!$W$20,IF(AND(DF28&gt;=VLOOKUP($DG$8,Treecost!$B$2:$W$49,Treecost!$U$2,FALSE),DF28&lt;=VLOOKUP($DG$8,Treecost!$B$2:$W$49,Treecost!$V$2,FALSE)),(DL28*VLOOKUP($DG$8,Treecost!$B$2:$W$49,Treecost!$W$2,FALSE)/60),0)*IF(DF28&gt;='Options and results'!$K$25,'Options and results'!$K$24,1),0))</f>
        <v>0</v>
      </c>
      <c r="EZ28" s="740">
        <f>EY28*$EI$18*IF(DF28&gt;='Options and results'!$K$27,'Options and results'!$K$26,1)*IF(1+'Options and results'!$Q$21*(DF28-1)&gt;0,1+'Options and results'!$Q$21*(DF28-1),0)</f>
        <v>0</v>
      </c>
      <c r="FA28" s="1025">
        <f>IF(DF28&lt;='Options and results'!$W$20,IF(DL28&lt;=0,0,VLOOKUP($DG$8,Treecost!$B$6:$AH$49,Treecost!$AC$2,FALSE)+VLOOKUP($DG$8,Treecost!$B$6:$AH$49,Treecost!$AD$2,FALSE)+IF(AND(DF28&gt;=VLOOKUP($DG$8,Treecost!$B$2:$AK$49,Treecost!$AI$2,FALSE),DF28&lt;=VLOOKUP($DG$8,Treecost!$B$2:$AK$49,Treecost!$AJ$2,FALSE)),VLOOKUP($DG$8,Treecost!$B$2:$AK$49,Treecost!$AK$2,FALSE)*(1-CN28),0))*IF(DF28&gt;='Options and results'!$K$27,'Options and results'!$K$26,1),0)*IF(1+'Options and results'!$Q$22*(DF28-1)&gt;0,1+'Options and results'!$Q$22*(DF28-1),0)</f>
        <v>3</v>
      </c>
      <c r="FB28" s="894">
        <f>IF(DF28&lt;='Options and results'!$W$20,IF(DN28&gt;0,VLOOKUP($DG$8,Treecost!$B$6:$AH$49,Treecost!$AE$2,FALSE)/60*DN28,0)*IF(DF28&gt;='Options and results'!$K$25,'Options and results'!$K$24,1),0)</f>
        <v>0</v>
      </c>
      <c r="FC28" s="740">
        <f>IF(DF28&lt;='Options and results'!$W$20,IF(DN28&gt;0,VLOOKUP($DG$8,Treecost!$B$6:$AH$49,Treecost!$AF$2,FALSE)/60*DN28,0)*IF(DF28&gt;='Options and results'!$K$25,'Options and results'!$K$24,1),0)</f>
        <v>0</v>
      </c>
      <c r="FD28" s="740">
        <f>(FB28*$EI$20+FC28*$EI$21)*IF(DF28&gt;='Options and results'!$K$27,'Options and results'!$K$26,1)*IF(1+'Options and results'!$Q$21*(DF28-1)&gt;0,1+'Options and results'!$Q$21*(DF28-1),0)</f>
        <v>0</v>
      </c>
      <c r="FE28" s="894">
        <f>IF(DF28&lt;='Options and results'!$W$20,IF(DO28&gt;0,(VLOOKUP($DG$8,Treecost!$B$6:$AH$49,Treecost!$AG$2,FALSE)/60*DO28)*IF(DF28&gt;='Options and results'!$K$25,'Options and results'!$K$24,1),0),0)</f>
        <v>0</v>
      </c>
      <c r="FF28" s="740">
        <f>IF(DF28&lt;='Options and results'!$W$20,IF(DO28&gt;0,(VLOOKUP($DG$8,Treecost!$B$6:$AH$49,Treecost!$AH$2,FALSE)/60*DO28)*IF(DF28&gt;='Options and results'!$K$25,'Options and results'!$K$24,1),0),0)</f>
        <v>0</v>
      </c>
      <c r="FG28" s="740">
        <f>(FE28*$EI$22+FF28*$EI$23)*IF(DF28&gt;='Options and results'!$K$27,'Options and results'!$K$26,1)*IF(1+'Options and results'!$Q$21*(DF28-1)&gt;0,1+'Options and results'!$Q$21*(DF28-1),0)</f>
        <v>0</v>
      </c>
      <c r="FH28" s="894">
        <f t="shared" si="157"/>
        <v>0</v>
      </c>
      <c r="FI28" s="1027">
        <f t="shared" si="158"/>
        <v>0</v>
      </c>
      <c r="FJ28" s="1027">
        <f t="shared" si="159"/>
        <v>0</v>
      </c>
      <c r="FK28" s="1027">
        <f t="shared" si="160"/>
        <v>3</v>
      </c>
      <c r="FL28" s="1027">
        <f t="shared" si="183"/>
        <v>-3</v>
      </c>
      <c r="FM28" s="1027">
        <f>IF($DF28&lt;='Options and results'!$W$20,SUM(FI$8:$FI28),0)</f>
        <v>0</v>
      </c>
      <c r="FN28" s="1027">
        <f>IF($DF28&lt;='Options and results'!$W$20,SUM($FJ$8:FJ28),0)</f>
        <v>0</v>
      </c>
      <c r="FO28" s="1027">
        <f>IF($DF28&lt;='Options and results'!$W$20,SUM($FK$8:FK28),0)</f>
        <v>1103.0448753513026</v>
      </c>
      <c r="FP28" s="1027">
        <f>IF($DF28&lt;='Options and results'!$W$20,FM28+FN28-FO28,0)</f>
        <v>-1103.0448753513026</v>
      </c>
      <c r="FQ28" s="1027">
        <f t="shared" si="162"/>
        <v>640.36774961496758</v>
      </c>
      <c r="FR28" s="1027">
        <f t="shared" si="163"/>
        <v>637.36774961496758</v>
      </c>
      <c r="FS28" s="1027">
        <f t="shared" si="164"/>
        <v>0</v>
      </c>
      <c r="FT28" s="1189">
        <f>IF(DF28&lt;='Options and results'!$W$20,FP28+DZ28,0)</f>
        <v>1369.8264016570668</v>
      </c>
      <c r="FU28" s="401"/>
      <c r="FV28" s="895">
        <f t="shared" si="165"/>
        <v>21</v>
      </c>
      <c r="FW28" s="894">
        <f>G28/(1+'Options and results'!$W$33)^(FV28-1)</f>
        <v>675.28246552966539</v>
      </c>
      <c r="FX28" s="740">
        <f>(AP28+AR28+AS28)/(1+'Options and results'!$W$33)^(FV28-1)</f>
        <v>0</v>
      </c>
      <c r="FY28" s="740">
        <f ca="1">CQ28/(1+'Options and results'!$W$33)^(FV28-1)</f>
        <v>0</v>
      </c>
      <c r="FZ28" s="740">
        <f>(EA28+EC28+ED28)/(1+'Options and results'!$W$33)^(FV28-1)</f>
        <v>0</v>
      </c>
      <c r="GA28" s="1019">
        <f t="shared" ca="1" si="180"/>
        <v>0</v>
      </c>
      <c r="GB28" s="1026">
        <f>(AO28+AQ28)/(1+'Options and results'!$W$33)^(FV28-1)+FX28</f>
        <v>1638.7694092100407</v>
      </c>
      <c r="GC28" s="1027">
        <f>IF(FV28&gt;'Options and results'!$W$27,0,GB28-GB27)</f>
        <v>189.88790268061803</v>
      </c>
      <c r="GD28" s="1027">
        <f>(DZ28+EB28)/(1+'Options and results'!$W$33)^(FV28-1)+FZ28</f>
        <v>1644.2346898280232</v>
      </c>
      <c r="GE28" s="1379">
        <f>IF(FV28&gt;'Options and results'!$W$27,0,GD28-GD27)</f>
        <v>238.17631336715044</v>
      </c>
      <c r="GF28" s="894">
        <f>IF(FV28&lt;='Options and results'!$W$20,SUM(FW$8:FW28),0)</f>
        <v>22864.364013688202</v>
      </c>
      <c r="GG28" s="740">
        <f>IF(FV28&lt;='Options and results'!$W$20,SUM(FX$8:FX28), 0)</f>
        <v>0</v>
      </c>
      <c r="GH28" s="740">
        <f ca="1">IF(FV28&lt;='Options and results'!$W$20,SUM(FY$8:FY28),0)</f>
        <v>14787.259868716837</v>
      </c>
      <c r="GI28" s="740">
        <f>IF(FV28&lt;='Options and results'!$W$20,SUM(FZ$8:FZ28),0)</f>
        <v>0</v>
      </c>
      <c r="GJ28" s="1019">
        <f t="shared" ca="1" si="166"/>
        <v>14787.259868716837</v>
      </c>
      <c r="GK28" s="894">
        <f>IF(FV28&gt;'Options and results'!$W$27,0,GG28+SUM(GC$8:GC28)-FX28)</f>
        <v>1638.7694092100407</v>
      </c>
      <c r="GL28" s="740">
        <f>IF(FV28&lt;='Options and results'!$W$20,SUM(GD$8:GD28),0)</f>
        <v>8090.8840116284573</v>
      </c>
      <c r="GM28" s="1034">
        <f t="shared" ca="1" si="167"/>
        <v>22878.143880345295</v>
      </c>
      <c r="GN28" s="401"/>
      <c r="GO28" s="895">
        <f t="shared" si="168"/>
        <v>21</v>
      </c>
      <c r="GP28" s="894">
        <f>H28/(1+'Options and results'!$W$33)^(GO28-1)</f>
        <v>107.34220974654389</v>
      </c>
      <c r="GQ28" s="740">
        <f>SUM(AT28:AV28)/(1+'Options and results'!$W$33)^(GO28-1)</f>
        <v>0</v>
      </c>
      <c r="GR28" s="740">
        <f>CR28/(1+'Options and results'!$W$33)^(GO28-1)</f>
        <v>0</v>
      </c>
      <c r="GS28" s="740">
        <f>SUM(EE28:EG28)/(1+'Options and results'!$W$33)^(GO28-1)</f>
        <v>0</v>
      </c>
      <c r="GT28" s="1019">
        <f t="shared" si="181"/>
        <v>0</v>
      </c>
      <c r="GU28" s="894">
        <f>IF(GO28&lt;='Options and results'!$W$20,SUM(GP$8:GP28),0)</f>
        <v>3431.644756336399</v>
      </c>
      <c r="GV28" s="740">
        <f>IF(GO28&lt;='Options and results'!$W$20,SUM(GQ$8:GQ28),0)</f>
        <v>0</v>
      </c>
      <c r="GW28" s="740">
        <f>IF(GO28&lt;='Options and results'!$W$20,SUM(GR$8:GR28),0)</f>
        <v>0</v>
      </c>
      <c r="GX28" s="740">
        <f>IF(GO28&lt;='Options and results'!$W$20,SUM(GS$8:GS28),0)</f>
        <v>0</v>
      </c>
      <c r="GY28" s="1034">
        <f>IF(GO28&lt;='Options and results'!$W$20,SUM(GT$8:GT28),0)</f>
        <v>0</v>
      </c>
      <c r="GZ28" s="401"/>
      <c r="HA28" s="895">
        <f t="shared" si="169"/>
        <v>21</v>
      </c>
      <c r="HB28" s="1026">
        <f>(J28+L28+(M28*N28))/(1+'Options and results'!$W$33)^(HA28-1)</f>
        <v>578.42884531073332</v>
      </c>
      <c r="HC28" s="740">
        <f>BZ28/(1+'Options and results'!$W$33)^(HA28-1)</f>
        <v>1.3691608386038763</v>
      </c>
      <c r="HD28" s="1027">
        <f>(CT28+CV28+(CW28*CX28))/(1+'Options and results'!$W$33)^(HA28-1)</f>
        <v>0</v>
      </c>
      <c r="HE28" s="740">
        <f>FK28/(1+'Options and results'!$W$33)^(HA28-1)</f>
        <v>1.3691608386038763</v>
      </c>
      <c r="HF28" s="1019">
        <f t="shared" si="182"/>
        <v>1.3691608386038763</v>
      </c>
      <c r="HG28" s="894">
        <f>IF(HA28&lt;='Options and results'!$W$20,SUM(HB$8:HB28),0)</f>
        <v>17776.501714078102</v>
      </c>
      <c r="HH28" s="740">
        <f>IF(HA28&lt;='Options and results'!$W$20,SUM(HC$8:HC28),0)</f>
        <v>1394.9777540638595</v>
      </c>
      <c r="HI28" s="740">
        <f>IF(HA28&lt;='Options and results'!$W$20,SUM(HD$8:HD28),0)</f>
        <v>13294.975863606456</v>
      </c>
      <c r="HJ28" s="740">
        <f>IF(HA28&lt;='Options and results'!$W$20,SUM(HE$8:HE28),0)</f>
        <v>939.35756601204787</v>
      </c>
      <c r="HK28" s="1034">
        <f>IF(HA28&lt;='Options and results'!$W$20,SUM(HF$8:HF28),0)</f>
        <v>14234.333429618506</v>
      </c>
      <c r="HL28" s="405"/>
      <c r="HM28" s="895">
        <f t="shared" si="170"/>
        <v>21</v>
      </c>
      <c r="HN28" s="1026">
        <f t="shared" si="171"/>
        <v>204.19582996547592</v>
      </c>
      <c r="HO28" s="1027">
        <f t="shared" si="172"/>
        <v>-1.3691608386038763</v>
      </c>
      <c r="HP28" s="1027">
        <f t="shared" ca="1" si="173"/>
        <v>0</v>
      </c>
      <c r="HQ28" s="1027">
        <f t="shared" si="174"/>
        <v>-1.3691608386038763</v>
      </c>
      <c r="HR28" s="1027">
        <f t="shared" si="175"/>
        <v>188.51874184201415</v>
      </c>
      <c r="HS28" s="1379">
        <f t="shared" si="176"/>
        <v>236.80715252854657</v>
      </c>
      <c r="HT28" s="1026">
        <f>IF($HM28&lt;='Options and results'!$W$20,SUM(HN$8:HN28),0)</f>
        <v>8519.5070559464984</v>
      </c>
      <c r="HU28" s="1027">
        <f>IF($HM28&lt;='Options and results'!$W$20,SUM(HO$8:HO28),0)</f>
        <v>-1394.9777540638595</v>
      </c>
      <c r="HV28" s="1027">
        <f ca="1">IF($HM28&lt;='Options and results'!$W$20,SUM(HP$8:HP28),0)</f>
        <v>1492.284005110379</v>
      </c>
      <c r="HW28" s="1027">
        <f>IF($HM28&lt;='Options and results'!$W$20,SUM(HQ$8:HQ28),0)</f>
        <v>-939.35756601204787</v>
      </c>
      <c r="HX28" s="1027">
        <f t="shared" ca="1" si="177"/>
        <v>552.92643909833112</v>
      </c>
      <c r="HY28" s="1027">
        <f>IF($HM28&lt;='Options and results'!$W$20,SUM(HR$8:HR28),0)</f>
        <v>243.79165514618114</v>
      </c>
      <c r="HZ28" s="1027">
        <f>IF($HM28&lt;='Options and results'!$W$20,SUM(HS$8:HS28),0)</f>
        <v>704.87712381597566</v>
      </c>
      <c r="IA28" s="1189">
        <f t="shared" ca="1" si="178"/>
        <v>2197.1611289263546</v>
      </c>
    </row>
    <row r="29" spans="1:235" x14ac:dyDescent="0.25">
      <c r="A29" s="1010">
        <f t="shared" si="126"/>
        <v>22</v>
      </c>
      <c r="B29" s="1011" t="str">
        <f>IF('Options and results'!$C$17="None",0,CONCATENATE('Options and results'!$C$23," ",(HLOOKUP(CONCATENATE('Options and results'!$C$17," ",Arablesystem!$B$11),Arablesystem!$B$10:$ER$72,$A29+3,FALSE))))</f>
        <v>UK - Agriculture (BPS: from 2015) Wheat</v>
      </c>
      <c r="C29" s="1012">
        <f>IF(HLOOKUP(CONCATENATE('Options and results'!$C$17," ",Arablesystem!$C$11),Arablesystem!$B$10:$ER$72,$A29+3,FALSE)="T",(VLOOKUP(B29,Arablefinance!$Z$6:$AB$105,Arablefinance!$AB$2,FALSE)*E29+VLOOKUP(B29,Arablefinance!$Z$6:$AC$105,Arablefinance!$AC$2,FALSE)*F29)/VLOOKUP(B29,Arablefinance!$Z$6:$AA$105,Arablefinance!$AA$2,FALSE),0)</f>
        <v>0</v>
      </c>
      <c r="D29" s="1012">
        <f>IF(B29=0,0,HLOOKUP(CONCATENATE('Options and results'!$C$17," ",Arablesystem!$D$11),Arablesystem!$B$10:$ER$72,$A29+3,FALSE))</f>
        <v>1</v>
      </c>
      <c r="E29" s="1440">
        <f>IF(B29=0,0,HLOOKUP(CONCATENATE('Options and results'!$C$17," ",Arablesystem!$E$11),Arablesystem!$B$10:$ER$72,$A29+3,FALSE)*IF(A29&gt;='Options and results'!$H$19,'Options and results'!$H$18,1))</f>
        <v>8.781007189956199</v>
      </c>
      <c r="F29" s="1440">
        <f>IF(B29=0,0,HLOOKUP(CONCATENATE('Options and results'!$C$17," ",Arablesystem!$F$11),Arablesystem!$B$10:$ER$72,$A29+3,FALSE)*IF(A29&gt;='Options and results'!$H$19,'Options and results'!$H$18,1))</f>
        <v>3.5124028759824797</v>
      </c>
      <c r="G29" s="1013">
        <f>IF(D29&lt;=0,0,IF(A29&lt;='Options and results'!$W$20,IF(C29&gt;0,VLOOKUP(B29,Arablefinance!$Z$6:$AE$105,Arablefinance!$AD$2,FALSE)*C29*D29,((VLOOKUP(B29,Arablefinance!$E$6:$G$126,Arablefinance!$F$2,FALSE)*(E29*D29)+VLOOKUP(B29,Arablefinance!$E$6:$G$126,Arablefinance!$G$2,FALSE)*(F29*D29)))),0)*IF(A29&gt;='Options and results'!$H$21,'Options and results'!$H$20,1))*IF(1+'Options and results'!$O$20*(A29-1)&gt;0,1+'Options and results'!$O$20*(A29-1),0)</f>
        <v>1656.1955227722942</v>
      </c>
      <c r="H29" s="1441">
        <f>IF(D29&lt;=0,0,IF(A29&lt;='Options and results'!$W$20,IF(AND(C29&gt;0,VLOOKUP(B29,Arablefinance!$Z$6:$AI$105,Arablefinance!$AI$2,FALSE)=2),VLOOKUP(B29,Arablefinance!$Z$6:$AE$105,Arablefinance!$AE$2,FALSE)*C29*D29,(VLOOKUP(B29,Arablefinance!$E$6:$H$126,Arablefinance!$H$2,FALSE)*D29))*IF(A29&gt;='Options and results'!$H$23,'Options and results'!$H$22,1),0)*IF(AND(1+'Options and results'!$O$23*(A29-1)&gt;0,1+'Options and results'!$O$23*(A29-1)&gt;'Options and results'!$S$24),1+'Options and results'!$O$23*(A29-1),'Options and results'!$S$24))</f>
        <v>235.2</v>
      </c>
      <c r="I29" s="1441">
        <f t="shared" si="127"/>
        <v>1891.3955227722943</v>
      </c>
      <c r="J29" s="1441">
        <f>IF(D29&lt;=0,0,IF(A29&lt;='Options and results'!$W$20,IF(C29&gt;0,VLOOKUP(B29,Arablefinance!$Z$6:$AF$105,Arablefinance!$AF$2,FALSE)*C29*D29,(VLOOKUP(B29,Arablefinance!$E$6:$X$126,Arablefinance!$R$2,FALSE))*D29),0)*IF(A29&gt;='Options and results'!$H$27,'Options and results'!$H$26,1))*IF(1+'Options and results'!$O$22*(A29-1)&gt;0,1+'Options and results'!$O$22*(A29-1),0)</f>
        <v>653.12499999999989</v>
      </c>
      <c r="K29" s="1441">
        <f t="shared" si="128"/>
        <v>1238.2705227722945</v>
      </c>
      <c r="L29" s="1441">
        <f>IF(D29&lt;=0,0,IF(A29&lt;='Options and results'!$W$20,IF(C29&gt;0,VLOOKUP(B29,Arablefinance!$Z$6:$AG$105,Arablefinance!$AG$2,FALSE)*C29*D29,VLOOKUP(B29,Arablefinance!$E$6:$X$126,Arablefinance!$X$2,FALSE)*D29),0)*IF(A29&gt;='Options and results'!$H$27,'Options and results'!$H$26,1))*IF(1+'Options and results'!$O$22*(A29-1)&gt;0,1+'Options and results'!$O$22*(A29-1),0)</f>
        <v>444.44444444444446</v>
      </c>
      <c r="M29" s="1442">
        <f>IF(D29&lt;=0,0,IF(A29&lt;='Options and results'!$W$20,'Options and results'!$C$27,0)*IF(A29&gt;='Options and results'!$H$27,'Options and results'!$H$26,1))*IF(1+'Options and results'!$O$21*(A29-1)&gt;0,1+'Options and results'!$O$21*(A29-1),0)</f>
        <v>14.6</v>
      </c>
      <c r="N29" s="1442">
        <f>IF(D29&lt;=0,0,IF(A29&lt;='Options and results'!$W$20,IF(C29&gt;0,VLOOKUP(B29,Arablefinance!$Z$6:$AH$105,Arablefinance!$AH$2,FALSE)*C29*D29,VLOOKUP(B29,Arablefinance!$E$6:$W$126,Arablefinance!$V$2,FALSE)*D29),0)*IF(A29&gt;='Options and results'!$H$25,'Options and results'!$H$24,1))</f>
        <v>11.632834596849463</v>
      </c>
      <c r="O29" s="1013">
        <f t="shared" si="129"/>
        <v>1267.4088295584465</v>
      </c>
      <c r="P29" s="1353">
        <f t="shared" si="130"/>
        <v>623.98669321384784</v>
      </c>
      <c r="Q29" s="1013">
        <f>IF(A29&lt;='Options and results'!$W$20,SUM(G$8:$G29),0)</f>
        <v>34344.968078070182</v>
      </c>
      <c r="R29" s="1441">
        <f>IF($A29&lt;='Options and results'!$W$20,SUM($H$8:H29),0)</f>
        <v>5174.3999999999978</v>
      </c>
      <c r="S29" s="1441">
        <f>IF($A29&lt;='Options and results'!$W$20,SUM($O$8:O29),0)</f>
        <v>26834.211103168564</v>
      </c>
      <c r="T29" s="1032">
        <f>IF(A29&lt;='Options and results'!$W$20,Q29+R29-S29,0)</f>
        <v>12685.15697490162</v>
      </c>
      <c r="U29" s="405"/>
      <c r="V29" s="1010">
        <f t="shared" si="131"/>
        <v>22</v>
      </c>
      <c r="W29" s="173"/>
      <c r="X29" s="1036"/>
      <c r="Y29" s="1030">
        <f>IF(V29&lt;='Options and results'!$M$34,'Options and results'!$M$33,0)</f>
        <v>0</v>
      </c>
      <c r="Z29" s="1441">
        <f t="shared" si="132"/>
        <v>0</v>
      </c>
      <c r="AA29" s="1441">
        <f t="shared" si="133"/>
        <v>0</v>
      </c>
      <c r="AB29" s="1428">
        <f t="shared" si="134"/>
        <v>156</v>
      </c>
      <c r="AC29" s="1441">
        <f>IF($W$8=0,0,IF(HLOOKUP(CONCATENATE('Options and results'!$C$32," ",Forestrysystem!$C$8),Forestrysystem!$A$7:$IH$70,V29+4,FALSE)&lt;AB29,HLOOKUP(CONCATENATE('Options and results'!$C$32," ",Forestrysystem!$C$8),Forestrysystem!$A$7:$IH$70,V29+4,FALSE),0))</f>
        <v>0</v>
      </c>
      <c r="AD29" s="1441">
        <f>IF($W$8=0,0,IF(HLOOKUP(CONCATENATE('Options and results'!$C$32," ",Forestrysystem!$C$8),Forestrysystem!$A$7:$IH$70,V29+4,FALSE)&gt;=AB29,AB29,0))</f>
        <v>0</v>
      </c>
      <c r="AE29" s="1440">
        <f>IF($W$8=0,0,HLOOKUP(CONCATENATE('Options and results'!$C$32," ",Forestrysystem!$D$8),Forestrysystem!$A$7:$IH$70,$V29+4,FALSE))</f>
        <v>23.956149211064968</v>
      </c>
      <c r="AF29" s="1037"/>
      <c r="AG29" s="1440">
        <f>IF($W$8=0,0,IF(V29=1,'Options and results'!$M$36,0)+IF('Options and results'!$M$39="yes",IF(AND(AG28+'Options and results'!$M$37&lt;=$AF$8,AG28+'Options and results'!$M$37+IF(V29=1,'Options and results'!$M$36,0)&lt;='Options and results'!$M$38*AE29),AG28+'Options and results'!$M$37,AG28),(HLOOKUP(CONCATENATE('Options and results'!$C$32," ",Forestrysystem!$E$8),Forestrysystem!$A$7:$IH$70,V29+4,FALSE))-IF(V29=1,'Options and results'!$M$36,0)))</f>
        <v>7.5</v>
      </c>
      <c r="AH29" s="1442">
        <f>IF(OR($W$8=0,AB29&lt;=0),0,(HLOOKUP(CONCATENATE('Options and results'!$C$32," ",Forestrysystem!$F$8),Forestrysystem!$A$7:$IH$70,$V29+4,FALSE)) * IF(V29&gt;='Options and results'!$I$19,'Options and results'!$I$18,1) )</f>
        <v>125.07015394139599</v>
      </c>
      <c r="AI29" s="1452">
        <f t="shared" si="179"/>
        <v>0.80173175603458968</v>
      </c>
      <c r="AJ29" s="1442">
        <f t="shared" si="135"/>
        <v>0</v>
      </c>
      <c r="AK29" s="1453">
        <f>IF(OR($W$8=0,AE29&lt;=0),0,(HLOOKUP(CONCATENATE('Options and results'!$C$32," ",Forestrysystem!$G$8),Forestrysystem!$A$7:$IH$70,$V29+4,FALSE)) * IF(Y29&gt;='Options and results'!$I$19,'Options and results'!$I$18,1) )</f>
        <v>55.149369394929316</v>
      </c>
      <c r="AL29" s="1453">
        <f>IF($W$8=0,0,HLOOKUP(CONCATENATE('Options and results'!$C$32," ",Forestrysystem!$H$8),Forestrysystem!$A$7:$IH$70,$V29+4,FALSE)*IF(V29&gt;='Options and results'!$I$19,'Options and results'!$I$18,1))</f>
        <v>0</v>
      </c>
      <c r="AM29" s="1383">
        <f>IF($W$8=0,0,HLOOKUP(CONCATENATE('Options and results'!$C$32," ",Forestrysystem!$I$8),Forestrysystem!$A$7:$IH$70,$V29+4,FALSE)*IF(V29&gt;='Options and results'!$I$19,'Options and results'!$I$18,1))</f>
        <v>0</v>
      </c>
      <c r="AN29" s="1382">
        <f>IF(AI29&gt;0,HLOOKUP(AI29,Treevalue!$I$4:$BC$34,'Options and results'!$C$39+1),0)*IF(V29&gt;='Options and results'!$I$21,'Options and results'!$I$20,1)*IF(1+'Options and results'!$Q$20*(V29-1)&gt;0,1+'Options and results'!$Q$20*(V29-1),0)</f>
        <v>21.922731492282306</v>
      </c>
      <c r="AO29" s="1454">
        <f t="shared" si="136"/>
        <v>2741.8794025556376</v>
      </c>
      <c r="AP29" s="1454">
        <f t="shared" si="137"/>
        <v>0</v>
      </c>
      <c r="AQ29" s="1454">
        <f>(IF('Options and results'!$C$39&gt;0,IF(V29&lt;='Options and results'!$W$20,VLOOKUP('Options and results'!$C$39,Treevalue!$A$4:$F$34,5,FALSE),0),0)*AK29)*IF(V29&gt;='Options and results'!$I$21,'Options and results'!$I$20,1)*IF(1+'Options and results'!$Q$20*(V29-1)&gt;0,1+'Options and results'!$Q$20*(V29-1),0)-AR29</f>
        <v>1378.7342348732329</v>
      </c>
      <c r="AR29" s="1441">
        <f>(IF('Options and results'!$C$39&gt;0,IF(V29&lt;='Options and results'!$W$20,VLOOKUP('Options and results'!$C$39,Treevalue!$A$4:$F$34,5,FALSE),0),0)*AL29)*IF(V29&gt;='Options and results'!$I$21,'Options and results'!$I$20,1)*IF(1+'Options and results'!$Q$20*(V29-1)&gt;0,1+'Options and results'!$Q$20*(V29-1),0)</f>
        <v>0</v>
      </c>
      <c r="AS29" s="1441">
        <f>(IF('Options and results'!$C$39&gt;0,IF(V29&lt;='Options and results'!$W$20,VLOOKUP('Options and results'!$C$39,Treevalue!$A$4:$F$34,6,FALSE),0),0)*AM29)*IF(V29&gt;='Options and results'!$I$21,'Options and results'!$I$20,1)*IF(1+'Options and results'!$Q$20*(V29-1)&gt;0,1+'Options and results'!$Q$20*(V29-1),0)</f>
        <v>0</v>
      </c>
      <c r="AT29" s="1441">
        <f>IF(V29&lt;='Options and results'!$W$20,(IF(AB29&lt;=0,0,IF('Options and results'!$C$43="cost",(IF(V29&lt;='Options and results'!$C$44,BZ29*SUM('Options and results'!$C$45:$C$46),0)),IF('Options and results'!$C$41&gt;0,(IF(VLOOKUP('Options and results'!$C$42,Treegrant!$B$6:$L$42,Treegrant!$C$2,FALSE)=V29,VLOOKUP('Options and results'!$C$42,Treegrant!$B$6:$L$42,Treegrant!$D$2,FALSE),0)+IF(VLOOKUP('Options and results'!$C$42,Treegrant!$B$6:$L$42,Treegrant!$E$2,FALSE)=V29,VLOOKUP('Options and results'!$C$42,Treegrant!$B$6:$L$42,Treegrant!$F$2,FALSE),0)+IF(VLOOKUP('Options and results'!$C$42,Treegrant!$B$6:$L$42,Treegrant!$G$2,FALSE)=V29,VLOOKUP('Options and results'!$C$42,Treegrant!$B$6:$L$42,Treegrant!$H$2,FALSE)))*IF('Options and results'!$C$43="area",1,'Options and results'!$C$43),0)))*IF(V29&gt;='Options and results'!$I$23,'Options and results'!$I$22,1)),0)*IF(1+'Options and results'!$Q$23*(V29-1)&gt;0,1+'Options and results'!$Q$23*(V29-1),0)</f>
        <v>0</v>
      </c>
      <c r="AU29" s="1441">
        <f>IF($W$8=0,0,IF(V29&lt;='Options and results'!$W$20,IF(AB29&lt;=0,0,IF('Options and results'!$C$41&gt;0,IF(AND(VLOOKUP('Options and results'!$C$42,Treegrant!$B$6:$L$42,Treegrant!$J$2,FALSE)&lt;=V29,VLOOKUP('Options and results'!$C$42,Treegrant!$B$6:$L$42,Treegrant!$K$2,FALSE)&gt;=V29),(VLOOKUP('Options and results'!$C$42,Treegrant!$B$6:$L$42,Treegrant!$L$2,FALSE)),0)*IF('Options and results'!$C$47="full",1,'Options and results'!$C$47))*IF(V29&gt;='Options and results'!$I$23,'Options and results'!$I$22,1)),0))*IF(1+'Options and results'!$Q$23*(V29-1)&gt;0,1+'Options and results'!$Q$23*(V29-1),0)</f>
        <v>0</v>
      </c>
      <c r="AV29" s="1032">
        <f>IF($W$8=0,0,IF(V29&lt;='Options and results'!$W$20,IF(AB29&lt;=0,0,(IF('Options and results'!$C$41&gt;0,(IF(AND(VLOOKUP('Options and results'!$C$42,Treegrant!$B$6:$O$42,Treegrant!$M$2,FALSE)&lt;=V29,VLOOKUP('Options and results'!$C$42,Treegrant!$B$6:$O$42,Treegrant!$N$2,FALSE)&gt;=V29),(VLOOKUP('Options and results'!$C$42,Treegrant!$B$6:$O$42,Treegrant!$O$2,FALSE)),0)*IF('Options and results'!$C$48="full",1,'Options and results'!$C$48))+(IF(AND(VLOOKUP('Options and results'!$C$42,Treegrant!$B$6:$R$42,Treegrant!$P$2,FALSE)&lt;=V29,VLOOKUP('Options and results'!$C$42,Treegrant!$B$6:$R$42,Treegrant!$Q$2,FALSE)&gt;=V29),(VLOOKUP('Options and results'!$C$42,Treegrant!$B$6:$R$42,Treegrant!$R$2,FALSE)),0))*IF('Options and results'!$C$49="full",1,'Options and results'!$C$49)))*IF(V29&gt;='Options and results'!$I$23,'Options and results'!$I$22,1)),0))*IF(1+'Options and results'!$Q$23*(V29-1)&gt;0,1+'Options and results'!$Q$23*(V29-1),0)</f>
        <v>0</v>
      </c>
      <c r="AW29" s="1041"/>
      <c r="AX29" s="1042"/>
      <c r="AY29" s="1419">
        <f>IF($W$8=0,0,IF(V29=1,VLOOKUP($W$8,Treecost!$B$6:$AH$49,Treecost!$E$2,FALSE),0)*IF(V29&gt;='Options and results'!$I$25,'Options and results'!$I$24,1))</f>
        <v>0</v>
      </c>
      <c r="AZ29" s="889">
        <f>IF($W$8=0,0,IF(V29=1,VLOOKUP($W$8,Treecost!$B$6:$AH$49,Treecost!$F$2,FALSE),0)*IF(V29&gt;='Options and results'!$I$25,'Options and results'!$I$24,1))</f>
        <v>0</v>
      </c>
      <c r="BA29" s="889">
        <f>IF($W$8=0,0,IF(V29=1,VLOOKUP($W$8,Treecost!$B$6:$AH$49,Treecost!$G$2,FALSE),0)*IF(V29&gt;='Options and results'!$I$25,'Options and results'!$I$24,1))</f>
        <v>0</v>
      </c>
      <c r="BB29" s="889">
        <f>IF($W$8=0,0,IF(V29&lt;='Options and results'!$W$20,((VLOOKUP($W$8,Treecost!$B$6:$AH$49,Treecost!$H$2,FALSE)*(X29+AA29))/60)*IF(V29&gt;='Options and results'!$I$25,'Options and results'!$I$24,1),0))</f>
        <v>0</v>
      </c>
      <c r="BC29" s="889">
        <f>IF($W$8=0,0,IF(V29&lt;='Options and results'!$W$20,(((VLOOKUP($W$8,Treecost!$B$6:$AH$49,Treecost!$I$2,FALSE))*(X29+AA29))/60)*IF(V29&gt;='Options and results'!$I$25,'Options and results'!$I$24,1),0))</f>
        <v>0</v>
      </c>
      <c r="BD29" s="889">
        <f>IF($W$8=0,0,IF(V29&lt;='Options and results'!$W$20,(((VLOOKUP($W$8,Treecost!$B$6:$AH$49,Treecost!$J$2,FALSE))/60)*(X29+AA29))*IF(V29&gt;='Options and results'!$I$25,'Options and results'!$I$24,1),0))</f>
        <v>0</v>
      </c>
      <c r="BE29" s="1019">
        <f>IF($W$8=0,0,IF(V29&lt;='Options and results'!$W$20,(((VLOOKUP($W$8,Treecost!$B$6:$AH$49,Treecost!$C$2,FALSE)+VLOOKUP($W$8,Treecost!$B$6:$AH$49,Treecost!$D$2,FALSE))*(X29+AA29)*IF(1+'Options and results'!$Q$22*(V29-1)&gt;0,1+'Options and results'!$Q$22*(V29-1),0))+((AY29*$AX$8+AZ29*$AX$9+BA29*$AX$10+BB29*$AX$11+BC29*$AX$12+BD29*$AX$13)*IF(1+'Options and results'!$Q$21*(V29-1)&gt;0,1+'Options and results'!$Q$21*(V29-1),0)))*IF(V29&gt;='Options and results'!$I$27,'Options and results'!$I$26,1),0))</f>
        <v>0</v>
      </c>
      <c r="BF29" s="889">
        <f>IF($W$8=0,0,IF(V29&lt;='Options and results'!$W$20,IF(AND(VLOOKUP($W$8,Treecost!$B$6:$AH$49,Treecost!$K$2,FALSE)&lt;=V29,V29&lt;=(VLOOKUP($W$8,Treecost!$B$6:$AH$49,Treecost!$L$2,FALSE))),VLOOKUP($W$8,Treecost!$B$6:$AH$49,Treecost!$M$2,FALSE)*AB29/60,0)*IF(V29&gt;='Options and results'!$I$25,'Options and results'!$I$24,1),0))</f>
        <v>0</v>
      </c>
      <c r="BG29" s="1019">
        <f>IF(BF29&gt;0,(VLOOKUP($W$8,Treecost!$B$6:$AH$49,Treecost!$N$2,FALSE)*AB29*IF(1+'Options and results'!$Q$22*(V29-1)&gt;0,1+'Options and results'!$Q$22*(V29-1),0)+BF29*$AX$14*IF(1+'Options and results'!$Q$21*(V29-1)&gt;0,1+'Options and results'!$Q$21*(V29-1),0)),0)*IF(V29&gt;='Options and results'!$I$27,'Options and results'!$I$26,1)</f>
        <v>0</v>
      </c>
      <c r="BH29" s="889">
        <f>IF(V29&lt;='Options and results'!$W$20,IF(AND(AG29-AG28&gt;0,AG29&gt;'Options and results'!$M$36),(AB29-AC29)*(VLOOKUP($W$8,Treecost!$B$6:$AH$49,Treecost!$Y$2,FALSE)+(VLOOKUP($W$8,Treecost!$B$6:$AH$49,Treecost!$AA$2,FALSE)-VLOOKUP($W$8,Treecost!$B$6:$AH$49,Treecost!$Y$2,FALSE))/(VLOOKUP($W$8,Treecost!$B$6:$AH$49,Treecost!$Z$2,FALSE)-VLOOKUP($W$8,Treecost!$B$6:$AH$49,Treecost!$X$2,FALSE))*(AG29-VLOOKUP($W$8,Treecost!$B$6:$AH$49,Treecost!$X$2,FALSE)))/60,0)*IF(V29&gt;='Options and results'!$I$25,'Options and results'!$I$24,1),0)</f>
        <v>0</v>
      </c>
      <c r="BI29" s="303">
        <f>IF(V29&lt;='Options and results'!$W$20,IF(BH29&gt;0,VLOOKUP($W$8,Treecost!$B$6:$AH$49,Treecost!$AB$2,FALSE)/60*AB29,0)*IF(V29&gt;='Options and results'!$I$25,'Options and results'!$I$24,1),0)*((BH29-(MIN($BH$8:$BH$67)))/((MAX($BH$8:$BH$67))-(MIN($BH$8:$BH$67))))</f>
        <v>0</v>
      </c>
      <c r="BJ29" s="740">
        <f>IF(BH29&gt;0,(BH29*$AX$15+BI29*$AX$19)*IF(1+'Options and results'!$Q$21*(V29-1)&gt;0,1+'Options and results'!$Q$21*(V29-1),0),0)*IF(V29&gt;='Options and results'!$I$27,'Options and results'!$I$26,1)</f>
        <v>0</v>
      </c>
      <c r="BK29" s="891">
        <f>IF($W$8=0,0,IF(V29&lt;='Options and results'!$W$20,IF(VLOOKUP($W$8,Treecost!$B$2:$AH$49,Treecost!$O$2,FALSE)=V29,VLOOKUP($W$8,Treecost!$B$2:$AH$49,Treecost!$P$2,FALSE),0)*IF(V29&gt;='Options and results'!$I$25,'Options and results'!$I$24,1),0))</f>
        <v>0</v>
      </c>
      <c r="BL29" s="889">
        <f>IF($W$8=0,0,IF(V29&lt;='Options and results'!$W$20,IF(AND(V29&gt;VLOOKUP($W$8,Treecost!$B$2:$AH$49,Treecost!$O$2,FALSE),V29&lt;=VLOOKUP($W$8,Treecost!$B$2:$AH$49,Treecost!$R$2,FALSE)),VLOOKUP($W$8,Treecost!$B$2:$AH$49,Treecost!$S$2,FALSE),0)*IF(V29&gt;='Options and results'!$I$25,'Options and results'!$I$24,1),0))</f>
        <v>0</v>
      </c>
      <c r="BM29" s="740">
        <f>IF($W$8=0,0,IF(V29&lt;='Options and results'!$W$20,((IF(VLOOKUP($W$8,Treecost!$B$2:$AH$49,Treecost!$O$2,FALSE)=V29,VLOOKUP($W$8,Treecost!$B$2:$AH$49,Treecost!$Q$2,FALSE),0)+IF(AND(V29&gt;VLOOKUP($W$8,Treecost!$B$2:$AH$49,Treecost!$O$2,FALSE),V29&lt;=VLOOKUP($W$8,Treecost!$B$2:$AH$49,Treecost!$R$2,FALSE)),VLOOKUP($W$8,Treecost!$B$2:$AH$49,Treecost!$T$2,FALSE),0)*IF(1+'Options and results'!$Q$22*(V29-1)&gt;0,1+'Options and results'!$Q$22*(V29-1),0))+(BK29*$AX$16+BL29*$AX$17)*IF(1+'Options and results'!$Q$21*(V29-1)&gt;0,1+'Options and results'!$Q$21*(V29-1),0))*IF(V29&gt;='Options and results'!$I$27,'Options and results'!$I$26,1),0))</f>
        <v>0</v>
      </c>
      <c r="BN29" s="894">
        <f>IF($W$8=0,0,IF(V29&lt;='Options and results'!$W$20,IF(AND(V29&gt;=VLOOKUP($W$8,Treecost!$B$2:$W$49,Treecost!$U$2,FALSE),V29&lt;=VLOOKUP($W$8,Treecost!$B$2:$W$49,Treecost!$V$2,FALSE)),(AB29*VLOOKUP($W$8,Treecost!$B$2:$W$49,Treecost!$W$2,FALSE)/60),0)*IF(V29&gt;='Options and results'!$I$25,'Options and results'!$I$24,1),0))</f>
        <v>0</v>
      </c>
      <c r="BO29" s="740">
        <f>BN29*$AX$18*IF(V29&gt;='Options and results'!$I$27,'Options and results'!$I$26,1)*IF(1+'Options and results'!$Q$21*(V29-1)&gt;0,1+'Options and results'!$Q$21*(V29-1),0)</f>
        <v>0</v>
      </c>
      <c r="BP29" s="894">
        <f>IF(V29&lt;='Options and results'!$W$20,IF(AB29&lt;=0,0,VLOOKUP($W$8,Treecost!$B$6:$AH$49,Treecost!$AC$2,FALSE)+VLOOKUP($W$8,Treecost!$B$6:$AH$49,Treecost!$AD$2,FALSE)+IF(AND(V29&gt;=VLOOKUP($W$8,Treecost!$B$2:$AK$49,Treecost!$AI$2,FALSE),V29&lt;=VLOOKUP($W$8,Treecost!$B$2:$AK$49,Treecost!$AJ$2,FALSE)),(VLOOKUP($W$8,Treecost!$B$2:$AK$49,Treecost!$AK$2,FALSE)),0))*IF(V29&gt;='Options and results'!$I$27,'Options and results'!$I$26,1),0)*IF(1+'Options and results'!$Q$22*(V29-1)&gt;0,1+'Options and results'!$Q$22*(V29-1),0)</f>
        <v>3</v>
      </c>
      <c r="BQ29" s="894">
        <f>IF(V29&lt;='Options and results'!$W$20,IF(AC29&gt;0,VLOOKUP($W$8,Treecost!$B$6:$AH$49,Treecost!$AE$2,FALSE)/60*AC29,0)*IF(V29&gt;='Options and results'!$I$25,'Options and results'!$I$24,1),0)</f>
        <v>0</v>
      </c>
      <c r="BR29" s="740">
        <f>IF(V29&lt;='Options and results'!$W$20,IF(AC29&gt;0,VLOOKUP($W$8,Treecost!$B$6:$AH$49,Treecost!$AF$2,FALSE)/60*AC29,0)*IF(V29&gt;='Options and results'!$I$25,'Options and results'!$I$24,1),0)</f>
        <v>0</v>
      </c>
      <c r="BS29" s="740">
        <f>(BQ29*$AX$20+BR29*$AX$21)*IF(V29&gt;='Options and results'!$I$27,'Options and results'!$I$26,1)*IF(1+'Options and results'!$Q$21*(V29-1)&gt;0,1+'Options and results'!$Q$21*(V29-1),0)</f>
        <v>0</v>
      </c>
      <c r="BT29" s="894">
        <f>IF(V29&lt;='Options and results'!$W$20,IF(AD29&gt;0,(VLOOKUP($W$8,Treecost!$B$6:$AH$49,Treecost!$AG$2,FALSE)/60*AD29)*IF(V29&gt;='Options and results'!$I$25,'Options and results'!$I$24,1),0),0)</f>
        <v>0</v>
      </c>
      <c r="BU29" s="740">
        <f>IF(V29&lt;='Options and results'!$W$20,IF(AD29&gt;0,(VLOOKUP($W$8,Treecost!$B$6:$AH$49,Treecost!$AH$2,FALSE)/60*AD29)*IF(V29&gt;='Options and results'!$I$25,'Options and results'!$I$24,1),0),0)</f>
        <v>0</v>
      </c>
      <c r="BV29" s="740">
        <f>(BT29*$AX$22+BU29*$AX$23)*IF(V29&gt;='Options and results'!$I$27,'Options and results'!$I$26,1)*IF(1+'Options and results'!$Q$21*(V29-1)&gt;0,1+'Options and results'!$Q$21*(V29-1),0)</f>
        <v>0</v>
      </c>
      <c r="BW29" s="1033">
        <f t="shared" si="138"/>
        <v>0</v>
      </c>
      <c r="BX29" s="1027">
        <f t="shared" si="139"/>
        <v>0</v>
      </c>
      <c r="BY29" s="1027">
        <f t="shared" si="140"/>
        <v>0</v>
      </c>
      <c r="BZ29" s="740">
        <f t="shared" si="124"/>
        <v>3</v>
      </c>
      <c r="CA29" s="740">
        <f t="shared" si="141"/>
        <v>-3</v>
      </c>
      <c r="CB29" s="894">
        <f>IF($V29&lt;='Options and results'!$W$20,SUM(BX$8:$BX29),0)</f>
        <v>0</v>
      </c>
      <c r="CC29" s="740">
        <f>IF($V29&lt;='Options and results'!$W$20,SUM($BY$8:BY29),0)</f>
        <v>0</v>
      </c>
      <c r="CD29" s="740">
        <f>IF($V29&lt;='Options and results'!$W$20,SUM($BZ$8:BZ29),0)</f>
        <v>1634.7443691843955</v>
      </c>
      <c r="CE29" s="740">
        <f>IF(V29&lt;='Options and results'!$W$20,CB29+CC29-CD29,0)</f>
        <v>-1634.7443691843955</v>
      </c>
      <c r="CF29" s="1381">
        <f t="shared" si="142"/>
        <v>529.86805881354326</v>
      </c>
      <c r="CG29" s="1027">
        <f t="shared" si="143"/>
        <v>526.86805881354326</v>
      </c>
      <c r="CH29" s="1027">
        <f t="shared" si="144"/>
        <v>0</v>
      </c>
      <c r="CI29" s="1189">
        <f>IF(V29&lt;='Options and results'!$W$20,CE29+AO29,0)</f>
        <v>1107.1350333712421</v>
      </c>
      <c r="CJ29" s="1023"/>
      <c r="CK29" s="895">
        <f t="shared" si="145"/>
        <v>22</v>
      </c>
      <c r="CL29" s="1011" t="str">
        <f>IF('Options and results'!$C$54="None",0,IF(AND(CK29&gt;='Options and results'!$K$57,CK28&lt;'Options and results'!$W$20),'Options and results'!$K$56,IF(Optimisation!$B$3="No",CONCATENATE('Options and results'!$C$60," ",(HLOOKUP(CONCATENATE('Options and results'!$C$54," ",Agroforestrysystem!$B$12),Agroforestrysystem!$B$11:$IM$74,$CK29+4,FALSE))),Optimisation!AA49)))</f>
        <v>UK - Agriculture (BPS: from 2015) Agroforestry fallow</v>
      </c>
      <c r="CM29" s="1012">
        <f>IF(HLOOKUP(CONCATENATE('Options and results'!$C$54," ",Agroforestrysystem!$C$12),Agroforestrysystem!$B$11:$IM$74,$CK29+4,FALSE)="T",(VLOOKUP(CL29,Arablefinance!$Z$6:$AB$105,Arablefinance!$AB$2,FALSE)*CO29+VLOOKUP(CL29,Arablefinance!$Z$6:$AC$105,Arablefinance!$AC$2,FALSE)*CP29)/VLOOKUP(CL29,Arablefinance!$Z$6:$AA$105,Arablefinance!$AA$2,FALSE),0)</f>
        <v>0</v>
      </c>
      <c r="CN29" s="1012">
        <f>IF(CL29=0,0,HLOOKUP(CONCATENATE('Options and results'!$C$54," ",Agroforestrysystem!$D$12),Agroforestrysystem!$B$11:$IM$74,$CK29+4,FALSE))</f>
        <v>0.99</v>
      </c>
      <c r="CO29" s="1440">
        <f ca="1">IF(CL29=0,0,IF(AND(Optimisation!$B$3="yes",Optimisation!$B$4=1,CK29&gt;Optimisation!$B$9),0,HLOOKUP(CONCATENATE('Options and results'!$C$54," ",Agroforestrysystem!$E$12),Agroforestrysystem!$B$11:$IM$74,$CK29+4,FALSE)*IF(CK29&gt;='Options and results'!$J$19,'Options and results'!$J$18,1)))</f>
        <v>0</v>
      </c>
      <c r="CP29" s="1440">
        <f ca="1">IF(CL29=0,0,IF(AND(Optimisation!$B$3="yes",Optimisation!$B$4=1,CK29&gt;Optimisation!$B$9),0,HLOOKUP(CONCATENATE('Options and results'!$C$54," ",Agroforestrysystem!$F$12),Agroforestrysystem!$B$11:$IM$74,$CK29+4,FALSE)*IF(CK29&gt;='Options and results'!$J$19,'Options and results'!$J$18,1)))</f>
        <v>0</v>
      </c>
      <c r="CQ29" s="1013">
        <f ca="1">IF(CN29&lt;=0,0,IF(CK29&lt;='Options and results'!$W$20,IF(CM29&gt;0,VLOOKUP(CL29,Arablefinance!$Z$6:$AE$105,Arablefinance!$AD$2,FALSE)*CM29*CN29,((VLOOKUP(CL29,Arablefinance!$E$6:$H$126,2,FALSE)*CO29+VLOOKUP(CL29,Arablefinance!$E$6:$H$126,3,FALSE)*CP29)*CN29)),0)*IF(CK29&gt;='Options and results'!$J$21,'Options and results'!$J$20,1))*IF(1+'Options and results'!$O$20*(CK29-1)&gt;0,1+'Options and results'!$O$20*(CK29-1),0)</f>
        <v>0</v>
      </c>
      <c r="CR29" s="1441">
        <f>IF(CN29&lt;=0,0,IF(AND(CM29&gt;0,VLOOKUP(CL29,Arablefinance!$Z$6:$AI$105,Arablefinance!$AI$2,FALSE)=2),VLOOKUP(CL29,Arablefinance!$Z$6:$AE$105,Arablefinance!$AE$2,FALSE)*CM29*CN29,IF('Options and results'!$C$62&gt;0,IF(VLOOKUP(CL29,Arablefinance!$E$6:$W$126,Arablefinance!$H$2,FALSE)*(1-Plot!DM29*'Options and results'!$C$62)&gt;0,VLOOKUP(CL29,Arablefinance!$E$6:$W$126,Arablefinance!$H$2,FALSE)*(1-Plot!DM29*'Options and results'!$C$62),0),IF(CK29&lt;='Options and results'!$W$20,(VLOOKUP(CL29,Arablefinance!$E$6:$W$126,Arablefinance!$H$2,FALSE)*IF('Options and results'!$C$61="area",CN29,'Options and results'!$C$61)),0)))*IF(CK29&gt;='Options and results'!$J$23,'Options and results'!$J$22,1))*IF(AND(1+'Options and results'!$O$23*(CK29-1)&gt;0,1+'Options and results'!$O$23*(CK29-1)&gt;'Options and results'!$S$24),1+'Options and results'!$O$23*(CK29-1),'Options and results'!$S$24)</f>
        <v>0</v>
      </c>
      <c r="CS29" s="1441">
        <f t="shared" ca="1" si="146"/>
        <v>0</v>
      </c>
      <c r="CT29" s="1441">
        <f>IF(CN29&lt;=0,0,IF(CK29&lt;='Options and results'!$W$20,IF(CM29&gt;0,VLOOKUP(CL29,Arablefinance!$Z$6:$AF$105,Arablefinance!$AF$2,FALSE)*CM29*CN29,VLOOKUP(CL29,Arablefinance!$E$6:$X$126,Arablefinance!$R$2,FALSE)*CN29),0)*IF(CK29&gt;='Options and results'!$J$27,'Options and results'!$J$26,1))*IF(1+'Options and results'!$O$22*(CK29-1)&gt;0,1+'Options and results'!$O$22*(CK29-1),0)</f>
        <v>0</v>
      </c>
      <c r="CU29" s="1441">
        <f t="shared" ca="1" si="147"/>
        <v>0</v>
      </c>
      <c r="CV29" s="1441">
        <f>IF(CN29&lt;=0,0,IF(CK29&lt;='Options and results'!$W$20,IF(CM29&gt;0,VLOOKUP(CL29,Arablefinance!$Z$6:$AG$105,Arablefinance!$AG$2,FALSE)*CM29*CN29,VLOOKUP(CL29,Arablefinance!$E$6:$X$126,Arablefinance!$X$2,FALSE)*CN29),0)*IF(CK29&gt;='Options and results'!$J$27,'Options and results'!$J$26,1))*IF(1+'Options and results'!$O$22*(CK29-1)&gt;0,1+'Options and results'!$O$22*(CK29-1),0)</f>
        <v>0</v>
      </c>
      <c r="CW29" s="1442">
        <f>IF(CN29&lt;=0,0,IF(CK29&lt;='Options and results'!$W$20,'Options and results'!$C$27*IF(CK29&gt;='Options and results'!$J$27,'Options and results'!$J$26,1),0))*IF(1+'Options and results'!$O$21*(CK29-1)&gt;0,1+'Options and results'!$O$21*(CK29-1),0)</f>
        <v>14.6</v>
      </c>
      <c r="CX29" s="1442">
        <f>IF(CN29&lt;=0,0,IF(CK29&lt;='Options and results'!$W$20,IF(CM29&gt;0,VLOOKUP(CL29,Arablefinance!$Z$6:$AH$105,Arablefinance!$AH$2,FALSE)*CM29*CN29,VLOOKUP(CL29,Arablefinance!$E$6:$W$126,Arablefinance!$V$2,FALSE)*CN29),0)*IF(CK29&gt;='Options and results'!$J$25,'Options and results'!$J$24,1))</f>
        <v>0</v>
      </c>
      <c r="CY29" s="1013">
        <f t="shared" si="148"/>
        <v>0</v>
      </c>
      <c r="CZ29" s="1353">
        <f t="shared" ca="1" si="149"/>
        <v>0</v>
      </c>
      <c r="DA29" s="1013">
        <f ca="1">IF($CK29&lt;='Options and results'!$W$20,SUM($CQ$8:CQ29),0)</f>
        <v>18417.950100000002</v>
      </c>
      <c r="DB29" s="1441">
        <f>IF($CK29&lt;='Options and results'!$W$20,SUM($CR$8:CR29),0)</f>
        <v>0</v>
      </c>
      <c r="DC29" s="1441">
        <f>IF($CK29&lt;='Options and results'!$W$20,SUM($CY$8:CY29),0)</f>
        <v>16943.30918829242</v>
      </c>
      <c r="DD29" s="1189">
        <f ca="1">IF(CK29&lt;='Options and results'!$W$20,DA29+DB29-DC29,0)</f>
        <v>1474.6409117075818</v>
      </c>
      <c r="DE29" s="401"/>
      <c r="DF29" s="895">
        <f t="shared" si="150"/>
        <v>22</v>
      </c>
      <c r="DG29" s="173"/>
      <c r="DH29" s="1422"/>
      <c r="DI29" s="1427">
        <f>IF(DF29&lt;='Options and results'!$M$61,'Options and results'!$M$60,0)</f>
        <v>0</v>
      </c>
      <c r="DJ29" s="740">
        <f t="shared" si="151"/>
        <v>0</v>
      </c>
      <c r="DK29" s="740">
        <f t="shared" si="152"/>
        <v>0</v>
      </c>
      <c r="DL29" s="1428">
        <f t="shared" si="153"/>
        <v>100</v>
      </c>
      <c r="DM29" s="1429">
        <f>IF($DG$8=0,0,HLOOKUP(CONCATENATE('Options and results'!$C$54," ",Agroforestrysystem!$J$12),Agroforestrysystem!$11:$74,DF29+3,FALSE))/100</f>
        <v>1</v>
      </c>
      <c r="DN29" s="740">
        <f>IF($DG$8=0,0,IF(HLOOKUP(CONCATENATE('Options and results'!$C$54," ",Agroforestrysystem!$H$12),Agroforestrysystem!$11:$74,DF29+4,FALSE)&lt;DL29,HLOOKUP(CONCATENATE('Options and results'!$C$54," ",Agroforestrysystem!$H$12),Agroforestrysystem!$11:$74,DF29+4,FALSE),0))</f>
        <v>0</v>
      </c>
      <c r="DO29" s="1027">
        <f>IF($DG$8=0,0,IF(HLOOKUP(CONCATENATE('Options and results'!$C$54," ",Agroforestrysystem!$H$12),Agroforestrysystem!$11:$74,DF29+4,FALSE)&gt;=DL29,DL29,0))</f>
        <v>0</v>
      </c>
      <c r="DP29" s="1430">
        <f>IF($DG$8=0,0,HLOOKUP(CONCATENATE('Options and results'!$C$54," ",Agroforestrysystem!$I$12),Agroforestrysystem!$11:$74,DF29+4,FALSE))</f>
        <v>27.010276587145121</v>
      </c>
      <c r="DQ29" s="1038"/>
      <c r="DR29" s="1390">
        <f>IF($DG$8=0,0,IF(DF29&gt;'Options and results'!$W$20,0,)+IF(DF29=1,'Options and results'!$M$64)+IF('Options and results'!$M$67="yes",IF(AND(DR28+'Options and results'!$M$65&lt;=$DQ$8,DR28+'Options and results'!$M$65+IF(DF29=1,'Options and results'!$M$64,0)&lt;='Options and results'!$M$66*DP29),DR28+'Options and results'!$M$65,DR28),(HLOOKUP(CONCATENATE('Options and results'!$C$54," ",Agroforestrysystem!$K$12),Agroforestrysystem!$11:$74,DF29+4,FALSE)-IF(DF29=1,'Options and results'!$M$64))))</f>
        <v>7.5</v>
      </c>
      <c r="DS29" s="1027">
        <f>IF(OR($DG$8=0,DL29=0),0,HLOOKUP(CONCATENATE('Options and results'!$C$54," ",Agroforestrysystem!$L$12),Agroforestrysystem!$11:$74,DF29+4,FALSE)*IF(DF29&gt;='Options and results'!$K$19,'Options and results'!$K$18,1))</f>
        <v>114.91193876244324</v>
      </c>
      <c r="DT29" s="1431">
        <f t="shared" si="154"/>
        <v>1.1491193876244323</v>
      </c>
      <c r="DU29" s="889">
        <f t="shared" si="155"/>
        <v>0</v>
      </c>
      <c r="DV29" s="1027">
        <f>IF($DG$8=0,0,(HLOOKUP(CONCATENATE('Options and results'!$C$54," ",Agroforestrysystem!$M$12),Agroforestrysystem!$11:$74,DF29+4,FALSE))*IF(DF29&gt;='Options and results'!$K$19,'Options and results'!$K$18,1))-DW29</f>
        <v>50.670129994938293</v>
      </c>
      <c r="DW29" s="303">
        <f>IF($DG$8=0,0,(HLOOKUP(CONCATENATE('Options and results'!$C$54," ",Agroforestrysystem!$N$12),Agroforestrysystem!$11:$74,DF29+4,FALSE))*IF(DF29&gt;='Options and results'!$K$19,'Options and results'!$K$18,1))</f>
        <v>0</v>
      </c>
      <c r="DX29" s="303">
        <f>IF($DG$8=0,0,HLOOKUP(CONCATENATE('Options and results'!$C$54," ",Agroforestrysystem!$O$12),Agroforestrysystem!$11:$74,DF29+4,FALSE)*IF(DF29&gt;='Options and results'!$K$19,'Options and results'!$K$18,1))</f>
        <v>0</v>
      </c>
      <c r="DY29" s="1192">
        <f>IF(DT29&gt;0,HLOOKUP(DT29,Treevalue!$I$4:$BC$34,'Options and results'!$C$66+1),0)*IF(DF29&gt;='Options and results'!$K$21,'Options and results'!$K$20,1)*IF(1+'Options and results'!$Q$20*(DF29-1)&gt;0,1+'Options and results'!$Q$20*(DF29-1),0)</f>
        <v>25.135170948450579</v>
      </c>
      <c r="DZ29" s="1027">
        <f t="shared" si="156"/>
        <v>2888.331224811895</v>
      </c>
      <c r="EA29" s="1027">
        <f t="shared" si="125"/>
        <v>0</v>
      </c>
      <c r="EB29" s="1027">
        <f>(IF('Options and results'!$C$66&gt;0,IF(DF29&lt;='Options and results'!$W$20,VLOOKUP('Options and results'!$C$66,Treevalue!$A$4:$F$34,5,FALSE),0),0)*DV29)*IF(DF29&gt;='Options and results'!$K$21,'Options and results'!$K$20,1)*IF(1+'Options and results'!$Q$20*(DF29-1)&gt;0,1+'Options and results'!$Q$20*(DF29-1),0)</f>
        <v>1266.7532498734572</v>
      </c>
      <c r="EC29" s="740">
        <f>(IF('Options and results'!$C$66&gt;0,IF(DF29&lt;='Options and results'!$W$20,VLOOKUP('Options and results'!$C$66,Treevalue!$A$4:$F$34,5,FALSE),0),0)*DW29)*IF(DF29&gt;='Options and results'!$K$21,'Options and results'!$K$20,1)*IF(1+'Options and results'!$Q$20*(DF29-1)&gt;0,1+'Options and results'!$Q$20*(DF29-1),0)</f>
        <v>0</v>
      </c>
      <c r="ED29" s="889">
        <f>(IF('Options and results'!$C$66&gt;0,IF(DF29&lt;='Options and results'!$W$20,VLOOKUP('Options and results'!$C$66,Treevalue!$A$4:$F$34,6,FALSE),0),0)*DX29)*IF(DF29&gt;='Options and results'!$K$21,'Options and results'!$K$20,1)*IF(1+'Options and results'!$Q$20*(DF29-1)&gt;0,1+'Options and results'!$Q$20*(DF29-1),0)</f>
        <v>0</v>
      </c>
      <c r="EE29" s="740">
        <f>IF(DF29&lt;='Options and results'!$W$20,IF(DL29&lt;=0,0,IF('Options and results'!$C$70="cost",(IF(DF29&lt;='Options and results'!$C$71,FK29*SUM('Options and results'!$C$72:$C$73),0)),IF('Options and results'!$C$68&gt;0,(IF(VLOOKUP('Options and results'!$C$69,Treegrant!$B$6:$L$42,Treegrant!$C$2,FALSE)=DF29,VLOOKUP('Options and results'!$C$69,Treegrant!$B$6:$L$42,Treegrant!$D$2,FALSE),0)+IF(VLOOKUP('Options and results'!$C$69,Treegrant!$B$6:$L$42,Treegrant!$E$2,FALSE)=DF29,VLOOKUP('Options and results'!$C$69,Treegrant!$B$6:$L$42,Treegrant!$F$2,FALSE),0)+IF(VLOOKUP('Options and results'!$C$69,Treegrant!$B$6:$L$42,Treegrant!$G$2,FALSE)=DF29,VLOOKUP('Options and results'!$C$69,Treegrant!$B$6:$L$42,Treegrant!$H$2,FALSE)))*IF('Options and results'!$C$70="area",Unit!C30,'Options and results'!$C$70),0))*IF(DF29&gt;='Options and results'!$K$23,'Options and results'!$K$22,1)),0)*IF(1+'Options and results'!$Q$23*(DF29-1)&gt;0,1+'Options and results'!$Q$23*(DF29-1),0)</f>
        <v>0</v>
      </c>
      <c r="EF29" s="740">
        <f>IF($DG$8=0,0,IF(DF29&lt;='Options and results'!$W$20,IF(DL29&lt;=0,0,IF('Options and results'!$C$68&gt;0,IF(AND(VLOOKUP('Options and results'!$C$69,Treegrant!$B$6:$L$42,Treegrant!$J$2,FALSE)&lt;=DF29,VLOOKUP('Options and results'!$C$69,Treegrant!$B$6:$L$42,Treegrant!$K$2,FALSE)&gt;=DF29),(VLOOKUP('Options and results'!$C$69,Treegrant!$B$6:$L$42,Treegrant!$L$2,FALSE)),0)*IF('Options and results'!$C$74="area",Unit!C30,'Options and results'!$C$74))*IF(DF29&gt;='Options and results'!$K$23,'Options and results'!$K$22,1)),0))*IF(1+'Options and results'!$Q$23*(DF29-1)&gt;0,1+'Options and results'!$Q$23*(DF29-1),0)</f>
        <v>0</v>
      </c>
      <c r="EG29" s="1034">
        <f>IF($DG$8=0,0,IF(DF29&lt;='Options and results'!$W$20,IF(DL29&lt;=0,0,IF('Options and results'!$C$68&gt;0,((IF(AND(VLOOKUP('Options and results'!$C$69,Treegrant!$B$6:$O$42,Treegrant!$M$2,FALSE)&lt;=DF29,VLOOKUP('Options and results'!$C$69,Treegrant!$B$6:$O$42,Treegrant!$N$2,FALSE)&gt;=DF29),(VLOOKUP('Options and results'!$C$69,Treegrant!$B$6:$O$42,Treegrant!$O$2,FALSE)),0)*IF('Options and results'!$C$75="area",Unit!C30,'Options and results'!$C$75))+(IF(AND(VLOOKUP('Options and results'!$C$69,Treegrant!$B$6:$R$42,Treegrant!$P$2,FALSE)&lt;=DF29,VLOOKUP('Options and results'!$C$69,Treegrant!$B$6:$R$42,Treegrant!$Q$2,FALSE)&gt;=DF29),(VLOOKUP('Options and results'!$C$69,Treegrant!$B$6:$R$42,Treegrant!$R$2,FALSE)),0))*IF('Options and results'!$C$76="area",Unit!C30,'Options and results'!$C$76)))*IF(DF29&gt;='Options and results'!$K$23,'Options and results'!$K$22,1)),0))*IF(1+'Options and results'!$Q$23*(DF29-1)&gt;0,1+'Options and results'!$Q$23*(DF29-1),0)</f>
        <v>0</v>
      </c>
      <c r="EH29" s="1041"/>
      <c r="EI29" s="1042"/>
      <c r="EJ29" s="1419">
        <f>IF($DH$8+DK29&lt;1,0,IF(DF29=1,VLOOKUP($DG$8,Treecost!$B$6:$AH$49,Treecost!$E$2,FALSE),0)*IF(DF29&gt;='Options and results'!$K$25,'Options and results'!$K$24,1))</f>
        <v>0</v>
      </c>
      <c r="EK29" s="889">
        <f>IF($DH$8+DK29&lt;1,0,IF(DF29=1,VLOOKUP($DG$8,Treecost!$B$6:$AH$49,Treecost!$F$2,FALSE),0)*IF(DF29&gt;='Options and results'!$K$25,'Options and results'!$K$24,1))</f>
        <v>0</v>
      </c>
      <c r="EL29" s="889">
        <f>IF($DH$8+DK29&lt;1,0,IF(DF29=1,VLOOKUP($DG$8,Treecost!$B$6:$AH$49,Treecost!$G$2,FALSE),0)*IF(DF29&gt;='Options and results'!$K$25,'Options and results'!$K$24,1))</f>
        <v>0</v>
      </c>
      <c r="EM29" s="889">
        <f>IF($DG$8=0,0,IF(DF29&lt;='Options and results'!$W$20,((VLOOKUP($DG$8,Treecost!$B$6:$AH$49,Treecost!$H$2,FALSE)*(DH29+DK29))/60)*IF(DF29&gt;='Options and results'!$K$25,'Options and results'!$K$24,1),0))</f>
        <v>0</v>
      </c>
      <c r="EN29" s="889">
        <f>IF($DG$8=0,0,IF(DF29&lt;='Options and results'!$W$20,(((VLOOKUP($DG$8,Treecost!$B$6:$AH$49,Treecost!$I$2,FALSE))*(DH29+DK29))/60)*IF(DF29&gt;='Options and results'!$K$25,'Options and results'!$K$24,1),0))</f>
        <v>0</v>
      </c>
      <c r="EO29" s="889">
        <f>IF($DG$8=0,0,IF(DF29&lt;='Options and results'!$W$20,(((VLOOKUP($DG$8,Treecost!$B$6:$AH$49,Treecost!$J$2,FALSE))/60)*(DH29+DK29))*IF(DF29&gt;='Options and results'!$K$25,'Options and results'!$K$24,1),0))</f>
        <v>0</v>
      </c>
      <c r="EP29" s="1019">
        <f>IF($DG$8=0,0,IF(DF29&lt;='Options and results'!$W$20,(((VLOOKUP($DG$8,Treecost!$B$6:$AH$49,Treecost!$C$2,FALSE)+VLOOKUP($DG$8,Treecost!$B$6:$AH$49,Treecost!$D$2,FALSE))*(DH29+DK29)*IF(1+'Options and results'!$Q$22*(DF29-1)&gt;0,1+'Options and results'!$Q$22*(DF29-1),0))+(EJ29*$EI$8+EK29*$EI$9+EL29*$EI$10+EM29*$EI$11+EN29*$EI$12+EO29*$EI$13)*IF(1+'Options and results'!$Q$21*(DF29-1)&gt;0,1+'Options and results'!$Q$21*(DF29-1),0))*IF(DF29&gt;='Options and results'!$K$27,'Options and results'!$K$26,1),0))</f>
        <v>0</v>
      </c>
      <c r="EQ29" s="740">
        <f>IF($DG$8=0,0,IF(DF29&lt;='Options and results'!$W$20,IF(AND(VLOOKUP($DG$8,Treecost!$B$6:$AH$49,Treecost!$K$2,FALSE)&lt;=DF29,DF29&lt;=(VLOOKUP($DG$8,Treecost!$B$6:$AH$49,Treecost!$L$2,FALSE))),VLOOKUP($DG$8,Treecost!$B$6:$AH$49,Treecost!$M$2,FALSE)*DL29/60,0)*IF(DF29&gt;='Options and results'!$K$25,'Options and results'!$K$24,1),0))</f>
        <v>0</v>
      </c>
      <c r="ER29" s="1019">
        <f>IF(EQ29&gt;0,(VLOOKUP($DG$8,Treecost!$B$6:$AH$49,Treecost!$N$2,FALSE)*DL29*IF(1+'Options and results'!$Q$22*(DF29-1)&gt;0,1+'Options and results'!$Q$22*(DF29-1),0)+EQ29*$EI$14*IF(1+'Options and results'!$Q$21*(DF29-1)&gt;0,1+'Options and results'!$Q$21*(DF29-1),0)),0)*IF(DF29&gt;='Options and results'!$K$27,'Options and results'!$K$26,1)</f>
        <v>0</v>
      </c>
      <c r="ES29" s="889">
        <f>IF(DF29&lt;='Options and results'!$W$20,IF(AND(DR29-DR28&gt;0,DR29&gt;'Options and results'!$M$64),(DL29-DN29)*(VLOOKUP($DG$8,Treecost!$B$6:$AH$49,Treecost!$Y$2,FALSE)+(VLOOKUP($DG$8,Treecost!$B$6:$AH$49,Treecost!$AA$2,FALSE)-VLOOKUP($DG$8,Treecost!$B$6:$AH$49,Treecost!$Y$2,FALSE))/(VLOOKUP($DG$8,Treecost!$B$6:$AH$49,Treecost!$Z$2,FALSE)-VLOOKUP($DG$8,Treecost!$B$6:$AH$49,Treecost!$X$2,FALSE))*(DR29-VLOOKUP($DG$8,Treecost!$B$6:$AH$49,Treecost!$X$2,FALSE)))/60,0)*IF(DF29&gt;='Options and results'!$K$25,'Options and results'!$K$24,1),0)</f>
        <v>0</v>
      </c>
      <c r="ET29" s="889">
        <f>IF(DF29&lt;='Options and results'!$W$20,IF(ES29&gt;0,VLOOKUP($DG$8,Treecost!$B$6:$AH$49,Treecost!$AB$2,FALSE)/60*DL29,0)*IF(DF29&gt;='Options and results'!$K$25,'Options and results'!$K$24,1),0)*((ES29-(MIN($ES$8:$ES$67)))/((MAX($ES$8:$ES$67))-(MIN($ES$8:$ES$67))))</f>
        <v>0</v>
      </c>
      <c r="EU29" s="740">
        <f>IF(ES29&gt;0,(ES29*$EI$15+ET29*$EI$19)*IF(1+'Options and results'!$Q$21*(DF29-1)&gt;0,1+'Options and results'!$Q$21*(DF29-1),0),0)*IF(DF29&gt;='Options and results'!$K$27,'Options and results'!$K$26,1)</f>
        <v>0</v>
      </c>
      <c r="EV29" s="891">
        <f>IF($DG$8=0,0,IF(DF29&lt;='Options and results'!$W$20,IF(AND(VLOOKUP($DG$8,Treecost!$B$2:$AH$49,Treecost!$O$2,FALSE)=DF29,DF29&lt;=IF(AND(Optimisation!$B$3="Yes",Optimisation!$B$4=1),Optimisation!$B$9)),VLOOKUP($DG$8,Treecost!$B$2:$AH$49,Treecost!$P$2,FALSE)*(1-CN29),0)*IF(DF29&gt;='Options and results'!$K$25,'Options and results'!$K$24,1),0))</f>
        <v>0</v>
      </c>
      <c r="EW29" s="889">
        <f>IF($DG$8=0,0,IF(DF29&lt;='Options and results'!$W$20,IF(AND(DF29&gt;VLOOKUP($DG$8,Treecost!$B$2:$AH$49,Treecost!$O$2,FALSE),DF29&lt;=IF(AND(Optimisation!$B$3="Yes",Optimisation!$B$4=1),Optimisation!$B$9,VLOOKUP($DG$8,Treecost!$B$2:$AH$49,Treecost!$R$2,FALSE))),VLOOKUP($DG$8,Treecost!$B$2:$AH$49,Treecost!$S$2,FALSE)*(1-CN29),0)*IF(DF29&gt;='Options and results'!$K$25,'Options and results'!$K$24,1),0))</f>
        <v>0</v>
      </c>
      <c r="EX29" s="740">
        <f>IF($DG$8=0,0,IF(DF29&lt;='Options and results'!$W$20,(IF(AND(VLOOKUP($DG$8,Treecost!$B$2:$AH$49,Treecost!$O$2,FALSE)=DF29,DF29&lt;=IF(AND(Optimisation!$B$3="Yes",Optimisation!$B$4=1),Optimisation!$B$9)),VLOOKUP($DG$8,Treecost!$B$2:$AH$49,Treecost!$Q$2,FALSE),0)*(1-CN29)+IF(AND(DF29&gt;VLOOKUP($DG$8,Treecost!$B$2:$AH$49,Treecost!$O$2,FALSE),DF29&lt;=IF(AND(Optimisation!$B$3="Yes",Optimisation!$B$4=1),Optimisation!$B$9,VLOOKUP($DG$8,Treecost!$B$2:$AH$49,Treecost!$R$2,FALSE))),VLOOKUP($DG$8,Treecost!$B$2:$AH$49,Treecost!$T$2,FALSE),0)*(1-CN29)+(EV29*$EI$16+EW29*$EI$17))*IF(DF29&gt;='Options and results'!$K$27,'Options and results'!$K$26,1),0))*IF(1+'Options and results'!$Q$21*(DF29-1)&gt;0,1+'Options and results'!$Q$21*(DF29-1),0)</f>
        <v>0</v>
      </c>
      <c r="EY29" s="894">
        <f>IF($DG$8=0,0,IF(DF29&lt;='Options and results'!$W$20,IF(AND(DF29&gt;=VLOOKUP($DG$8,Treecost!$B$2:$W$49,Treecost!$U$2,FALSE),DF29&lt;=VLOOKUP($DG$8,Treecost!$B$2:$W$49,Treecost!$V$2,FALSE)),(DL29*VLOOKUP($DG$8,Treecost!$B$2:$W$49,Treecost!$W$2,FALSE)/60),0)*IF(DF29&gt;='Options and results'!$K$25,'Options and results'!$K$24,1),0))</f>
        <v>0</v>
      </c>
      <c r="EZ29" s="740">
        <f>EY29*$EI$18*IF(DF29&gt;='Options and results'!$K$27,'Options and results'!$K$26,1)*IF(1+'Options and results'!$Q$21*(DF29-1)&gt;0,1+'Options and results'!$Q$21*(DF29-1),0)</f>
        <v>0</v>
      </c>
      <c r="FA29" s="1025">
        <f>IF(DF29&lt;='Options and results'!$W$20,IF(DL29&lt;=0,0,VLOOKUP($DG$8,Treecost!$B$6:$AH$49,Treecost!$AC$2,FALSE)+VLOOKUP($DG$8,Treecost!$B$6:$AH$49,Treecost!$AD$2,FALSE)+IF(AND(DF29&gt;=VLOOKUP($DG$8,Treecost!$B$2:$AK$49,Treecost!$AI$2,FALSE),DF29&lt;=VLOOKUP($DG$8,Treecost!$B$2:$AK$49,Treecost!$AJ$2,FALSE)),VLOOKUP($DG$8,Treecost!$B$2:$AK$49,Treecost!$AK$2,FALSE)*(1-CN29),0))*IF(DF29&gt;='Options and results'!$K$27,'Options and results'!$K$26,1),0)*IF(1+'Options and results'!$Q$22*(DF29-1)&gt;0,1+'Options and results'!$Q$22*(DF29-1),0)</f>
        <v>3</v>
      </c>
      <c r="FB29" s="894">
        <f>IF(DF29&lt;='Options and results'!$W$20,IF(DN29&gt;0,VLOOKUP($DG$8,Treecost!$B$6:$AH$49,Treecost!$AE$2,FALSE)/60*DN29,0)*IF(DF29&gt;='Options and results'!$K$25,'Options and results'!$K$24,1),0)</f>
        <v>0</v>
      </c>
      <c r="FC29" s="740">
        <f>IF(DF29&lt;='Options and results'!$W$20,IF(DN29&gt;0,VLOOKUP($DG$8,Treecost!$B$6:$AH$49,Treecost!$AF$2,FALSE)/60*DN29,0)*IF(DF29&gt;='Options and results'!$K$25,'Options and results'!$K$24,1),0)</f>
        <v>0</v>
      </c>
      <c r="FD29" s="740">
        <f>(FB29*$EI$20+FC29*$EI$21)*IF(DF29&gt;='Options and results'!$K$27,'Options and results'!$K$26,1)*IF(1+'Options and results'!$Q$21*(DF29-1)&gt;0,1+'Options and results'!$Q$21*(DF29-1),0)</f>
        <v>0</v>
      </c>
      <c r="FE29" s="894">
        <f>IF(DF29&lt;='Options and results'!$W$20,IF(DO29&gt;0,(VLOOKUP($DG$8,Treecost!$B$6:$AH$49,Treecost!$AG$2,FALSE)/60*DO29)*IF(DF29&gt;='Options and results'!$K$25,'Options and results'!$K$24,1),0),0)</f>
        <v>0</v>
      </c>
      <c r="FF29" s="740">
        <f>IF(DF29&lt;='Options and results'!$W$20,IF(DO29&gt;0,(VLOOKUP($DG$8,Treecost!$B$6:$AH$49,Treecost!$AH$2,FALSE)/60*DO29)*IF(DF29&gt;='Options and results'!$K$25,'Options and results'!$K$24,1),0),0)</f>
        <v>0</v>
      </c>
      <c r="FG29" s="740">
        <f>(FE29*$EI$22+FF29*$EI$23)*IF(DF29&gt;='Options and results'!$K$27,'Options and results'!$K$26,1)*IF(1+'Options and results'!$Q$21*(DF29-1)&gt;0,1+'Options and results'!$Q$21*(DF29-1),0)</f>
        <v>0</v>
      </c>
      <c r="FH29" s="894">
        <f t="shared" si="157"/>
        <v>0</v>
      </c>
      <c r="FI29" s="1027">
        <f t="shared" si="158"/>
        <v>0</v>
      </c>
      <c r="FJ29" s="1027">
        <f t="shared" si="159"/>
        <v>0</v>
      </c>
      <c r="FK29" s="1027">
        <f t="shared" si="160"/>
        <v>3</v>
      </c>
      <c r="FL29" s="1027">
        <f t="shared" si="183"/>
        <v>-3</v>
      </c>
      <c r="FM29" s="1027">
        <f>IF($DF29&lt;='Options and results'!$W$20,SUM(FI$8:$FI29),0)</f>
        <v>0</v>
      </c>
      <c r="FN29" s="1027">
        <f>IF($DF29&lt;='Options and results'!$W$20,SUM($FJ$8:FJ29),0)</f>
        <v>0</v>
      </c>
      <c r="FO29" s="1027">
        <f>IF($DF29&lt;='Options and results'!$W$20,SUM($FK$8:FK29),0)</f>
        <v>1106.0448753513026</v>
      </c>
      <c r="FP29" s="1027">
        <f>IF($DF29&lt;='Options and results'!$W$20,FM29+FN29-FO29,0)</f>
        <v>-1106.0448753513026</v>
      </c>
      <c r="FQ29" s="1027">
        <f t="shared" si="162"/>
        <v>552.36379322479183</v>
      </c>
      <c r="FR29" s="1027">
        <f t="shared" si="163"/>
        <v>549.36379322479183</v>
      </c>
      <c r="FS29" s="1027">
        <f t="shared" si="164"/>
        <v>0</v>
      </c>
      <c r="FT29" s="1189">
        <f>IF(DF29&lt;='Options and results'!$W$20,FP29+DZ29,0)</f>
        <v>1782.2863494605924</v>
      </c>
      <c r="FU29" s="401"/>
      <c r="FV29" s="895">
        <f t="shared" si="165"/>
        <v>22</v>
      </c>
      <c r="FW29" s="894">
        <f>G29/(1+'Options and results'!$W$33)^(FV29-1)</f>
        <v>726.79424706759585</v>
      </c>
      <c r="FX29" s="740">
        <f>(AP29+AR29+AS29)/(1+'Options and results'!$W$33)^(FV29-1)</f>
        <v>0</v>
      </c>
      <c r="FY29" s="740">
        <f ca="1">CQ29/(1+'Options and results'!$W$33)^(FV29-1)</f>
        <v>0</v>
      </c>
      <c r="FZ29" s="740">
        <f>(EA29+EC29+ED29)/(1+'Options and results'!$W$33)^(FV29-1)</f>
        <v>0</v>
      </c>
      <c r="GA29" s="1019">
        <f t="shared" ca="1" si="180"/>
        <v>0</v>
      </c>
      <c r="GB29" s="1026">
        <f>(AO29+AQ29)/(1+'Options and results'!$W$33)^(FV29-1)+FX29</f>
        <v>1808.2637254438077</v>
      </c>
      <c r="GC29" s="1027">
        <f>IF(FV29&gt;'Options and results'!$W$27,0,GB29-GB28)</f>
        <v>169.49431623376699</v>
      </c>
      <c r="GD29" s="1027">
        <f>(DZ29+EB29)/(1+'Options and results'!$W$33)^(FV29-1)+FZ29</f>
        <v>1823.3906871250456</v>
      </c>
      <c r="GE29" s="1379">
        <f>IF(FV29&gt;'Options and results'!$W$27,0,GD29-GD28)</f>
        <v>179.1559972970224</v>
      </c>
      <c r="GF29" s="894">
        <f>IF(FV29&lt;='Options and results'!$W$20,SUM(FW$8:FW29),0)</f>
        <v>23591.158260755798</v>
      </c>
      <c r="GG29" s="740">
        <f>IF(FV29&lt;='Options and results'!$W$20,SUM(FX$8:FX29), 0)</f>
        <v>0</v>
      </c>
      <c r="GH29" s="740">
        <f ca="1">IF(FV29&lt;='Options and results'!$W$20,SUM(FY$8:FY29),0)</f>
        <v>14787.259868716837</v>
      </c>
      <c r="GI29" s="740">
        <f>IF(FV29&lt;='Options and results'!$W$20,SUM(FZ$8:FZ29),0)</f>
        <v>0</v>
      </c>
      <c r="GJ29" s="1019">
        <f t="shared" ca="1" si="166"/>
        <v>14787.259868716837</v>
      </c>
      <c r="GK29" s="894">
        <f>IF(FV29&gt;'Options and results'!$W$27,0,GG29+SUM(GC$8:GC29)-FX29)</f>
        <v>1808.2637254438077</v>
      </c>
      <c r="GL29" s="740">
        <f>IF(FV29&lt;='Options and results'!$W$20,SUM(GD$8:GD29),0)</f>
        <v>9914.2746987535029</v>
      </c>
      <c r="GM29" s="1034">
        <f t="shared" ca="1" si="167"/>
        <v>24701.534567470342</v>
      </c>
      <c r="GN29" s="401"/>
      <c r="GO29" s="895">
        <f t="shared" si="168"/>
        <v>22</v>
      </c>
      <c r="GP29" s="894">
        <f>H29/(1+'Options and results'!$W$33)^(GO29-1)</f>
        <v>103.21366321783063</v>
      </c>
      <c r="GQ29" s="740">
        <f>SUM(AT29:AV29)/(1+'Options and results'!$W$33)^(GO29-1)</f>
        <v>0</v>
      </c>
      <c r="GR29" s="740">
        <f>CR29/(1+'Options and results'!$W$33)^(GO29-1)</f>
        <v>0</v>
      </c>
      <c r="GS29" s="740">
        <f>SUM(EE29:EG29)/(1+'Options and results'!$W$33)^(GO29-1)</f>
        <v>0</v>
      </c>
      <c r="GT29" s="1019">
        <f t="shared" si="181"/>
        <v>0</v>
      </c>
      <c r="GU29" s="894">
        <f>IF(GO29&lt;='Options and results'!$W$20,SUM(GP$8:GP29),0)</f>
        <v>3534.8584195542298</v>
      </c>
      <c r="GV29" s="740">
        <f>IF(GO29&lt;='Options and results'!$W$20,SUM(GQ$8:GQ29),0)</f>
        <v>0</v>
      </c>
      <c r="GW29" s="740">
        <f>IF(GO29&lt;='Options and results'!$W$20,SUM(GR$8:GR29),0)</f>
        <v>0</v>
      </c>
      <c r="GX29" s="740">
        <f>IF(GO29&lt;='Options and results'!$W$20,SUM(GS$8:GS29),0)</f>
        <v>0</v>
      </c>
      <c r="GY29" s="1034">
        <f>IF(GO29&lt;='Options and results'!$W$20,SUM(GT$8:GT29),0)</f>
        <v>0</v>
      </c>
      <c r="GZ29" s="401"/>
      <c r="HA29" s="895">
        <f t="shared" si="169"/>
        <v>22</v>
      </c>
      <c r="HB29" s="1026">
        <f>(J29+L29+(M29*N29))/(1+'Options and results'!$W$33)^(HA29-1)</f>
        <v>556.18158202955112</v>
      </c>
      <c r="HC29" s="740">
        <f>BZ29/(1+'Options and results'!$W$33)^(HA29-1)</f>
        <v>1.3165008063498806</v>
      </c>
      <c r="HD29" s="1027">
        <f>(CT29+CV29+(CW29*CX29))/(1+'Options and results'!$W$33)^(HA29-1)</f>
        <v>0</v>
      </c>
      <c r="HE29" s="740">
        <f>FK29/(1+'Options and results'!$W$33)^(HA29-1)</f>
        <v>1.3165008063498806</v>
      </c>
      <c r="HF29" s="1019">
        <f t="shared" si="182"/>
        <v>1.3165008063498806</v>
      </c>
      <c r="HG29" s="894">
        <f>IF(HA29&lt;='Options and results'!$W$20,SUM(HB$8:HB29),0)</f>
        <v>18332.683296107654</v>
      </c>
      <c r="HH29" s="740">
        <f>IF(HA29&lt;='Options and results'!$W$20,SUM(HC$8:HC29),0)</f>
        <v>1396.2942548702094</v>
      </c>
      <c r="HI29" s="740">
        <f>IF(HA29&lt;='Options and results'!$W$20,SUM(HD$8:HD29),0)</f>
        <v>13294.975863606456</v>
      </c>
      <c r="HJ29" s="740">
        <f>IF(HA29&lt;='Options and results'!$W$20,SUM(HE$8:HE29),0)</f>
        <v>940.6740668183977</v>
      </c>
      <c r="HK29" s="1034">
        <f>IF(HA29&lt;='Options and results'!$W$20,SUM(HF$8:HF29),0)</f>
        <v>14235.649930424855</v>
      </c>
      <c r="HL29" s="405"/>
      <c r="HM29" s="895">
        <f t="shared" si="170"/>
        <v>22</v>
      </c>
      <c r="HN29" s="1026">
        <f t="shared" si="171"/>
        <v>273.82632825587541</v>
      </c>
      <c r="HO29" s="1027">
        <f t="shared" si="172"/>
        <v>-1.3165008063498806</v>
      </c>
      <c r="HP29" s="1027">
        <f t="shared" ca="1" si="173"/>
        <v>0</v>
      </c>
      <c r="HQ29" s="1027">
        <f t="shared" si="174"/>
        <v>-1.3165008063498806</v>
      </c>
      <c r="HR29" s="1027">
        <f t="shared" si="175"/>
        <v>168.1778154274171</v>
      </c>
      <c r="HS29" s="1379">
        <f t="shared" si="176"/>
        <v>177.8394964906725</v>
      </c>
      <c r="HT29" s="1026">
        <f>IF($HM29&lt;='Options and results'!$W$20,SUM(HN$8:HN29),0)</f>
        <v>8793.3333842023731</v>
      </c>
      <c r="HU29" s="1027">
        <f>IF($HM29&lt;='Options and results'!$W$20,SUM(HO$8:HO29),0)</f>
        <v>-1396.2942548702094</v>
      </c>
      <c r="HV29" s="1027">
        <f ca="1">IF($HM29&lt;='Options and results'!$W$20,SUM(HP$8:HP29),0)</f>
        <v>1492.284005110379</v>
      </c>
      <c r="HW29" s="1027">
        <f>IF($HM29&lt;='Options and results'!$W$20,SUM(HQ$8:HQ29),0)</f>
        <v>-940.6740668183977</v>
      </c>
      <c r="HX29" s="1027">
        <f t="shared" ca="1" si="177"/>
        <v>551.60993829198128</v>
      </c>
      <c r="HY29" s="1027">
        <f>IF($HM29&lt;='Options and results'!$W$20,SUM(HR$8:HR29),0)</f>
        <v>411.96947057359824</v>
      </c>
      <c r="HZ29" s="1027">
        <f>IF($HM29&lt;='Options and results'!$W$20,SUM(HS$8:HS29),0)</f>
        <v>882.71662030664811</v>
      </c>
      <c r="IA29" s="1189">
        <f t="shared" ca="1" si="178"/>
        <v>2375.0006254170271</v>
      </c>
    </row>
    <row r="30" spans="1:235" x14ac:dyDescent="0.25">
      <c r="A30" s="1010">
        <f t="shared" si="126"/>
        <v>23</v>
      </c>
      <c r="B30" s="1011" t="str">
        <f>IF('Options and results'!$C$17="None",0,CONCATENATE('Options and results'!$C$23," ",(HLOOKUP(CONCATENATE('Options and results'!$C$17," ",Arablesystem!$B$11),Arablesystem!$B$10:$ER$72,$A30+3,FALSE))))</f>
        <v>UK - Agriculture (BPS: from 2015) Barley</v>
      </c>
      <c r="C30" s="1012">
        <f>IF(HLOOKUP(CONCATENATE('Options and results'!$C$17," ",Arablesystem!$C$11),Arablesystem!$B$10:$ER$72,$A30+3,FALSE)="T",(VLOOKUP(B30,Arablefinance!$Z$6:$AB$105,Arablefinance!$AB$2,FALSE)*E30+VLOOKUP(B30,Arablefinance!$Z$6:$AC$105,Arablefinance!$AC$2,FALSE)*F30)/VLOOKUP(B30,Arablefinance!$Z$6:$AA$105,Arablefinance!$AA$2,FALSE),0)</f>
        <v>0</v>
      </c>
      <c r="D30" s="1012">
        <f>IF(B30=0,0,HLOOKUP(CONCATENATE('Options and results'!$C$17," ",Arablesystem!$D$11),Arablesystem!$B$10:$ER$72,$A30+3,FALSE))</f>
        <v>1</v>
      </c>
      <c r="E30" s="1440">
        <f>IF(B30=0,0,HLOOKUP(CONCATENATE('Options and results'!$C$17," ",Arablesystem!$E$11),Arablesystem!$B$10:$ER$72,$A30+3,FALSE)*IF(A30&gt;='Options and results'!$H$19,'Options and results'!$H$18,1))</f>
        <v>2.9890761852256884</v>
      </c>
      <c r="F30" s="1440">
        <f>IF(B30=0,0,HLOOKUP(CONCATENATE('Options and results'!$C$17," ",Arablesystem!$F$11),Arablesystem!$B$10:$ER$72,$A30+3,FALSE)*IF(A30&gt;='Options and results'!$H$19,'Options and results'!$H$18,1))</f>
        <v>1.793445711135413</v>
      </c>
      <c r="G30" s="1013">
        <f>IF(D30&lt;=0,0,IF(A30&lt;='Options and results'!$W$20,IF(C30&gt;0,VLOOKUP(B30,Arablefinance!$Z$6:$AE$105,Arablefinance!$AD$2,FALSE)*C30*D30,((VLOOKUP(B30,Arablefinance!$E$6:$G$126,Arablefinance!$F$2,FALSE)*(E30*D30)+VLOOKUP(B30,Arablefinance!$E$6:$G$126,Arablefinance!$G$2,FALSE)*(F30*D30)))),0)*IF(A30&gt;='Options and results'!$H$21,'Options and results'!$H$20,1))*IF(1+'Options and results'!$O$20*(A30-1)&gt;0,1+'Options and results'!$O$20*(A30-1),0)</f>
        <v>576.06140480821739</v>
      </c>
      <c r="H30" s="1441">
        <f>IF(D30&lt;=0,0,IF(A30&lt;='Options and results'!$W$20,IF(AND(C30&gt;0,VLOOKUP(B30,Arablefinance!$Z$6:$AI$105,Arablefinance!$AI$2,FALSE)=2),VLOOKUP(B30,Arablefinance!$Z$6:$AE$105,Arablefinance!$AE$2,FALSE)*C30*D30,(VLOOKUP(B30,Arablefinance!$E$6:$H$126,Arablefinance!$H$2,FALSE)*D30))*IF(A30&gt;='Options and results'!$H$23,'Options and results'!$H$22,1),0)*IF(AND(1+'Options and results'!$O$23*(A30-1)&gt;0,1+'Options and results'!$O$23*(A30-1)&gt;'Options and results'!$S$24),1+'Options and results'!$O$23*(A30-1),'Options and results'!$S$24))</f>
        <v>235.2</v>
      </c>
      <c r="I30" s="1441">
        <f t="shared" si="127"/>
        <v>811.26140480821732</v>
      </c>
      <c r="J30" s="1441">
        <f>IF(D30&lt;=0,0,IF(A30&lt;='Options and results'!$W$20,IF(C30&gt;0,VLOOKUP(B30,Arablefinance!$Z$6:$AF$105,Arablefinance!$AF$2,FALSE)*C30*D30,(VLOOKUP(B30,Arablefinance!$E$6:$X$126,Arablefinance!$R$2,FALSE))*D30),0)*IF(A30&gt;='Options and results'!$H$27,'Options and results'!$H$26,1))*IF(1+'Options and results'!$O$22*(A30-1)&gt;0,1+'Options and results'!$O$22*(A30-1),0)</f>
        <v>535.20833333333326</v>
      </c>
      <c r="K30" s="1441">
        <f t="shared" si="128"/>
        <v>276.05307147488406</v>
      </c>
      <c r="L30" s="1441">
        <f>IF(D30&lt;=0,0,IF(A30&lt;='Options and results'!$W$20,IF(C30&gt;0,VLOOKUP(B30,Arablefinance!$Z$6:$AG$105,Arablefinance!$AG$2,FALSE)*C30*D30,VLOOKUP(B30,Arablefinance!$E$6:$X$126,Arablefinance!$X$2,FALSE)*D30),0)*IF(A30&gt;='Options and results'!$H$27,'Options and results'!$H$26,1))*IF(1+'Options and results'!$O$22*(A30-1)&gt;0,1+'Options and results'!$O$22*(A30-1),0)</f>
        <v>444.44444444444446</v>
      </c>
      <c r="M30" s="1442">
        <f>IF(D30&lt;=0,0,IF(A30&lt;='Options and results'!$W$20,'Options and results'!$C$27,0)*IF(A30&gt;='Options and results'!$H$27,'Options and results'!$H$26,1))*IF(1+'Options and results'!$O$21*(A30-1)&gt;0,1+'Options and results'!$O$21*(A30-1),0)</f>
        <v>14.6</v>
      </c>
      <c r="N30" s="1442">
        <f>IF(D30&lt;=0,0,IF(A30&lt;='Options and results'!$W$20,IF(C30&gt;0,VLOOKUP(B30,Arablefinance!$Z$6:$AH$105,Arablefinance!$AH$2,FALSE)*C30*D30,VLOOKUP(B30,Arablefinance!$E$6:$W$126,Arablefinance!$V$2,FALSE)*D30),0)*IF(A30&gt;='Options and results'!$H$25,'Options and results'!$H$24,1))</f>
        <v>10.833689569810836</v>
      </c>
      <c r="O30" s="1013">
        <f t="shared" si="129"/>
        <v>1137.8246454970158</v>
      </c>
      <c r="P30" s="1353">
        <f t="shared" si="130"/>
        <v>-326.5632406887986</v>
      </c>
      <c r="Q30" s="1013">
        <f>IF(A30&lt;='Options and results'!$W$20,SUM(G$8:$G30),0)</f>
        <v>34921.029482878403</v>
      </c>
      <c r="R30" s="1441">
        <f>IF($A30&lt;='Options and results'!$W$20,SUM($H$8:H30),0)</f>
        <v>5409.5999999999976</v>
      </c>
      <c r="S30" s="1441">
        <f>IF($A30&lt;='Options and results'!$W$20,SUM($O$8:O30),0)</f>
        <v>27972.035748665578</v>
      </c>
      <c r="T30" s="1032">
        <f>IF(A30&lt;='Options and results'!$W$20,Q30+R30-S30,0)</f>
        <v>12358.593734212824</v>
      </c>
      <c r="U30" s="405"/>
      <c r="V30" s="1010">
        <f t="shared" si="131"/>
        <v>23</v>
      </c>
      <c r="W30" s="173"/>
      <c r="X30" s="1036"/>
      <c r="Y30" s="1030">
        <f>IF(V30&lt;='Options and results'!$M$34,'Options and results'!$M$33,0)</f>
        <v>0</v>
      </c>
      <c r="Z30" s="1441">
        <f t="shared" si="132"/>
        <v>0</v>
      </c>
      <c r="AA30" s="1441">
        <f t="shared" si="133"/>
        <v>0</v>
      </c>
      <c r="AB30" s="1428">
        <f t="shared" si="134"/>
        <v>156</v>
      </c>
      <c r="AC30" s="1441">
        <f>IF($W$8=0,0,IF(HLOOKUP(CONCATENATE('Options and results'!$C$32," ",Forestrysystem!$C$8),Forestrysystem!$A$7:$IH$70,V30+4,FALSE)&lt;AB30,HLOOKUP(CONCATENATE('Options and results'!$C$32," ",Forestrysystem!$C$8),Forestrysystem!$A$7:$IH$70,V30+4,FALSE),0))</f>
        <v>0</v>
      </c>
      <c r="AD30" s="1441">
        <f>IF($W$8=0,0,IF(HLOOKUP(CONCATENATE('Options and results'!$C$32," ",Forestrysystem!$C$8),Forestrysystem!$A$7:$IH$70,V30+4,FALSE)&gt;=AB30,AB30,0))</f>
        <v>0</v>
      </c>
      <c r="AE30" s="1440">
        <f>IF($W$8=0,0,HLOOKUP(CONCATENATE('Options and results'!$C$32," ",Forestrysystem!$D$8),Forestrysystem!$A$7:$IH$70,$V30+4,FALSE))</f>
        <v>24.653123835710584</v>
      </c>
      <c r="AF30" s="1037"/>
      <c r="AG30" s="1440">
        <f>IF($W$8=0,0,IF(V30=1,'Options and results'!$M$36,0)+IF('Options and results'!$M$39="yes",IF(AND(AG29+'Options and results'!$M$37&lt;=$AF$8,AG29+'Options and results'!$M$37+IF(V30=1,'Options and results'!$M$36,0)&lt;='Options and results'!$M$38*AE30),AG29+'Options and results'!$M$37,AG29),(HLOOKUP(CONCATENATE('Options and results'!$C$32," ",Forestrysystem!$E$8),Forestrysystem!$A$7:$IH$70,V30+4,FALSE))-IF(V30=1,'Options and results'!$M$36,0)))</f>
        <v>7.5</v>
      </c>
      <c r="AH30" s="1442">
        <f>IF(OR($W$8=0,AB30&lt;=0),0,(HLOOKUP(CONCATENATE('Options and results'!$C$32," ",Forestrysystem!$F$8),Forestrysystem!$A$7:$IH$70,$V30+4,FALSE)) * IF(V30&gt;='Options and results'!$I$19,'Options and results'!$I$18,1) )</f>
        <v>136.30711560923348</v>
      </c>
      <c r="AI30" s="1452">
        <f t="shared" si="179"/>
        <v>0.87376356159765045</v>
      </c>
      <c r="AJ30" s="1442">
        <f t="shared" si="135"/>
        <v>0</v>
      </c>
      <c r="AK30" s="1453">
        <f>IF(OR($W$8=0,AE30&lt;=0),0,(HLOOKUP(CONCATENATE('Options and results'!$C$32," ",Forestrysystem!$G$8),Forestrysystem!$A$7:$IH$70,$V30+4,FALSE)) * IF(Y30&gt;='Options and results'!$I$19,'Options and results'!$I$18,1) )</f>
        <v>60.104279342402535</v>
      </c>
      <c r="AL30" s="1453">
        <f>IF($W$8=0,0,HLOOKUP(CONCATENATE('Options and results'!$C$32," ",Forestrysystem!$H$8),Forestrysystem!$A$7:$IH$70,$V30+4,FALSE)*IF(V30&gt;='Options and results'!$I$19,'Options and results'!$I$18,1))</f>
        <v>0</v>
      </c>
      <c r="AM30" s="1383">
        <f>IF($W$8=0,0,HLOOKUP(CONCATENATE('Options and results'!$C$32," ",Forestrysystem!$I$8),Forestrysystem!$A$7:$IH$70,$V30+4,FALSE)*IF(V30&gt;='Options and results'!$I$19,'Options and results'!$I$18,1))</f>
        <v>0</v>
      </c>
      <c r="AN30" s="1382">
        <f>IF(AI30&gt;0,HLOOKUP(AI30,Treevalue!$I$4:$BC$34,'Options and results'!$C$39+1),0)*IF(V30&gt;='Options and results'!$I$21,'Options and results'!$I$20,1)*IF(1+'Options and results'!$Q$20*(V30-1)&gt;0,1+'Options and results'!$Q$20*(V30-1),0)</f>
        <v>21.922731492282306</v>
      </c>
      <c r="AO30" s="1454">
        <f t="shared" si="136"/>
        <v>2988.2242959887076</v>
      </c>
      <c r="AP30" s="1454">
        <f t="shared" si="137"/>
        <v>0</v>
      </c>
      <c r="AQ30" s="1454">
        <f>(IF('Options and results'!$C$39&gt;0,IF(V30&lt;='Options and results'!$W$20,VLOOKUP('Options and results'!$C$39,Treevalue!$A$4:$F$34,5,FALSE),0),0)*AK30)*IF(V30&gt;='Options and results'!$I$21,'Options and results'!$I$20,1)*IF(1+'Options and results'!$Q$20*(V30-1)&gt;0,1+'Options and results'!$Q$20*(V30-1),0)-AR30</f>
        <v>1502.6069835600633</v>
      </c>
      <c r="AR30" s="1441">
        <f>(IF('Options and results'!$C$39&gt;0,IF(V30&lt;='Options and results'!$W$20,VLOOKUP('Options and results'!$C$39,Treevalue!$A$4:$F$34,5,FALSE),0),0)*AL30)*IF(V30&gt;='Options and results'!$I$21,'Options and results'!$I$20,1)*IF(1+'Options and results'!$Q$20*(V30-1)&gt;0,1+'Options and results'!$Q$20*(V30-1),0)</f>
        <v>0</v>
      </c>
      <c r="AS30" s="1441">
        <f>(IF('Options and results'!$C$39&gt;0,IF(V30&lt;='Options and results'!$W$20,VLOOKUP('Options and results'!$C$39,Treevalue!$A$4:$F$34,6,FALSE),0),0)*AM30)*IF(V30&gt;='Options and results'!$I$21,'Options and results'!$I$20,1)*IF(1+'Options and results'!$Q$20*(V30-1)&gt;0,1+'Options and results'!$Q$20*(V30-1),0)</f>
        <v>0</v>
      </c>
      <c r="AT30" s="1441">
        <f>IF(V30&lt;='Options and results'!$W$20,(IF(AB30&lt;=0,0,IF('Options and results'!$C$43="cost",(IF(V30&lt;='Options and results'!$C$44,BZ30*SUM('Options and results'!$C$45:$C$46),0)),IF('Options and results'!$C$41&gt;0,(IF(VLOOKUP('Options and results'!$C$42,Treegrant!$B$6:$L$42,Treegrant!$C$2,FALSE)=V30,VLOOKUP('Options and results'!$C$42,Treegrant!$B$6:$L$42,Treegrant!$D$2,FALSE),0)+IF(VLOOKUP('Options and results'!$C$42,Treegrant!$B$6:$L$42,Treegrant!$E$2,FALSE)=V30,VLOOKUP('Options and results'!$C$42,Treegrant!$B$6:$L$42,Treegrant!$F$2,FALSE),0)+IF(VLOOKUP('Options and results'!$C$42,Treegrant!$B$6:$L$42,Treegrant!$G$2,FALSE)=V30,VLOOKUP('Options and results'!$C$42,Treegrant!$B$6:$L$42,Treegrant!$H$2,FALSE)))*IF('Options and results'!$C$43="area",1,'Options and results'!$C$43),0)))*IF(V30&gt;='Options and results'!$I$23,'Options and results'!$I$22,1)),0)*IF(1+'Options and results'!$Q$23*(V30-1)&gt;0,1+'Options and results'!$Q$23*(V30-1),0)</f>
        <v>0</v>
      </c>
      <c r="AU30" s="1441">
        <f>IF($W$8=0,0,IF(V30&lt;='Options and results'!$W$20,IF(AB30&lt;=0,0,IF('Options and results'!$C$41&gt;0,IF(AND(VLOOKUP('Options and results'!$C$42,Treegrant!$B$6:$L$42,Treegrant!$J$2,FALSE)&lt;=V30,VLOOKUP('Options and results'!$C$42,Treegrant!$B$6:$L$42,Treegrant!$K$2,FALSE)&gt;=V30),(VLOOKUP('Options and results'!$C$42,Treegrant!$B$6:$L$42,Treegrant!$L$2,FALSE)),0)*IF('Options and results'!$C$47="full",1,'Options and results'!$C$47))*IF(V30&gt;='Options and results'!$I$23,'Options and results'!$I$22,1)),0))*IF(1+'Options and results'!$Q$23*(V30-1)&gt;0,1+'Options and results'!$Q$23*(V30-1),0)</f>
        <v>0</v>
      </c>
      <c r="AV30" s="1032">
        <f>IF($W$8=0,0,IF(V30&lt;='Options and results'!$W$20,IF(AB30&lt;=0,0,(IF('Options and results'!$C$41&gt;0,(IF(AND(VLOOKUP('Options and results'!$C$42,Treegrant!$B$6:$O$42,Treegrant!$M$2,FALSE)&lt;=V30,VLOOKUP('Options and results'!$C$42,Treegrant!$B$6:$O$42,Treegrant!$N$2,FALSE)&gt;=V30),(VLOOKUP('Options and results'!$C$42,Treegrant!$B$6:$O$42,Treegrant!$O$2,FALSE)),0)*IF('Options and results'!$C$48="full",1,'Options and results'!$C$48))+(IF(AND(VLOOKUP('Options and results'!$C$42,Treegrant!$B$6:$R$42,Treegrant!$P$2,FALSE)&lt;=V30,VLOOKUP('Options and results'!$C$42,Treegrant!$B$6:$R$42,Treegrant!$Q$2,FALSE)&gt;=V30),(VLOOKUP('Options and results'!$C$42,Treegrant!$B$6:$R$42,Treegrant!$R$2,FALSE)),0))*IF('Options and results'!$C$49="full",1,'Options and results'!$C$49)))*IF(V30&gt;='Options and results'!$I$23,'Options and results'!$I$22,1)),0))*IF(1+'Options and results'!$Q$23*(V30-1)&gt;0,1+'Options and results'!$Q$23*(V30-1),0)</f>
        <v>0</v>
      </c>
      <c r="AW30" s="1041"/>
      <c r="AX30" s="1042"/>
      <c r="AY30" s="1419">
        <f>IF($W$8=0,0,IF(V30=1,VLOOKUP($W$8,Treecost!$B$6:$AH$49,Treecost!$E$2,FALSE),0)*IF(V30&gt;='Options and results'!$I$25,'Options and results'!$I$24,1))</f>
        <v>0</v>
      </c>
      <c r="AZ30" s="889">
        <f>IF($W$8=0,0,IF(V30=1,VLOOKUP($W$8,Treecost!$B$6:$AH$49,Treecost!$F$2,FALSE),0)*IF(V30&gt;='Options and results'!$I$25,'Options and results'!$I$24,1))</f>
        <v>0</v>
      </c>
      <c r="BA30" s="889">
        <f>IF($W$8=0,0,IF(V30=1,VLOOKUP($W$8,Treecost!$B$6:$AH$49,Treecost!$G$2,FALSE),0)*IF(V30&gt;='Options and results'!$I$25,'Options and results'!$I$24,1))</f>
        <v>0</v>
      </c>
      <c r="BB30" s="889">
        <f>IF($W$8=0,0,IF(V30&lt;='Options and results'!$W$20,((VLOOKUP($W$8,Treecost!$B$6:$AH$49,Treecost!$H$2,FALSE)*(X30+AA30))/60)*IF(V30&gt;='Options and results'!$I$25,'Options and results'!$I$24,1),0))</f>
        <v>0</v>
      </c>
      <c r="BC30" s="889">
        <f>IF($W$8=0,0,IF(V30&lt;='Options and results'!$W$20,(((VLOOKUP($W$8,Treecost!$B$6:$AH$49,Treecost!$I$2,FALSE))*(X30+AA30))/60)*IF(V30&gt;='Options and results'!$I$25,'Options and results'!$I$24,1),0))</f>
        <v>0</v>
      </c>
      <c r="BD30" s="889">
        <f>IF($W$8=0,0,IF(V30&lt;='Options and results'!$W$20,(((VLOOKUP($W$8,Treecost!$B$6:$AH$49,Treecost!$J$2,FALSE))/60)*(X30+AA30))*IF(V30&gt;='Options and results'!$I$25,'Options and results'!$I$24,1),0))</f>
        <v>0</v>
      </c>
      <c r="BE30" s="1019">
        <f>IF($W$8=0,0,IF(V30&lt;='Options and results'!$W$20,(((VLOOKUP($W$8,Treecost!$B$6:$AH$49,Treecost!$C$2,FALSE)+VLOOKUP($W$8,Treecost!$B$6:$AH$49,Treecost!$D$2,FALSE))*(X30+AA30)*IF(1+'Options and results'!$Q$22*(V30-1)&gt;0,1+'Options and results'!$Q$22*(V30-1),0))+((AY30*$AX$8+AZ30*$AX$9+BA30*$AX$10+BB30*$AX$11+BC30*$AX$12+BD30*$AX$13)*IF(1+'Options and results'!$Q$21*(V30-1)&gt;0,1+'Options and results'!$Q$21*(V30-1),0)))*IF(V30&gt;='Options and results'!$I$27,'Options and results'!$I$26,1),0))</f>
        <v>0</v>
      </c>
      <c r="BF30" s="889">
        <f>IF($W$8=0,0,IF(V30&lt;='Options and results'!$W$20,IF(AND(VLOOKUP($W$8,Treecost!$B$6:$AH$49,Treecost!$K$2,FALSE)&lt;=V30,V30&lt;=(VLOOKUP($W$8,Treecost!$B$6:$AH$49,Treecost!$L$2,FALSE))),VLOOKUP($W$8,Treecost!$B$6:$AH$49,Treecost!$M$2,FALSE)*AB30/60,0)*IF(V30&gt;='Options and results'!$I$25,'Options and results'!$I$24,1),0))</f>
        <v>0</v>
      </c>
      <c r="BG30" s="1019">
        <f>IF(BF30&gt;0,(VLOOKUP($W$8,Treecost!$B$6:$AH$49,Treecost!$N$2,FALSE)*AB30*IF(1+'Options and results'!$Q$22*(V30-1)&gt;0,1+'Options and results'!$Q$22*(V30-1),0)+BF30*$AX$14*IF(1+'Options and results'!$Q$21*(V30-1)&gt;0,1+'Options and results'!$Q$21*(V30-1),0)),0)*IF(V30&gt;='Options and results'!$I$27,'Options and results'!$I$26,1)</f>
        <v>0</v>
      </c>
      <c r="BH30" s="889">
        <f>IF(V30&lt;='Options and results'!$W$20,IF(AND(AG30-AG29&gt;0,AG30&gt;'Options and results'!$M$36),(AB30-AC30)*(VLOOKUP($W$8,Treecost!$B$6:$AH$49,Treecost!$Y$2,FALSE)+(VLOOKUP($W$8,Treecost!$B$6:$AH$49,Treecost!$AA$2,FALSE)-VLOOKUP($W$8,Treecost!$B$6:$AH$49,Treecost!$Y$2,FALSE))/(VLOOKUP($W$8,Treecost!$B$6:$AH$49,Treecost!$Z$2,FALSE)-VLOOKUP($W$8,Treecost!$B$6:$AH$49,Treecost!$X$2,FALSE))*(AG30-VLOOKUP($W$8,Treecost!$B$6:$AH$49,Treecost!$X$2,FALSE)))/60,0)*IF(V30&gt;='Options and results'!$I$25,'Options and results'!$I$24,1),0)</f>
        <v>0</v>
      </c>
      <c r="BI30" s="303">
        <f>IF(V30&lt;='Options and results'!$W$20,IF(BH30&gt;0,VLOOKUP($W$8,Treecost!$B$6:$AH$49,Treecost!$AB$2,FALSE)/60*AB30,0)*IF(V30&gt;='Options and results'!$I$25,'Options and results'!$I$24,1),0)*((BH30-(MIN($BH$8:$BH$67)))/((MAX($BH$8:$BH$67))-(MIN($BH$8:$BH$67))))</f>
        <v>0</v>
      </c>
      <c r="BJ30" s="740">
        <f>IF(BH30&gt;0,(BH30*$AX$15+BI30*$AX$19)*IF(1+'Options and results'!$Q$21*(V30-1)&gt;0,1+'Options and results'!$Q$21*(V30-1),0),0)*IF(V30&gt;='Options and results'!$I$27,'Options and results'!$I$26,1)</f>
        <v>0</v>
      </c>
      <c r="BK30" s="891">
        <f>IF($W$8=0,0,IF(V30&lt;='Options and results'!$W$20,IF(VLOOKUP($W$8,Treecost!$B$2:$AH$49,Treecost!$O$2,FALSE)=V30,VLOOKUP($W$8,Treecost!$B$2:$AH$49,Treecost!$P$2,FALSE),0)*IF(V30&gt;='Options and results'!$I$25,'Options and results'!$I$24,1),0))</f>
        <v>0</v>
      </c>
      <c r="BL30" s="889">
        <f>IF($W$8=0,0,IF(V30&lt;='Options and results'!$W$20,IF(AND(V30&gt;VLOOKUP($W$8,Treecost!$B$2:$AH$49,Treecost!$O$2,FALSE),V30&lt;=VLOOKUP($W$8,Treecost!$B$2:$AH$49,Treecost!$R$2,FALSE)),VLOOKUP($W$8,Treecost!$B$2:$AH$49,Treecost!$S$2,FALSE),0)*IF(V30&gt;='Options and results'!$I$25,'Options and results'!$I$24,1),0))</f>
        <v>0</v>
      </c>
      <c r="BM30" s="740">
        <f>IF($W$8=0,0,IF(V30&lt;='Options and results'!$W$20,((IF(VLOOKUP($W$8,Treecost!$B$2:$AH$49,Treecost!$O$2,FALSE)=V30,VLOOKUP($W$8,Treecost!$B$2:$AH$49,Treecost!$Q$2,FALSE),0)+IF(AND(V30&gt;VLOOKUP($W$8,Treecost!$B$2:$AH$49,Treecost!$O$2,FALSE),V30&lt;=VLOOKUP($W$8,Treecost!$B$2:$AH$49,Treecost!$R$2,FALSE)),VLOOKUP($W$8,Treecost!$B$2:$AH$49,Treecost!$T$2,FALSE),0)*IF(1+'Options and results'!$Q$22*(V30-1)&gt;0,1+'Options and results'!$Q$22*(V30-1),0))+(BK30*$AX$16+BL30*$AX$17)*IF(1+'Options and results'!$Q$21*(V30-1)&gt;0,1+'Options and results'!$Q$21*(V30-1),0))*IF(V30&gt;='Options and results'!$I$27,'Options and results'!$I$26,1),0))</f>
        <v>0</v>
      </c>
      <c r="BN30" s="894">
        <f>IF($W$8=0,0,IF(V30&lt;='Options and results'!$W$20,IF(AND(V30&gt;=VLOOKUP($W$8,Treecost!$B$2:$W$49,Treecost!$U$2,FALSE),V30&lt;=VLOOKUP($W$8,Treecost!$B$2:$W$49,Treecost!$V$2,FALSE)),(AB30*VLOOKUP($W$8,Treecost!$B$2:$W$49,Treecost!$W$2,FALSE)/60),0)*IF(V30&gt;='Options and results'!$I$25,'Options and results'!$I$24,1),0))</f>
        <v>0</v>
      </c>
      <c r="BO30" s="740">
        <f>BN30*$AX$18*IF(V30&gt;='Options and results'!$I$27,'Options and results'!$I$26,1)*IF(1+'Options and results'!$Q$21*(V30-1)&gt;0,1+'Options and results'!$Q$21*(V30-1),0)</f>
        <v>0</v>
      </c>
      <c r="BP30" s="894">
        <f>IF(V30&lt;='Options and results'!$W$20,IF(AB30&lt;=0,0,VLOOKUP($W$8,Treecost!$B$6:$AH$49,Treecost!$AC$2,FALSE)+VLOOKUP($W$8,Treecost!$B$6:$AH$49,Treecost!$AD$2,FALSE)+IF(AND(V30&gt;=VLOOKUP($W$8,Treecost!$B$2:$AK$49,Treecost!$AI$2,FALSE),V30&lt;=VLOOKUP($W$8,Treecost!$B$2:$AK$49,Treecost!$AJ$2,FALSE)),(VLOOKUP($W$8,Treecost!$B$2:$AK$49,Treecost!$AK$2,FALSE)),0))*IF(V30&gt;='Options and results'!$I$27,'Options and results'!$I$26,1),0)*IF(1+'Options and results'!$Q$22*(V30-1)&gt;0,1+'Options and results'!$Q$22*(V30-1),0)</f>
        <v>3</v>
      </c>
      <c r="BQ30" s="894">
        <f>IF(V30&lt;='Options and results'!$W$20,IF(AC30&gt;0,VLOOKUP($W$8,Treecost!$B$6:$AH$49,Treecost!$AE$2,FALSE)/60*AC30,0)*IF(V30&gt;='Options and results'!$I$25,'Options and results'!$I$24,1),0)</f>
        <v>0</v>
      </c>
      <c r="BR30" s="740">
        <f>IF(V30&lt;='Options and results'!$W$20,IF(AC30&gt;0,VLOOKUP($W$8,Treecost!$B$6:$AH$49,Treecost!$AF$2,FALSE)/60*AC30,0)*IF(V30&gt;='Options and results'!$I$25,'Options and results'!$I$24,1),0)</f>
        <v>0</v>
      </c>
      <c r="BS30" s="740">
        <f>(BQ30*$AX$20+BR30*$AX$21)*IF(V30&gt;='Options and results'!$I$27,'Options and results'!$I$26,1)*IF(1+'Options and results'!$Q$21*(V30-1)&gt;0,1+'Options and results'!$Q$21*(V30-1),0)</f>
        <v>0</v>
      </c>
      <c r="BT30" s="894">
        <f>IF(V30&lt;='Options and results'!$W$20,IF(AD30&gt;0,(VLOOKUP($W$8,Treecost!$B$6:$AH$49,Treecost!$AG$2,FALSE)/60*AD30)*IF(V30&gt;='Options and results'!$I$25,'Options and results'!$I$24,1),0),0)</f>
        <v>0</v>
      </c>
      <c r="BU30" s="740">
        <f>IF(V30&lt;='Options and results'!$W$20,IF(AD30&gt;0,(VLOOKUP($W$8,Treecost!$B$6:$AH$49,Treecost!$AH$2,FALSE)/60*AD30)*IF(V30&gt;='Options and results'!$I$25,'Options and results'!$I$24,1),0),0)</f>
        <v>0</v>
      </c>
      <c r="BV30" s="740">
        <f>(BT30*$AX$22+BU30*$AX$23)*IF(V30&gt;='Options and results'!$I$27,'Options and results'!$I$26,1)*IF(1+'Options and results'!$Q$21*(V30-1)&gt;0,1+'Options and results'!$Q$21*(V30-1),0)</f>
        <v>0</v>
      </c>
      <c r="BW30" s="1033">
        <f t="shared" si="138"/>
        <v>0</v>
      </c>
      <c r="BX30" s="1027">
        <f t="shared" si="139"/>
        <v>0</v>
      </c>
      <c r="BY30" s="1027">
        <f t="shared" si="140"/>
        <v>0</v>
      </c>
      <c r="BZ30" s="740">
        <f t="shared" si="124"/>
        <v>3</v>
      </c>
      <c r="CA30" s="740">
        <f t="shared" si="141"/>
        <v>-3</v>
      </c>
      <c r="CB30" s="894">
        <f>IF($V30&lt;='Options and results'!$W$20,SUM(BX$8:$BX30),0)</f>
        <v>0</v>
      </c>
      <c r="CC30" s="740">
        <f>IF($V30&lt;='Options and results'!$W$20,SUM($BY$8:BY30),0)</f>
        <v>0</v>
      </c>
      <c r="CD30" s="740">
        <f>IF($V30&lt;='Options and results'!$W$20,SUM($BZ$8:BZ30),0)</f>
        <v>1637.7443691843955</v>
      </c>
      <c r="CE30" s="740">
        <f>IF(V30&lt;='Options and results'!$W$20,CB30+CC30-CD30,0)</f>
        <v>-1637.7443691843955</v>
      </c>
      <c r="CF30" s="1381">
        <f t="shared" si="142"/>
        <v>370.21764211990035</v>
      </c>
      <c r="CG30" s="1027">
        <f t="shared" si="143"/>
        <v>367.21764211990035</v>
      </c>
      <c r="CH30" s="1027">
        <f t="shared" si="144"/>
        <v>0</v>
      </c>
      <c r="CI30" s="1189">
        <f>IF(V30&lt;='Options and results'!$W$20,CE30+AO30,0)</f>
        <v>1350.4799268043121</v>
      </c>
      <c r="CJ30" s="1023"/>
      <c r="CK30" s="895">
        <f t="shared" si="145"/>
        <v>23</v>
      </c>
      <c r="CL30" s="1011" t="str">
        <f>IF('Options and results'!$C$54="None",0,IF(AND(CK30&gt;='Options and results'!$K$57,CK29&lt;'Options and results'!$W$20),'Options and results'!$K$56,IF(Optimisation!$B$3="No",CONCATENATE('Options and results'!$C$60," ",(HLOOKUP(CONCATENATE('Options and results'!$C$54," ",Agroforestrysystem!$B$12),Agroforestrysystem!$B$11:$IM$74,$CK30+4,FALSE))),Optimisation!AA50)))</f>
        <v>UK - Agriculture (BPS: from 2015) Agroforestry fallow</v>
      </c>
      <c r="CM30" s="1012">
        <f>IF(HLOOKUP(CONCATENATE('Options and results'!$C$54," ",Agroforestrysystem!$C$12),Agroforestrysystem!$B$11:$IM$74,$CK30+4,FALSE)="T",(VLOOKUP(CL30,Arablefinance!$Z$6:$AB$105,Arablefinance!$AB$2,FALSE)*CO30+VLOOKUP(CL30,Arablefinance!$Z$6:$AC$105,Arablefinance!$AC$2,FALSE)*CP30)/VLOOKUP(CL30,Arablefinance!$Z$6:$AA$105,Arablefinance!$AA$2,FALSE),0)</f>
        <v>0</v>
      </c>
      <c r="CN30" s="1012">
        <f>IF(CL30=0,0,HLOOKUP(CONCATENATE('Options and results'!$C$54," ",Agroforestrysystem!$D$12),Agroforestrysystem!$B$11:$IM$74,$CK30+4,FALSE))</f>
        <v>0.99</v>
      </c>
      <c r="CO30" s="1440">
        <f ca="1">IF(CL30=0,0,IF(AND(Optimisation!$B$3="yes",Optimisation!$B$4=1,CK30&gt;Optimisation!$B$9),0,HLOOKUP(CONCATENATE('Options and results'!$C$54," ",Agroforestrysystem!$E$12),Agroforestrysystem!$B$11:$IM$74,$CK30+4,FALSE)*IF(CK30&gt;='Options and results'!$J$19,'Options and results'!$J$18,1)))</f>
        <v>0</v>
      </c>
      <c r="CP30" s="1440">
        <f ca="1">IF(CL30=0,0,IF(AND(Optimisation!$B$3="yes",Optimisation!$B$4=1,CK30&gt;Optimisation!$B$9),0,HLOOKUP(CONCATENATE('Options and results'!$C$54," ",Agroforestrysystem!$F$12),Agroforestrysystem!$B$11:$IM$74,$CK30+4,FALSE)*IF(CK30&gt;='Options and results'!$J$19,'Options and results'!$J$18,1)))</f>
        <v>0</v>
      </c>
      <c r="CQ30" s="1013">
        <f ca="1">IF(CN30&lt;=0,0,IF(CK30&lt;='Options and results'!$W$20,IF(CM30&gt;0,VLOOKUP(CL30,Arablefinance!$Z$6:$AE$105,Arablefinance!$AD$2,FALSE)*CM30*CN30,((VLOOKUP(CL30,Arablefinance!$E$6:$H$126,2,FALSE)*CO30+VLOOKUP(CL30,Arablefinance!$E$6:$H$126,3,FALSE)*CP30)*CN30)),0)*IF(CK30&gt;='Options and results'!$J$21,'Options and results'!$J$20,1))*IF(1+'Options and results'!$O$20*(CK30-1)&gt;0,1+'Options and results'!$O$20*(CK30-1),0)</f>
        <v>0</v>
      </c>
      <c r="CR30" s="1441">
        <f>IF(CN30&lt;=0,0,IF(AND(CM30&gt;0,VLOOKUP(CL30,Arablefinance!$Z$6:$AI$105,Arablefinance!$AI$2,FALSE)=2),VLOOKUP(CL30,Arablefinance!$Z$6:$AE$105,Arablefinance!$AE$2,FALSE)*CM30*CN30,IF('Options and results'!$C$62&gt;0,IF(VLOOKUP(CL30,Arablefinance!$E$6:$W$126,Arablefinance!$H$2,FALSE)*(1-Plot!DM30*'Options and results'!$C$62)&gt;0,VLOOKUP(CL30,Arablefinance!$E$6:$W$126,Arablefinance!$H$2,FALSE)*(1-Plot!DM30*'Options and results'!$C$62),0),IF(CK30&lt;='Options and results'!$W$20,(VLOOKUP(CL30,Arablefinance!$E$6:$W$126,Arablefinance!$H$2,FALSE)*IF('Options and results'!$C$61="area",CN30,'Options and results'!$C$61)),0)))*IF(CK30&gt;='Options and results'!$J$23,'Options and results'!$J$22,1))*IF(AND(1+'Options and results'!$O$23*(CK30-1)&gt;0,1+'Options and results'!$O$23*(CK30-1)&gt;'Options and results'!$S$24),1+'Options and results'!$O$23*(CK30-1),'Options and results'!$S$24)</f>
        <v>0</v>
      </c>
      <c r="CS30" s="1441">
        <f t="shared" ca="1" si="146"/>
        <v>0</v>
      </c>
      <c r="CT30" s="1441">
        <f>IF(CN30&lt;=0,0,IF(CK30&lt;='Options and results'!$W$20,IF(CM30&gt;0,VLOOKUP(CL30,Arablefinance!$Z$6:$AF$105,Arablefinance!$AF$2,FALSE)*CM30*CN30,VLOOKUP(CL30,Arablefinance!$E$6:$X$126,Arablefinance!$R$2,FALSE)*CN30),0)*IF(CK30&gt;='Options and results'!$J$27,'Options and results'!$J$26,1))*IF(1+'Options and results'!$O$22*(CK30-1)&gt;0,1+'Options and results'!$O$22*(CK30-1),0)</f>
        <v>0</v>
      </c>
      <c r="CU30" s="1441">
        <f t="shared" ca="1" si="147"/>
        <v>0</v>
      </c>
      <c r="CV30" s="1441">
        <f>IF(CN30&lt;=0,0,IF(CK30&lt;='Options and results'!$W$20,IF(CM30&gt;0,VLOOKUP(CL30,Arablefinance!$Z$6:$AG$105,Arablefinance!$AG$2,FALSE)*CM30*CN30,VLOOKUP(CL30,Arablefinance!$E$6:$X$126,Arablefinance!$X$2,FALSE)*CN30),0)*IF(CK30&gt;='Options and results'!$J$27,'Options and results'!$J$26,1))*IF(1+'Options and results'!$O$22*(CK30-1)&gt;0,1+'Options and results'!$O$22*(CK30-1),0)</f>
        <v>0</v>
      </c>
      <c r="CW30" s="1442">
        <f>IF(CN30&lt;=0,0,IF(CK30&lt;='Options and results'!$W$20,'Options and results'!$C$27*IF(CK30&gt;='Options and results'!$J$27,'Options and results'!$J$26,1),0))*IF(1+'Options and results'!$O$21*(CK30-1)&gt;0,1+'Options and results'!$O$21*(CK30-1),0)</f>
        <v>14.6</v>
      </c>
      <c r="CX30" s="1442">
        <f>IF(CN30&lt;=0,0,IF(CK30&lt;='Options and results'!$W$20,IF(CM30&gt;0,VLOOKUP(CL30,Arablefinance!$Z$6:$AH$105,Arablefinance!$AH$2,FALSE)*CM30*CN30,VLOOKUP(CL30,Arablefinance!$E$6:$W$126,Arablefinance!$V$2,FALSE)*CN30),0)*IF(CK30&gt;='Options and results'!$J$25,'Options and results'!$J$24,1))</f>
        <v>0</v>
      </c>
      <c r="CY30" s="1013">
        <f t="shared" si="148"/>
        <v>0</v>
      </c>
      <c r="CZ30" s="1353">
        <f t="shared" ca="1" si="149"/>
        <v>0</v>
      </c>
      <c r="DA30" s="1013">
        <f ca="1">IF($CK30&lt;='Options and results'!$W$20,SUM($CQ$8:CQ30),0)</f>
        <v>18417.950100000002</v>
      </c>
      <c r="DB30" s="1441">
        <f>IF($CK30&lt;='Options and results'!$W$20,SUM($CR$8:CR30),0)</f>
        <v>0</v>
      </c>
      <c r="DC30" s="1441">
        <f>IF($CK30&lt;='Options and results'!$W$20,SUM($CY$8:CY30),0)</f>
        <v>16943.30918829242</v>
      </c>
      <c r="DD30" s="1189">
        <f ca="1">IF(CK30&lt;='Options and results'!$W$20,DA30+DB30-DC30,0)</f>
        <v>1474.6409117075818</v>
      </c>
      <c r="DE30" s="401"/>
      <c r="DF30" s="895">
        <f t="shared" si="150"/>
        <v>23</v>
      </c>
      <c r="DG30" s="173"/>
      <c r="DH30" s="1422"/>
      <c r="DI30" s="1427">
        <f>IF(DF30&lt;='Options and results'!$M$61,'Options and results'!$M$60,0)</f>
        <v>0</v>
      </c>
      <c r="DJ30" s="740">
        <f t="shared" si="151"/>
        <v>0</v>
      </c>
      <c r="DK30" s="740">
        <f t="shared" si="152"/>
        <v>0</v>
      </c>
      <c r="DL30" s="1428">
        <f t="shared" si="153"/>
        <v>100</v>
      </c>
      <c r="DM30" s="1429">
        <f>IF($DG$8=0,0,HLOOKUP(CONCATENATE('Options and results'!$C$54," ",Agroforestrysystem!$J$12),Agroforestrysystem!$11:$74,DF30+3,FALSE))/100</f>
        <v>1</v>
      </c>
      <c r="DN30" s="740">
        <f>IF($DG$8=0,0,IF(HLOOKUP(CONCATENATE('Options and results'!$C$54," ",Agroforestrysystem!$H$12),Agroforestrysystem!$11:$74,DF30+4,FALSE)&lt;DL30,HLOOKUP(CONCATENATE('Options and results'!$C$54," ",Agroforestrysystem!$H$12),Agroforestrysystem!$11:$74,DF30+4,FALSE),0))</f>
        <v>0</v>
      </c>
      <c r="DO30" s="1027">
        <f>IF($DG$8=0,0,IF(HLOOKUP(CONCATENATE('Options and results'!$C$54," ",Agroforestrysystem!$H$12),Agroforestrysystem!$11:$74,DF30+4,FALSE)&gt;=DL30,DL30,0))</f>
        <v>0</v>
      </c>
      <c r="DP30" s="1430">
        <f>IF($DG$8=0,0,HLOOKUP(CONCATENATE('Options and results'!$C$54," ",Agroforestrysystem!$I$12),Agroforestrysystem!$11:$74,DF30+4,FALSE))</f>
        <v>27.968130289986959</v>
      </c>
      <c r="DQ30" s="1038"/>
      <c r="DR30" s="1390">
        <f>IF($DG$8=0,0,IF(DF30&gt;'Options and results'!$W$20,0,)+IF(DF30=1,'Options and results'!$M$64)+IF('Options and results'!$M$67="yes",IF(AND(DR29+'Options and results'!$M$65&lt;=$DQ$8,DR29+'Options and results'!$M$65+IF(DF30=1,'Options and results'!$M$64,0)&lt;='Options and results'!$M$66*DP30),DR29+'Options and results'!$M$65,DR29),(HLOOKUP(CONCATENATE('Options and results'!$C$54," ",Agroforestrysystem!$K$12),Agroforestrysystem!$11:$74,DF30+4,FALSE)-IF(DF30=1,'Options and results'!$M$64))))</f>
        <v>7.5</v>
      </c>
      <c r="DS30" s="1027">
        <f>IF(OR($DG$8=0,DL30=0),0,HLOOKUP(CONCATENATE('Options and results'!$C$54," ",Agroforestrysystem!$L$12),Agroforestrysystem!$11:$74,DF30+4,FALSE)*IF(DF30&gt;='Options and results'!$K$19,'Options and results'!$K$18,1))</f>
        <v>127.57581755454304</v>
      </c>
      <c r="DT30" s="1431">
        <f t="shared" si="154"/>
        <v>1.2757581755454304</v>
      </c>
      <c r="DU30" s="889">
        <f t="shared" si="155"/>
        <v>0</v>
      </c>
      <c r="DV30" s="1027">
        <f>IF($DG$8=0,0,(HLOOKUP(CONCATENATE('Options and results'!$C$54," ",Agroforestrysystem!$M$12),Agroforestrysystem!$11:$74,DF30+4,FALSE))*IF(DF30&gt;='Options and results'!$K$19,'Options and results'!$K$18,1))-DW30</f>
        <v>56.254235454705892</v>
      </c>
      <c r="DW30" s="303">
        <f>IF($DG$8=0,0,(HLOOKUP(CONCATENATE('Options and results'!$C$54," ",Agroforestrysystem!$N$12),Agroforestrysystem!$11:$74,DF30+4,FALSE))*IF(DF30&gt;='Options and results'!$K$19,'Options and results'!$K$18,1))</f>
        <v>0</v>
      </c>
      <c r="DX30" s="303">
        <f>IF($DG$8=0,0,HLOOKUP(CONCATENATE('Options and results'!$C$54," ",Agroforestrysystem!$O$12),Agroforestrysystem!$11:$74,DF30+4,FALSE)*IF(DF30&gt;='Options and results'!$K$19,'Options and results'!$K$18,1))</f>
        <v>0</v>
      </c>
      <c r="DY30" s="1192">
        <f>IF(DT30&gt;0,HLOOKUP(DT30,Treevalue!$I$4:$BC$34,'Options and results'!$C$66+1),0)*IF(DF30&gt;='Options and results'!$K$21,'Options and results'!$K$20,1)*IF(1+'Options and results'!$Q$20*(DF30-1)&gt;0,1+'Options and results'!$Q$20*(DF30-1),0)</f>
        <v>26.092052958422272</v>
      </c>
      <c r="DZ30" s="1027">
        <f t="shared" si="156"/>
        <v>3328.7149878471546</v>
      </c>
      <c r="EA30" s="1027">
        <f t="shared" si="125"/>
        <v>0</v>
      </c>
      <c r="EB30" s="1027">
        <f>(IF('Options and results'!$C$66&gt;0,IF(DF30&lt;='Options and results'!$W$20,VLOOKUP('Options and results'!$C$66,Treevalue!$A$4:$F$34,5,FALSE),0),0)*DV30)*IF(DF30&gt;='Options and results'!$K$21,'Options and results'!$K$20,1)*IF(1+'Options and results'!$Q$20*(DF30-1)&gt;0,1+'Options and results'!$Q$20*(DF30-1),0)</f>
        <v>1406.3558863676474</v>
      </c>
      <c r="EC30" s="740">
        <f>(IF('Options and results'!$C$66&gt;0,IF(DF30&lt;='Options and results'!$W$20,VLOOKUP('Options and results'!$C$66,Treevalue!$A$4:$F$34,5,FALSE),0),0)*DW30)*IF(DF30&gt;='Options and results'!$K$21,'Options and results'!$K$20,1)*IF(1+'Options and results'!$Q$20*(DF30-1)&gt;0,1+'Options and results'!$Q$20*(DF30-1),0)</f>
        <v>0</v>
      </c>
      <c r="ED30" s="889">
        <f>(IF('Options and results'!$C$66&gt;0,IF(DF30&lt;='Options and results'!$W$20,VLOOKUP('Options and results'!$C$66,Treevalue!$A$4:$F$34,6,FALSE),0),0)*DX30)*IF(DF30&gt;='Options and results'!$K$21,'Options and results'!$K$20,1)*IF(1+'Options and results'!$Q$20*(DF30-1)&gt;0,1+'Options and results'!$Q$20*(DF30-1),0)</f>
        <v>0</v>
      </c>
      <c r="EE30" s="740">
        <f>IF(DF30&lt;='Options and results'!$W$20,IF(DL30&lt;=0,0,IF('Options and results'!$C$70="cost",(IF(DF30&lt;='Options and results'!$C$71,FK30*SUM('Options and results'!$C$72:$C$73),0)),IF('Options and results'!$C$68&gt;0,(IF(VLOOKUP('Options and results'!$C$69,Treegrant!$B$6:$L$42,Treegrant!$C$2,FALSE)=DF30,VLOOKUP('Options and results'!$C$69,Treegrant!$B$6:$L$42,Treegrant!$D$2,FALSE),0)+IF(VLOOKUP('Options and results'!$C$69,Treegrant!$B$6:$L$42,Treegrant!$E$2,FALSE)=DF30,VLOOKUP('Options and results'!$C$69,Treegrant!$B$6:$L$42,Treegrant!$F$2,FALSE),0)+IF(VLOOKUP('Options and results'!$C$69,Treegrant!$B$6:$L$42,Treegrant!$G$2,FALSE)=DF30,VLOOKUP('Options and results'!$C$69,Treegrant!$B$6:$L$42,Treegrant!$H$2,FALSE)))*IF('Options and results'!$C$70="area",Unit!C31,'Options and results'!$C$70),0))*IF(DF30&gt;='Options and results'!$K$23,'Options and results'!$K$22,1)),0)*IF(1+'Options and results'!$Q$23*(DF30-1)&gt;0,1+'Options and results'!$Q$23*(DF30-1),0)</f>
        <v>0</v>
      </c>
      <c r="EF30" s="740">
        <f>IF($DG$8=0,0,IF(DF30&lt;='Options and results'!$W$20,IF(DL30&lt;=0,0,IF('Options and results'!$C$68&gt;0,IF(AND(VLOOKUP('Options and results'!$C$69,Treegrant!$B$6:$L$42,Treegrant!$J$2,FALSE)&lt;=DF30,VLOOKUP('Options and results'!$C$69,Treegrant!$B$6:$L$42,Treegrant!$K$2,FALSE)&gt;=DF30),(VLOOKUP('Options and results'!$C$69,Treegrant!$B$6:$L$42,Treegrant!$L$2,FALSE)),0)*IF('Options and results'!$C$74="area",Unit!C31,'Options and results'!$C$74))*IF(DF30&gt;='Options and results'!$K$23,'Options and results'!$K$22,1)),0))*IF(1+'Options and results'!$Q$23*(DF30-1)&gt;0,1+'Options and results'!$Q$23*(DF30-1),0)</f>
        <v>0</v>
      </c>
      <c r="EG30" s="1034">
        <f>IF($DG$8=0,0,IF(DF30&lt;='Options and results'!$W$20,IF(DL30&lt;=0,0,IF('Options and results'!$C$68&gt;0,((IF(AND(VLOOKUP('Options and results'!$C$69,Treegrant!$B$6:$O$42,Treegrant!$M$2,FALSE)&lt;=DF30,VLOOKUP('Options and results'!$C$69,Treegrant!$B$6:$O$42,Treegrant!$N$2,FALSE)&gt;=DF30),(VLOOKUP('Options and results'!$C$69,Treegrant!$B$6:$O$42,Treegrant!$O$2,FALSE)),0)*IF('Options and results'!$C$75="area",Unit!C31,'Options and results'!$C$75))+(IF(AND(VLOOKUP('Options and results'!$C$69,Treegrant!$B$6:$R$42,Treegrant!$P$2,FALSE)&lt;=DF30,VLOOKUP('Options and results'!$C$69,Treegrant!$B$6:$R$42,Treegrant!$Q$2,FALSE)&gt;=DF30),(VLOOKUP('Options and results'!$C$69,Treegrant!$B$6:$R$42,Treegrant!$R$2,FALSE)),0))*IF('Options and results'!$C$76="area",Unit!C31,'Options and results'!$C$76)))*IF(DF30&gt;='Options and results'!$K$23,'Options and results'!$K$22,1)),0))*IF(1+'Options and results'!$Q$23*(DF30-1)&gt;0,1+'Options and results'!$Q$23*(DF30-1),0)</f>
        <v>0</v>
      </c>
      <c r="EH30" s="1041"/>
      <c r="EI30" s="1042"/>
      <c r="EJ30" s="1419">
        <f>IF($DH$8+DK30&lt;1,0,IF(DF30=1,VLOOKUP($DG$8,Treecost!$B$6:$AH$49,Treecost!$E$2,FALSE),0)*IF(DF30&gt;='Options and results'!$K$25,'Options and results'!$K$24,1))</f>
        <v>0</v>
      </c>
      <c r="EK30" s="889">
        <f>IF($DH$8+DK30&lt;1,0,IF(DF30=1,VLOOKUP($DG$8,Treecost!$B$6:$AH$49,Treecost!$F$2,FALSE),0)*IF(DF30&gt;='Options and results'!$K$25,'Options and results'!$K$24,1))</f>
        <v>0</v>
      </c>
      <c r="EL30" s="889">
        <f>IF($DH$8+DK30&lt;1,0,IF(DF30=1,VLOOKUP($DG$8,Treecost!$B$6:$AH$49,Treecost!$G$2,FALSE),0)*IF(DF30&gt;='Options and results'!$K$25,'Options and results'!$K$24,1))</f>
        <v>0</v>
      </c>
      <c r="EM30" s="889">
        <f>IF($DG$8=0,0,IF(DF30&lt;='Options and results'!$W$20,((VLOOKUP($DG$8,Treecost!$B$6:$AH$49,Treecost!$H$2,FALSE)*(DH30+DK30))/60)*IF(DF30&gt;='Options and results'!$K$25,'Options and results'!$K$24,1),0))</f>
        <v>0</v>
      </c>
      <c r="EN30" s="889">
        <f>IF($DG$8=0,0,IF(DF30&lt;='Options and results'!$W$20,(((VLOOKUP($DG$8,Treecost!$B$6:$AH$49,Treecost!$I$2,FALSE))*(DH30+DK30))/60)*IF(DF30&gt;='Options and results'!$K$25,'Options and results'!$K$24,1),0))</f>
        <v>0</v>
      </c>
      <c r="EO30" s="889">
        <f>IF($DG$8=0,0,IF(DF30&lt;='Options and results'!$W$20,(((VLOOKUP($DG$8,Treecost!$B$6:$AH$49,Treecost!$J$2,FALSE))/60)*(DH30+DK30))*IF(DF30&gt;='Options and results'!$K$25,'Options and results'!$K$24,1),0))</f>
        <v>0</v>
      </c>
      <c r="EP30" s="1019">
        <f>IF($DG$8=0,0,IF(DF30&lt;='Options and results'!$W$20,(((VLOOKUP($DG$8,Treecost!$B$6:$AH$49,Treecost!$C$2,FALSE)+VLOOKUP($DG$8,Treecost!$B$6:$AH$49,Treecost!$D$2,FALSE))*(DH30+DK30)*IF(1+'Options and results'!$Q$22*(DF30-1)&gt;0,1+'Options and results'!$Q$22*(DF30-1),0))+(EJ30*$EI$8+EK30*$EI$9+EL30*$EI$10+EM30*$EI$11+EN30*$EI$12+EO30*$EI$13)*IF(1+'Options and results'!$Q$21*(DF30-1)&gt;0,1+'Options and results'!$Q$21*(DF30-1),0))*IF(DF30&gt;='Options and results'!$K$27,'Options and results'!$K$26,1),0))</f>
        <v>0</v>
      </c>
      <c r="EQ30" s="740">
        <f>IF($DG$8=0,0,IF(DF30&lt;='Options and results'!$W$20,IF(AND(VLOOKUP($DG$8,Treecost!$B$6:$AH$49,Treecost!$K$2,FALSE)&lt;=DF30,DF30&lt;=(VLOOKUP($DG$8,Treecost!$B$6:$AH$49,Treecost!$L$2,FALSE))),VLOOKUP($DG$8,Treecost!$B$6:$AH$49,Treecost!$M$2,FALSE)*DL30/60,0)*IF(DF30&gt;='Options and results'!$K$25,'Options and results'!$K$24,1),0))</f>
        <v>0</v>
      </c>
      <c r="ER30" s="1019">
        <f>IF(EQ30&gt;0,(VLOOKUP($DG$8,Treecost!$B$6:$AH$49,Treecost!$N$2,FALSE)*DL30*IF(1+'Options and results'!$Q$22*(DF30-1)&gt;0,1+'Options and results'!$Q$22*(DF30-1),0)+EQ30*$EI$14*IF(1+'Options and results'!$Q$21*(DF30-1)&gt;0,1+'Options and results'!$Q$21*(DF30-1),0)),0)*IF(DF30&gt;='Options and results'!$K$27,'Options and results'!$K$26,1)</f>
        <v>0</v>
      </c>
      <c r="ES30" s="889">
        <f>IF(DF30&lt;='Options and results'!$W$20,IF(AND(DR30-DR29&gt;0,DR30&gt;'Options and results'!$M$64),(DL30-DN30)*(VLOOKUP($DG$8,Treecost!$B$6:$AH$49,Treecost!$Y$2,FALSE)+(VLOOKUP($DG$8,Treecost!$B$6:$AH$49,Treecost!$AA$2,FALSE)-VLOOKUP($DG$8,Treecost!$B$6:$AH$49,Treecost!$Y$2,FALSE))/(VLOOKUP($DG$8,Treecost!$B$6:$AH$49,Treecost!$Z$2,FALSE)-VLOOKUP($DG$8,Treecost!$B$6:$AH$49,Treecost!$X$2,FALSE))*(DR30-VLOOKUP($DG$8,Treecost!$B$6:$AH$49,Treecost!$X$2,FALSE)))/60,0)*IF(DF30&gt;='Options and results'!$K$25,'Options and results'!$K$24,1),0)</f>
        <v>0</v>
      </c>
      <c r="ET30" s="889">
        <f>IF(DF30&lt;='Options and results'!$W$20,IF(ES30&gt;0,VLOOKUP($DG$8,Treecost!$B$6:$AH$49,Treecost!$AB$2,FALSE)/60*DL30,0)*IF(DF30&gt;='Options and results'!$K$25,'Options and results'!$K$24,1),0)*((ES30-(MIN($ES$8:$ES$67)))/((MAX($ES$8:$ES$67))-(MIN($ES$8:$ES$67))))</f>
        <v>0</v>
      </c>
      <c r="EU30" s="740">
        <f>IF(ES30&gt;0,(ES30*$EI$15+ET30*$EI$19)*IF(1+'Options and results'!$Q$21*(DF30-1)&gt;0,1+'Options and results'!$Q$21*(DF30-1),0),0)*IF(DF30&gt;='Options and results'!$K$27,'Options and results'!$K$26,1)</f>
        <v>0</v>
      </c>
      <c r="EV30" s="891">
        <f>IF($DG$8=0,0,IF(DF30&lt;='Options and results'!$W$20,IF(AND(VLOOKUP($DG$8,Treecost!$B$2:$AH$49,Treecost!$O$2,FALSE)=DF30,DF30&lt;=IF(AND(Optimisation!$B$3="Yes",Optimisation!$B$4=1),Optimisation!$B$9)),VLOOKUP($DG$8,Treecost!$B$2:$AH$49,Treecost!$P$2,FALSE)*(1-CN30),0)*IF(DF30&gt;='Options and results'!$K$25,'Options and results'!$K$24,1),0))</f>
        <v>0</v>
      </c>
      <c r="EW30" s="889">
        <f>IF($DG$8=0,0,IF(DF30&lt;='Options and results'!$W$20,IF(AND(DF30&gt;VLOOKUP($DG$8,Treecost!$B$2:$AH$49,Treecost!$O$2,FALSE),DF30&lt;=IF(AND(Optimisation!$B$3="Yes",Optimisation!$B$4=1),Optimisation!$B$9,VLOOKUP($DG$8,Treecost!$B$2:$AH$49,Treecost!$R$2,FALSE))),VLOOKUP($DG$8,Treecost!$B$2:$AH$49,Treecost!$S$2,FALSE)*(1-CN30),0)*IF(DF30&gt;='Options and results'!$K$25,'Options and results'!$K$24,1),0))</f>
        <v>0</v>
      </c>
      <c r="EX30" s="740">
        <f>IF($DG$8=0,0,IF(DF30&lt;='Options and results'!$W$20,(IF(AND(VLOOKUP($DG$8,Treecost!$B$2:$AH$49,Treecost!$O$2,FALSE)=DF30,DF30&lt;=IF(AND(Optimisation!$B$3="Yes",Optimisation!$B$4=1),Optimisation!$B$9)),VLOOKUP($DG$8,Treecost!$B$2:$AH$49,Treecost!$Q$2,FALSE),0)*(1-CN30)+IF(AND(DF30&gt;VLOOKUP($DG$8,Treecost!$B$2:$AH$49,Treecost!$O$2,FALSE),DF30&lt;=IF(AND(Optimisation!$B$3="Yes",Optimisation!$B$4=1),Optimisation!$B$9,VLOOKUP($DG$8,Treecost!$B$2:$AH$49,Treecost!$R$2,FALSE))),VLOOKUP($DG$8,Treecost!$B$2:$AH$49,Treecost!$T$2,FALSE),0)*(1-CN30)+(EV30*$EI$16+EW30*$EI$17))*IF(DF30&gt;='Options and results'!$K$27,'Options and results'!$K$26,1),0))*IF(1+'Options and results'!$Q$21*(DF30-1)&gt;0,1+'Options and results'!$Q$21*(DF30-1),0)</f>
        <v>0</v>
      </c>
      <c r="EY30" s="894">
        <f>IF($DG$8=0,0,IF(DF30&lt;='Options and results'!$W$20,IF(AND(DF30&gt;=VLOOKUP($DG$8,Treecost!$B$2:$W$49,Treecost!$U$2,FALSE),DF30&lt;=VLOOKUP($DG$8,Treecost!$B$2:$W$49,Treecost!$V$2,FALSE)),(DL30*VLOOKUP($DG$8,Treecost!$B$2:$W$49,Treecost!$W$2,FALSE)/60),0)*IF(DF30&gt;='Options and results'!$K$25,'Options and results'!$K$24,1),0))</f>
        <v>0</v>
      </c>
      <c r="EZ30" s="740">
        <f>EY30*$EI$18*IF(DF30&gt;='Options and results'!$K$27,'Options and results'!$K$26,1)*IF(1+'Options and results'!$Q$21*(DF30-1)&gt;0,1+'Options and results'!$Q$21*(DF30-1),0)</f>
        <v>0</v>
      </c>
      <c r="FA30" s="1025">
        <f>IF(DF30&lt;='Options and results'!$W$20,IF(DL30&lt;=0,0,VLOOKUP($DG$8,Treecost!$B$6:$AH$49,Treecost!$AC$2,FALSE)+VLOOKUP($DG$8,Treecost!$B$6:$AH$49,Treecost!$AD$2,FALSE)+IF(AND(DF30&gt;=VLOOKUP($DG$8,Treecost!$B$2:$AK$49,Treecost!$AI$2,FALSE),DF30&lt;=VLOOKUP($DG$8,Treecost!$B$2:$AK$49,Treecost!$AJ$2,FALSE)),VLOOKUP($DG$8,Treecost!$B$2:$AK$49,Treecost!$AK$2,FALSE)*(1-CN30),0))*IF(DF30&gt;='Options and results'!$K$27,'Options and results'!$K$26,1),0)*IF(1+'Options and results'!$Q$22*(DF30-1)&gt;0,1+'Options and results'!$Q$22*(DF30-1),0)</f>
        <v>3</v>
      </c>
      <c r="FB30" s="894">
        <f>IF(DF30&lt;='Options and results'!$W$20,IF(DN30&gt;0,VLOOKUP($DG$8,Treecost!$B$6:$AH$49,Treecost!$AE$2,FALSE)/60*DN30,0)*IF(DF30&gt;='Options and results'!$K$25,'Options and results'!$K$24,1),0)</f>
        <v>0</v>
      </c>
      <c r="FC30" s="740">
        <f>IF(DF30&lt;='Options and results'!$W$20,IF(DN30&gt;0,VLOOKUP($DG$8,Treecost!$B$6:$AH$49,Treecost!$AF$2,FALSE)/60*DN30,0)*IF(DF30&gt;='Options and results'!$K$25,'Options and results'!$K$24,1),0)</f>
        <v>0</v>
      </c>
      <c r="FD30" s="740">
        <f>(FB30*$EI$20+FC30*$EI$21)*IF(DF30&gt;='Options and results'!$K$27,'Options and results'!$K$26,1)*IF(1+'Options and results'!$Q$21*(DF30-1)&gt;0,1+'Options and results'!$Q$21*(DF30-1),0)</f>
        <v>0</v>
      </c>
      <c r="FE30" s="894">
        <f>IF(DF30&lt;='Options and results'!$W$20,IF(DO30&gt;0,(VLOOKUP($DG$8,Treecost!$B$6:$AH$49,Treecost!$AG$2,FALSE)/60*DO30)*IF(DF30&gt;='Options and results'!$K$25,'Options and results'!$K$24,1),0),0)</f>
        <v>0</v>
      </c>
      <c r="FF30" s="740">
        <f>IF(DF30&lt;='Options and results'!$W$20,IF(DO30&gt;0,(VLOOKUP($DG$8,Treecost!$B$6:$AH$49,Treecost!$AH$2,FALSE)/60*DO30)*IF(DF30&gt;='Options and results'!$K$25,'Options and results'!$K$24,1),0),0)</f>
        <v>0</v>
      </c>
      <c r="FG30" s="740">
        <f>(FE30*$EI$22+FF30*$EI$23)*IF(DF30&gt;='Options and results'!$K$27,'Options and results'!$K$26,1)*IF(1+'Options and results'!$Q$21*(DF30-1)&gt;0,1+'Options and results'!$Q$21*(DF30-1),0)</f>
        <v>0</v>
      </c>
      <c r="FH30" s="894">
        <f t="shared" si="157"/>
        <v>0</v>
      </c>
      <c r="FI30" s="1027">
        <f t="shared" si="158"/>
        <v>0</v>
      </c>
      <c r="FJ30" s="1027">
        <f t="shared" si="159"/>
        <v>0</v>
      </c>
      <c r="FK30" s="1027">
        <f t="shared" si="160"/>
        <v>3</v>
      </c>
      <c r="FL30" s="1027">
        <f t="shared" si="183"/>
        <v>-3</v>
      </c>
      <c r="FM30" s="1027">
        <f>IF($DF30&lt;='Options and results'!$W$20,SUM(FI$8:$FI30),0)</f>
        <v>0</v>
      </c>
      <c r="FN30" s="1027">
        <f>IF($DF30&lt;='Options and results'!$W$20,SUM($FJ$8:FJ30),0)</f>
        <v>0</v>
      </c>
      <c r="FO30" s="1027">
        <f>IF($DF30&lt;='Options and results'!$W$20,SUM($FK$8:FK30),0)</f>
        <v>1109.0448753513026</v>
      </c>
      <c r="FP30" s="1027">
        <f>IF($DF30&lt;='Options and results'!$W$20,FM30+FN30-FO30,0)</f>
        <v>-1109.0448753513026</v>
      </c>
      <c r="FQ30" s="1027">
        <f t="shared" si="162"/>
        <v>579.98639952944973</v>
      </c>
      <c r="FR30" s="1027">
        <f t="shared" si="163"/>
        <v>576.98639952944973</v>
      </c>
      <c r="FS30" s="1027">
        <f t="shared" si="164"/>
        <v>0</v>
      </c>
      <c r="FT30" s="1189">
        <f>IF(DF30&lt;='Options and results'!$W$20,FP30+DZ30,0)</f>
        <v>2219.6701124958518</v>
      </c>
      <c r="FU30" s="401"/>
      <c r="FV30" s="895">
        <f t="shared" si="165"/>
        <v>23</v>
      </c>
      <c r="FW30" s="894">
        <f>G30/(1+'Options and results'!$W$33)^(FV30-1)</f>
        <v>243.07221280034079</v>
      </c>
      <c r="FX30" s="740">
        <f>(AP30+AR30+AS30)/(1+'Options and results'!$W$33)^(FV30-1)</f>
        <v>0</v>
      </c>
      <c r="FY30" s="740">
        <f ca="1">CQ30/(1+'Options and results'!$W$33)^(FV30-1)</f>
        <v>0</v>
      </c>
      <c r="FZ30" s="740">
        <f>(EA30+EC30+ED30)/(1+'Options and results'!$W$33)^(FV30-1)</f>
        <v>0</v>
      </c>
      <c r="GA30" s="1019">
        <f t="shared" ca="1" si="180"/>
        <v>0</v>
      </c>
      <c r="GB30" s="1026">
        <f>(AO30+AQ30)/(1+'Options and results'!$W$33)^(FV30-1)+FX30</f>
        <v>1894.9304489446229</v>
      </c>
      <c r="GC30" s="1027">
        <f>IF(FV30&gt;'Options and results'!$W$27,0,GB30-GB29)</f>
        <v>86.666723500815124</v>
      </c>
      <c r="GD30" s="1027">
        <f>(DZ30+EB30)/(1+'Options and results'!$W$33)^(FV30-1)+FZ30</f>
        <v>1997.9886615473145</v>
      </c>
      <c r="GE30" s="1379">
        <f>IF(FV30&gt;'Options and results'!$W$27,0,GD30-GD29)</f>
        <v>174.59797442226886</v>
      </c>
      <c r="GF30" s="894">
        <f>IF(FV30&lt;='Options and results'!$W$20,SUM(FW$8:FW30),0)</f>
        <v>23834.230473556137</v>
      </c>
      <c r="GG30" s="740">
        <f>IF(FV30&lt;='Options and results'!$W$20,SUM(FX$8:FX30), 0)</f>
        <v>0</v>
      </c>
      <c r="GH30" s="740">
        <f ca="1">IF(FV30&lt;='Options and results'!$W$20,SUM(FY$8:FY30),0)</f>
        <v>14787.259868716837</v>
      </c>
      <c r="GI30" s="740">
        <f>IF(FV30&lt;='Options and results'!$W$20,SUM(FZ$8:FZ30),0)</f>
        <v>0</v>
      </c>
      <c r="GJ30" s="1019">
        <f t="shared" ca="1" si="166"/>
        <v>14787.259868716837</v>
      </c>
      <c r="GK30" s="894">
        <f>IF(FV30&gt;'Options and results'!$W$27,0,GG30+SUM(GC$8:GC30)-FX30)</f>
        <v>1894.9304489446229</v>
      </c>
      <c r="GL30" s="740">
        <f>IF(FV30&lt;='Options and results'!$W$20,SUM(GD$8:GD30),0)</f>
        <v>11912.263360300818</v>
      </c>
      <c r="GM30" s="1034">
        <f t="shared" ca="1" si="167"/>
        <v>26699.523229017657</v>
      </c>
      <c r="GN30" s="401"/>
      <c r="GO30" s="895">
        <f t="shared" si="168"/>
        <v>23</v>
      </c>
      <c r="GP30" s="894">
        <f>H30/(1+'Options and results'!$W$33)^(GO30-1)</f>
        <v>99.243906940221777</v>
      </c>
      <c r="GQ30" s="740">
        <f>SUM(AT30:AV30)/(1+'Options and results'!$W$33)^(GO30-1)</f>
        <v>0</v>
      </c>
      <c r="GR30" s="740">
        <f>CR30/(1+'Options and results'!$W$33)^(GO30-1)</f>
        <v>0</v>
      </c>
      <c r="GS30" s="740">
        <f>SUM(EE30:EG30)/(1+'Options and results'!$W$33)^(GO30-1)</f>
        <v>0</v>
      </c>
      <c r="GT30" s="1019">
        <f t="shared" si="181"/>
        <v>0</v>
      </c>
      <c r="GU30" s="894">
        <f>IF(GO30&lt;='Options and results'!$W$20,SUM(GP$8:GP30),0)</f>
        <v>3634.1023264944515</v>
      </c>
      <c r="GV30" s="740">
        <f>IF(GO30&lt;='Options and results'!$W$20,SUM(GQ$8:GQ30),0)</f>
        <v>0</v>
      </c>
      <c r="GW30" s="740">
        <f>IF(GO30&lt;='Options and results'!$W$20,SUM(GR$8:GR30),0)</f>
        <v>0</v>
      </c>
      <c r="GX30" s="740">
        <f>IF(GO30&lt;='Options and results'!$W$20,SUM(GS$8:GS30),0)</f>
        <v>0</v>
      </c>
      <c r="GY30" s="1034">
        <f>IF(GO30&lt;='Options and results'!$W$20,SUM(GT$8:GT30),0)</f>
        <v>0</v>
      </c>
      <c r="GZ30" s="401"/>
      <c r="HA30" s="895">
        <f t="shared" si="169"/>
        <v>23</v>
      </c>
      <c r="HB30" s="1026">
        <f>(J30+L30+(M30*N30))/(1+'Options and results'!$W$33)^(HA30-1)</f>
        <v>480.11123823127838</v>
      </c>
      <c r="HC30" s="740">
        <f>BZ30/(1+'Options and results'!$W$33)^(HA30-1)</f>
        <v>1.2658661599518084</v>
      </c>
      <c r="HD30" s="1027">
        <f>(CT30+CV30+(CW30*CX30))/(1+'Options and results'!$W$33)^(HA30-1)</f>
        <v>0</v>
      </c>
      <c r="HE30" s="740">
        <f>FK30/(1+'Options and results'!$W$33)^(HA30-1)</f>
        <v>1.2658661599518084</v>
      </c>
      <c r="HF30" s="1019">
        <f t="shared" si="182"/>
        <v>1.2658661599518084</v>
      </c>
      <c r="HG30" s="894">
        <f>IF(HA30&lt;='Options and results'!$W$20,SUM(HB$8:HB30),0)</f>
        <v>18812.794534338933</v>
      </c>
      <c r="HH30" s="740">
        <f>IF(HA30&lt;='Options and results'!$W$20,SUM(HC$8:HC30),0)</f>
        <v>1397.5601210301613</v>
      </c>
      <c r="HI30" s="740">
        <f>IF(HA30&lt;='Options and results'!$W$20,SUM(HD$8:HD30),0)</f>
        <v>13294.975863606456</v>
      </c>
      <c r="HJ30" s="740">
        <f>IF(HA30&lt;='Options and results'!$W$20,SUM(HE$8:HE30),0)</f>
        <v>941.93993297834947</v>
      </c>
      <c r="HK30" s="1034">
        <f>IF(HA30&lt;='Options and results'!$W$20,SUM(HF$8:HF30),0)</f>
        <v>14236.915796584808</v>
      </c>
      <c r="HL30" s="405"/>
      <c r="HM30" s="895">
        <f t="shared" si="170"/>
        <v>23</v>
      </c>
      <c r="HN30" s="1026">
        <f t="shared" si="171"/>
        <v>-137.79511849071582</v>
      </c>
      <c r="HO30" s="1027">
        <f t="shared" si="172"/>
        <v>-1.2658661599518084</v>
      </c>
      <c r="HP30" s="1027">
        <f t="shared" ca="1" si="173"/>
        <v>0</v>
      </c>
      <c r="HQ30" s="1027">
        <f t="shared" si="174"/>
        <v>-1.2658661599518084</v>
      </c>
      <c r="HR30" s="1027">
        <f t="shared" si="175"/>
        <v>85.400857340863311</v>
      </c>
      <c r="HS30" s="1379">
        <f t="shared" si="176"/>
        <v>173.33210826231706</v>
      </c>
      <c r="HT30" s="1026">
        <f>IF($HM30&lt;='Options and results'!$W$20,SUM(HN$8:HN30),0)</f>
        <v>8655.538265711657</v>
      </c>
      <c r="HU30" s="1027">
        <f>IF($HM30&lt;='Options and results'!$W$20,SUM(HO$8:HO30),0)</f>
        <v>-1397.5601210301613</v>
      </c>
      <c r="HV30" s="1027">
        <f ca="1">IF($HM30&lt;='Options and results'!$W$20,SUM(HP$8:HP30),0)</f>
        <v>1492.284005110379</v>
      </c>
      <c r="HW30" s="1027">
        <f>IF($HM30&lt;='Options and results'!$W$20,SUM(HQ$8:HQ30),0)</f>
        <v>-941.93993297834947</v>
      </c>
      <c r="HX30" s="1027">
        <f t="shared" ca="1" si="177"/>
        <v>550.34407213202951</v>
      </c>
      <c r="HY30" s="1027">
        <f>IF($HM30&lt;='Options and results'!$W$20,SUM(HR$8:HR30),0)</f>
        <v>497.37032791446154</v>
      </c>
      <c r="HZ30" s="1027">
        <f>IF($HM30&lt;='Options and results'!$W$20,SUM(HS$8:HS30),0)</f>
        <v>1056.0487285689651</v>
      </c>
      <c r="IA30" s="1189">
        <f t="shared" ca="1" si="178"/>
        <v>2548.3327336793441</v>
      </c>
    </row>
    <row r="31" spans="1:235" x14ac:dyDescent="0.25">
      <c r="A31" s="1010">
        <f t="shared" si="126"/>
        <v>24</v>
      </c>
      <c r="B31" s="1011" t="str">
        <f>IF('Options and results'!$C$17="None",0,CONCATENATE('Options and results'!$C$23," ",(HLOOKUP(CONCATENATE('Options and results'!$C$17," ",Arablesystem!$B$11),Arablesystem!$B$10:$ER$72,$A31+3,FALSE))))</f>
        <v>UK - Agriculture (BPS: from 2015) Oilseed</v>
      </c>
      <c r="C31" s="1012">
        <f>IF(HLOOKUP(CONCATENATE('Options and results'!$C$17," ",Arablesystem!$C$11),Arablesystem!$B$10:$ER$72,$A31+3,FALSE)="T",(VLOOKUP(B31,Arablefinance!$Z$6:$AB$105,Arablefinance!$AB$2,FALSE)*E31+VLOOKUP(B31,Arablefinance!$Z$6:$AC$105,Arablefinance!$AC$2,FALSE)*F31)/VLOOKUP(B31,Arablefinance!$Z$6:$AA$105,Arablefinance!$AA$2,FALSE),0)</f>
        <v>0</v>
      </c>
      <c r="D31" s="1012">
        <f>IF(B31=0,0,HLOOKUP(CONCATENATE('Options and results'!$C$17," ",Arablesystem!$D$11),Arablesystem!$B$10:$ER$72,$A31+3,FALSE))</f>
        <v>1</v>
      </c>
      <c r="E31" s="1440">
        <f>IF(B31=0,0,HLOOKUP(CONCATENATE('Options and results'!$C$17," ",Arablesystem!$E$11),Arablesystem!$B$10:$ER$72,$A31+3,FALSE)*IF(A31&gt;='Options and results'!$H$19,'Options and results'!$H$18,1))</f>
        <v>3.2880286689319052</v>
      </c>
      <c r="F31" s="1440">
        <f>IF(B31=0,0,HLOOKUP(CONCATENATE('Options and results'!$C$17," ",Arablesystem!$F$11),Arablesystem!$B$10:$ER$72,$A31+3,FALSE)*IF(A31&gt;='Options and results'!$H$19,'Options and results'!$H$18,1))</f>
        <v>1.6440143344659526</v>
      </c>
      <c r="G31" s="1013">
        <f>IF(D31&lt;=0,0,IF(A31&lt;='Options and results'!$W$20,IF(C31&gt;0,VLOOKUP(B31,Arablefinance!$Z$6:$AE$105,Arablefinance!$AD$2,FALSE)*C31*D31,((VLOOKUP(B31,Arablefinance!$E$6:$G$126,Arablefinance!$F$2,FALSE)*(E31*D31)+VLOOKUP(B31,Arablefinance!$E$6:$G$126,Arablefinance!$G$2,FALSE)*(F31*D31)))),0)*IF(A31&gt;='Options and results'!$H$21,'Options and results'!$H$20,1))*IF(1+'Options and results'!$O$20*(A31-1)&gt;0,1+'Options and results'!$O$20*(A31-1),0)</f>
        <v>1187.3436860031879</v>
      </c>
      <c r="H31" s="1441">
        <f>IF(D31&lt;=0,0,IF(A31&lt;='Options and results'!$W$20,IF(AND(C31&gt;0,VLOOKUP(B31,Arablefinance!$Z$6:$AI$105,Arablefinance!$AI$2,FALSE)=2),VLOOKUP(B31,Arablefinance!$Z$6:$AE$105,Arablefinance!$AE$2,FALSE)*C31*D31,(VLOOKUP(B31,Arablefinance!$E$6:$H$126,Arablefinance!$H$2,FALSE)*D31))*IF(A31&gt;='Options and results'!$H$23,'Options and results'!$H$22,1),0)*IF(AND(1+'Options and results'!$O$23*(A31-1)&gt;0,1+'Options and results'!$O$23*(A31-1)&gt;'Options and results'!$S$24),1+'Options and results'!$O$23*(A31-1),'Options and results'!$S$24))</f>
        <v>235.2</v>
      </c>
      <c r="I31" s="1441">
        <f t="shared" si="127"/>
        <v>1422.543686003188</v>
      </c>
      <c r="J31" s="1441">
        <f>IF(D31&lt;=0,0,IF(A31&lt;='Options and results'!$W$20,IF(C31&gt;0,VLOOKUP(B31,Arablefinance!$Z$6:$AF$105,Arablefinance!$AF$2,FALSE)*C31*D31,(VLOOKUP(B31,Arablefinance!$E$6:$X$126,Arablefinance!$R$2,FALSE))*D31),0)*IF(A31&gt;='Options and results'!$H$27,'Options and results'!$H$26,1))*IF(1+'Options and results'!$O$22*(A31-1)&gt;0,1+'Options and results'!$O$22*(A31-1),0)</f>
        <v>633.88888888888891</v>
      </c>
      <c r="K31" s="1441">
        <f t="shared" si="128"/>
        <v>788.65479711429907</v>
      </c>
      <c r="L31" s="1441">
        <f>IF(D31&lt;=0,0,IF(A31&lt;='Options and results'!$W$20,IF(C31&gt;0,VLOOKUP(B31,Arablefinance!$Z$6:$AG$105,Arablefinance!$AG$2,FALSE)*C31*D31,VLOOKUP(B31,Arablefinance!$E$6:$X$126,Arablefinance!$X$2,FALSE)*D31),0)*IF(A31&gt;='Options and results'!$H$27,'Options and results'!$H$26,1))*IF(1+'Options and results'!$O$22*(A31-1)&gt;0,1+'Options and results'!$O$22*(A31-1),0)</f>
        <v>444.44444444444446</v>
      </c>
      <c r="M31" s="1442">
        <f>IF(D31&lt;=0,0,IF(A31&lt;='Options and results'!$W$20,'Options and results'!$C$27,0)*IF(A31&gt;='Options and results'!$H$27,'Options and results'!$H$26,1))*IF(1+'Options and results'!$O$21*(A31-1)&gt;0,1+'Options and results'!$O$21*(A31-1),0)</f>
        <v>14.6</v>
      </c>
      <c r="N31" s="1442">
        <f>IF(D31&lt;=0,0,IF(A31&lt;='Options and results'!$W$20,IF(C31&gt;0,VLOOKUP(B31,Arablefinance!$Z$6:$AH$105,Arablefinance!$AH$2,FALSE)*C31*D31,VLOOKUP(B31,Arablefinance!$E$6:$W$126,Arablefinance!$V$2,FALSE)*D31),0)*IF(A31&gt;='Options and results'!$H$25,'Options and results'!$H$24,1))</f>
        <v>7.4591130728145263</v>
      </c>
      <c r="O31" s="1013">
        <f t="shared" si="129"/>
        <v>1187.2363841964257</v>
      </c>
      <c r="P31" s="1353">
        <f t="shared" si="130"/>
        <v>235.30730180676255</v>
      </c>
      <c r="Q31" s="1013">
        <f>IF(A31&lt;='Options and results'!$W$20,SUM(G$8:$G31),0)</f>
        <v>36108.37316888159</v>
      </c>
      <c r="R31" s="1441">
        <f>IF($A31&lt;='Options and results'!$W$20,SUM($H$8:H31),0)</f>
        <v>5644.7999999999975</v>
      </c>
      <c r="S31" s="1441">
        <f>IF($A31&lt;='Options and results'!$W$20,SUM($O$8:O31),0)</f>
        <v>29159.272132862003</v>
      </c>
      <c r="T31" s="1032">
        <f>IF(A31&lt;='Options and results'!$W$20,Q31+R31-S31,0)</f>
        <v>12593.901036019583</v>
      </c>
      <c r="U31" s="405"/>
      <c r="V31" s="1010">
        <f t="shared" si="131"/>
        <v>24</v>
      </c>
      <c r="W31" s="173"/>
      <c r="X31" s="1036"/>
      <c r="Y31" s="1030">
        <f>IF(V31&lt;='Options and results'!$M$34,'Options and results'!$M$33,0)</f>
        <v>0</v>
      </c>
      <c r="Z31" s="1441">
        <f t="shared" si="132"/>
        <v>0</v>
      </c>
      <c r="AA31" s="1441">
        <f t="shared" si="133"/>
        <v>0</v>
      </c>
      <c r="AB31" s="1428">
        <f t="shared" si="134"/>
        <v>156</v>
      </c>
      <c r="AC31" s="1441">
        <f>IF($W$8=0,0,IF(HLOOKUP(CONCATENATE('Options and results'!$C$32," ",Forestrysystem!$C$8),Forestrysystem!$A$7:$IH$70,V31+4,FALSE)&lt;AB31,HLOOKUP(CONCATENATE('Options and results'!$C$32," ",Forestrysystem!$C$8),Forestrysystem!$A$7:$IH$70,V31+4,FALSE),0))</f>
        <v>0</v>
      </c>
      <c r="AD31" s="1441">
        <f>IF($W$8=0,0,IF(HLOOKUP(CONCATENATE('Options and results'!$C$32," ",Forestrysystem!$C$8),Forestrysystem!$A$7:$IH$70,V31+4,FALSE)&gt;=AB31,AB31,0))</f>
        <v>0</v>
      </c>
      <c r="AE31" s="1440">
        <f>IF($W$8=0,0,HLOOKUP(CONCATENATE('Options and results'!$C$32," ",Forestrysystem!$D$8),Forestrysystem!$A$7:$IH$70,$V31+4,FALSE))</f>
        <v>25.345789602907153</v>
      </c>
      <c r="AF31" s="1037"/>
      <c r="AG31" s="1440">
        <f>IF($W$8=0,0,IF(V31=1,'Options and results'!$M$36,0)+IF('Options and results'!$M$39="yes",IF(AND(AG30+'Options and results'!$M$37&lt;=$AF$8,AG30+'Options and results'!$M$37+IF(V31=1,'Options and results'!$M$36,0)&lt;='Options and results'!$M$38*AE31),AG30+'Options and results'!$M$37,AG30),(HLOOKUP(CONCATENATE('Options and results'!$C$32," ",Forestrysystem!$E$8),Forestrysystem!$A$7:$IH$70,V31+4,FALSE))-IF(V31=1,'Options and results'!$M$36,0)))</f>
        <v>7.5</v>
      </c>
      <c r="AH31" s="1442">
        <f>IF(OR($W$8=0,AB31&lt;=0),0,(HLOOKUP(CONCATENATE('Options and results'!$C$32," ",Forestrysystem!$F$8),Forestrysystem!$A$7:$IH$70,$V31+4,FALSE)) * IF(V31&gt;='Options and results'!$I$19,'Options and results'!$I$18,1) )</f>
        <v>148.12219270331869</v>
      </c>
      <c r="AI31" s="1452">
        <f t="shared" si="179"/>
        <v>0.94950123527768393</v>
      </c>
      <c r="AJ31" s="1442">
        <f t="shared" si="135"/>
        <v>0</v>
      </c>
      <c r="AK31" s="1453">
        <f>IF(OR($W$8=0,AE31&lt;=0),0,(HLOOKUP(CONCATENATE('Options and results'!$C$32," ",Forestrysystem!$G$8),Forestrysystem!$A$7:$IH$70,$V31+4,FALSE)) * IF(Y31&gt;='Options and results'!$I$19,'Options and results'!$I$18,1) )</f>
        <v>65.314107831112878</v>
      </c>
      <c r="AL31" s="1453">
        <f>IF($W$8=0,0,HLOOKUP(CONCATENATE('Options and results'!$C$32," ",Forestrysystem!$H$8),Forestrysystem!$A$7:$IH$70,$V31+4,FALSE)*IF(V31&gt;='Options and results'!$I$19,'Options and results'!$I$18,1))</f>
        <v>0</v>
      </c>
      <c r="AM31" s="1383">
        <f>IF($W$8=0,0,HLOOKUP(CONCATENATE('Options and results'!$C$32," ",Forestrysystem!$I$8),Forestrysystem!$A$7:$IH$70,$V31+4,FALSE)*IF(V31&gt;='Options and results'!$I$19,'Options and results'!$I$18,1))</f>
        <v>0</v>
      </c>
      <c r="AN31" s="1382">
        <f>IF(AI31&gt;0,HLOOKUP(AI31,Treevalue!$I$4:$BC$34,'Options and results'!$C$39+1),0)*IF(V31&gt;='Options and results'!$I$21,'Options and results'!$I$20,1)*IF(1+'Options and results'!$Q$20*(V31-1)&gt;0,1+'Options and results'!$Q$20*(V31-1),0)</f>
        <v>23.060013533007815</v>
      </c>
      <c r="AO31" s="1454">
        <f t="shared" si="136"/>
        <v>3415.6997682773203</v>
      </c>
      <c r="AP31" s="1454">
        <f t="shared" si="137"/>
        <v>0</v>
      </c>
      <c r="AQ31" s="1454">
        <f>(IF('Options and results'!$C$39&gt;0,IF(V31&lt;='Options and results'!$W$20,VLOOKUP('Options and results'!$C$39,Treevalue!$A$4:$F$34,5,FALSE),0),0)*AK31)*IF(V31&gt;='Options and results'!$I$21,'Options and results'!$I$20,1)*IF(1+'Options and results'!$Q$20*(V31-1)&gt;0,1+'Options and results'!$Q$20*(V31-1),0)-AR31</f>
        <v>1632.852695777822</v>
      </c>
      <c r="AR31" s="1441">
        <f>(IF('Options and results'!$C$39&gt;0,IF(V31&lt;='Options and results'!$W$20,VLOOKUP('Options and results'!$C$39,Treevalue!$A$4:$F$34,5,FALSE),0),0)*AL31)*IF(V31&gt;='Options and results'!$I$21,'Options and results'!$I$20,1)*IF(1+'Options and results'!$Q$20*(V31-1)&gt;0,1+'Options and results'!$Q$20*(V31-1),0)</f>
        <v>0</v>
      </c>
      <c r="AS31" s="1441">
        <f>(IF('Options and results'!$C$39&gt;0,IF(V31&lt;='Options and results'!$W$20,VLOOKUP('Options and results'!$C$39,Treevalue!$A$4:$F$34,6,FALSE),0),0)*AM31)*IF(V31&gt;='Options and results'!$I$21,'Options and results'!$I$20,1)*IF(1+'Options and results'!$Q$20*(V31-1)&gt;0,1+'Options and results'!$Q$20*(V31-1),0)</f>
        <v>0</v>
      </c>
      <c r="AT31" s="1441">
        <f>IF(V31&lt;='Options and results'!$W$20,(IF(AB31&lt;=0,0,IF('Options and results'!$C$43="cost",(IF(V31&lt;='Options and results'!$C$44,BZ31*SUM('Options and results'!$C$45:$C$46),0)),IF('Options and results'!$C$41&gt;0,(IF(VLOOKUP('Options and results'!$C$42,Treegrant!$B$6:$L$42,Treegrant!$C$2,FALSE)=V31,VLOOKUP('Options and results'!$C$42,Treegrant!$B$6:$L$42,Treegrant!$D$2,FALSE),0)+IF(VLOOKUP('Options and results'!$C$42,Treegrant!$B$6:$L$42,Treegrant!$E$2,FALSE)=V31,VLOOKUP('Options and results'!$C$42,Treegrant!$B$6:$L$42,Treegrant!$F$2,FALSE),0)+IF(VLOOKUP('Options and results'!$C$42,Treegrant!$B$6:$L$42,Treegrant!$G$2,FALSE)=V31,VLOOKUP('Options and results'!$C$42,Treegrant!$B$6:$L$42,Treegrant!$H$2,FALSE)))*IF('Options and results'!$C$43="area",1,'Options and results'!$C$43),0)))*IF(V31&gt;='Options and results'!$I$23,'Options and results'!$I$22,1)),0)*IF(1+'Options and results'!$Q$23*(V31-1)&gt;0,1+'Options and results'!$Q$23*(V31-1),0)</f>
        <v>0</v>
      </c>
      <c r="AU31" s="1441">
        <f>IF($W$8=0,0,IF(V31&lt;='Options and results'!$W$20,IF(AB31&lt;=0,0,IF('Options and results'!$C$41&gt;0,IF(AND(VLOOKUP('Options and results'!$C$42,Treegrant!$B$6:$L$42,Treegrant!$J$2,FALSE)&lt;=V31,VLOOKUP('Options and results'!$C$42,Treegrant!$B$6:$L$42,Treegrant!$K$2,FALSE)&gt;=V31),(VLOOKUP('Options and results'!$C$42,Treegrant!$B$6:$L$42,Treegrant!$L$2,FALSE)),0)*IF('Options and results'!$C$47="full",1,'Options and results'!$C$47))*IF(V31&gt;='Options and results'!$I$23,'Options and results'!$I$22,1)),0))*IF(1+'Options and results'!$Q$23*(V31-1)&gt;0,1+'Options and results'!$Q$23*(V31-1),0)</f>
        <v>0</v>
      </c>
      <c r="AV31" s="1032">
        <f>IF($W$8=0,0,IF(V31&lt;='Options and results'!$W$20,IF(AB31&lt;=0,0,(IF('Options and results'!$C$41&gt;0,(IF(AND(VLOOKUP('Options and results'!$C$42,Treegrant!$B$6:$O$42,Treegrant!$M$2,FALSE)&lt;=V31,VLOOKUP('Options and results'!$C$42,Treegrant!$B$6:$O$42,Treegrant!$N$2,FALSE)&gt;=V31),(VLOOKUP('Options and results'!$C$42,Treegrant!$B$6:$O$42,Treegrant!$O$2,FALSE)),0)*IF('Options and results'!$C$48="full",1,'Options and results'!$C$48))+(IF(AND(VLOOKUP('Options and results'!$C$42,Treegrant!$B$6:$R$42,Treegrant!$P$2,FALSE)&lt;=V31,VLOOKUP('Options and results'!$C$42,Treegrant!$B$6:$R$42,Treegrant!$Q$2,FALSE)&gt;=V31),(VLOOKUP('Options and results'!$C$42,Treegrant!$B$6:$R$42,Treegrant!$R$2,FALSE)),0))*IF('Options and results'!$C$49="full",1,'Options and results'!$C$49)))*IF(V31&gt;='Options and results'!$I$23,'Options and results'!$I$22,1)),0))*IF(1+'Options and results'!$Q$23*(V31-1)&gt;0,1+'Options and results'!$Q$23*(V31-1),0)</f>
        <v>0</v>
      </c>
      <c r="AW31" s="1041"/>
      <c r="AX31" s="1042"/>
      <c r="AY31" s="1419">
        <f>IF($W$8=0,0,IF(V31=1,VLOOKUP($W$8,Treecost!$B$6:$AH$49,Treecost!$E$2,FALSE),0)*IF(V31&gt;='Options and results'!$I$25,'Options and results'!$I$24,1))</f>
        <v>0</v>
      </c>
      <c r="AZ31" s="889">
        <f>IF($W$8=0,0,IF(V31=1,VLOOKUP($W$8,Treecost!$B$6:$AH$49,Treecost!$F$2,FALSE),0)*IF(V31&gt;='Options and results'!$I$25,'Options and results'!$I$24,1))</f>
        <v>0</v>
      </c>
      <c r="BA31" s="889">
        <f>IF($W$8=0,0,IF(V31=1,VLOOKUP($W$8,Treecost!$B$6:$AH$49,Treecost!$G$2,FALSE),0)*IF(V31&gt;='Options and results'!$I$25,'Options and results'!$I$24,1))</f>
        <v>0</v>
      </c>
      <c r="BB31" s="889">
        <f>IF($W$8=0,0,IF(V31&lt;='Options and results'!$W$20,((VLOOKUP($W$8,Treecost!$B$6:$AH$49,Treecost!$H$2,FALSE)*(X31+AA31))/60)*IF(V31&gt;='Options and results'!$I$25,'Options and results'!$I$24,1),0))</f>
        <v>0</v>
      </c>
      <c r="BC31" s="889">
        <f>IF($W$8=0,0,IF(V31&lt;='Options and results'!$W$20,(((VLOOKUP($W$8,Treecost!$B$6:$AH$49,Treecost!$I$2,FALSE))*(X31+AA31))/60)*IF(V31&gt;='Options and results'!$I$25,'Options and results'!$I$24,1),0))</f>
        <v>0</v>
      </c>
      <c r="BD31" s="889">
        <f>IF($W$8=0,0,IF(V31&lt;='Options and results'!$W$20,(((VLOOKUP($W$8,Treecost!$B$6:$AH$49,Treecost!$J$2,FALSE))/60)*(X31+AA31))*IF(V31&gt;='Options and results'!$I$25,'Options and results'!$I$24,1),0))</f>
        <v>0</v>
      </c>
      <c r="BE31" s="1019">
        <f>IF($W$8=0,0,IF(V31&lt;='Options and results'!$W$20,(((VLOOKUP($W$8,Treecost!$B$6:$AH$49,Treecost!$C$2,FALSE)+VLOOKUP($W$8,Treecost!$B$6:$AH$49,Treecost!$D$2,FALSE))*(X31+AA31)*IF(1+'Options and results'!$Q$22*(V31-1)&gt;0,1+'Options and results'!$Q$22*(V31-1),0))+((AY31*$AX$8+AZ31*$AX$9+BA31*$AX$10+BB31*$AX$11+BC31*$AX$12+BD31*$AX$13)*IF(1+'Options and results'!$Q$21*(V31-1)&gt;0,1+'Options and results'!$Q$21*(V31-1),0)))*IF(V31&gt;='Options and results'!$I$27,'Options and results'!$I$26,1),0))</f>
        <v>0</v>
      </c>
      <c r="BF31" s="889">
        <f>IF($W$8=0,0,IF(V31&lt;='Options and results'!$W$20,IF(AND(VLOOKUP($W$8,Treecost!$B$6:$AH$49,Treecost!$K$2,FALSE)&lt;=V31,V31&lt;=(VLOOKUP($W$8,Treecost!$B$6:$AH$49,Treecost!$L$2,FALSE))),VLOOKUP($W$8,Treecost!$B$6:$AH$49,Treecost!$M$2,FALSE)*AB31/60,0)*IF(V31&gt;='Options and results'!$I$25,'Options and results'!$I$24,1),0))</f>
        <v>0</v>
      </c>
      <c r="BG31" s="1019">
        <f>IF(BF31&gt;0,(VLOOKUP($W$8,Treecost!$B$6:$AH$49,Treecost!$N$2,FALSE)*AB31*IF(1+'Options and results'!$Q$22*(V31-1)&gt;0,1+'Options and results'!$Q$22*(V31-1),0)+BF31*$AX$14*IF(1+'Options and results'!$Q$21*(V31-1)&gt;0,1+'Options and results'!$Q$21*(V31-1),0)),0)*IF(V31&gt;='Options and results'!$I$27,'Options and results'!$I$26,1)</f>
        <v>0</v>
      </c>
      <c r="BH31" s="889">
        <f>IF(V31&lt;='Options and results'!$W$20,IF(AND(AG31-AG30&gt;0,AG31&gt;'Options and results'!$M$36),(AB31-AC31)*(VLOOKUP($W$8,Treecost!$B$6:$AH$49,Treecost!$Y$2,FALSE)+(VLOOKUP($W$8,Treecost!$B$6:$AH$49,Treecost!$AA$2,FALSE)-VLOOKUP($W$8,Treecost!$B$6:$AH$49,Treecost!$Y$2,FALSE))/(VLOOKUP($W$8,Treecost!$B$6:$AH$49,Treecost!$Z$2,FALSE)-VLOOKUP($W$8,Treecost!$B$6:$AH$49,Treecost!$X$2,FALSE))*(AG31-VLOOKUP($W$8,Treecost!$B$6:$AH$49,Treecost!$X$2,FALSE)))/60,0)*IF(V31&gt;='Options and results'!$I$25,'Options and results'!$I$24,1),0)</f>
        <v>0</v>
      </c>
      <c r="BI31" s="303">
        <f>IF(V31&lt;='Options and results'!$W$20,IF(BH31&gt;0,VLOOKUP($W$8,Treecost!$B$6:$AH$49,Treecost!$AB$2,FALSE)/60*AB31,0)*IF(V31&gt;='Options and results'!$I$25,'Options and results'!$I$24,1),0)*((BH31-(MIN($BH$8:$BH$67)))/((MAX($BH$8:$BH$67))-(MIN($BH$8:$BH$67))))</f>
        <v>0</v>
      </c>
      <c r="BJ31" s="740">
        <f>IF(BH31&gt;0,(BH31*$AX$15+BI31*$AX$19)*IF(1+'Options and results'!$Q$21*(V31-1)&gt;0,1+'Options and results'!$Q$21*(V31-1),0),0)*IF(V31&gt;='Options and results'!$I$27,'Options and results'!$I$26,1)</f>
        <v>0</v>
      </c>
      <c r="BK31" s="891">
        <f>IF($W$8=0,0,IF(V31&lt;='Options and results'!$W$20,IF(VLOOKUP($W$8,Treecost!$B$2:$AH$49,Treecost!$O$2,FALSE)=V31,VLOOKUP($W$8,Treecost!$B$2:$AH$49,Treecost!$P$2,FALSE),0)*IF(V31&gt;='Options and results'!$I$25,'Options and results'!$I$24,1),0))</f>
        <v>0</v>
      </c>
      <c r="BL31" s="889">
        <f>IF($W$8=0,0,IF(V31&lt;='Options and results'!$W$20,IF(AND(V31&gt;VLOOKUP($W$8,Treecost!$B$2:$AH$49,Treecost!$O$2,FALSE),V31&lt;=VLOOKUP($W$8,Treecost!$B$2:$AH$49,Treecost!$R$2,FALSE)),VLOOKUP($W$8,Treecost!$B$2:$AH$49,Treecost!$S$2,FALSE),0)*IF(V31&gt;='Options and results'!$I$25,'Options and results'!$I$24,1),0))</f>
        <v>0</v>
      </c>
      <c r="BM31" s="740">
        <f>IF($W$8=0,0,IF(V31&lt;='Options and results'!$W$20,((IF(VLOOKUP($W$8,Treecost!$B$2:$AH$49,Treecost!$O$2,FALSE)=V31,VLOOKUP($W$8,Treecost!$B$2:$AH$49,Treecost!$Q$2,FALSE),0)+IF(AND(V31&gt;VLOOKUP($W$8,Treecost!$B$2:$AH$49,Treecost!$O$2,FALSE),V31&lt;=VLOOKUP($W$8,Treecost!$B$2:$AH$49,Treecost!$R$2,FALSE)),VLOOKUP($W$8,Treecost!$B$2:$AH$49,Treecost!$T$2,FALSE),0)*IF(1+'Options and results'!$Q$22*(V31-1)&gt;0,1+'Options and results'!$Q$22*(V31-1),0))+(BK31*$AX$16+BL31*$AX$17)*IF(1+'Options and results'!$Q$21*(V31-1)&gt;0,1+'Options and results'!$Q$21*(V31-1),0))*IF(V31&gt;='Options and results'!$I$27,'Options and results'!$I$26,1),0))</f>
        <v>0</v>
      </c>
      <c r="BN31" s="894">
        <f>IF($W$8=0,0,IF(V31&lt;='Options and results'!$W$20,IF(AND(V31&gt;=VLOOKUP($W$8,Treecost!$B$2:$W$49,Treecost!$U$2,FALSE),V31&lt;=VLOOKUP($W$8,Treecost!$B$2:$W$49,Treecost!$V$2,FALSE)),(AB31*VLOOKUP($W$8,Treecost!$B$2:$W$49,Treecost!$W$2,FALSE)/60),0)*IF(V31&gt;='Options and results'!$I$25,'Options and results'!$I$24,1),0))</f>
        <v>0</v>
      </c>
      <c r="BO31" s="740">
        <f>BN31*$AX$18*IF(V31&gt;='Options and results'!$I$27,'Options and results'!$I$26,1)*IF(1+'Options and results'!$Q$21*(V31-1)&gt;0,1+'Options and results'!$Q$21*(V31-1),0)</f>
        <v>0</v>
      </c>
      <c r="BP31" s="894">
        <f>IF(V31&lt;='Options and results'!$W$20,IF(AB31&lt;=0,0,VLOOKUP($W$8,Treecost!$B$6:$AH$49,Treecost!$AC$2,FALSE)+VLOOKUP($W$8,Treecost!$B$6:$AH$49,Treecost!$AD$2,FALSE)+IF(AND(V31&gt;=VLOOKUP($W$8,Treecost!$B$2:$AK$49,Treecost!$AI$2,FALSE),V31&lt;=VLOOKUP($W$8,Treecost!$B$2:$AK$49,Treecost!$AJ$2,FALSE)),(VLOOKUP($W$8,Treecost!$B$2:$AK$49,Treecost!$AK$2,FALSE)),0))*IF(V31&gt;='Options and results'!$I$27,'Options and results'!$I$26,1),0)*IF(1+'Options and results'!$Q$22*(V31-1)&gt;0,1+'Options and results'!$Q$22*(V31-1),0)</f>
        <v>3</v>
      </c>
      <c r="BQ31" s="894">
        <f>IF(V31&lt;='Options and results'!$W$20,IF(AC31&gt;0,VLOOKUP($W$8,Treecost!$B$6:$AH$49,Treecost!$AE$2,FALSE)/60*AC31,0)*IF(V31&gt;='Options and results'!$I$25,'Options and results'!$I$24,1),0)</f>
        <v>0</v>
      </c>
      <c r="BR31" s="740">
        <f>IF(V31&lt;='Options and results'!$W$20,IF(AC31&gt;0,VLOOKUP($W$8,Treecost!$B$6:$AH$49,Treecost!$AF$2,FALSE)/60*AC31,0)*IF(V31&gt;='Options and results'!$I$25,'Options and results'!$I$24,1),0)</f>
        <v>0</v>
      </c>
      <c r="BS31" s="740">
        <f>(BQ31*$AX$20+BR31*$AX$21)*IF(V31&gt;='Options and results'!$I$27,'Options and results'!$I$26,1)*IF(1+'Options and results'!$Q$21*(V31-1)&gt;0,1+'Options and results'!$Q$21*(V31-1),0)</f>
        <v>0</v>
      </c>
      <c r="BT31" s="894">
        <f>IF(V31&lt;='Options and results'!$W$20,IF(AD31&gt;0,(VLOOKUP($W$8,Treecost!$B$6:$AH$49,Treecost!$AG$2,FALSE)/60*AD31)*IF(V31&gt;='Options and results'!$I$25,'Options and results'!$I$24,1),0),0)</f>
        <v>0</v>
      </c>
      <c r="BU31" s="740">
        <f>IF(V31&lt;='Options and results'!$W$20,IF(AD31&gt;0,(VLOOKUP($W$8,Treecost!$B$6:$AH$49,Treecost!$AH$2,FALSE)/60*AD31)*IF(V31&gt;='Options and results'!$I$25,'Options and results'!$I$24,1),0),0)</f>
        <v>0</v>
      </c>
      <c r="BV31" s="740">
        <f>(BT31*$AX$22+BU31*$AX$23)*IF(V31&gt;='Options and results'!$I$27,'Options and results'!$I$26,1)*IF(1+'Options and results'!$Q$21*(V31-1)&gt;0,1+'Options and results'!$Q$21*(V31-1),0)</f>
        <v>0</v>
      </c>
      <c r="BW31" s="1033">
        <f t="shared" si="138"/>
        <v>0</v>
      </c>
      <c r="BX31" s="1027">
        <f t="shared" si="139"/>
        <v>0</v>
      </c>
      <c r="BY31" s="1027">
        <f t="shared" si="140"/>
        <v>0</v>
      </c>
      <c r="BZ31" s="740">
        <f t="shared" si="124"/>
        <v>3</v>
      </c>
      <c r="CA31" s="740">
        <f t="shared" si="141"/>
        <v>-3</v>
      </c>
      <c r="CB31" s="894">
        <f>IF($V31&lt;='Options and results'!$W$20,SUM(BX$8:$BX31),0)</f>
        <v>0</v>
      </c>
      <c r="CC31" s="740">
        <f>IF($V31&lt;='Options and results'!$W$20,SUM($BY$8:BY31),0)</f>
        <v>0</v>
      </c>
      <c r="CD31" s="740">
        <f>IF($V31&lt;='Options and results'!$W$20,SUM($BZ$8:BZ31),0)</f>
        <v>1640.7443691843955</v>
      </c>
      <c r="CE31" s="740">
        <f>IF(V31&lt;='Options and results'!$W$20,CB31+CC31-CD31,0)</f>
        <v>-1640.7443691843955</v>
      </c>
      <c r="CF31" s="1381">
        <f t="shared" si="142"/>
        <v>557.7211845063714</v>
      </c>
      <c r="CG31" s="1027">
        <f t="shared" si="143"/>
        <v>554.7211845063714</v>
      </c>
      <c r="CH31" s="1027">
        <f t="shared" si="144"/>
        <v>0</v>
      </c>
      <c r="CI31" s="1189">
        <f>IF(V31&lt;='Options and results'!$W$20,CE31+AO31,0)</f>
        <v>1774.9553990929248</v>
      </c>
      <c r="CJ31" s="1023"/>
      <c r="CK31" s="895">
        <f t="shared" si="145"/>
        <v>24</v>
      </c>
      <c r="CL31" s="1011" t="str">
        <f>IF('Options and results'!$C$54="None",0,IF(AND(CK31&gt;='Options and results'!$K$57,CK30&lt;'Options and results'!$W$20),'Options and results'!$K$56,IF(Optimisation!$B$3="No",CONCATENATE('Options and results'!$C$60," ",(HLOOKUP(CONCATENATE('Options and results'!$C$54," ",Agroforestrysystem!$B$12),Agroforestrysystem!$B$11:$IM$74,$CK31+4,FALSE))),Optimisation!AA51)))</f>
        <v>UK - Agriculture (BPS: from 2015) Agroforestry fallow</v>
      </c>
      <c r="CM31" s="1012">
        <f>IF(HLOOKUP(CONCATENATE('Options and results'!$C$54," ",Agroforestrysystem!$C$12),Agroforestrysystem!$B$11:$IM$74,$CK31+4,FALSE)="T",(VLOOKUP(CL31,Arablefinance!$Z$6:$AB$105,Arablefinance!$AB$2,FALSE)*CO31+VLOOKUP(CL31,Arablefinance!$Z$6:$AC$105,Arablefinance!$AC$2,FALSE)*CP31)/VLOOKUP(CL31,Arablefinance!$Z$6:$AA$105,Arablefinance!$AA$2,FALSE),0)</f>
        <v>0</v>
      </c>
      <c r="CN31" s="1012">
        <f>IF(CL31=0,0,HLOOKUP(CONCATENATE('Options and results'!$C$54," ",Agroforestrysystem!$D$12),Agroforestrysystem!$B$11:$IM$74,$CK31+4,FALSE))</f>
        <v>0.99</v>
      </c>
      <c r="CO31" s="1440">
        <f ca="1">IF(CL31=0,0,IF(AND(Optimisation!$B$3="yes",Optimisation!$B$4=1,CK31&gt;Optimisation!$B$9),0,HLOOKUP(CONCATENATE('Options and results'!$C$54," ",Agroforestrysystem!$E$12),Agroforestrysystem!$B$11:$IM$74,$CK31+4,FALSE)*IF(CK31&gt;='Options and results'!$J$19,'Options and results'!$J$18,1)))</f>
        <v>0</v>
      </c>
      <c r="CP31" s="1440">
        <f ca="1">IF(CL31=0,0,IF(AND(Optimisation!$B$3="yes",Optimisation!$B$4=1,CK31&gt;Optimisation!$B$9),0,HLOOKUP(CONCATENATE('Options and results'!$C$54," ",Agroforestrysystem!$F$12),Agroforestrysystem!$B$11:$IM$74,$CK31+4,FALSE)*IF(CK31&gt;='Options and results'!$J$19,'Options and results'!$J$18,1)))</f>
        <v>0</v>
      </c>
      <c r="CQ31" s="1013">
        <f ca="1">IF(CN31&lt;=0,0,IF(CK31&lt;='Options and results'!$W$20,IF(CM31&gt;0,VLOOKUP(CL31,Arablefinance!$Z$6:$AE$105,Arablefinance!$AD$2,FALSE)*CM31*CN31,((VLOOKUP(CL31,Arablefinance!$E$6:$H$126,2,FALSE)*CO31+VLOOKUP(CL31,Arablefinance!$E$6:$H$126,3,FALSE)*CP31)*CN31)),0)*IF(CK31&gt;='Options and results'!$J$21,'Options and results'!$J$20,1))*IF(1+'Options and results'!$O$20*(CK31-1)&gt;0,1+'Options and results'!$O$20*(CK31-1),0)</f>
        <v>0</v>
      </c>
      <c r="CR31" s="1441">
        <f>IF(CN31&lt;=0,0,IF(AND(CM31&gt;0,VLOOKUP(CL31,Arablefinance!$Z$6:$AI$105,Arablefinance!$AI$2,FALSE)=2),VLOOKUP(CL31,Arablefinance!$Z$6:$AE$105,Arablefinance!$AE$2,FALSE)*CM31*CN31,IF('Options and results'!$C$62&gt;0,IF(VLOOKUP(CL31,Arablefinance!$E$6:$W$126,Arablefinance!$H$2,FALSE)*(1-Plot!DM31*'Options and results'!$C$62)&gt;0,VLOOKUP(CL31,Arablefinance!$E$6:$W$126,Arablefinance!$H$2,FALSE)*(1-Plot!DM31*'Options and results'!$C$62),0),IF(CK31&lt;='Options and results'!$W$20,(VLOOKUP(CL31,Arablefinance!$E$6:$W$126,Arablefinance!$H$2,FALSE)*IF('Options and results'!$C$61="area",CN31,'Options and results'!$C$61)),0)))*IF(CK31&gt;='Options and results'!$J$23,'Options and results'!$J$22,1))*IF(AND(1+'Options and results'!$O$23*(CK31-1)&gt;0,1+'Options and results'!$O$23*(CK31-1)&gt;'Options and results'!$S$24),1+'Options and results'!$O$23*(CK31-1),'Options and results'!$S$24)</f>
        <v>0</v>
      </c>
      <c r="CS31" s="1441">
        <f t="shared" ca="1" si="146"/>
        <v>0</v>
      </c>
      <c r="CT31" s="1441">
        <f>IF(CN31&lt;=0,0,IF(CK31&lt;='Options and results'!$W$20,IF(CM31&gt;0,VLOOKUP(CL31,Arablefinance!$Z$6:$AF$105,Arablefinance!$AF$2,FALSE)*CM31*CN31,VLOOKUP(CL31,Arablefinance!$E$6:$X$126,Arablefinance!$R$2,FALSE)*CN31),0)*IF(CK31&gt;='Options and results'!$J$27,'Options and results'!$J$26,1))*IF(1+'Options and results'!$O$22*(CK31-1)&gt;0,1+'Options and results'!$O$22*(CK31-1),0)</f>
        <v>0</v>
      </c>
      <c r="CU31" s="1441">
        <f t="shared" ca="1" si="147"/>
        <v>0</v>
      </c>
      <c r="CV31" s="1441">
        <f>IF(CN31&lt;=0,0,IF(CK31&lt;='Options and results'!$W$20,IF(CM31&gt;0,VLOOKUP(CL31,Arablefinance!$Z$6:$AG$105,Arablefinance!$AG$2,FALSE)*CM31*CN31,VLOOKUP(CL31,Arablefinance!$E$6:$X$126,Arablefinance!$X$2,FALSE)*CN31),0)*IF(CK31&gt;='Options and results'!$J$27,'Options and results'!$J$26,1))*IF(1+'Options and results'!$O$22*(CK31-1)&gt;0,1+'Options and results'!$O$22*(CK31-1),0)</f>
        <v>0</v>
      </c>
      <c r="CW31" s="1442">
        <f>IF(CN31&lt;=0,0,IF(CK31&lt;='Options and results'!$W$20,'Options and results'!$C$27*IF(CK31&gt;='Options and results'!$J$27,'Options and results'!$J$26,1),0))*IF(1+'Options and results'!$O$21*(CK31-1)&gt;0,1+'Options and results'!$O$21*(CK31-1),0)</f>
        <v>14.6</v>
      </c>
      <c r="CX31" s="1442">
        <f>IF(CN31&lt;=0,0,IF(CK31&lt;='Options and results'!$W$20,IF(CM31&gt;0,VLOOKUP(CL31,Arablefinance!$Z$6:$AH$105,Arablefinance!$AH$2,FALSE)*CM31*CN31,VLOOKUP(CL31,Arablefinance!$E$6:$W$126,Arablefinance!$V$2,FALSE)*CN31),0)*IF(CK31&gt;='Options and results'!$J$25,'Options and results'!$J$24,1))</f>
        <v>0</v>
      </c>
      <c r="CY31" s="1013">
        <f t="shared" si="148"/>
        <v>0</v>
      </c>
      <c r="CZ31" s="1353">
        <f t="shared" ca="1" si="149"/>
        <v>0</v>
      </c>
      <c r="DA31" s="1013">
        <f ca="1">IF($CK31&lt;='Options and results'!$W$20,SUM($CQ$8:CQ31),0)</f>
        <v>18417.950100000002</v>
      </c>
      <c r="DB31" s="1441">
        <f>IF($CK31&lt;='Options and results'!$W$20,SUM($CR$8:CR31),0)</f>
        <v>0</v>
      </c>
      <c r="DC31" s="1441">
        <f>IF($CK31&lt;='Options and results'!$W$20,SUM($CY$8:CY31),0)</f>
        <v>16943.30918829242</v>
      </c>
      <c r="DD31" s="1189">
        <f ca="1">IF(CK31&lt;='Options and results'!$W$20,DA31+DB31-DC31,0)</f>
        <v>1474.6409117075818</v>
      </c>
      <c r="DE31" s="401"/>
      <c r="DF31" s="895">
        <f t="shared" si="150"/>
        <v>24</v>
      </c>
      <c r="DG31" s="173"/>
      <c r="DH31" s="1422"/>
      <c r="DI31" s="1427">
        <f>IF(DF31&lt;='Options and results'!$M$61,'Options and results'!$M$60,0)</f>
        <v>0</v>
      </c>
      <c r="DJ31" s="740">
        <f t="shared" si="151"/>
        <v>0</v>
      </c>
      <c r="DK31" s="740">
        <f t="shared" si="152"/>
        <v>0</v>
      </c>
      <c r="DL31" s="1428">
        <f t="shared" si="153"/>
        <v>100</v>
      </c>
      <c r="DM31" s="1429">
        <f>IF($DG$8=0,0,HLOOKUP(CONCATENATE('Options and results'!$C$54," ",Agroforestrysystem!$J$12),Agroforestrysystem!$11:$74,DF31+3,FALSE))/100</f>
        <v>1</v>
      </c>
      <c r="DN31" s="740">
        <f>IF($DG$8=0,0,IF(HLOOKUP(CONCATENATE('Options and results'!$C$54," ",Agroforestrysystem!$H$12),Agroforestrysystem!$11:$74,DF31+4,FALSE)&lt;DL31,HLOOKUP(CONCATENATE('Options and results'!$C$54," ",Agroforestrysystem!$H$12),Agroforestrysystem!$11:$74,DF31+4,FALSE),0))</f>
        <v>0</v>
      </c>
      <c r="DO31" s="1027">
        <f>IF($DG$8=0,0,IF(HLOOKUP(CONCATENATE('Options and results'!$C$54," ",Agroforestrysystem!$H$12),Agroforestrysystem!$11:$74,DF31+4,FALSE)&gt;=DL31,DL31,0))</f>
        <v>0</v>
      </c>
      <c r="DP31" s="1430">
        <f>IF($DG$8=0,0,HLOOKUP(CONCATENATE('Options and results'!$C$54," ",Agroforestrysystem!$I$12),Agroforestrysystem!$11:$74,DF31+4,FALSE))</f>
        <v>28.969086452927897</v>
      </c>
      <c r="DQ31" s="1038"/>
      <c r="DR31" s="1390">
        <f>IF($DG$8=0,0,IF(DF31&gt;'Options and results'!$W$20,0,)+IF(DF31=1,'Options and results'!$M$64)+IF('Options and results'!$M$67="yes",IF(AND(DR30+'Options and results'!$M$65&lt;=$DQ$8,DR30+'Options and results'!$M$65+IF(DF31=1,'Options and results'!$M$64,0)&lt;='Options and results'!$M$66*DP31),DR30+'Options and results'!$M$65,DR30),(HLOOKUP(CONCATENATE('Options and results'!$C$54," ",Agroforestrysystem!$K$12),Agroforestrysystem!$11:$74,DF31+4,FALSE)-IF(DF31=1,'Options and results'!$M$64))))</f>
        <v>7.5</v>
      </c>
      <c r="DS31" s="1027">
        <f>IF(OR($DG$8=0,DL31=0),0,HLOOKUP(CONCATENATE('Options and results'!$C$54," ",Agroforestrysystem!$L$12),Agroforestrysystem!$11:$74,DF31+4,FALSE)*IF(DF31&gt;='Options and results'!$K$19,'Options and results'!$K$18,1))</f>
        <v>141.76938561836587</v>
      </c>
      <c r="DT31" s="1431">
        <f t="shared" si="154"/>
        <v>1.4176938561836587</v>
      </c>
      <c r="DU31" s="889">
        <f t="shared" si="155"/>
        <v>0</v>
      </c>
      <c r="DV31" s="1027">
        <f>IF($DG$8=0,0,(HLOOKUP(CONCATENATE('Options and results'!$C$54," ",Agroforestrysystem!$M$12),Agroforestrysystem!$11:$74,DF31+4,FALSE))*IF(DF31&gt;='Options and results'!$K$19,'Options and results'!$K$18,1))-DW31</f>
        <v>62.512853546362003</v>
      </c>
      <c r="DW31" s="303">
        <f>IF($DG$8=0,0,(HLOOKUP(CONCATENATE('Options and results'!$C$54," ",Agroforestrysystem!$N$12),Agroforestrysystem!$11:$74,DF31+4,FALSE))*IF(DF31&gt;='Options and results'!$K$19,'Options and results'!$K$18,1))</f>
        <v>0</v>
      </c>
      <c r="DX31" s="303">
        <f>IF($DG$8=0,0,HLOOKUP(CONCATENATE('Options and results'!$C$54," ",Agroforestrysystem!$O$12),Agroforestrysystem!$11:$74,DF31+4,FALSE)*IF(DF31&gt;='Options and results'!$K$19,'Options and results'!$K$18,1))</f>
        <v>0</v>
      </c>
      <c r="DY31" s="1192">
        <f>IF(DT31&gt;0,HLOOKUP(DT31,Treevalue!$I$4:$BC$34,'Options and results'!$C$66+1),0)*IF(DF31&gt;='Options and results'!$K$21,'Options and results'!$K$20,1)*IF(1+'Options and results'!$Q$20*(DF31-1)&gt;0,1+'Options and results'!$Q$20*(DF31-1),0)</f>
        <v>27.877588474200628</v>
      </c>
      <c r="DZ31" s="1027">
        <f t="shared" si="156"/>
        <v>3952.1885905090608</v>
      </c>
      <c r="EA31" s="1027">
        <f t="shared" si="125"/>
        <v>0</v>
      </c>
      <c r="EB31" s="1027">
        <f>(IF('Options and results'!$C$66&gt;0,IF(DF31&lt;='Options and results'!$W$20,VLOOKUP('Options and results'!$C$66,Treevalue!$A$4:$F$34,5,FALSE),0),0)*DV31)*IF(DF31&gt;='Options and results'!$K$21,'Options and results'!$K$20,1)*IF(1+'Options and results'!$Q$20*(DF31-1)&gt;0,1+'Options and results'!$Q$20*(DF31-1),0)</f>
        <v>1562.8213386590501</v>
      </c>
      <c r="EC31" s="740">
        <f>(IF('Options and results'!$C$66&gt;0,IF(DF31&lt;='Options and results'!$W$20,VLOOKUP('Options and results'!$C$66,Treevalue!$A$4:$F$34,5,FALSE),0),0)*DW31)*IF(DF31&gt;='Options and results'!$K$21,'Options and results'!$K$20,1)*IF(1+'Options and results'!$Q$20*(DF31-1)&gt;0,1+'Options and results'!$Q$20*(DF31-1),0)</f>
        <v>0</v>
      </c>
      <c r="ED31" s="889">
        <f>(IF('Options and results'!$C$66&gt;0,IF(DF31&lt;='Options and results'!$W$20,VLOOKUP('Options and results'!$C$66,Treevalue!$A$4:$F$34,6,FALSE),0),0)*DX31)*IF(DF31&gt;='Options and results'!$K$21,'Options and results'!$K$20,1)*IF(1+'Options and results'!$Q$20*(DF31-1)&gt;0,1+'Options and results'!$Q$20*(DF31-1),0)</f>
        <v>0</v>
      </c>
      <c r="EE31" s="740">
        <f>IF(DF31&lt;='Options and results'!$W$20,IF(DL31&lt;=0,0,IF('Options and results'!$C$70="cost",(IF(DF31&lt;='Options and results'!$C$71,FK31*SUM('Options and results'!$C$72:$C$73),0)),IF('Options and results'!$C$68&gt;0,(IF(VLOOKUP('Options and results'!$C$69,Treegrant!$B$6:$L$42,Treegrant!$C$2,FALSE)=DF31,VLOOKUP('Options and results'!$C$69,Treegrant!$B$6:$L$42,Treegrant!$D$2,FALSE),0)+IF(VLOOKUP('Options and results'!$C$69,Treegrant!$B$6:$L$42,Treegrant!$E$2,FALSE)=DF31,VLOOKUP('Options and results'!$C$69,Treegrant!$B$6:$L$42,Treegrant!$F$2,FALSE),0)+IF(VLOOKUP('Options and results'!$C$69,Treegrant!$B$6:$L$42,Treegrant!$G$2,FALSE)=DF31,VLOOKUP('Options and results'!$C$69,Treegrant!$B$6:$L$42,Treegrant!$H$2,FALSE)))*IF('Options and results'!$C$70="area",Unit!C32,'Options and results'!$C$70),0))*IF(DF31&gt;='Options and results'!$K$23,'Options and results'!$K$22,1)),0)*IF(1+'Options and results'!$Q$23*(DF31-1)&gt;0,1+'Options and results'!$Q$23*(DF31-1),0)</f>
        <v>0</v>
      </c>
      <c r="EF31" s="740">
        <f>IF($DG$8=0,0,IF(DF31&lt;='Options and results'!$W$20,IF(DL31&lt;=0,0,IF('Options and results'!$C$68&gt;0,IF(AND(VLOOKUP('Options and results'!$C$69,Treegrant!$B$6:$L$42,Treegrant!$J$2,FALSE)&lt;=DF31,VLOOKUP('Options and results'!$C$69,Treegrant!$B$6:$L$42,Treegrant!$K$2,FALSE)&gt;=DF31),(VLOOKUP('Options and results'!$C$69,Treegrant!$B$6:$L$42,Treegrant!$L$2,FALSE)),0)*IF('Options and results'!$C$74="area",Unit!C32,'Options and results'!$C$74))*IF(DF31&gt;='Options and results'!$K$23,'Options and results'!$K$22,1)),0))*IF(1+'Options and results'!$Q$23*(DF31-1)&gt;0,1+'Options and results'!$Q$23*(DF31-1),0)</f>
        <v>0</v>
      </c>
      <c r="EG31" s="1034">
        <f>IF($DG$8=0,0,IF(DF31&lt;='Options and results'!$W$20,IF(DL31&lt;=0,0,IF('Options and results'!$C$68&gt;0,((IF(AND(VLOOKUP('Options and results'!$C$69,Treegrant!$B$6:$O$42,Treegrant!$M$2,FALSE)&lt;=DF31,VLOOKUP('Options and results'!$C$69,Treegrant!$B$6:$O$42,Treegrant!$N$2,FALSE)&gt;=DF31),(VLOOKUP('Options and results'!$C$69,Treegrant!$B$6:$O$42,Treegrant!$O$2,FALSE)),0)*IF('Options and results'!$C$75="area",Unit!C32,'Options and results'!$C$75))+(IF(AND(VLOOKUP('Options and results'!$C$69,Treegrant!$B$6:$R$42,Treegrant!$P$2,FALSE)&lt;=DF31,VLOOKUP('Options and results'!$C$69,Treegrant!$B$6:$R$42,Treegrant!$Q$2,FALSE)&gt;=DF31),(VLOOKUP('Options and results'!$C$69,Treegrant!$B$6:$R$42,Treegrant!$R$2,FALSE)),0))*IF('Options and results'!$C$76="area",Unit!C32,'Options and results'!$C$76)))*IF(DF31&gt;='Options and results'!$K$23,'Options and results'!$K$22,1)),0))*IF(1+'Options and results'!$Q$23*(DF31-1)&gt;0,1+'Options and results'!$Q$23*(DF31-1),0)</f>
        <v>0</v>
      </c>
      <c r="EH31" s="1041"/>
      <c r="EI31" s="1042"/>
      <c r="EJ31" s="1419">
        <f>IF($DH$8+DK31&lt;1,0,IF(DF31=1,VLOOKUP($DG$8,Treecost!$B$6:$AH$49,Treecost!$E$2,FALSE),0)*IF(DF31&gt;='Options and results'!$K$25,'Options and results'!$K$24,1))</f>
        <v>0</v>
      </c>
      <c r="EK31" s="889">
        <f>IF($DH$8+DK31&lt;1,0,IF(DF31=1,VLOOKUP($DG$8,Treecost!$B$6:$AH$49,Treecost!$F$2,FALSE),0)*IF(DF31&gt;='Options and results'!$K$25,'Options and results'!$K$24,1))</f>
        <v>0</v>
      </c>
      <c r="EL31" s="889">
        <f>IF($DH$8+DK31&lt;1,0,IF(DF31=1,VLOOKUP($DG$8,Treecost!$B$6:$AH$49,Treecost!$G$2,FALSE),0)*IF(DF31&gt;='Options and results'!$K$25,'Options and results'!$K$24,1))</f>
        <v>0</v>
      </c>
      <c r="EM31" s="889">
        <f>IF($DG$8=0,0,IF(DF31&lt;='Options and results'!$W$20,((VLOOKUP($DG$8,Treecost!$B$6:$AH$49,Treecost!$H$2,FALSE)*(DH31+DK31))/60)*IF(DF31&gt;='Options and results'!$K$25,'Options and results'!$K$24,1),0))</f>
        <v>0</v>
      </c>
      <c r="EN31" s="889">
        <f>IF($DG$8=0,0,IF(DF31&lt;='Options and results'!$W$20,(((VLOOKUP($DG$8,Treecost!$B$6:$AH$49,Treecost!$I$2,FALSE))*(DH31+DK31))/60)*IF(DF31&gt;='Options and results'!$K$25,'Options and results'!$K$24,1),0))</f>
        <v>0</v>
      </c>
      <c r="EO31" s="889">
        <f>IF($DG$8=0,0,IF(DF31&lt;='Options and results'!$W$20,(((VLOOKUP($DG$8,Treecost!$B$6:$AH$49,Treecost!$J$2,FALSE))/60)*(DH31+DK31))*IF(DF31&gt;='Options and results'!$K$25,'Options and results'!$K$24,1),0))</f>
        <v>0</v>
      </c>
      <c r="EP31" s="1019">
        <f>IF($DG$8=0,0,IF(DF31&lt;='Options and results'!$W$20,(((VLOOKUP($DG$8,Treecost!$B$6:$AH$49,Treecost!$C$2,FALSE)+VLOOKUP($DG$8,Treecost!$B$6:$AH$49,Treecost!$D$2,FALSE))*(DH31+DK31)*IF(1+'Options and results'!$Q$22*(DF31-1)&gt;0,1+'Options and results'!$Q$22*(DF31-1),0))+(EJ31*$EI$8+EK31*$EI$9+EL31*$EI$10+EM31*$EI$11+EN31*$EI$12+EO31*$EI$13)*IF(1+'Options and results'!$Q$21*(DF31-1)&gt;0,1+'Options and results'!$Q$21*(DF31-1),0))*IF(DF31&gt;='Options and results'!$K$27,'Options and results'!$K$26,1),0))</f>
        <v>0</v>
      </c>
      <c r="EQ31" s="740">
        <f>IF($DG$8=0,0,IF(DF31&lt;='Options and results'!$W$20,IF(AND(VLOOKUP($DG$8,Treecost!$B$6:$AH$49,Treecost!$K$2,FALSE)&lt;=DF31,DF31&lt;=(VLOOKUP($DG$8,Treecost!$B$6:$AH$49,Treecost!$L$2,FALSE))),VLOOKUP($DG$8,Treecost!$B$6:$AH$49,Treecost!$M$2,FALSE)*DL31/60,0)*IF(DF31&gt;='Options and results'!$K$25,'Options and results'!$K$24,1),0))</f>
        <v>0</v>
      </c>
      <c r="ER31" s="1019">
        <f>IF(EQ31&gt;0,(VLOOKUP($DG$8,Treecost!$B$6:$AH$49,Treecost!$N$2,FALSE)*DL31*IF(1+'Options and results'!$Q$22*(DF31-1)&gt;0,1+'Options and results'!$Q$22*(DF31-1),0)+EQ31*$EI$14*IF(1+'Options and results'!$Q$21*(DF31-1)&gt;0,1+'Options and results'!$Q$21*(DF31-1),0)),0)*IF(DF31&gt;='Options and results'!$K$27,'Options and results'!$K$26,1)</f>
        <v>0</v>
      </c>
      <c r="ES31" s="889">
        <f>IF(DF31&lt;='Options and results'!$W$20,IF(AND(DR31-DR30&gt;0,DR31&gt;'Options and results'!$M$64),(DL31-DN31)*(VLOOKUP($DG$8,Treecost!$B$6:$AH$49,Treecost!$Y$2,FALSE)+(VLOOKUP($DG$8,Treecost!$B$6:$AH$49,Treecost!$AA$2,FALSE)-VLOOKUP($DG$8,Treecost!$B$6:$AH$49,Treecost!$Y$2,FALSE))/(VLOOKUP($DG$8,Treecost!$B$6:$AH$49,Treecost!$Z$2,FALSE)-VLOOKUP($DG$8,Treecost!$B$6:$AH$49,Treecost!$X$2,FALSE))*(DR31-VLOOKUP($DG$8,Treecost!$B$6:$AH$49,Treecost!$X$2,FALSE)))/60,0)*IF(DF31&gt;='Options and results'!$K$25,'Options and results'!$K$24,1),0)</f>
        <v>0</v>
      </c>
      <c r="ET31" s="889">
        <f>IF(DF31&lt;='Options and results'!$W$20,IF(ES31&gt;0,VLOOKUP($DG$8,Treecost!$B$6:$AH$49,Treecost!$AB$2,FALSE)/60*DL31,0)*IF(DF31&gt;='Options and results'!$K$25,'Options and results'!$K$24,1),0)*((ES31-(MIN($ES$8:$ES$67)))/((MAX($ES$8:$ES$67))-(MIN($ES$8:$ES$67))))</f>
        <v>0</v>
      </c>
      <c r="EU31" s="740">
        <f>IF(ES31&gt;0,(ES31*$EI$15+ET31*$EI$19)*IF(1+'Options and results'!$Q$21*(DF31-1)&gt;0,1+'Options and results'!$Q$21*(DF31-1),0),0)*IF(DF31&gt;='Options and results'!$K$27,'Options and results'!$K$26,1)</f>
        <v>0</v>
      </c>
      <c r="EV31" s="891">
        <f>IF($DG$8=0,0,IF(DF31&lt;='Options and results'!$W$20,IF(AND(VLOOKUP($DG$8,Treecost!$B$2:$AH$49,Treecost!$O$2,FALSE)=DF31,DF31&lt;=IF(AND(Optimisation!$B$3="Yes",Optimisation!$B$4=1),Optimisation!$B$9)),VLOOKUP($DG$8,Treecost!$B$2:$AH$49,Treecost!$P$2,FALSE)*(1-CN31),0)*IF(DF31&gt;='Options and results'!$K$25,'Options and results'!$K$24,1),0))</f>
        <v>0</v>
      </c>
      <c r="EW31" s="889">
        <f>IF($DG$8=0,0,IF(DF31&lt;='Options and results'!$W$20,IF(AND(DF31&gt;VLOOKUP($DG$8,Treecost!$B$2:$AH$49,Treecost!$O$2,FALSE),DF31&lt;=IF(AND(Optimisation!$B$3="Yes",Optimisation!$B$4=1),Optimisation!$B$9,VLOOKUP($DG$8,Treecost!$B$2:$AH$49,Treecost!$R$2,FALSE))),VLOOKUP($DG$8,Treecost!$B$2:$AH$49,Treecost!$S$2,FALSE)*(1-CN31),0)*IF(DF31&gt;='Options and results'!$K$25,'Options and results'!$K$24,1),0))</f>
        <v>0</v>
      </c>
      <c r="EX31" s="740">
        <f>IF($DG$8=0,0,IF(DF31&lt;='Options and results'!$W$20,(IF(AND(VLOOKUP($DG$8,Treecost!$B$2:$AH$49,Treecost!$O$2,FALSE)=DF31,DF31&lt;=IF(AND(Optimisation!$B$3="Yes",Optimisation!$B$4=1),Optimisation!$B$9)),VLOOKUP($DG$8,Treecost!$B$2:$AH$49,Treecost!$Q$2,FALSE),0)*(1-CN31)+IF(AND(DF31&gt;VLOOKUP($DG$8,Treecost!$B$2:$AH$49,Treecost!$O$2,FALSE),DF31&lt;=IF(AND(Optimisation!$B$3="Yes",Optimisation!$B$4=1),Optimisation!$B$9,VLOOKUP($DG$8,Treecost!$B$2:$AH$49,Treecost!$R$2,FALSE))),VLOOKUP($DG$8,Treecost!$B$2:$AH$49,Treecost!$T$2,FALSE),0)*(1-CN31)+(EV31*$EI$16+EW31*$EI$17))*IF(DF31&gt;='Options and results'!$K$27,'Options and results'!$K$26,1),0))*IF(1+'Options and results'!$Q$21*(DF31-1)&gt;0,1+'Options and results'!$Q$21*(DF31-1),0)</f>
        <v>0</v>
      </c>
      <c r="EY31" s="894">
        <f>IF($DG$8=0,0,IF(DF31&lt;='Options and results'!$W$20,IF(AND(DF31&gt;=VLOOKUP($DG$8,Treecost!$B$2:$W$49,Treecost!$U$2,FALSE),DF31&lt;=VLOOKUP($DG$8,Treecost!$B$2:$W$49,Treecost!$V$2,FALSE)),(DL31*VLOOKUP($DG$8,Treecost!$B$2:$W$49,Treecost!$W$2,FALSE)/60),0)*IF(DF31&gt;='Options and results'!$K$25,'Options and results'!$K$24,1),0))</f>
        <v>0</v>
      </c>
      <c r="EZ31" s="740">
        <f>EY31*$EI$18*IF(DF31&gt;='Options and results'!$K$27,'Options and results'!$K$26,1)*IF(1+'Options and results'!$Q$21*(DF31-1)&gt;0,1+'Options and results'!$Q$21*(DF31-1),0)</f>
        <v>0</v>
      </c>
      <c r="FA31" s="1025">
        <f>IF(DF31&lt;='Options and results'!$W$20,IF(DL31&lt;=0,0,VLOOKUP($DG$8,Treecost!$B$6:$AH$49,Treecost!$AC$2,FALSE)+VLOOKUP($DG$8,Treecost!$B$6:$AH$49,Treecost!$AD$2,FALSE)+IF(AND(DF31&gt;=VLOOKUP($DG$8,Treecost!$B$2:$AK$49,Treecost!$AI$2,FALSE),DF31&lt;=VLOOKUP($DG$8,Treecost!$B$2:$AK$49,Treecost!$AJ$2,FALSE)),VLOOKUP($DG$8,Treecost!$B$2:$AK$49,Treecost!$AK$2,FALSE)*(1-CN31),0))*IF(DF31&gt;='Options and results'!$K$27,'Options and results'!$K$26,1),0)*IF(1+'Options and results'!$Q$22*(DF31-1)&gt;0,1+'Options and results'!$Q$22*(DF31-1),0)</f>
        <v>3</v>
      </c>
      <c r="FB31" s="894">
        <f>IF(DF31&lt;='Options and results'!$W$20,IF(DN31&gt;0,VLOOKUP($DG$8,Treecost!$B$6:$AH$49,Treecost!$AE$2,FALSE)/60*DN31,0)*IF(DF31&gt;='Options and results'!$K$25,'Options and results'!$K$24,1),0)</f>
        <v>0</v>
      </c>
      <c r="FC31" s="740">
        <f>IF(DF31&lt;='Options and results'!$W$20,IF(DN31&gt;0,VLOOKUP($DG$8,Treecost!$B$6:$AH$49,Treecost!$AF$2,FALSE)/60*DN31,0)*IF(DF31&gt;='Options and results'!$K$25,'Options and results'!$K$24,1),0)</f>
        <v>0</v>
      </c>
      <c r="FD31" s="740">
        <f>(FB31*$EI$20+FC31*$EI$21)*IF(DF31&gt;='Options and results'!$K$27,'Options and results'!$K$26,1)*IF(1+'Options and results'!$Q$21*(DF31-1)&gt;0,1+'Options and results'!$Q$21*(DF31-1),0)</f>
        <v>0</v>
      </c>
      <c r="FE31" s="894">
        <f>IF(DF31&lt;='Options and results'!$W$20,IF(DO31&gt;0,(VLOOKUP($DG$8,Treecost!$B$6:$AH$49,Treecost!$AG$2,FALSE)/60*DO31)*IF(DF31&gt;='Options and results'!$K$25,'Options and results'!$K$24,1),0),0)</f>
        <v>0</v>
      </c>
      <c r="FF31" s="740">
        <f>IF(DF31&lt;='Options and results'!$W$20,IF(DO31&gt;0,(VLOOKUP($DG$8,Treecost!$B$6:$AH$49,Treecost!$AH$2,FALSE)/60*DO31)*IF(DF31&gt;='Options and results'!$K$25,'Options and results'!$K$24,1),0),0)</f>
        <v>0</v>
      </c>
      <c r="FG31" s="740">
        <f>(FE31*$EI$22+FF31*$EI$23)*IF(DF31&gt;='Options and results'!$K$27,'Options and results'!$K$26,1)*IF(1+'Options and results'!$Q$21*(DF31-1)&gt;0,1+'Options and results'!$Q$21*(DF31-1),0)</f>
        <v>0</v>
      </c>
      <c r="FH31" s="894">
        <f t="shared" si="157"/>
        <v>0</v>
      </c>
      <c r="FI31" s="1027">
        <f t="shared" si="158"/>
        <v>0</v>
      </c>
      <c r="FJ31" s="1027">
        <f t="shared" si="159"/>
        <v>0</v>
      </c>
      <c r="FK31" s="1027">
        <f t="shared" si="160"/>
        <v>3</v>
      </c>
      <c r="FL31" s="1027">
        <f t="shared" si="183"/>
        <v>-3</v>
      </c>
      <c r="FM31" s="1027">
        <f>IF($DF31&lt;='Options and results'!$W$20,SUM(FI$8:$FI31),0)</f>
        <v>0</v>
      </c>
      <c r="FN31" s="1027">
        <f>IF($DF31&lt;='Options and results'!$W$20,SUM($FJ$8:FJ31),0)</f>
        <v>0</v>
      </c>
      <c r="FO31" s="1027">
        <f>IF($DF31&lt;='Options and results'!$W$20,SUM($FK$8:FK31),0)</f>
        <v>1112.0448753513026</v>
      </c>
      <c r="FP31" s="1027">
        <f>IF($DF31&lt;='Options and results'!$W$20,FM31+FN31-FO31,0)</f>
        <v>-1112.0448753513026</v>
      </c>
      <c r="FQ31" s="1027">
        <f t="shared" si="162"/>
        <v>779.93905495330887</v>
      </c>
      <c r="FR31" s="1027">
        <f t="shared" si="163"/>
        <v>776.93905495330887</v>
      </c>
      <c r="FS31" s="1027">
        <f t="shared" si="164"/>
        <v>0</v>
      </c>
      <c r="FT31" s="1189">
        <f>IF(DF31&lt;='Options and results'!$W$20,FP31+DZ31,0)</f>
        <v>2840.1437151577584</v>
      </c>
      <c r="FU31" s="401"/>
      <c r="FV31" s="895">
        <f t="shared" si="165"/>
        <v>24</v>
      </c>
      <c r="FW31" s="894">
        <f>G31/(1+'Options and results'!$W$33)^(FV31-1)</f>
        <v>481.73660011021838</v>
      </c>
      <c r="FX31" s="740">
        <f>(AP31+AR31+AS31)/(1+'Options and results'!$W$33)^(FV31-1)</f>
        <v>0</v>
      </c>
      <c r="FY31" s="740">
        <f ca="1">CQ31/(1+'Options and results'!$W$33)^(FV31-1)</f>
        <v>0</v>
      </c>
      <c r="FZ31" s="740">
        <f>(EA31+EC31+ED31)/(1+'Options and results'!$W$33)^(FV31-1)</f>
        <v>0</v>
      </c>
      <c r="GA31" s="1019">
        <f t="shared" ca="1" si="180"/>
        <v>0</v>
      </c>
      <c r="GB31" s="1026">
        <f>(AO31+AQ31)/(1+'Options and results'!$W$33)^(FV31-1)+FX31</f>
        <v>2048.330679804078</v>
      </c>
      <c r="GC31" s="1027">
        <f>IF(FV31&gt;'Options and results'!$W$27,0,GB31-GB30)</f>
        <v>153.40023085945518</v>
      </c>
      <c r="GD31" s="1027">
        <f>(DZ31+EB31)/(1+'Options and results'!$W$33)^(FV31-1)+FZ31</f>
        <v>2237.5847567731194</v>
      </c>
      <c r="GE31" s="1379">
        <f>IF(FV31&gt;'Options and results'!$W$27,0,GD31-GD30)</f>
        <v>239.5960952258049</v>
      </c>
      <c r="GF31" s="894">
        <f>IF(FV31&lt;='Options and results'!$W$20,SUM(FW$8:FW31),0)</f>
        <v>24315.967073666357</v>
      </c>
      <c r="GG31" s="740">
        <f>IF(FV31&lt;='Options and results'!$W$20,SUM(FX$8:FX31), 0)</f>
        <v>0</v>
      </c>
      <c r="GH31" s="740">
        <f ca="1">IF(FV31&lt;='Options and results'!$W$20,SUM(FY$8:FY31),0)</f>
        <v>14787.259868716837</v>
      </c>
      <c r="GI31" s="740">
        <f>IF(FV31&lt;='Options and results'!$W$20,SUM(FZ$8:FZ31),0)</f>
        <v>0</v>
      </c>
      <c r="GJ31" s="1019">
        <f t="shared" ca="1" si="166"/>
        <v>14787.259868716837</v>
      </c>
      <c r="GK31" s="894">
        <f>IF(FV31&gt;'Options and results'!$W$27,0,GG31+SUM(GC$8:GC31)-FX31)</f>
        <v>2048.330679804078</v>
      </c>
      <c r="GL31" s="740">
        <f>IF(FV31&lt;='Options and results'!$W$20,SUM(GD$8:GD31),0)</f>
        <v>14149.848117073938</v>
      </c>
      <c r="GM31" s="1034">
        <f t="shared" ca="1" si="167"/>
        <v>28937.107985790775</v>
      </c>
      <c r="GN31" s="401"/>
      <c r="GO31" s="895">
        <f t="shared" si="168"/>
        <v>24</v>
      </c>
      <c r="GP31" s="894">
        <f>H31/(1+'Options and results'!$W$33)^(GO31-1)</f>
        <v>95.426833596367089</v>
      </c>
      <c r="GQ31" s="740">
        <f>SUM(AT31:AV31)/(1+'Options and results'!$W$33)^(GO31-1)</f>
        <v>0</v>
      </c>
      <c r="GR31" s="740">
        <f>CR31/(1+'Options and results'!$W$33)^(GO31-1)</f>
        <v>0</v>
      </c>
      <c r="GS31" s="740">
        <f>SUM(EE31:EG31)/(1+'Options and results'!$W$33)^(GO31-1)</f>
        <v>0</v>
      </c>
      <c r="GT31" s="1019">
        <f t="shared" si="181"/>
        <v>0</v>
      </c>
      <c r="GU31" s="894">
        <f>IF(GO31&lt;='Options and results'!$W$20,SUM(GP$8:GP31),0)</f>
        <v>3729.5291600908186</v>
      </c>
      <c r="GV31" s="740">
        <f>IF(GO31&lt;='Options and results'!$W$20,SUM(GQ$8:GQ31),0)</f>
        <v>0</v>
      </c>
      <c r="GW31" s="740">
        <f>IF(GO31&lt;='Options and results'!$W$20,SUM(GR$8:GR31),0)</f>
        <v>0</v>
      </c>
      <c r="GX31" s="740">
        <f>IF(GO31&lt;='Options and results'!$W$20,SUM(GS$8:GS31),0)</f>
        <v>0</v>
      </c>
      <c r="GY31" s="1034">
        <f>IF(GO31&lt;='Options and results'!$W$20,SUM(GT$8:GT31),0)</f>
        <v>0</v>
      </c>
      <c r="GZ31" s="401"/>
      <c r="HA31" s="895">
        <f t="shared" si="169"/>
        <v>24</v>
      </c>
      <c r="HB31" s="1026">
        <f>(J31+L31+(M31*N31))/(1+'Options and results'!$W$33)^(HA31-1)</f>
        <v>481.69306494160236</v>
      </c>
      <c r="HC31" s="740">
        <f>BZ31/(1+'Options and results'!$W$33)^(HA31-1)</f>
        <v>1.217178999953662</v>
      </c>
      <c r="HD31" s="1027">
        <f>(CT31+CV31+(CW31*CX31))/(1+'Options and results'!$W$33)^(HA31-1)</f>
        <v>0</v>
      </c>
      <c r="HE31" s="740">
        <f>FK31/(1+'Options and results'!$W$33)^(HA31-1)</f>
        <v>1.217178999953662</v>
      </c>
      <c r="HF31" s="1019">
        <f t="shared" si="182"/>
        <v>1.217178999953662</v>
      </c>
      <c r="HG31" s="894">
        <f>IF(HA31&lt;='Options and results'!$W$20,SUM(HB$8:HB31),0)</f>
        <v>19294.487599280536</v>
      </c>
      <c r="HH31" s="740">
        <f>IF(HA31&lt;='Options and results'!$W$20,SUM(HC$8:HC31),0)</f>
        <v>1398.7773000301149</v>
      </c>
      <c r="HI31" s="740">
        <f>IF(HA31&lt;='Options and results'!$W$20,SUM(HD$8:HD31),0)</f>
        <v>13294.975863606456</v>
      </c>
      <c r="HJ31" s="740">
        <f>IF(HA31&lt;='Options and results'!$W$20,SUM(HE$8:HE31),0)</f>
        <v>943.15711197830319</v>
      </c>
      <c r="HK31" s="1034">
        <f>IF(HA31&lt;='Options and results'!$W$20,SUM(HF$8:HF31),0)</f>
        <v>14238.132975584762</v>
      </c>
      <c r="HL31" s="405"/>
      <c r="HM31" s="895">
        <f t="shared" si="170"/>
        <v>24</v>
      </c>
      <c r="HN31" s="1026">
        <f t="shared" si="171"/>
        <v>95.470368764983107</v>
      </c>
      <c r="HO31" s="1027">
        <f t="shared" si="172"/>
        <v>-1.217178999953662</v>
      </c>
      <c r="HP31" s="1027">
        <f t="shared" ca="1" si="173"/>
        <v>0</v>
      </c>
      <c r="HQ31" s="1027">
        <f t="shared" si="174"/>
        <v>-1.217178999953662</v>
      </c>
      <c r="HR31" s="1027">
        <f t="shared" si="175"/>
        <v>152.18305185950152</v>
      </c>
      <c r="HS31" s="1379">
        <f t="shared" si="176"/>
        <v>238.37891622585124</v>
      </c>
      <c r="HT31" s="1026">
        <f>IF($HM31&lt;='Options and results'!$W$20,SUM(HN$8:HN31),0)</f>
        <v>8751.0086344766405</v>
      </c>
      <c r="HU31" s="1027">
        <f>IF($HM31&lt;='Options and results'!$W$20,SUM(HO$8:HO31),0)</f>
        <v>-1398.7773000301149</v>
      </c>
      <c r="HV31" s="1027">
        <f ca="1">IF($HM31&lt;='Options and results'!$W$20,SUM(HP$8:HP31),0)</f>
        <v>1492.284005110379</v>
      </c>
      <c r="HW31" s="1027">
        <f>IF($HM31&lt;='Options and results'!$W$20,SUM(HQ$8:HQ31),0)</f>
        <v>-943.15711197830319</v>
      </c>
      <c r="HX31" s="1027">
        <f t="shared" ca="1" si="177"/>
        <v>549.12689313207579</v>
      </c>
      <c r="HY31" s="1027">
        <f>IF($HM31&lt;='Options and results'!$W$20,SUM(HR$8:HR31),0)</f>
        <v>649.55337977396312</v>
      </c>
      <c r="HZ31" s="1027">
        <f>IF($HM31&lt;='Options and results'!$W$20,SUM(HS$8:HS31),0)</f>
        <v>1294.4276447948164</v>
      </c>
      <c r="IA31" s="1189">
        <f t="shared" ca="1" si="178"/>
        <v>2786.7116499051954</v>
      </c>
    </row>
    <row r="32" spans="1:235" x14ac:dyDescent="0.25">
      <c r="A32" s="1010">
        <f t="shared" si="126"/>
        <v>25</v>
      </c>
      <c r="B32" s="1011" t="str">
        <f>IF('Options and results'!$C$17="None",0,CONCATENATE('Options and results'!$C$23," ",(HLOOKUP(CONCATENATE('Options and results'!$C$17," ",Arablesystem!$B$11),Arablesystem!$B$10:$ER$72,$A32+3,FALSE))))</f>
        <v>UK - Agriculture (BPS: from 2015) Wheat</v>
      </c>
      <c r="C32" s="1012">
        <f>IF(HLOOKUP(CONCATENATE('Options and results'!$C$17," ",Arablesystem!$C$11),Arablesystem!$B$10:$ER$72,$A32+3,FALSE)="T",(VLOOKUP(B32,Arablefinance!$Z$6:$AB$105,Arablefinance!$AB$2,FALSE)*E32+VLOOKUP(B32,Arablefinance!$Z$6:$AC$105,Arablefinance!$AC$2,FALSE)*F32)/VLOOKUP(B32,Arablefinance!$Z$6:$AA$105,Arablefinance!$AA$2,FALSE),0)</f>
        <v>0</v>
      </c>
      <c r="D32" s="1012">
        <f>IF(B32=0,0,HLOOKUP(CONCATENATE('Options and results'!$C$17," ",Arablesystem!$D$11),Arablesystem!$B$10:$ER$72,$A32+3,FALSE))</f>
        <v>1</v>
      </c>
      <c r="E32" s="1440">
        <f>IF(B32=0,0,HLOOKUP(CONCATENATE('Options and results'!$C$17," ",Arablesystem!$E$11),Arablesystem!$B$10:$ER$72,$A32+3,FALSE)*IF(A32&gt;='Options and results'!$H$19,'Options and results'!$H$18,1))</f>
        <v>9.6999624392668604</v>
      </c>
      <c r="F32" s="1440">
        <f>IF(B32=0,0,HLOOKUP(CONCATENATE('Options and results'!$C$17," ",Arablesystem!$F$11),Arablesystem!$B$10:$ER$72,$A32+3,FALSE)*IF(A32&gt;='Options and results'!$H$19,'Options and results'!$H$18,1))</f>
        <v>3.8799849757067442</v>
      </c>
      <c r="G32" s="1013">
        <f>IF(D32&lt;=0,0,IF(A32&lt;='Options and results'!$W$20,IF(C32&gt;0,VLOOKUP(B32,Arablefinance!$Z$6:$AE$105,Arablefinance!$AD$2,FALSE)*C32*D32,((VLOOKUP(B32,Arablefinance!$E$6:$G$126,Arablefinance!$F$2,FALSE)*(E32*D32)+VLOOKUP(B32,Arablefinance!$E$6:$G$126,Arablefinance!$G$2,FALSE)*(F32*D32)))),0)*IF(A32&gt;='Options and results'!$H$21,'Options and results'!$H$20,1))*IF(1+'Options and results'!$O$20*(A32-1)&gt;0,1+'Options and results'!$O$20*(A32-1),0)</f>
        <v>1829.5206934061662</v>
      </c>
      <c r="H32" s="1441">
        <f>IF(D32&lt;=0,0,IF(A32&lt;='Options and results'!$W$20,IF(AND(C32&gt;0,VLOOKUP(B32,Arablefinance!$Z$6:$AI$105,Arablefinance!$AI$2,FALSE)=2),VLOOKUP(B32,Arablefinance!$Z$6:$AE$105,Arablefinance!$AE$2,FALSE)*C32*D32,(VLOOKUP(B32,Arablefinance!$E$6:$H$126,Arablefinance!$H$2,FALSE)*D32))*IF(A32&gt;='Options and results'!$H$23,'Options and results'!$H$22,1),0)*IF(AND(1+'Options and results'!$O$23*(A32-1)&gt;0,1+'Options and results'!$O$23*(A32-1)&gt;'Options and results'!$S$24),1+'Options and results'!$O$23*(A32-1),'Options and results'!$S$24))</f>
        <v>235.2</v>
      </c>
      <c r="I32" s="1441">
        <f t="shared" si="127"/>
        <v>2064.720693406166</v>
      </c>
      <c r="J32" s="1441">
        <f>IF(D32&lt;=0,0,IF(A32&lt;='Options and results'!$W$20,IF(C32&gt;0,VLOOKUP(B32,Arablefinance!$Z$6:$AF$105,Arablefinance!$AF$2,FALSE)*C32*D32,(VLOOKUP(B32,Arablefinance!$E$6:$X$126,Arablefinance!$R$2,FALSE))*D32),0)*IF(A32&gt;='Options and results'!$H$27,'Options and results'!$H$26,1))*IF(1+'Options and results'!$O$22*(A32-1)&gt;0,1+'Options and results'!$O$22*(A32-1),0)</f>
        <v>653.12499999999989</v>
      </c>
      <c r="K32" s="1441">
        <f t="shared" si="128"/>
        <v>1411.595693406166</v>
      </c>
      <c r="L32" s="1441">
        <f>IF(D32&lt;=0,0,IF(A32&lt;='Options and results'!$W$20,IF(C32&gt;0,VLOOKUP(B32,Arablefinance!$Z$6:$AG$105,Arablefinance!$AG$2,FALSE)*C32*D32,VLOOKUP(B32,Arablefinance!$E$6:$X$126,Arablefinance!$X$2,FALSE)*D32),0)*IF(A32&gt;='Options and results'!$H$27,'Options and results'!$H$26,1))*IF(1+'Options and results'!$O$22*(A32-1)&gt;0,1+'Options and results'!$O$22*(A32-1),0)</f>
        <v>444.44444444444446</v>
      </c>
      <c r="M32" s="1442">
        <f>IF(D32&lt;=0,0,IF(A32&lt;='Options and results'!$W$20,'Options and results'!$C$27,0)*IF(A32&gt;='Options and results'!$H$27,'Options and results'!$H$26,1))*IF(1+'Options and results'!$O$21*(A32-1)&gt;0,1+'Options and results'!$O$21*(A32-1),0)</f>
        <v>14.6</v>
      </c>
      <c r="N32" s="1442">
        <f>IF(D32&lt;=0,0,IF(A32&lt;='Options and results'!$W$20,IF(C32&gt;0,VLOOKUP(B32,Arablefinance!$Z$6:$AH$105,Arablefinance!$AH$2,FALSE)*C32*D32,VLOOKUP(B32,Arablefinance!$E$6:$W$126,Arablefinance!$V$2,FALSE)*D32),0)*IF(A32&gt;='Options and results'!$H$25,'Options and results'!$H$24,1))</f>
        <v>11.632834596849463</v>
      </c>
      <c r="O32" s="1013">
        <f t="shared" si="129"/>
        <v>1267.4088295584465</v>
      </c>
      <c r="P32" s="1353">
        <f t="shared" si="130"/>
        <v>797.31186384771934</v>
      </c>
      <c r="Q32" s="1013">
        <f>IF(A32&lt;='Options and results'!$W$20,SUM(G$8:$G32),0)</f>
        <v>37937.893862287754</v>
      </c>
      <c r="R32" s="1441">
        <f>IF($A32&lt;='Options and results'!$W$20,SUM($H$8:H32),0)</f>
        <v>5879.9999999999973</v>
      </c>
      <c r="S32" s="1441">
        <f>IF($A32&lt;='Options and results'!$W$20,SUM($O$8:O32),0)</f>
        <v>30426.680962420451</v>
      </c>
      <c r="T32" s="1032">
        <f>IF(A32&lt;='Options and results'!$W$20,Q32+R32-S32,0)</f>
        <v>13391.212899867303</v>
      </c>
      <c r="U32" s="405"/>
      <c r="V32" s="1010">
        <f t="shared" si="131"/>
        <v>25</v>
      </c>
      <c r="W32" s="173"/>
      <c r="X32" s="1036"/>
      <c r="Y32" s="1030">
        <f>IF(V32&lt;='Options and results'!$M$34,'Options and results'!$M$33,0)</f>
        <v>0</v>
      </c>
      <c r="Z32" s="1441">
        <f t="shared" si="132"/>
        <v>0</v>
      </c>
      <c r="AA32" s="1441">
        <f t="shared" si="133"/>
        <v>0</v>
      </c>
      <c r="AB32" s="1428">
        <f t="shared" si="134"/>
        <v>156</v>
      </c>
      <c r="AC32" s="1441">
        <f>IF($W$8=0,0,IF(HLOOKUP(CONCATENATE('Options and results'!$C$32," ",Forestrysystem!$C$8),Forestrysystem!$A$7:$IH$70,V32+4,FALSE)&lt;AB32,HLOOKUP(CONCATENATE('Options and results'!$C$32," ",Forestrysystem!$C$8),Forestrysystem!$A$7:$IH$70,V32+4,FALSE),0))</f>
        <v>0</v>
      </c>
      <c r="AD32" s="1441">
        <f>IF($W$8=0,0,IF(HLOOKUP(CONCATENATE('Options and results'!$C$32," ",Forestrysystem!$C$8),Forestrysystem!$A$7:$IH$70,V32+4,FALSE)&gt;=AB32,AB32,0))</f>
        <v>0</v>
      </c>
      <c r="AE32" s="1440">
        <f>IF($W$8=0,0,HLOOKUP(CONCATENATE('Options and results'!$C$32," ",Forestrysystem!$D$8),Forestrysystem!$A$7:$IH$70,$V32+4,FALSE))</f>
        <v>26.06268556257508</v>
      </c>
      <c r="AF32" s="1037"/>
      <c r="AG32" s="1440">
        <f>IF($W$8=0,0,IF(V32=1,'Options and results'!$M$36,0)+IF('Options and results'!$M$39="yes",IF(AND(AG31+'Options and results'!$M$37&lt;=$AF$8,AG31+'Options and results'!$M$37+IF(V32=1,'Options and results'!$M$36,0)&lt;='Options and results'!$M$38*AE32),AG31+'Options and results'!$M$37,AG31),(HLOOKUP(CONCATENATE('Options and results'!$C$32," ",Forestrysystem!$E$8),Forestrysystem!$A$7:$IH$70,V32+4,FALSE))-IF(V32=1,'Options and results'!$M$36,0)))</f>
        <v>7.5</v>
      </c>
      <c r="AH32" s="1442">
        <f>IF(OR($W$8=0,AB32&lt;=0),0,(HLOOKUP(CONCATENATE('Options and results'!$C$32," ",Forestrysystem!$F$8),Forestrysystem!$A$7:$IH$70,$V32+4,FALSE)) * IF(V32&gt;='Options and results'!$I$19,'Options and results'!$I$18,1) )</f>
        <v>161.04978502384833</v>
      </c>
      <c r="AI32" s="1452">
        <f t="shared" si="179"/>
        <v>1.0323704168195407</v>
      </c>
      <c r="AJ32" s="1442">
        <f t="shared" si="135"/>
        <v>0</v>
      </c>
      <c r="AK32" s="1453">
        <f>IF(OR($W$8=0,AE32&lt;=0),0,(HLOOKUP(CONCATENATE('Options and results'!$C$32," ",Forestrysystem!$G$8),Forestrysystem!$A$7:$IH$70,$V32+4,FALSE)) * IF(Y32&gt;='Options and results'!$I$19,'Options and results'!$I$18,1) )</f>
        <v>71.014497107086797</v>
      </c>
      <c r="AL32" s="1453">
        <f>IF($W$8=0,0,HLOOKUP(CONCATENATE('Options and results'!$C$32," ",Forestrysystem!$H$8),Forestrysystem!$A$7:$IH$70,$V32+4,FALSE)*IF(V32&gt;='Options and results'!$I$19,'Options and results'!$I$18,1))</f>
        <v>0</v>
      </c>
      <c r="AM32" s="1383">
        <f>IF($W$8=0,0,HLOOKUP(CONCATENATE('Options and results'!$C$32," ",Forestrysystem!$I$8),Forestrysystem!$A$7:$IH$70,$V32+4,FALSE)*IF(V32&gt;='Options and results'!$I$19,'Options and results'!$I$18,1))</f>
        <v>0</v>
      </c>
      <c r="AN32" s="1382">
        <f>IF(AI32&gt;0,HLOOKUP(AI32,Treevalue!$I$4:$BC$34,'Options and results'!$C$39+1),0)*IF(V32&gt;='Options and results'!$I$21,'Options and results'!$I$20,1)*IF(1+'Options and results'!$Q$20*(V32-1)&gt;0,1+'Options and results'!$Q$20*(V32-1),0)</f>
        <v>24.127249999999997</v>
      </c>
      <c r="AO32" s="1454">
        <f t="shared" si="136"/>
        <v>3885.6884257166448</v>
      </c>
      <c r="AP32" s="1454">
        <f t="shared" si="137"/>
        <v>0</v>
      </c>
      <c r="AQ32" s="1454">
        <f>(IF('Options and results'!$C$39&gt;0,IF(V32&lt;='Options and results'!$W$20,VLOOKUP('Options and results'!$C$39,Treevalue!$A$4:$F$34,5,FALSE),0),0)*AK32)*IF(V32&gt;='Options and results'!$I$21,'Options and results'!$I$20,1)*IF(1+'Options and results'!$Q$20*(V32-1)&gt;0,1+'Options and results'!$Q$20*(V32-1),0)-AR32</f>
        <v>1775.36242767717</v>
      </c>
      <c r="AR32" s="1441">
        <f>(IF('Options and results'!$C$39&gt;0,IF(V32&lt;='Options and results'!$W$20,VLOOKUP('Options and results'!$C$39,Treevalue!$A$4:$F$34,5,FALSE),0),0)*AL32)*IF(V32&gt;='Options and results'!$I$21,'Options and results'!$I$20,1)*IF(1+'Options and results'!$Q$20*(V32-1)&gt;0,1+'Options and results'!$Q$20*(V32-1),0)</f>
        <v>0</v>
      </c>
      <c r="AS32" s="1441">
        <f>(IF('Options and results'!$C$39&gt;0,IF(V32&lt;='Options and results'!$W$20,VLOOKUP('Options and results'!$C$39,Treevalue!$A$4:$F$34,6,FALSE),0),0)*AM32)*IF(V32&gt;='Options and results'!$I$21,'Options and results'!$I$20,1)*IF(1+'Options and results'!$Q$20*(V32-1)&gt;0,1+'Options and results'!$Q$20*(V32-1),0)</f>
        <v>0</v>
      </c>
      <c r="AT32" s="1441">
        <f>IF(V32&lt;='Options and results'!$W$20,(IF(AB32&lt;=0,0,IF('Options and results'!$C$43="cost",(IF(V32&lt;='Options and results'!$C$44,BZ32*SUM('Options and results'!$C$45:$C$46),0)),IF('Options and results'!$C$41&gt;0,(IF(VLOOKUP('Options and results'!$C$42,Treegrant!$B$6:$L$42,Treegrant!$C$2,FALSE)=V32,VLOOKUP('Options and results'!$C$42,Treegrant!$B$6:$L$42,Treegrant!$D$2,FALSE),0)+IF(VLOOKUP('Options and results'!$C$42,Treegrant!$B$6:$L$42,Treegrant!$E$2,FALSE)=V32,VLOOKUP('Options and results'!$C$42,Treegrant!$B$6:$L$42,Treegrant!$F$2,FALSE),0)+IF(VLOOKUP('Options and results'!$C$42,Treegrant!$B$6:$L$42,Treegrant!$G$2,FALSE)=V32,VLOOKUP('Options and results'!$C$42,Treegrant!$B$6:$L$42,Treegrant!$H$2,FALSE)))*IF('Options and results'!$C$43="area",1,'Options and results'!$C$43),0)))*IF(V32&gt;='Options and results'!$I$23,'Options and results'!$I$22,1)),0)*IF(1+'Options and results'!$Q$23*(V32-1)&gt;0,1+'Options and results'!$Q$23*(V32-1),0)</f>
        <v>0</v>
      </c>
      <c r="AU32" s="1441">
        <f>IF($W$8=0,0,IF(V32&lt;='Options and results'!$W$20,IF(AB32&lt;=0,0,IF('Options and results'!$C$41&gt;0,IF(AND(VLOOKUP('Options and results'!$C$42,Treegrant!$B$6:$L$42,Treegrant!$J$2,FALSE)&lt;=V32,VLOOKUP('Options and results'!$C$42,Treegrant!$B$6:$L$42,Treegrant!$K$2,FALSE)&gt;=V32),(VLOOKUP('Options and results'!$C$42,Treegrant!$B$6:$L$42,Treegrant!$L$2,FALSE)),0)*IF('Options and results'!$C$47="full",1,'Options and results'!$C$47))*IF(V32&gt;='Options and results'!$I$23,'Options and results'!$I$22,1)),0))*IF(1+'Options and results'!$Q$23*(V32-1)&gt;0,1+'Options and results'!$Q$23*(V32-1),0)</f>
        <v>0</v>
      </c>
      <c r="AV32" s="1032">
        <f>IF($W$8=0,0,IF(V32&lt;='Options and results'!$W$20,IF(AB32&lt;=0,0,(IF('Options and results'!$C$41&gt;0,(IF(AND(VLOOKUP('Options and results'!$C$42,Treegrant!$B$6:$O$42,Treegrant!$M$2,FALSE)&lt;=V32,VLOOKUP('Options and results'!$C$42,Treegrant!$B$6:$O$42,Treegrant!$N$2,FALSE)&gt;=V32),(VLOOKUP('Options and results'!$C$42,Treegrant!$B$6:$O$42,Treegrant!$O$2,FALSE)),0)*IF('Options and results'!$C$48="full",1,'Options and results'!$C$48))+(IF(AND(VLOOKUP('Options and results'!$C$42,Treegrant!$B$6:$R$42,Treegrant!$P$2,FALSE)&lt;=V32,VLOOKUP('Options and results'!$C$42,Treegrant!$B$6:$R$42,Treegrant!$Q$2,FALSE)&gt;=V32),(VLOOKUP('Options and results'!$C$42,Treegrant!$B$6:$R$42,Treegrant!$R$2,FALSE)),0))*IF('Options and results'!$C$49="full",1,'Options and results'!$C$49)))*IF(V32&gt;='Options and results'!$I$23,'Options and results'!$I$22,1)),0))*IF(1+'Options and results'!$Q$23*(V32-1)&gt;0,1+'Options and results'!$Q$23*(V32-1),0)</f>
        <v>0</v>
      </c>
      <c r="AW32" s="1041"/>
      <c r="AX32" s="1042"/>
      <c r="AY32" s="1419">
        <f>IF($W$8=0,0,IF(V32=1,VLOOKUP($W$8,Treecost!$B$6:$AH$49,Treecost!$E$2,FALSE),0)*IF(V32&gt;='Options and results'!$I$25,'Options and results'!$I$24,1))</f>
        <v>0</v>
      </c>
      <c r="AZ32" s="889">
        <f>IF($W$8=0,0,IF(V32=1,VLOOKUP($W$8,Treecost!$B$6:$AH$49,Treecost!$F$2,FALSE),0)*IF(V32&gt;='Options and results'!$I$25,'Options and results'!$I$24,1))</f>
        <v>0</v>
      </c>
      <c r="BA32" s="889">
        <f>IF($W$8=0,0,IF(V32=1,VLOOKUP($W$8,Treecost!$B$6:$AH$49,Treecost!$G$2,FALSE),0)*IF(V32&gt;='Options and results'!$I$25,'Options and results'!$I$24,1))</f>
        <v>0</v>
      </c>
      <c r="BB32" s="889">
        <f>IF($W$8=0,0,IF(V32&lt;='Options and results'!$W$20,((VLOOKUP($W$8,Treecost!$B$6:$AH$49,Treecost!$H$2,FALSE)*(X32+AA32))/60)*IF(V32&gt;='Options and results'!$I$25,'Options and results'!$I$24,1),0))</f>
        <v>0</v>
      </c>
      <c r="BC32" s="889">
        <f>IF($W$8=0,0,IF(V32&lt;='Options and results'!$W$20,(((VLOOKUP($W$8,Treecost!$B$6:$AH$49,Treecost!$I$2,FALSE))*(X32+AA32))/60)*IF(V32&gt;='Options and results'!$I$25,'Options and results'!$I$24,1),0))</f>
        <v>0</v>
      </c>
      <c r="BD32" s="889">
        <f>IF($W$8=0,0,IF(V32&lt;='Options and results'!$W$20,(((VLOOKUP($W$8,Treecost!$B$6:$AH$49,Treecost!$J$2,FALSE))/60)*(X32+AA32))*IF(V32&gt;='Options and results'!$I$25,'Options and results'!$I$24,1),0))</f>
        <v>0</v>
      </c>
      <c r="BE32" s="1019">
        <f>IF($W$8=0,0,IF(V32&lt;='Options and results'!$W$20,(((VLOOKUP($W$8,Treecost!$B$6:$AH$49,Treecost!$C$2,FALSE)+VLOOKUP($W$8,Treecost!$B$6:$AH$49,Treecost!$D$2,FALSE))*(X32+AA32)*IF(1+'Options and results'!$Q$22*(V32-1)&gt;0,1+'Options and results'!$Q$22*(V32-1),0))+((AY32*$AX$8+AZ32*$AX$9+BA32*$AX$10+BB32*$AX$11+BC32*$AX$12+BD32*$AX$13)*IF(1+'Options and results'!$Q$21*(V32-1)&gt;0,1+'Options and results'!$Q$21*(V32-1),0)))*IF(V32&gt;='Options and results'!$I$27,'Options and results'!$I$26,1),0))</f>
        <v>0</v>
      </c>
      <c r="BF32" s="889">
        <f>IF($W$8=0,0,IF(V32&lt;='Options and results'!$W$20,IF(AND(VLOOKUP($W$8,Treecost!$B$6:$AH$49,Treecost!$K$2,FALSE)&lt;=V32,V32&lt;=(VLOOKUP($W$8,Treecost!$B$6:$AH$49,Treecost!$L$2,FALSE))),VLOOKUP($W$8,Treecost!$B$6:$AH$49,Treecost!$M$2,FALSE)*AB32/60,0)*IF(V32&gt;='Options and results'!$I$25,'Options and results'!$I$24,1),0))</f>
        <v>0</v>
      </c>
      <c r="BG32" s="1019">
        <f>IF(BF32&gt;0,(VLOOKUP($W$8,Treecost!$B$6:$AH$49,Treecost!$N$2,FALSE)*AB32*IF(1+'Options and results'!$Q$22*(V32-1)&gt;0,1+'Options and results'!$Q$22*(V32-1),0)+BF32*$AX$14*IF(1+'Options and results'!$Q$21*(V32-1)&gt;0,1+'Options and results'!$Q$21*(V32-1),0)),0)*IF(V32&gt;='Options and results'!$I$27,'Options and results'!$I$26,1)</f>
        <v>0</v>
      </c>
      <c r="BH32" s="889">
        <f>IF(V32&lt;='Options and results'!$W$20,IF(AND(AG32-AG31&gt;0,AG32&gt;'Options and results'!$M$36),(AB32-AC32)*(VLOOKUP($W$8,Treecost!$B$6:$AH$49,Treecost!$Y$2,FALSE)+(VLOOKUP($W$8,Treecost!$B$6:$AH$49,Treecost!$AA$2,FALSE)-VLOOKUP($W$8,Treecost!$B$6:$AH$49,Treecost!$Y$2,FALSE))/(VLOOKUP($W$8,Treecost!$B$6:$AH$49,Treecost!$Z$2,FALSE)-VLOOKUP($W$8,Treecost!$B$6:$AH$49,Treecost!$X$2,FALSE))*(AG32-VLOOKUP($W$8,Treecost!$B$6:$AH$49,Treecost!$X$2,FALSE)))/60,0)*IF(V32&gt;='Options and results'!$I$25,'Options and results'!$I$24,1),0)</f>
        <v>0</v>
      </c>
      <c r="BI32" s="303">
        <f>IF(V32&lt;='Options and results'!$W$20,IF(BH32&gt;0,VLOOKUP($W$8,Treecost!$B$6:$AH$49,Treecost!$AB$2,FALSE)/60*AB32,0)*IF(V32&gt;='Options and results'!$I$25,'Options and results'!$I$24,1),0)*((BH32-(MIN($BH$8:$BH$67)))/((MAX($BH$8:$BH$67))-(MIN($BH$8:$BH$67))))</f>
        <v>0</v>
      </c>
      <c r="BJ32" s="740">
        <f>IF(BH32&gt;0,(BH32*$AX$15+BI32*$AX$19)*IF(1+'Options and results'!$Q$21*(V32-1)&gt;0,1+'Options and results'!$Q$21*(V32-1),0),0)*IF(V32&gt;='Options and results'!$I$27,'Options and results'!$I$26,1)</f>
        <v>0</v>
      </c>
      <c r="BK32" s="891">
        <f>IF($W$8=0,0,IF(V32&lt;='Options and results'!$W$20,IF(VLOOKUP($W$8,Treecost!$B$2:$AH$49,Treecost!$O$2,FALSE)=V32,VLOOKUP($W$8,Treecost!$B$2:$AH$49,Treecost!$P$2,FALSE),0)*IF(V32&gt;='Options and results'!$I$25,'Options and results'!$I$24,1),0))</f>
        <v>0</v>
      </c>
      <c r="BL32" s="889">
        <f>IF($W$8=0,0,IF(V32&lt;='Options and results'!$W$20,IF(AND(V32&gt;VLOOKUP($W$8,Treecost!$B$2:$AH$49,Treecost!$O$2,FALSE),V32&lt;=VLOOKUP($W$8,Treecost!$B$2:$AH$49,Treecost!$R$2,FALSE)),VLOOKUP($W$8,Treecost!$B$2:$AH$49,Treecost!$S$2,FALSE),0)*IF(V32&gt;='Options and results'!$I$25,'Options and results'!$I$24,1),0))</f>
        <v>0</v>
      </c>
      <c r="BM32" s="740">
        <f>IF($W$8=0,0,IF(V32&lt;='Options and results'!$W$20,((IF(VLOOKUP($W$8,Treecost!$B$2:$AH$49,Treecost!$O$2,FALSE)=V32,VLOOKUP($W$8,Treecost!$B$2:$AH$49,Treecost!$Q$2,FALSE),0)+IF(AND(V32&gt;VLOOKUP($W$8,Treecost!$B$2:$AH$49,Treecost!$O$2,FALSE),V32&lt;=VLOOKUP($W$8,Treecost!$B$2:$AH$49,Treecost!$R$2,FALSE)),VLOOKUP($W$8,Treecost!$B$2:$AH$49,Treecost!$T$2,FALSE),0)*IF(1+'Options and results'!$Q$22*(V32-1)&gt;0,1+'Options and results'!$Q$22*(V32-1),0))+(BK32*$AX$16+BL32*$AX$17)*IF(1+'Options and results'!$Q$21*(V32-1)&gt;0,1+'Options and results'!$Q$21*(V32-1),0))*IF(V32&gt;='Options and results'!$I$27,'Options and results'!$I$26,1),0))</f>
        <v>0</v>
      </c>
      <c r="BN32" s="894">
        <f>IF($W$8=0,0,IF(V32&lt;='Options and results'!$W$20,IF(AND(V32&gt;=VLOOKUP($W$8,Treecost!$B$2:$W$49,Treecost!$U$2,FALSE),V32&lt;=VLOOKUP($W$8,Treecost!$B$2:$W$49,Treecost!$V$2,FALSE)),(AB32*VLOOKUP($W$8,Treecost!$B$2:$W$49,Treecost!$W$2,FALSE)/60),0)*IF(V32&gt;='Options and results'!$I$25,'Options and results'!$I$24,1),0))</f>
        <v>0</v>
      </c>
      <c r="BO32" s="740">
        <f>BN32*$AX$18*IF(V32&gt;='Options and results'!$I$27,'Options and results'!$I$26,1)*IF(1+'Options and results'!$Q$21*(V32-1)&gt;0,1+'Options and results'!$Q$21*(V32-1),0)</f>
        <v>0</v>
      </c>
      <c r="BP32" s="894">
        <f>IF(V32&lt;='Options and results'!$W$20,IF(AB32&lt;=0,0,VLOOKUP($W$8,Treecost!$B$6:$AH$49,Treecost!$AC$2,FALSE)+VLOOKUP($W$8,Treecost!$B$6:$AH$49,Treecost!$AD$2,FALSE)+IF(AND(V32&gt;=VLOOKUP($W$8,Treecost!$B$2:$AK$49,Treecost!$AI$2,FALSE),V32&lt;=VLOOKUP($W$8,Treecost!$B$2:$AK$49,Treecost!$AJ$2,FALSE)),(VLOOKUP($W$8,Treecost!$B$2:$AK$49,Treecost!$AK$2,FALSE)),0))*IF(V32&gt;='Options and results'!$I$27,'Options and results'!$I$26,1),0)*IF(1+'Options and results'!$Q$22*(V32-1)&gt;0,1+'Options and results'!$Q$22*(V32-1),0)</f>
        <v>3</v>
      </c>
      <c r="BQ32" s="894">
        <f>IF(V32&lt;='Options and results'!$W$20,IF(AC32&gt;0,VLOOKUP($W$8,Treecost!$B$6:$AH$49,Treecost!$AE$2,FALSE)/60*AC32,0)*IF(V32&gt;='Options and results'!$I$25,'Options and results'!$I$24,1),0)</f>
        <v>0</v>
      </c>
      <c r="BR32" s="740">
        <f>IF(V32&lt;='Options and results'!$W$20,IF(AC32&gt;0,VLOOKUP($W$8,Treecost!$B$6:$AH$49,Treecost!$AF$2,FALSE)/60*AC32,0)*IF(V32&gt;='Options and results'!$I$25,'Options and results'!$I$24,1),0)</f>
        <v>0</v>
      </c>
      <c r="BS32" s="740">
        <f>(BQ32*$AX$20+BR32*$AX$21)*IF(V32&gt;='Options and results'!$I$27,'Options and results'!$I$26,1)*IF(1+'Options and results'!$Q$21*(V32-1)&gt;0,1+'Options and results'!$Q$21*(V32-1),0)</f>
        <v>0</v>
      </c>
      <c r="BT32" s="894">
        <f>IF(V32&lt;='Options and results'!$W$20,IF(AD32&gt;0,(VLOOKUP($W$8,Treecost!$B$6:$AH$49,Treecost!$AG$2,FALSE)/60*AD32)*IF(V32&gt;='Options and results'!$I$25,'Options and results'!$I$24,1),0),0)</f>
        <v>0</v>
      </c>
      <c r="BU32" s="740">
        <f>IF(V32&lt;='Options and results'!$W$20,IF(AD32&gt;0,(VLOOKUP($W$8,Treecost!$B$6:$AH$49,Treecost!$AH$2,FALSE)/60*AD32)*IF(V32&gt;='Options and results'!$I$25,'Options and results'!$I$24,1),0),0)</f>
        <v>0</v>
      </c>
      <c r="BV32" s="740">
        <f>(BT32*$AX$22+BU32*$AX$23)*IF(V32&gt;='Options and results'!$I$27,'Options and results'!$I$26,1)*IF(1+'Options and results'!$Q$21*(V32-1)&gt;0,1+'Options and results'!$Q$21*(V32-1),0)</f>
        <v>0</v>
      </c>
      <c r="BW32" s="1033">
        <f t="shared" si="138"/>
        <v>0</v>
      </c>
      <c r="BX32" s="1027">
        <f t="shared" si="139"/>
        <v>0</v>
      </c>
      <c r="BY32" s="1027">
        <f t="shared" si="140"/>
        <v>0</v>
      </c>
      <c r="BZ32" s="740">
        <f t="shared" si="124"/>
        <v>3</v>
      </c>
      <c r="CA32" s="740">
        <f t="shared" si="141"/>
        <v>-3</v>
      </c>
      <c r="CB32" s="894">
        <f>IF($V32&lt;='Options and results'!$W$20,SUM(BX$8:$BX32),0)</f>
        <v>0</v>
      </c>
      <c r="CC32" s="740">
        <f>IF($V32&lt;='Options and results'!$W$20,SUM($BY$8:BY32),0)</f>
        <v>0</v>
      </c>
      <c r="CD32" s="740">
        <f>IF($V32&lt;='Options and results'!$W$20,SUM($BZ$8:BZ32),0)</f>
        <v>1643.7443691843955</v>
      </c>
      <c r="CE32" s="740">
        <f>IF(V32&lt;='Options and results'!$W$20,CB32+CC32-CD32,0)</f>
        <v>-1643.7443691843955</v>
      </c>
      <c r="CF32" s="1381">
        <f t="shared" si="142"/>
        <v>612.4983893386725</v>
      </c>
      <c r="CG32" s="1027">
        <f t="shared" si="143"/>
        <v>609.4983893386725</v>
      </c>
      <c r="CH32" s="1027">
        <f t="shared" si="144"/>
        <v>0</v>
      </c>
      <c r="CI32" s="1189">
        <f>IF(V32&lt;='Options and results'!$W$20,CE32+AO32,0)</f>
        <v>2241.9440565322493</v>
      </c>
      <c r="CJ32" s="1023"/>
      <c r="CK32" s="895">
        <f t="shared" si="145"/>
        <v>25</v>
      </c>
      <c r="CL32" s="1011" t="str">
        <f>IF('Options and results'!$C$54="None",0,IF(AND(CK32&gt;='Options and results'!$K$57,CK31&lt;'Options and results'!$W$20),'Options and results'!$K$56,IF(Optimisation!$B$3="No",CONCATENATE('Options and results'!$C$60," ",(HLOOKUP(CONCATENATE('Options and results'!$C$54," ",Agroforestrysystem!$B$12),Agroforestrysystem!$B$11:$IM$74,$CK32+4,FALSE))),Optimisation!AA52)))</f>
        <v>UK - Agriculture (BPS: from 2015) Agroforestry fallow</v>
      </c>
      <c r="CM32" s="1012">
        <f>IF(HLOOKUP(CONCATENATE('Options and results'!$C$54," ",Agroforestrysystem!$C$12),Agroforestrysystem!$B$11:$IM$74,$CK32+4,FALSE)="T",(VLOOKUP(CL32,Arablefinance!$Z$6:$AB$105,Arablefinance!$AB$2,FALSE)*CO32+VLOOKUP(CL32,Arablefinance!$Z$6:$AC$105,Arablefinance!$AC$2,FALSE)*CP32)/VLOOKUP(CL32,Arablefinance!$Z$6:$AA$105,Arablefinance!$AA$2,FALSE),0)</f>
        <v>0</v>
      </c>
      <c r="CN32" s="1012">
        <f>IF(CL32=0,0,HLOOKUP(CONCATENATE('Options and results'!$C$54," ",Agroforestrysystem!$D$12),Agroforestrysystem!$B$11:$IM$74,$CK32+4,FALSE))</f>
        <v>0.99</v>
      </c>
      <c r="CO32" s="1440">
        <f ca="1">IF(CL32=0,0,IF(AND(Optimisation!$B$3="yes",Optimisation!$B$4=1,CK32&gt;Optimisation!$B$9),0,HLOOKUP(CONCATENATE('Options and results'!$C$54," ",Agroforestrysystem!$E$12),Agroforestrysystem!$B$11:$IM$74,$CK32+4,FALSE)*IF(CK32&gt;='Options and results'!$J$19,'Options and results'!$J$18,1)))</f>
        <v>0</v>
      </c>
      <c r="CP32" s="1440">
        <f ca="1">IF(CL32=0,0,IF(AND(Optimisation!$B$3="yes",Optimisation!$B$4=1,CK32&gt;Optimisation!$B$9),0,HLOOKUP(CONCATENATE('Options and results'!$C$54," ",Agroforestrysystem!$F$12),Agroforestrysystem!$B$11:$IM$74,$CK32+4,FALSE)*IF(CK32&gt;='Options and results'!$J$19,'Options and results'!$J$18,1)))</f>
        <v>0</v>
      </c>
      <c r="CQ32" s="1013">
        <f ca="1">IF(CN32&lt;=0,0,IF(CK32&lt;='Options and results'!$W$20,IF(CM32&gt;0,VLOOKUP(CL32,Arablefinance!$Z$6:$AE$105,Arablefinance!$AD$2,FALSE)*CM32*CN32,((VLOOKUP(CL32,Arablefinance!$E$6:$H$126,2,FALSE)*CO32+VLOOKUP(CL32,Arablefinance!$E$6:$H$126,3,FALSE)*CP32)*CN32)),0)*IF(CK32&gt;='Options and results'!$J$21,'Options and results'!$J$20,1))*IF(1+'Options and results'!$O$20*(CK32-1)&gt;0,1+'Options and results'!$O$20*(CK32-1),0)</f>
        <v>0</v>
      </c>
      <c r="CR32" s="1441">
        <f>IF(CN32&lt;=0,0,IF(AND(CM32&gt;0,VLOOKUP(CL32,Arablefinance!$Z$6:$AI$105,Arablefinance!$AI$2,FALSE)=2),VLOOKUP(CL32,Arablefinance!$Z$6:$AE$105,Arablefinance!$AE$2,FALSE)*CM32*CN32,IF('Options and results'!$C$62&gt;0,IF(VLOOKUP(CL32,Arablefinance!$E$6:$W$126,Arablefinance!$H$2,FALSE)*(1-Plot!DM32*'Options and results'!$C$62)&gt;0,VLOOKUP(CL32,Arablefinance!$E$6:$W$126,Arablefinance!$H$2,FALSE)*(1-Plot!DM32*'Options and results'!$C$62),0),IF(CK32&lt;='Options and results'!$W$20,(VLOOKUP(CL32,Arablefinance!$E$6:$W$126,Arablefinance!$H$2,FALSE)*IF('Options and results'!$C$61="area",CN32,'Options and results'!$C$61)),0)))*IF(CK32&gt;='Options and results'!$J$23,'Options and results'!$J$22,1))*IF(AND(1+'Options and results'!$O$23*(CK32-1)&gt;0,1+'Options and results'!$O$23*(CK32-1)&gt;'Options and results'!$S$24),1+'Options and results'!$O$23*(CK32-1),'Options and results'!$S$24)</f>
        <v>0</v>
      </c>
      <c r="CS32" s="1441">
        <f t="shared" ca="1" si="146"/>
        <v>0</v>
      </c>
      <c r="CT32" s="1441">
        <f>IF(CN32&lt;=0,0,IF(CK32&lt;='Options and results'!$W$20,IF(CM32&gt;0,VLOOKUP(CL32,Arablefinance!$Z$6:$AF$105,Arablefinance!$AF$2,FALSE)*CM32*CN32,VLOOKUP(CL32,Arablefinance!$E$6:$X$126,Arablefinance!$R$2,FALSE)*CN32),0)*IF(CK32&gt;='Options and results'!$J$27,'Options and results'!$J$26,1))*IF(1+'Options and results'!$O$22*(CK32-1)&gt;0,1+'Options and results'!$O$22*(CK32-1),0)</f>
        <v>0</v>
      </c>
      <c r="CU32" s="1441">
        <f t="shared" ca="1" si="147"/>
        <v>0</v>
      </c>
      <c r="CV32" s="1441">
        <f>IF(CN32&lt;=0,0,IF(CK32&lt;='Options and results'!$W$20,IF(CM32&gt;0,VLOOKUP(CL32,Arablefinance!$Z$6:$AG$105,Arablefinance!$AG$2,FALSE)*CM32*CN32,VLOOKUP(CL32,Arablefinance!$E$6:$X$126,Arablefinance!$X$2,FALSE)*CN32),0)*IF(CK32&gt;='Options and results'!$J$27,'Options and results'!$J$26,1))*IF(1+'Options and results'!$O$22*(CK32-1)&gt;0,1+'Options and results'!$O$22*(CK32-1),0)</f>
        <v>0</v>
      </c>
      <c r="CW32" s="1442">
        <f>IF(CN32&lt;=0,0,IF(CK32&lt;='Options and results'!$W$20,'Options and results'!$C$27*IF(CK32&gt;='Options and results'!$J$27,'Options and results'!$J$26,1),0))*IF(1+'Options and results'!$O$21*(CK32-1)&gt;0,1+'Options and results'!$O$21*(CK32-1),0)</f>
        <v>14.6</v>
      </c>
      <c r="CX32" s="1442">
        <f>IF(CN32&lt;=0,0,IF(CK32&lt;='Options and results'!$W$20,IF(CM32&gt;0,VLOOKUP(CL32,Arablefinance!$Z$6:$AH$105,Arablefinance!$AH$2,FALSE)*CM32*CN32,VLOOKUP(CL32,Arablefinance!$E$6:$W$126,Arablefinance!$V$2,FALSE)*CN32),0)*IF(CK32&gt;='Options and results'!$J$25,'Options and results'!$J$24,1))</f>
        <v>0</v>
      </c>
      <c r="CY32" s="1013">
        <f t="shared" si="148"/>
        <v>0</v>
      </c>
      <c r="CZ32" s="1353">
        <f t="shared" ca="1" si="149"/>
        <v>0</v>
      </c>
      <c r="DA32" s="1013">
        <f ca="1">IF($CK32&lt;='Options and results'!$W$20,SUM($CQ$8:CQ32),0)</f>
        <v>18417.950100000002</v>
      </c>
      <c r="DB32" s="1441">
        <f>IF($CK32&lt;='Options and results'!$W$20,SUM($CR$8:CR32),0)</f>
        <v>0</v>
      </c>
      <c r="DC32" s="1441">
        <f>IF($CK32&lt;='Options and results'!$W$20,SUM($CY$8:CY32),0)</f>
        <v>16943.30918829242</v>
      </c>
      <c r="DD32" s="1189">
        <f ca="1">IF(CK32&lt;='Options and results'!$W$20,DA32+DB32-DC32,0)</f>
        <v>1474.6409117075818</v>
      </c>
      <c r="DE32" s="401"/>
      <c r="DF32" s="895">
        <f t="shared" si="150"/>
        <v>25</v>
      </c>
      <c r="DG32" s="173"/>
      <c r="DH32" s="1422"/>
      <c r="DI32" s="1427">
        <f>IF(DF32&lt;='Options and results'!$M$61,'Options and results'!$M$60,0)</f>
        <v>0</v>
      </c>
      <c r="DJ32" s="740">
        <f t="shared" si="151"/>
        <v>0</v>
      </c>
      <c r="DK32" s="740">
        <f t="shared" si="152"/>
        <v>0</v>
      </c>
      <c r="DL32" s="1428">
        <f t="shared" si="153"/>
        <v>100</v>
      </c>
      <c r="DM32" s="1429">
        <f>IF($DG$8=0,0,HLOOKUP(CONCATENATE('Options and results'!$C$54," ",Agroforestrysystem!$J$12),Agroforestrysystem!$11:$74,DF32+3,FALSE))/100</f>
        <v>1</v>
      </c>
      <c r="DN32" s="740">
        <f>IF($DG$8=0,0,IF(HLOOKUP(CONCATENATE('Options and results'!$C$54," ",Agroforestrysystem!$H$12),Agroforestrysystem!$11:$74,DF32+4,FALSE)&lt;DL32,HLOOKUP(CONCATENATE('Options and results'!$C$54," ",Agroforestrysystem!$H$12),Agroforestrysystem!$11:$74,DF32+4,FALSE),0))</f>
        <v>0</v>
      </c>
      <c r="DO32" s="1027">
        <f>IF($DG$8=0,0,IF(HLOOKUP(CONCATENATE('Options and results'!$C$54," ",Agroforestrysystem!$H$12),Agroforestrysystem!$11:$74,DF32+4,FALSE)&gt;=DL32,DL32,0))</f>
        <v>0</v>
      </c>
      <c r="DP32" s="1430">
        <f>IF($DG$8=0,0,HLOOKUP(CONCATENATE('Options and results'!$C$54," ",Agroforestrysystem!$I$12),Agroforestrysystem!$11:$74,DF32+4,FALSE))</f>
        <v>29.87023370886768</v>
      </c>
      <c r="DQ32" s="1038"/>
      <c r="DR32" s="1390">
        <f>IF($DG$8=0,0,IF(DF32&gt;'Options and results'!$W$20,0,)+IF(DF32=1,'Options and results'!$M$64)+IF('Options and results'!$M$67="yes",IF(AND(DR31+'Options and results'!$M$65&lt;=$DQ$8,DR31+'Options and results'!$M$65+IF(DF32=1,'Options and results'!$M$64,0)&lt;='Options and results'!$M$66*DP32),DR31+'Options and results'!$M$65,DR31),(HLOOKUP(CONCATENATE('Options and results'!$C$54," ",Agroforestrysystem!$K$12),Agroforestrysystem!$11:$74,DF32+4,FALSE)-IF(DF32=1,'Options and results'!$M$64))))</f>
        <v>7.5</v>
      </c>
      <c r="DS32" s="1027">
        <f>IF(OR($DG$8=0,DL32=0),0,HLOOKUP(CONCATENATE('Options and results'!$C$54," ",Agroforestrysystem!$L$12),Agroforestrysystem!$11:$74,DF32+4,FALSE)*IF(DF32&gt;='Options and results'!$K$19,'Options and results'!$K$18,1))</f>
        <v>155.41535313027694</v>
      </c>
      <c r="DT32" s="1431">
        <f t="shared" si="154"/>
        <v>1.5541535313027695</v>
      </c>
      <c r="DU32" s="889">
        <f t="shared" si="155"/>
        <v>0</v>
      </c>
      <c r="DV32" s="1027">
        <f>IF($DG$8=0,0,(HLOOKUP(CONCATENATE('Options and results'!$C$54," ",Agroforestrysystem!$M$12),Agroforestrysystem!$11:$74,DF32+4,FALSE))*IF(DF32&gt;='Options and results'!$K$19,'Options and results'!$K$18,1))-DW32</f>
        <v>68.530008553768624</v>
      </c>
      <c r="DW32" s="303">
        <f>IF($DG$8=0,0,(HLOOKUP(CONCATENATE('Options and results'!$C$54," ",Agroforestrysystem!$N$12),Agroforestrysystem!$11:$74,DF32+4,FALSE))*IF(DF32&gt;='Options and results'!$K$19,'Options and results'!$K$18,1))</f>
        <v>0</v>
      </c>
      <c r="DX32" s="303">
        <f>IF($DG$8=0,0,HLOOKUP(CONCATENATE('Options and results'!$C$54," ",Agroforestrysystem!$O$12),Agroforestrysystem!$11:$74,DF32+4,FALSE)*IF(DF32&gt;='Options and results'!$K$19,'Options and results'!$K$18,1))</f>
        <v>0</v>
      </c>
      <c r="DY32" s="1192">
        <f>IF(DT32&gt;0,HLOOKUP(DT32,Treevalue!$I$4:$BC$34,'Options and results'!$C$66+1),0)*IF(DF32&gt;='Options and results'!$K$21,'Options and results'!$K$20,1)*IF(1+'Options and results'!$Q$20*(DF32-1)&gt;0,1+'Options and results'!$Q$20*(DF32-1),0)</f>
        <v>28.715832466529719</v>
      </c>
      <c r="DZ32" s="1027">
        <f t="shared" si="156"/>
        <v>4462.8812432155873</v>
      </c>
      <c r="EA32" s="1027">
        <f t="shared" si="125"/>
        <v>0</v>
      </c>
      <c r="EB32" s="1027">
        <f>(IF('Options and results'!$C$66&gt;0,IF(DF32&lt;='Options and results'!$W$20,VLOOKUP('Options and results'!$C$66,Treevalue!$A$4:$F$34,5,FALSE),0),0)*DV32)*IF(DF32&gt;='Options and results'!$K$21,'Options and results'!$K$20,1)*IF(1+'Options and results'!$Q$20*(DF32-1)&gt;0,1+'Options and results'!$Q$20*(DF32-1),0)</f>
        <v>1713.2502138442155</v>
      </c>
      <c r="EC32" s="740">
        <f>(IF('Options and results'!$C$66&gt;0,IF(DF32&lt;='Options and results'!$W$20,VLOOKUP('Options and results'!$C$66,Treevalue!$A$4:$F$34,5,FALSE),0),0)*DW32)*IF(DF32&gt;='Options and results'!$K$21,'Options and results'!$K$20,1)*IF(1+'Options and results'!$Q$20*(DF32-1)&gt;0,1+'Options and results'!$Q$20*(DF32-1),0)</f>
        <v>0</v>
      </c>
      <c r="ED32" s="889">
        <f>(IF('Options and results'!$C$66&gt;0,IF(DF32&lt;='Options and results'!$W$20,VLOOKUP('Options and results'!$C$66,Treevalue!$A$4:$F$34,6,FALSE),0),0)*DX32)*IF(DF32&gt;='Options and results'!$K$21,'Options and results'!$K$20,1)*IF(1+'Options and results'!$Q$20*(DF32-1)&gt;0,1+'Options and results'!$Q$20*(DF32-1),0)</f>
        <v>0</v>
      </c>
      <c r="EE32" s="740">
        <f>IF(DF32&lt;='Options and results'!$W$20,IF(DL32&lt;=0,0,IF('Options and results'!$C$70="cost",(IF(DF32&lt;='Options and results'!$C$71,FK32*SUM('Options and results'!$C$72:$C$73),0)),IF('Options and results'!$C$68&gt;0,(IF(VLOOKUP('Options and results'!$C$69,Treegrant!$B$6:$L$42,Treegrant!$C$2,FALSE)=DF32,VLOOKUP('Options and results'!$C$69,Treegrant!$B$6:$L$42,Treegrant!$D$2,FALSE),0)+IF(VLOOKUP('Options and results'!$C$69,Treegrant!$B$6:$L$42,Treegrant!$E$2,FALSE)=DF32,VLOOKUP('Options and results'!$C$69,Treegrant!$B$6:$L$42,Treegrant!$F$2,FALSE),0)+IF(VLOOKUP('Options and results'!$C$69,Treegrant!$B$6:$L$42,Treegrant!$G$2,FALSE)=DF32,VLOOKUP('Options and results'!$C$69,Treegrant!$B$6:$L$42,Treegrant!$H$2,FALSE)))*IF('Options and results'!$C$70="area",Unit!C33,'Options and results'!$C$70),0))*IF(DF32&gt;='Options and results'!$K$23,'Options and results'!$K$22,1)),0)*IF(1+'Options and results'!$Q$23*(DF32-1)&gt;0,1+'Options and results'!$Q$23*(DF32-1),0)</f>
        <v>0</v>
      </c>
      <c r="EF32" s="740">
        <f>IF($DG$8=0,0,IF(DF32&lt;='Options and results'!$W$20,IF(DL32&lt;=0,0,IF('Options and results'!$C$68&gt;0,IF(AND(VLOOKUP('Options and results'!$C$69,Treegrant!$B$6:$L$42,Treegrant!$J$2,FALSE)&lt;=DF32,VLOOKUP('Options and results'!$C$69,Treegrant!$B$6:$L$42,Treegrant!$K$2,FALSE)&gt;=DF32),(VLOOKUP('Options and results'!$C$69,Treegrant!$B$6:$L$42,Treegrant!$L$2,FALSE)),0)*IF('Options and results'!$C$74="area",Unit!C33,'Options and results'!$C$74))*IF(DF32&gt;='Options and results'!$K$23,'Options and results'!$K$22,1)),0))*IF(1+'Options and results'!$Q$23*(DF32-1)&gt;0,1+'Options and results'!$Q$23*(DF32-1),0)</f>
        <v>0</v>
      </c>
      <c r="EG32" s="1034">
        <f>IF($DG$8=0,0,IF(DF32&lt;='Options and results'!$W$20,IF(DL32&lt;=0,0,IF('Options and results'!$C$68&gt;0,((IF(AND(VLOOKUP('Options and results'!$C$69,Treegrant!$B$6:$O$42,Treegrant!$M$2,FALSE)&lt;=DF32,VLOOKUP('Options and results'!$C$69,Treegrant!$B$6:$O$42,Treegrant!$N$2,FALSE)&gt;=DF32),(VLOOKUP('Options and results'!$C$69,Treegrant!$B$6:$O$42,Treegrant!$O$2,FALSE)),0)*IF('Options and results'!$C$75="area",Unit!C33,'Options and results'!$C$75))+(IF(AND(VLOOKUP('Options and results'!$C$69,Treegrant!$B$6:$R$42,Treegrant!$P$2,FALSE)&lt;=DF32,VLOOKUP('Options and results'!$C$69,Treegrant!$B$6:$R$42,Treegrant!$Q$2,FALSE)&gt;=DF32),(VLOOKUP('Options and results'!$C$69,Treegrant!$B$6:$R$42,Treegrant!$R$2,FALSE)),0))*IF('Options and results'!$C$76="area",Unit!C33,'Options and results'!$C$76)))*IF(DF32&gt;='Options and results'!$K$23,'Options and results'!$K$22,1)),0))*IF(1+'Options and results'!$Q$23*(DF32-1)&gt;0,1+'Options and results'!$Q$23*(DF32-1),0)</f>
        <v>0</v>
      </c>
      <c r="EH32" s="1041"/>
      <c r="EI32" s="1042"/>
      <c r="EJ32" s="1419">
        <f>IF($DH$8+DK32&lt;1,0,IF(DF32=1,VLOOKUP($DG$8,Treecost!$B$6:$AH$49,Treecost!$E$2,FALSE),0)*IF(DF32&gt;='Options and results'!$K$25,'Options and results'!$K$24,1))</f>
        <v>0</v>
      </c>
      <c r="EK32" s="889">
        <f>IF($DH$8+DK32&lt;1,0,IF(DF32=1,VLOOKUP($DG$8,Treecost!$B$6:$AH$49,Treecost!$F$2,FALSE),0)*IF(DF32&gt;='Options and results'!$K$25,'Options and results'!$K$24,1))</f>
        <v>0</v>
      </c>
      <c r="EL32" s="889">
        <f>IF($DH$8+DK32&lt;1,0,IF(DF32=1,VLOOKUP($DG$8,Treecost!$B$6:$AH$49,Treecost!$G$2,FALSE),0)*IF(DF32&gt;='Options and results'!$K$25,'Options and results'!$K$24,1))</f>
        <v>0</v>
      </c>
      <c r="EM32" s="889">
        <f>IF($DG$8=0,0,IF(DF32&lt;='Options and results'!$W$20,((VLOOKUP($DG$8,Treecost!$B$6:$AH$49,Treecost!$H$2,FALSE)*(DH32+DK32))/60)*IF(DF32&gt;='Options and results'!$K$25,'Options and results'!$K$24,1),0))</f>
        <v>0</v>
      </c>
      <c r="EN32" s="889">
        <f>IF($DG$8=0,0,IF(DF32&lt;='Options and results'!$W$20,(((VLOOKUP($DG$8,Treecost!$B$6:$AH$49,Treecost!$I$2,FALSE))*(DH32+DK32))/60)*IF(DF32&gt;='Options and results'!$K$25,'Options and results'!$K$24,1),0))</f>
        <v>0</v>
      </c>
      <c r="EO32" s="889">
        <f>IF($DG$8=0,0,IF(DF32&lt;='Options and results'!$W$20,(((VLOOKUP($DG$8,Treecost!$B$6:$AH$49,Treecost!$J$2,FALSE))/60)*(DH32+DK32))*IF(DF32&gt;='Options and results'!$K$25,'Options and results'!$K$24,1),0))</f>
        <v>0</v>
      </c>
      <c r="EP32" s="1019">
        <f>IF($DG$8=0,0,IF(DF32&lt;='Options and results'!$W$20,(((VLOOKUP($DG$8,Treecost!$B$6:$AH$49,Treecost!$C$2,FALSE)+VLOOKUP($DG$8,Treecost!$B$6:$AH$49,Treecost!$D$2,FALSE))*(DH32+DK32)*IF(1+'Options and results'!$Q$22*(DF32-1)&gt;0,1+'Options and results'!$Q$22*(DF32-1),0))+(EJ32*$EI$8+EK32*$EI$9+EL32*$EI$10+EM32*$EI$11+EN32*$EI$12+EO32*$EI$13)*IF(1+'Options and results'!$Q$21*(DF32-1)&gt;0,1+'Options and results'!$Q$21*(DF32-1),0))*IF(DF32&gt;='Options and results'!$K$27,'Options and results'!$K$26,1),0))</f>
        <v>0</v>
      </c>
      <c r="EQ32" s="740">
        <f>IF($DG$8=0,0,IF(DF32&lt;='Options and results'!$W$20,IF(AND(VLOOKUP($DG$8,Treecost!$B$6:$AH$49,Treecost!$K$2,FALSE)&lt;=DF32,DF32&lt;=(VLOOKUP($DG$8,Treecost!$B$6:$AH$49,Treecost!$L$2,FALSE))),VLOOKUP($DG$8,Treecost!$B$6:$AH$49,Treecost!$M$2,FALSE)*DL32/60,0)*IF(DF32&gt;='Options and results'!$K$25,'Options and results'!$K$24,1),0))</f>
        <v>0</v>
      </c>
      <c r="ER32" s="1019">
        <f>IF(EQ32&gt;0,(VLOOKUP($DG$8,Treecost!$B$6:$AH$49,Treecost!$N$2,FALSE)*DL32*IF(1+'Options and results'!$Q$22*(DF32-1)&gt;0,1+'Options and results'!$Q$22*(DF32-1),0)+EQ32*$EI$14*IF(1+'Options and results'!$Q$21*(DF32-1)&gt;0,1+'Options and results'!$Q$21*(DF32-1),0)),0)*IF(DF32&gt;='Options and results'!$K$27,'Options and results'!$K$26,1)</f>
        <v>0</v>
      </c>
      <c r="ES32" s="889">
        <f>IF(DF32&lt;='Options and results'!$W$20,IF(AND(DR32-DR31&gt;0,DR32&gt;'Options and results'!$M$64),(DL32-DN32)*(VLOOKUP($DG$8,Treecost!$B$6:$AH$49,Treecost!$Y$2,FALSE)+(VLOOKUP($DG$8,Treecost!$B$6:$AH$49,Treecost!$AA$2,FALSE)-VLOOKUP($DG$8,Treecost!$B$6:$AH$49,Treecost!$Y$2,FALSE))/(VLOOKUP($DG$8,Treecost!$B$6:$AH$49,Treecost!$Z$2,FALSE)-VLOOKUP($DG$8,Treecost!$B$6:$AH$49,Treecost!$X$2,FALSE))*(DR32-VLOOKUP($DG$8,Treecost!$B$6:$AH$49,Treecost!$X$2,FALSE)))/60,0)*IF(DF32&gt;='Options and results'!$K$25,'Options and results'!$K$24,1),0)</f>
        <v>0</v>
      </c>
      <c r="ET32" s="889">
        <f>IF(DF32&lt;='Options and results'!$W$20,IF(ES32&gt;0,VLOOKUP($DG$8,Treecost!$B$6:$AH$49,Treecost!$AB$2,FALSE)/60*DL32,0)*IF(DF32&gt;='Options and results'!$K$25,'Options and results'!$K$24,1),0)*((ES32-(MIN($ES$8:$ES$67)))/((MAX($ES$8:$ES$67))-(MIN($ES$8:$ES$67))))</f>
        <v>0</v>
      </c>
      <c r="EU32" s="740">
        <f>IF(ES32&gt;0,(ES32*$EI$15+ET32*$EI$19)*IF(1+'Options and results'!$Q$21*(DF32-1)&gt;0,1+'Options and results'!$Q$21*(DF32-1),0),0)*IF(DF32&gt;='Options and results'!$K$27,'Options and results'!$K$26,1)</f>
        <v>0</v>
      </c>
      <c r="EV32" s="891">
        <f>IF($DG$8=0,0,IF(DF32&lt;='Options and results'!$W$20,IF(AND(VLOOKUP($DG$8,Treecost!$B$2:$AH$49,Treecost!$O$2,FALSE)=DF32,DF32&lt;=IF(AND(Optimisation!$B$3="Yes",Optimisation!$B$4=1),Optimisation!$B$9)),VLOOKUP($DG$8,Treecost!$B$2:$AH$49,Treecost!$P$2,FALSE)*(1-CN32),0)*IF(DF32&gt;='Options and results'!$K$25,'Options and results'!$K$24,1),0))</f>
        <v>0</v>
      </c>
      <c r="EW32" s="889">
        <f>IF($DG$8=0,0,IF(DF32&lt;='Options and results'!$W$20,IF(AND(DF32&gt;VLOOKUP($DG$8,Treecost!$B$2:$AH$49,Treecost!$O$2,FALSE),DF32&lt;=IF(AND(Optimisation!$B$3="Yes",Optimisation!$B$4=1),Optimisation!$B$9,VLOOKUP($DG$8,Treecost!$B$2:$AH$49,Treecost!$R$2,FALSE))),VLOOKUP($DG$8,Treecost!$B$2:$AH$49,Treecost!$S$2,FALSE)*(1-CN32),0)*IF(DF32&gt;='Options and results'!$K$25,'Options and results'!$K$24,1),0))</f>
        <v>0</v>
      </c>
      <c r="EX32" s="740">
        <f>IF($DG$8=0,0,IF(DF32&lt;='Options and results'!$W$20,(IF(AND(VLOOKUP($DG$8,Treecost!$B$2:$AH$49,Treecost!$O$2,FALSE)=DF32,DF32&lt;=IF(AND(Optimisation!$B$3="Yes",Optimisation!$B$4=1),Optimisation!$B$9)),VLOOKUP($DG$8,Treecost!$B$2:$AH$49,Treecost!$Q$2,FALSE),0)*(1-CN32)+IF(AND(DF32&gt;VLOOKUP($DG$8,Treecost!$B$2:$AH$49,Treecost!$O$2,FALSE),DF32&lt;=IF(AND(Optimisation!$B$3="Yes",Optimisation!$B$4=1),Optimisation!$B$9,VLOOKUP($DG$8,Treecost!$B$2:$AH$49,Treecost!$R$2,FALSE))),VLOOKUP($DG$8,Treecost!$B$2:$AH$49,Treecost!$T$2,FALSE),0)*(1-CN32)+(EV32*$EI$16+EW32*$EI$17))*IF(DF32&gt;='Options and results'!$K$27,'Options and results'!$K$26,1),0))*IF(1+'Options and results'!$Q$21*(DF32-1)&gt;0,1+'Options and results'!$Q$21*(DF32-1),0)</f>
        <v>0</v>
      </c>
      <c r="EY32" s="894">
        <f>IF($DG$8=0,0,IF(DF32&lt;='Options and results'!$W$20,IF(AND(DF32&gt;=VLOOKUP($DG$8,Treecost!$B$2:$W$49,Treecost!$U$2,FALSE),DF32&lt;=VLOOKUP($DG$8,Treecost!$B$2:$W$49,Treecost!$V$2,FALSE)),(DL32*VLOOKUP($DG$8,Treecost!$B$2:$W$49,Treecost!$W$2,FALSE)/60),0)*IF(DF32&gt;='Options and results'!$K$25,'Options and results'!$K$24,1),0))</f>
        <v>0</v>
      </c>
      <c r="EZ32" s="740">
        <f>EY32*$EI$18*IF(DF32&gt;='Options and results'!$K$27,'Options and results'!$K$26,1)*IF(1+'Options and results'!$Q$21*(DF32-1)&gt;0,1+'Options and results'!$Q$21*(DF32-1),0)</f>
        <v>0</v>
      </c>
      <c r="FA32" s="1025">
        <f>IF(DF32&lt;='Options and results'!$W$20,IF(DL32&lt;=0,0,VLOOKUP($DG$8,Treecost!$B$6:$AH$49,Treecost!$AC$2,FALSE)+VLOOKUP($DG$8,Treecost!$B$6:$AH$49,Treecost!$AD$2,FALSE)+IF(AND(DF32&gt;=VLOOKUP($DG$8,Treecost!$B$2:$AK$49,Treecost!$AI$2,FALSE),DF32&lt;=VLOOKUP($DG$8,Treecost!$B$2:$AK$49,Treecost!$AJ$2,FALSE)),VLOOKUP($DG$8,Treecost!$B$2:$AK$49,Treecost!$AK$2,FALSE)*(1-CN32),0))*IF(DF32&gt;='Options and results'!$K$27,'Options and results'!$K$26,1),0)*IF(1+'Options and results'!$Q$22*(DF32-1)&gt;0,1+'Options and results'!$Q$22*(DF32-1),0)</f>
        <v>3</v>
      </c>
      <c r="FB32" s="894">
        <f>IF(DF32&lt;='Options and results'!$W$20,IF(DN32&gt;0,VLOOKUP($DG$8,Treecost!$B$6:$AH$49,Treecost!$AE$2,FALSE)/60*DN32,0)*IF(DF32&gt;='Options and results'!$K$25,'Options and results'!$K$24,1),0)</f>
        <v>0</v>
      </c>
      <c r="FC32" s="740">
        <f>IF(DF32&lt;='Options and results'!$W$20,IF(DN32&gt;0,VLOOKUP($DG$8,Treecost!$B$6:$AH$49,Treecost!$AF$2,FALSE)/60*DN32,0)*IF(DF32&gt;='Options and results'!$K$25,'Options and results'!$K$24,1),0)</f>
        <v>0</v>
      </c>
      <c r="FD32" s="740">
        <f>(FB32*$EI$20+FC32*$EI$21)*IF(DF32&gt;='Options and results'!$K$27,'Options and results'!$K$26,1)*IF(1+'Options and results'!$Q$21*(DF32-1)&gt;0,1+'Options and results'!$Q$21*(DF32-1),0)</f>
        <v>0</v>
      </c>
      <c r="FE32" s="894">
        <f>IF(DF32&lt;='Options and results'!$W$20,IF(DO32&gt;0,(VLOOKUP($DG$8,Treecost!$B$6:$AH$49,Treecost!$AG$2,FALSE)/60*DO32)*IF(DF32&gt;='Options and results'!$K$25,'Options and results'!$K$24,1),0),0)</f>
        <v>0</v>
      </c>
      <c r="FF32" s="740">
        <f>IF(DF32&lt;='Options and results'!$W$20,IF(DO32&gt;0,(VLOOKUP($DG$8,Treecost!$B$6:$AH$49,Treecost!$AH$2,FALSE)/60*DO32)*IF(DF32&gt;='Options and results'!$K$25,'Options and results'!$K$24,1),0),0)</f>
        <v>0</v>
      </c>
      <c r="FG32" s="740">
        <f>(FE32*$EI$22+FF32*$EI$23)*IF(DF32&gt;='Options and results'!$K$27,'Options and results'!$K$26,1)*IF(1+'Options and results'!$Q$21*(DF32-1)&gt;0,1+'Options and results'!$Q$21*(DF32-1),0)</f>
        <v>0</v>
      </c>
      <c r="FH32" s="894">
        <f t="shared" si="157"/>
        <v>0</v>
      </c>
      <c r="FI32" s="1027">
        <f t="shared" si="158"/>
        <v>0</v>
      </c>
      <c r="FJ32" s="1027">
        <f t="shared" si="159"/>
        <v>0</v>
      </c>
      <c r="FK32" s="1027">
        <f t="shared" si="160"/>
        <v>3</v>
      </c>
      <c r="FL32" s="1027">
        <f t="shared" si="183"/>
        <v>-3</v>
      </c>
      <c r="FM32" s="1027">
        <f>IF($DF32&lt;='Options and results'!$W$20,SUM(FI$8:$FI32),0)</f>
        <v>0</v>
      </c>
      <c r="FN32" s="1027">
        <f>IF($DF32&lt;='Options and results'!$W$20,SUM($FJ$8:FJ32),0)</f>
        <v>0</v>
      </c>
      <c r="FO32" s="1027">
        <f>IF($DF32&lt;='Options and results'!$W$20,SUM($FK$8:FK32),0)</f>
        <v>1115.0448753513026</v>
      </c>
      <c r="FP32" s="1027">
        <f>IF($DF32&lt;='Options and results'!$W$20,FM32+FN32-FO32,0)</f>
        <v>-1115.0448753513026</v>
      </c>
      <c r="FQ32" s="1027">
        <f t="shared" si="162"/>
        <v>661.12152789169204</v>
      </c>
      <c r="FR32" s="1027">
        <f t="shared" si="163"/>
        <v>658.12152789169204</v>
      </c>
      <c r="FS32" s="1027">
        <f t="shared" si="164"/>
        <v>0</v>
      </c>
      <c r="FT32" s="1189">
        <f>IF(DF32&lt;='Options and results'!$W$20,FP32+DZ32,0)</f>
        <v>3347.8363678642845</v>
      </c>
      <c r="FU32" s="401"/>
      <c r="FV32" s="895">
        <f t="shared" si="165"/>
        <v>25</v>
      </c>
      <c r="FW32" s="894">
        <f>G32/(1+'Options and results'!$W$33)^(FV32-1)</f>
        <v>713.7353102546947</v>
      </c>
      <c r="FX32" s="740">
        <f>(AP32+AR32+AS32)/(1+'Options and results'!$W$33)^(FV32-1)</f>
        <v>0</v>
      </c>
      <c r="FY32" s="740">
        <f ca="1">CQ32/(1+'Options and results'!$W$33)^(FV32-1)</f>
        <v>0</v>
      </c>
      <c r="FZ32" s="740">
        <f>(EA32+EC32+ED32)/(1+'Options and results'!$W$33)^(FV32-1)</f>
        <v>0</v>
      </c>
      <c r="GA32" s="1019">
        <f t="shared" ca="1" si="180"/>
        <v>0</v>
      </c>
      <c r="GB32" s="1026">
        <f>(AO32+AQ32)/(1+'Options and results'!$W$33)^(FV32-1)+FX32</f>
        <v>2208.4975052630471</v>
      </c>
      <c r="GC32" s="1027">
        <f>IF(FV32&gt;'Options and results'!$W$27,0,GB32-GB31)</f>
        <v>160.16682545896902</v>
      </c>
      <c r="GD32" s="1027">
        <f>(DZ32+EB32)/(1+'Options and results'!$W$33)^(FV32-1)+FZ32</f>
        <v>2409.4415097712831</v>
      </c>
      <c r="GE32" s="1379">
        <f>IF(FV32&gt;'Options and results'!$W$27,0,GD32-GD31)</f>
        <v>171.85675299816376</v>
      </c>
      <c r="GF32" s="894">
        <f>IF(FV32&lt;='Options and results'!$W$20,SUM(FW$8:FW32),0)</f>
        <v>25029.702383921052</v>
      </c>
      <c r="GG32" s="740">
        <f>IF(FV32&lt;='Options and results'!$W$20,SUM(FX$8:FX32), 0)</f>
        <v>0</v>
      </c>
      <c r="GH32" s="740">
        <f ca="1">IF(FV32&lt;='Options and results'!$W$20,SUM(FY$8:FY32),0)</f>
        <v>14787.259868716837</v>
      </c>
      <c r="GI32" s="740">
        <f>IF(FV32&lt;='Options and results'!$W$20,SUM(FZ$8:FZ32),0)</f>
        <v>0</v>
      </c>
      <c r="GJ32" s="1019">
        <f t="shared" ca="1" si="166"/>
        <v>14787.259868716837</v>
      </c>
      <c r="GK32" s="894">
        <f>IF(FV32&gt;'Options and results'!$W$27,0,GG32+SUM(GC$8:GC32)-FX32)</f>
        <v>2208.4975052630471</v>
      </c>
      <c r="GL32" s="740">
        <f>IF(FV32&lt;='Options and results'!$W$20,SUM(GD$8:GD32),0)</f>
        <v>16559.28962684522</v>
      </c>
      <c r="GM32" s="1034">
        <f t="shared" ca="1" si="167"/>
        <v>31346.54949556206</v>
      </c>
      <c r="GN32" s="401"/>
      <c r="GO32" s="895">
        <f t="shared" si="168"/>
        <v>25</v>
      </c>
      <c r="GP32" s="894">
        <f>H32/(1+'Options and results'!$W$33)^(GO32-1)</f>
        <v>91.756570765737578</v>
      </c>
      <c r="GQ32" s="740">
        <f>SUM(AT32:AV32)/(1+'Options and results'!$W$33)^(GO32-1)</f>
        <v>0</v>
      </c>
      <c r="GR32" s="740">
        <f>CR32/(1+'Options and results'!$W$33)^(GO32-1)</f>
        <v>0</v>
      </c>
      <c r="GS32" s="740">
        <f>SUM(EE32:EG32)/(1+'Options and results'!$W$33)^(GO32-1)</f>
        <v>0</v>
      </c>
      <c r="GT32" s="1019">
        <f t="shared" si="181"/>
        <v>0</v>
      </c>
      <c r="GU32" s="894">
        <f>IF(GO32&lt;='Options and results'!$W$20,SUM(GP$8:GP32),0)</f>
        <v>3821.2857308565563</v>
      </c>
      <c r="GV32" s="740">
        <f>IF(GO32&lt;='Options and results'!$W$20,SUM(GQ$8:GQ32),0)</f>
        <v>0</v>
      </c>
      <c r="GW32" s="740">
        <f>IF(GO32&lt;='Options and results'!$W$20,SUM(GR$8:GR32),0)</f>
        <v>0</v>
      </c>
      <c r="GX32" s="740">
        <f>IF(GO32&lt;='Options and results'!$W$20,SUM(GS$8:GS32),0)</f>
        <v>0</v>
      </c>
      <c r="GY32" s="1034">
        <f>IF(GO32&lt;='Options and results'!$W$20,SUM(GT$8:GT32),0)</f>
        <v>0</v>
      </c>
      <c r="GZ32" s="401"/>
      <c r="HA32" s="895">
        <f t="shared" si="169"/>
        <v>25</v>
      </c>
      <c r="HB32" s="1026">
        <f>(J32+L32+(M32*N32))/(1+'Options and results'!$W$33)^(HA32-1)</f>
        <v>494.44340118409968</v>
      </c>
      <c r="HC32" s="740">
        <f>BZ32/(1+'Options and results'!$W$33)^(HA32-1)</f>
        <v>1.1703644230323671</v>
      </c>
      <c r="HD32" s="1027">
        <f>(CT32+CV32+(CW32*CX32))/(1+'Options and results'!$W$33)^(HA32-1)</f>
        <v>0</v>
      </c>
      <c r="HE32" s="740">
        <f>FK32/(1+'Options and results'!$W$33)^(HA32-1)</f>
        <v>1.1703644230323671</v>
      </c>
      <c r="HF32" s="1019">
        <f t="shared" si="182"/>
        <v>1.1703644230323671</v>
      </c>
      <c r="HG32" s="894">
        <f>IF(HA32&lt;='Options and results'!$W$20,SUM(HB$8:HB32),0)</f>
        <v>19788.931000464636</v>
      </c>
      <c r="HH32" s="740">
        <f>IF(HA32&lt;='Options and results'!$W$20,SUM(HC$8:HC32),0)</f>
        <v>1399.9476644531474</v>
      </c>
      <c r="HI32" s="740">
        <f>IF(HA32&lt;='Options and results'!$W$20,SUM(HD$8:HD32),0)</f>
        <v>13294.975863606456</v>
      </c>
      <c r="HJ32" s="740">
        <f>IF(HA32&lt;='Options and results'!$W$20,SUM(HE$8:HE32),0)</f>
        <v>944.3274764013355</v>
      </c>
      <c r="HK32" s="1034">
        <f>IF(HA32&lt;='Options and results'!$W$20,SUM(HF$8:HF32),0)</f>
        <v>14239.303340007795</v>
      </c>
      <c r="HL32" s="405"/>
      <c r="HM32" s="895">
        <f t="shared" si="170"/>
        <v>25</v>
      </c>
      <c r="HN32" s="1026">
        <f t="shared" si="171"/>
        <v>311.0484798363326</v>
      </c>
      <c r="HO32" s="1027">
        <f t="shared" si="172"/>
        <v>-1.1703644230323671</v>
      </c>
      <c r="HP32" s="1027">
        <f t="shared" ca="1" si="173"/>
        <v>0</v>
      </c>
      <c r="HQ32" s="1027">
        <f t="shared" si="174"/>
        <v>-1.1703644230323671</v>
      </c>
      <c r="HR32" s="1027">
        <f t="shared" si="175"/>
        <v>158.99646103593665</v>
      </c>
      <c r="HS32" s="1379">
        <f t="shared" si="176"/>
        <v>170.68638857513139</v>
      </c>
      <c r="HT32" s="1026">
        <f>IF($HM32&lt;='Options and results'!$W$20,SUM(HN$8:HN32),0)</f>
        <v>9062.0571143129728</v>
      </c>
      <c r="HU32" s="1027">
        <f>IF($HM32&lt;='Options and results'!$W$20,SUM(HO$8:HO32),0)</f>
        <v>-1399.9476644531474</v>
      </c>
      <c r="HV32" s="1027">
        <f ca="1">IF($HM32&lt;='Options and results'!$W$20,SUM(HP$8:HP32),0)</f>
        <v>1492.284005110379</v>
      </c>
      <c r="HW32" s="1027">
        <f>IF($HM32&lt;='Options and results'!$W$20,SUM(HQ$8:HQ32),0)</f>
        <v>-944.3274764013355</v>
      </c>
      <c r="HX32" s="1027">
        <f t="shared" ca="1" si="177"/>
        <v>547.95652870904348</v>
      </c>
      <c r="HY32" s="1027">
        <f>IF($HM32&lt;='Options and results'!$W$20,SUM(HR$8:HR32),0)</f>
        <v>808.54984080989971</v>
      </c>
      <c r="HZ32" s="1027">
        <f>IF($HM32&lt;='Options and results'!$W$20,SUM(HS$8:HS32),0)</f>
        <v>1465.1140333699477</v>
      </c>
      <c r="IA32" s="1189">
        <f t="shared" ca="1" si="178"/>
        <v>2957.3980384803267</v>
      </c>
    </row>
    <row r="33" spans="1:235" x14ac:dyDescent="0.25">
      <c r="A33" s="1010">
        <f t="shared" si="126"/>
        <v>26</v>
      </c>
      <c r="B33" s="1011" t="str">
        <f>IF('Options and results'!$C$17="None",0,CONCATENATE('Options and results'!$C$23," ",(HLOOKUP(CONCATENATE('Options and results'!$C$17," ",Arablesystem!$B$11),Arablesystem!$B$10:$ER$72,$A33+3,FALSE))))</f>
        <v>UK - Agriculture (BPS: from 2015) Wheat</v>
      </c>
      <c r="C33" s="1012">
        <f>IF(HLOOKUP(CONCATENATE('Options and results'!$C$17," ",Arablesystem!$C$11),Arablesystem!$B$10:$ER$72,$A33+3,FALSE)="T",(VLOOKUP(B33,Arablefinance!$Z$6:$AB$105,Arablefinance!$AB$2,FALSE)*E33+VLOOKUP(B33,Arablefinance!$Z$6:$AC$105,Arablefinance!$AC$2,FALSE)*F33)/VLOOKUP(B33,Arablefinance!$Z$6:$AA$105,Arablefinance!$AA$2,FALSE),0)</f>
        <v>0</v>
      </c>
      <c r="D33" s="1012">
        <f>IF(B33=0,0,HLOOKUP(CONCATENATE('Options and results'!$C$17," ",Arablesystem!$D$11),Arablesystem!$B$10:$ER$72,$A33+3,FALSE))</f>
        <v>1</v>
      </c>
      <c r="E33" s="1440">
        <f>IF(B33=0,0,HLOOKUP(CONCATENATE('Options and results'!$C$17," ",Arablesystem!$E$11),Arablesystem!$B$10:$ER$72,$A33+3,FALSE)*IF(A33&gt;='Options and results'!$H$19,'Options and results'!$H$18,1))</f>
        <v>7.1984437274483266</v>
      </c>
      <c r="F33" s="1440">
        <f>IF(B33=0,0,HLOOKUP(CONCATENATE('Options and results'!$C$17," ",Arablesystem!$F$11),Arablesystem!$B$10:$ER$72,$A33+3,FALSE)*IF(A33&gt;='Options and results'!$H$19,'Options and results'!$H$18,1))</f>
        <v>2.8793774909793308</v>
      </c>
      <c r="G33" s="1013">
        <f>IF(D33&lt;=0,0,IF(A33&lt;='Options and results'!$W$20,IF(C33&gt;0,VLOOKUP(B33,Arablefinance!$Z$6:$AE$105,Arablefinance!$AD$2,FALSE)*C33*D33,((VLOOKUP(B33,Arablefinance!$E$6:$G$126,Arablefinance!$F$2,FALSE)*(E33*D33)+VLOOKUP(B33,Arablefinance!$E$6:$G$126,Arablefinance!$G$2,FALSE)*(F33*D33)))),0)*IF(A33&gt;='Options and results'!$H$21,'Options and results'!$H$20,1))*IF(1+'Options and results'!$O$20*(A33-1)&gt;0,1+'Options and results'!$O$20*(A33-1),0)</f>
        <v>1357.7064697048372</v>
      </c>
      <c r="H33" s="1441">
        <f>IF(D33&lt;=0,0,IF(A33&lt;='Options and results'!$W$20,IF(AND(C33&gt;0,VLOOKUP(B33,Arablefinance!$Z$6:$AI$105,Arablefinance!$AI$2,FALSE)=2),VLOOKUP(B33,Arablefinance!$Z$6:$AE$105,Arablefinance!$AE$2,FALSE)*C33*D33,(VLOOKUP(B33,Arablefinance!$E$6:$H$126,Arablefinance!$H$2,FALSE)*D33))*IF(A33&gt;='Options and results'!$H$23,'Options and results'!$H$22,1),0)*IF(AND(1+'Options and results'!$O$23*(A33-1)&gt;0,1+'Options and results'!$O$23*(A33-1)&gt;'Options and results'!$S$24),1+'Options and results'!$O$23*(A33-1),'Options and results'!$S$24))</f>
        <v>235.2</v>
      </c>
      <c r="I33" s="1441">
        <f t="shared" si="127"/>
        <v>1592.9064697048373</v>
      </c>
      <c r="J33" s="1441">
        <f>IF(D33&lt;=0,0,IF(A33&lt;='Options and results'!$W$20,IF(C33&gt;0,VLOOKUP(B33,Arablefinance!$Z$6:$AF$105,Arablefinance!$AF$2,FALSE)*C33*D33,(VLOOKUP(B33,Arablefinance!$E$6:$X$126,Arablefinance!$R$2,FALSE))*D33),0)*IF(A33&gt;='Options and results'!$H$27,'Options and results'!$H$26,1))*IF(1+'Options and results'!$O$22*(A33-1)&gt;0,1+'Options and results'!$O$22*(A33-1),0)</f>
        <v>653.12499999999989</v>
      </c>
      <c r="K33" s="1441">
        <f t="shared" si="128"/>
        <v>939.78146970483738</v>
      </c>
      <c r="L33" s="1441">
        <f>IF(D33&lt;=0,0,IF(A33&lt;='Options and results'!$W$20,IF(C33&gt;0,VLOOKUP(B33,Arablefinance!$Z$6:$AG$105,Arablefinance!$AG$2,FALSE)*C33*D33,VLOOKUP(B33,Arablefinance!$E$6:$X$126,Arablefinance!$X$2,FALSE)*D33),0)*IF(A33&gt;='Options and results'!$H$27,'Options and results'!$H$26,1))*IF(1+'Options and results'!$O$22*(A33-1)&gt;0,1+'Options and results'!$O$22*(A33-1),0)</f>
        <v>444.44444444444446</v>
      </c>
      <c r="M33" s="1442">
        <f>IF(D33&lt;=0,0,IF(A33&lt;='Options and results'!$W$20,'Options and results'!$C$27,0)*IF(A33&gt;='Options and results'!$H$27,'Options and results'!$H$26,1))*IF(1+'Options and results'!$O$21*(A33-1)&gt;0,1+'Options and results'!$O$21*(A33-1),0)</f>
        <v>14.6</v>
      </c>
      <c r="N33" s="1442">
        <f>IF(D33&lt;=0,0,IF(A33&lt;='Options and results'!$W$20,IF(C33&gt;0,VLOOKUP(B33,Arablefinance!$Z$6:$AH$105,Arablefinance!$AH$2,FALSE)*C33*D33,VLOOKUP(B33,Arablefinance!$E$6:$W$126,Arablefinance!$V$2,FALSE)*D33),0)*IF(A33&gt;='Options and results'!$H$25,'Options and results'!$H$24,1))</f>
        <v>11.632834596849463</v>
      </c>
      <c r="O33" s="1013">
        <f t="shared" si="129"/>
        <v>1267.4088295584465</v>
      </c>
      <c r="P33" s="1353">
        <f t="shared" si="130"/>
        <v>325.49764014639072</v>
      </c>
      <c r="Q33" s="1013">
        <f>IF(A33&lt;='Options and results'!$W$20,SUM(G$8:$G33),0)</f>
        <v>39295.600331992595</v>
      </c>
      <c r="R33" s="1441">
        <f>IF($A33&lt;='Options and results'!$W$20,SUM($H$8:H33),0)</f>
        <v>6115.1999999999971</v>
      </c>
      <c r="S33" s="1441">
        <f>IF($A33&lt;='Options and results'!$W$20,SUM($O$8:O33),0)</f>
        <v>31694.089791978899</v>
      </c>
      <c r="T33" s="1032">
        <f>IF(A33&lt;='Options and results'!$W$20,Q33+R33-S33,0)</f>
        <v>13716.710540013693</v>
      </c>
      <c r="U33" s="405"/>
      <c r="V33" s="1010">
        <f t="shared" si="131"/>
        <v>26</v>
      </c>
      <c r="W33" s="173"/>
      <c r="X33" s="1036"/>
      <c r="Y33" s="1030">
        <f>IF(V33&lt;='Options and results'!$M$34,'Options and results'!$M$33,0)</f>
        <v>0</v>
      </c>
      <c r="Z33" s="1441">
        <f t="shared" si="132"/>
        <v>0</v>
      </c>
      <c r="AA33" s="1441">
        <f t="shared" si="133"/>
        <v>0</v>
      </c>
      <c r="AB33" s="1428">
        <f t="shared" si="134"/>
        <v>156</v>
      </c>
      <c r="AC33" s="1441">
        <f>IF($W$8=0,0,IF(HLOOKUP(CONCATENATE('Options and results'!$C$32," ",Forestrysystem!$C$8),Forestrysystem!$A$7:$IH$70,V33+4,FALSE)&lt;AB33,HLOOKUP(CONCATENATE('Options and results'!$C$32," ",Forestrysystem!$C$8),Forestrysystem!$A$7:$IH$70,V33+4,FALSE),0))</f>
        <v>0</v>
      </c>
      <c r="AD33" s="1441">
        <f>IF($W$8=0,0,IF(HLOOKUP(CONCATENATE('Options and results'!$C$32," ",Forestrysystem!$C$8),Forestrysystem!$A$7:$IH$70,V33+4,FALSE)&gt;=AB33,AB33,0))</f>
        <v>0</v>
      </c>
      <c r="AE33" s="1440">
        <f>IF($W$8=0,0,HLOOKUP(CONCATENATE('Options and results'!$C$32," ",Forestrysystem!$D$8),Forestrysystem!$A$7:$IH$70,$V33+4,FALSE))</f>
        <v>26.742370629769656</v>
      </c>
      <c r="AF33" s="1037"/>
      <c r="AG33" s="1440">
        <f>IF($W$8=0,0,IF(V33=1,'Options and results'!$M$36,0)+IF('Options and results'!$M$39="yes",IF(AND(AG32+'Options and results'!$M$37&lt;=$AF$8,AG32+'Options and results'!$M$37+IF(V33=1,'Options and results'!$M$36,0)&lt;='Options and results'!$M$38*AE33),AG32+'Options and results'!$M$37,AG32),(HLOOKUP(CONCATENATE('Options and results'!$C$32," ",Forestrysystem!$E$8),Forestrysystem!$A$7:$IH$70,V33+4,FALSE))-IF(V33=1,'Options and results'!$M$36,0)))</f>
        <v>7.5</v>
      </c>
      <c r="AH33" s="1442">
        <f>IF(OR($W$8=0,AB33&lt;=0),0,(HLOOKUP(CONCATENATE('Options and results'!$C$32," ",Forestrysystem!$F$8),Forestrysystem!$A$7:$IH$70,$V33+4,FALSE)) * IF(V33&gt;='Options and results'!$I$19,'Options and results'!$I$18,1) )</f>
        <v>173.98121790139112</v>
      </c>
      <c r="AI33" s="1452">
        <f t="shared" si="179"/>
        <v>1.1152642173166096</v>
      </c>
      <c r="AJ33" s="1442">
        <f t="shared" si="135"/>
        <v>0</v>
      </c>
      <c r="AK33" s="1453">
        <f>IF(OR($W$8=0,AE33&lt;=0),0,(HLOOKUP(CONCATENATE('Options and results'!$C$32," ",Forestrysystem!$G$8),Forestrysystem!$A$7:$IH$70,$V33+4,FALSE)) * IF(Y33&gt;='Options and results'!$I$19,'Options and results'!$I$18,1) )</f>
        <v>76.716579867003333</v>
      </c>
      <c r="AL33" s="1453">
        <f>IF($W$8=0,0,HLOOKUP(CONCATENATE('Options and results'!$C$32," ",Forestrysystem!$H$8),Forestrysystem!$A$7:$IH$70,$V33+4,FALSE)*IF(V33&gt;='Options and results'!$I$19,'Options and results'!$I$18,1))</f>
        <v>0</v>
      </c>
      <c r="AM33" s="1383">
        <f>IF($W$8=0,0,HLOOKUP(CONCATENATE('Options and results'!$C$32," ",Forestrysystem!$I$8),Forestrysystem!$A$7:$IH$70,$V33+4,FALSE)*IF(V33&gt;='Options and results'!$I$19,'Options and results'!$I$18,1))</f>
        <v>0</v>
      </c>
      <c r="AN33" s="1382">
        <f>IF(AI33&gt;0,HLOOKUP(AI33,Treevalue!$I$4:$BC$34,'Options and results'!$C$39+1),0)*IF(V33&gt;='Options and results'!$I$21,'Options and results'!$I$20,1)*IF(1+'Options and results'!$Q$20*(V33-1)&gt;0,1+'Options and results'!$Q$20*(V33-1),0)</f>
        <v>25.135170948450579</v>
      </c>
      <c r="AO33" s="1454">
        <f t="shared" si="136"/>
        <v>4373.0476537710956</v>
      </c>
      <c r="AP33" s="1454">
        <f t="shared" si="137"/>
        <v>0</v>
      </c>
      <c r="AQ33" s="1454">
        <f>(IF('Options and results'!$C$39&gt;0,IF(V33&lt;='Options and results'!$W$20,VLOOKUP('Options and results'!$C$39,Treevalue!$A$4:$F$34,5,FALSE),0),0)*AK33)*IF(V33&gt;='Options and results'!$I$21,'Options and results'!$I$20,1)*IF(1+'Options and results'!$Q$20*(V33-1)&gt;0,1+'Options and results'!$Q$20*(V33-1),0)-AR33</f>
        <v>1917.9144966750832</v>
      </c>
      <c r="AR33" s="1441">
        <f>(IF('Options and results'!$C$39&gt;0,IF(V33&lt;='Options and results'!$W$20,VLOOKUP('Options and results'!$C$39,Treevalue!$A$4:$F$34,5,FALSE),0),0)*AL33)*IF(V33&gt;='Options and results'!$I$21,'Options and results'!$I$20,1)*IF(1+'Options and results'!$Q$20*(V33-1)&gt;0,1+'Options and results'!$Q$20*(V33-1),0)</f>
        <v>0</v>
      </c>
      <c r="AS33" s="1441">
        <f>(IF('Options and results'!$C$39&gt;0,IF(V33&lt;='Options and results'!$W$20,VLOOKUP('Options and results'!$C$39,Treevalue!$A$4:$F$34,6,FALSE),0),0)*AM33)*IF(V33&gt;='Options and results'!$I$21,'Options and results'!$I$20,1)*IF(1+'Options and results'!$Q$20*(V33-1)&gt;0,1+'Options and results'!$Q$20*(V33-1),0)</f>
        <v>0</v>
      </c>
      <c r="AT33" s="1441">
        <f>IF(V33&lt;='Options and results'!$W$20,(IF(AB33&lt;=0,0,IF('Options and results'!$C$43="cost",(IF(V33&lt;='Options and results'!$C$44,BZ33*SUM('Options and results'!$C$45:$C$46),0)),IF('Options and results'!$C$41&gt;0,(IF(VLOOKUP('Options and results'!$C$42,Treegrant!$B$6:$L$42,Treegrant!$C$2,FALSE)=V33,VLOOKUP('Options and results'!$C$42,Treegrant!$B$6:$L$42,Treegrant!$D$2,FALSE),0)+IF(VLOOKUP('Options and results'!$C$42,Treegrant!$B$6:$L$42,Treegrant!$E$2,FALSE)=V33,VLOOKUP('Options and results'!$C$42,Treegrant!$B$6:$L$42,Treegrant!$F$2,FALSE),0)+IF(VLOOKUP('Options and results'!$C$42,Treegrant!$B$6:$L$42,Treegrant!$G$2,FALSE)=V33,VLOOKUP('Options and results'!$C$42,Treegrant!$B$6:$L$42,Treegrant!$H$2,FALSE)))*IF('Options and results'!$C$43="area",1,'Options and results'!$C$43),0)))*IF(V33&gt;='Options and results'!$I$23,'Options and results'!$I$22,1)),0)*IF(1+'Options and results'!$Q$23*(V33-1)&gt;0,1+'Options and results'!$Q$23*(V33-1),0)</f>
        <v>0</v>
      </c>
      <c r="AU33" s="1441">
        <f>IF($W$8=0,0,IF(V33&lt;='Options and results'!$W$20,IF(AB33&lt;=0,0,IF('Options and results'!$C$41&gt;0,IF(AND(VLOOKUP('Options and results'!$C$42,Treegrant!$B$6:$L$42,Treegrant!$J$2,FALSE)&lt;=V33,VLOOKUP('Options and results'!$C$42,Treegrant!$B$6:$L$42,Treegrant!$K$2,FALSE)&gt;=V33),(VLOOKUP('Options and results'!$C$42,Treegrant!$B$6:$L$42,Treegrant!$L$2,FALSE)),0)*IF('Options and results'!$C$47="full",1,'Options and results'!$C$47))*IF(V33&gt;='Options and results'!$I$23,'Options and results'!$I$22,1)),0))*IF(1+'Options and results'!$Q$23*(V33-1)&gt;0,1+'Options and results'!$Q$23*(V33-1),0)</f>
        <v>0</v>
      </c>
      <c r="AV33" s="1032">
        <f>IF($W$8=0,0,IF(V33&lt;='Options and results'!$W$20,IF(AB33&lt;=0,0,(IF('Options and results'!$C$41&gt;0,(IF(AND(VLOOKUP('Options and results'!$C$42,Treegrant!$B$6:$O$42,Treegrant!$M$2,FALSE)&lt;=V33,VLOOKUP('Options and results'!$C$42,Treegrant!$B$6:$O$42,Treegrant!$N$2,FALSE)&gt;=V33),(VLOOKUP('Options and results'!$C$42,Treegrant!$B$6:$O$42,Treegrant!$O$2,FALSE)),0)*IF('Options and results'!$C$48="full",1,'Options and results'!$C$48))+(IF(AND(VLOOKUP('Options and results'!$C$42,Treegrant!$B$6:$R$42,Treegrant!$P$2,FALSE)&lt;=V33,VLOOKUP('Options and results'!$C$42,Treegrant!$B$6:$R$42,Treegrant!$Q$2,FALSE)&gt;=V33),(VLOOKUP('Options and results'!$C$42,Treegrant!$B$6:$R$42,Treegrant!$R$2,FALSE)),0))*IF('Options and results'!$C$49="full",1,'Options and results'!$C$49)))*IF(V33&gt;='Options and results'!$I$23,'Options and results'!$I$22,1)),0))*IF(1+'Options and results'!$Q$23*(V33-1)&gt;0,1+'Options and results'!$Q$23*(V33-1),0)</f>
        <v>0</v>
      </c>
      <c r="AW33" s="1041"/>
      <c r="AX33" s="1042"/>
      <c r="AY33" s="1419">
        <f>IF($W$8=0,0,IF(V33=1,VLOOKUP($W$8,Treecost!$B$6:$AH$49,Treecost!$E$2,FALSE),0)*IF(V33&gt;='Options and results'!$I$25,'Options and results'!$I$24,1))</f>
        <v>0</v>
      </c>
      <c r="AZ33" s="889">
        <f>IF($W$8=0,0,IF(V33=1,VLOOKUP($W$8,Treecost!$B$6:$AH$49,Treecost!$F$2,FALSE),0)*IF(V33&gt;='Options and results'!$I$25,'Options and results'!$I$24,1))</f>
        <v>0</v>
      </c>
      <c r="BA33" s="889">
        <f>IF($W$8=0,0,IF(V33=1,VLOOKUP($W$8,Treecost!$B$6:$AH$49,Treecost!$G$2,FALSE),0)*IF(V33&gt;='Options and results'!$I$25,'Options and results'!$I$24,1))</f>
        <v>0</v>
      </c>
      <c r="BB33" s="889">
        <f>IF($W$8=0,0,IF(V33&lt;='Options and results'!$W$20,((VLOOKUP($W$8,Treecost!$B$6:$AH$49,Treecost!$H$2,FALSE)*(X33+AA33))/60)*IF(V33&gt;='Options and results'!$I$25,'Options and results'!$I$24,1),0))</f>
        <v>0</v>
      </c>
      <c r="BC33" s="889">
        <f>IF($W$8=0,0,IF(V33&lt;='Options and results'!$W$20,(((VLOOKUP($W$8,Treecost!$B$6:$AH$49,Treecost!$I$2,FALSE))*(X33+AA33))/60)*IF(V33&gt;='Options and results'!$I$25,'Options and results'!$I$24,1),0))</f>
        <v>0</v>
      </c>
      <c r="BD33" s="889">
        <f>IF($W$8=0,0,IF(V33&lt;='Options and results'!$W$20,(((VLOOKUP($W$8,Treecost!$B$6:$AH$49,Treecost!$J$2,FALSE))/60)*(X33+AA33))*IF(V33&gt;='Options and results'!$I$25,'Options and results'!$I$24,1),0))</f>
        <v>0</v>
      </c>
      <c r="BE33" s="1019">
        <f>IF($W$8=0,0,IF(V33&lt;='Options and results'!$W$20,(((VLOOKUP($W$8,Treecost!$B$6:$AH$49,Treecost!$C$2,FALSE)+VLOOKUP($W$8,Treecost!$B$6:$AH$49,Treecost!$D$2,FALSE))*(X33+AA33)*IF(1+'Options and results'!$Q$22*(V33-1)&gt;0,1+'Options and results'!$Q$22*(V33-1),0))+((AY33*$AX$8+AZ33*$AX$9+BA33*$AX$10+BB33*$AX$11+BC33*$AX$12+BD33*$AX$13)*IF(1+'Options and results'!$Q$21*(V33-1)&gt;0,1+'Options and results'!$Q$21*(V33-1),0)))*IF(V33&gt;='Options and results'!$I$27,'Options and results'!$I$26,1),0))</f>
        <v>0</v>
      </c>
      <c r="BF33" s="889">
        <f>IF($W$8=0,0,IF(V33&lt;='Options and results'!$W$20,IF(AND(VLOOKUP($W$8,Treecost!$B$6:$AH$49,Treecost!$K$2,FALSE)&lt;=V33,V33&lt;=(VLOOKUP($W$8,Treecost!$B$6:$AH$49,Treecost!$L$2,FALSE))),VLOOKUP($W$8,Treecost!$B$6:$AH$49,Treecost!$M$2,FALSE)*AB33/60,0)*IF(V33&gt;='Options and results'!$I$25,'Options and results'!$I$24,1),0))</f>
        <v>0</v>
      </c>
      <c r="BG33" s="1019">
        <f>IF(BF33&gt;0,(VLOOKUP($W$8,Treecost!$B$6:$AH$49,Treecost!$N$2,FALSE)*AB33*IF(1+'Options and results'!$Q$22*(V33-1)&gt;0,1+'Options and results'!$Q$22*(V33-1),0)+BF33*$AX$14*IF(1+'Options and results'!$Q$21*(V33-1)&gt;0,1+'Options and results'!$Q$21*(V33-1),0)),0)*IF(V33&gt;='Options and results'!$I$27,'Options and results'!$I$26,1)</f>
        <v>0</v>
      </c>
      <c r="BH33" s="889">
        <f>IF(V33&lt;='Options and results'!$W$20,IF(AND(AG33-AG32&gt;0,AG33&gt;'Options and results'!$M$36),(AB33-AC33)*(VLOOKUP($W$8,Treecost!$B$6:$AH$49,Treecost!$Y$2,FALSE)+(VLOOKUP($W$8,Treecost!$B$6:$AH$49,Treecost!$AA$2,FALSE)-VLOOKUP($W$8,Treecost!$B$6:$AH$49,Treecost!$Y$2,FALSE))/(VLOOKUP($W$8,Treecost!$B$6:$AH$49,Treecost!$Z$2,FALSE)-VLOOKUP($W$8,Treecost!$B$6:$AH$49,Treecost!$X$2,FALSE))*(AG33-VLOOKUP($W$8,Treecost!$B$6:$AH$49,Treecost!$X$2,FALSE)))/60,0)*IF(V33&gt;='Options and results'!$I$25,'Options and results'!$I$24,1),0)</f>
        <v>0</v>
      </c>
      <c r="BI33" s="303">
        <f>IF(V33&lt;='Options and results'!$W$20,IF(BH33&gt;0,VLOOKUP($W$8,Treecost!$B$6:$AH$49,Treecost!$AB$2,FALSE)/60*AB33,0)*IF(V33&gt;='Options and results'!$I$25,'Options and results'!$I$24,1),0)*((BH33-(MIN($BH$8:$BH$67)))/((MAX($BH$8:$BH$67))-(MIN($BH$8:$BH$67))))</f>
        <v>0</v>
      </c>
      <c r="BJ33" s="740">
        <f>IF(BH33&gt;0,(BH33*$AX$15+BI33*$AX$19)*IF(1+'Options and results'!$Q$21*(V33-1)&gt;0,1+'Options and results'!$Q$21*(V33-1),0),0)*IF(V33&gt;='Options and results'!$I$27,'Options and results'!$I$26,1)</f>
        <v>0</v>
      </c>
      <c r="BK33" s="891">
        <f>IF($W$8=0,0,IF(V33&lt;='Options and results'!$W$20,IF(VLOOKUP($W$8,Treecost!$B$2:$AH$49,Treecost!$O$2,FALSE)=V33,VLOOKUP($W$8,Treecost!$B$2:$AH$49,Treecost!$P$2,FALSE),0)*IF(V33&gt;='Options and results'!$I$25,'Options and results'!$I$24,1),0))</f>
        <v>0</v>
      </c>
      <c r="BL33" s="889">
        <f>IF($W$8=0,0,IF(V33&lt;='Options and results'!$W$20,IF(AND(V33&gt;VLOOKUP($W$8,Treecost!$B$2:$AH$49,Treecost!$O$2,FALSE),V33&lt;=VLOOKUP($W$8,Treecost!$B$2:$AH$49,Treecost!$R$2,FALSE)),VLOOKUP($W$8,Treecost!$B$2:$AH$49,Treecost!$S$2,FALSE),0)*IF(V33&gt;='Options and results'!$I$25,'Options and results'!$I$24,1),0))</f>
        <v>0</v>
      </c>
      <c r="BM33" s="740">
        <f>IF($W$8=0,0,IF(V33&lt;='Options and results'!$W$20,((IF(VLOOKUP($W$8,Treecost!$B$2:$AH$49,Treecost!$O$2,FALSE)=V33,VLOOKUP($W$8,Treecost!$B$2:$AH$49,Treecost!$Q$2,FALSE),0)+IF(AND(V33&gt;VLOOKUP($W$8,Treecost!$B$2:$AH$49,Treecost!$O$2,FALSE),V33&lt;=VLOOKUP($W$8,Treecost!$B$2:$AH$49,Treecost!$R$2,FALSE)),VLOOKUP($W$8,Treecost!$B$2:$AH$49,Treecost!$T$2,FALSE),0)*IF(1+'Options and results'!$Q$22*(V33-1)&gt;0,1+'Options and results'!$Q$22*(V33-1),0))+(BK33*$AX$16+BL33*$AX$17)*IF(1+'Options and results'!$Q$21*(V33-1)&gt;0,1+'Options and results'!$Q$21*(V33-1),0))*IF(V33&gt;='Options and results'!$I$27,'Options and results'!$I$26,1),0))</f>
        <v>0</v>
      </c>
      <c r="BN33" s="894">
        <f>IF($W$8=0,0,IF(V33&lt;='Options and results'!$W$20,IF(AND(V33&gt;=VLOOKUP($W$8,Treecost!$B$2:$W$49,Treecost!$U$2,FALSE),V33&lt;=VLOOKUP($W$8,Treecost!$B$2:$W$49,Treecost!$V$2,FALSE)),(AB33*VLOOKUP($W$8,Treecost!$B$2:$W$49,Treecost!$W$2,FALSE)/60),0)*IF(V33&gt;='Options and results'!$I$25,'Options and results'!$I$24,1),0))</f>
        <v>0</v>
      </c>
      <c r="BO33" s="740">
        <f>BN33*$AX$18*IF(V33&gt;='Options and results'!$I$27,'Options and results'!$I$26,1)*IF(1+'Options and results'!$Q$21*(V33-1)&gt;0,1+'Options and results'!$Q$21*(V33-1),0)</f>
        <v>0</v>
      </c>
      <c r="BP33" s="894">
        <f>IF(V33&lt;='Options and results'!$W$20,IF(AB33&lt;=0,0,VLOOKUP($W$8,Treecost!$B$6:$AH$49,Treecost!$AC$2,FALSE)+VLOOKUP($W$8,Treecost!$B$6:$AH$49,Treecost!$AD$2,FALSE)+IF(AND(V33&gt;=VLOOKUP($W$8,Treecost!$B$2:$AK$49,Treecost!$AI$2,FALSE),V33&lt;=VLOOKUP($W$8,Treecost!$B$2:$AK$49,Treecost!$AJ$2,FALSE)),(VLOOKUP($W$8,Treecost!$B$2:$AK$49,Treecost!$AK$2,FALSE)),0))*IF(V33&gt;='Options and results'!$I$27,'Options and results'!$I$26,1),0)*IF(1+'Options and results'!$Q$22*(V33-1)&gt;0,1+'Options and results'!$Q$22*(V33-1),0)</f>
        <v>3</v>
      </c>
      <c r="BQ33" s="894">
        <f>IF(V33&lt;='Options and results'!$W$20,IF(AC33&gt;0,VLOOKUP($W$8,Treecost!$B$6:$AH$49,Treecost!$AE$2,FALSE)/60*AC33,0)*IF(V33&gt;='Options and results'!$I$25,'Options and results'!$I$24,1),0)</f>
        <v>0</v>
      </c>
      <c r="BR33" s="740">
        <f>IF(V33&lt;='Options and results'!$W$20,IF(AC33&gt;0,VLOOKUP($W$8,Treecost!$B$6:$AH$49,Treecost!$AF$2,FALSE)/60*AC33,0)*IF(V33&gt;='Options and results'!$I$25,'Options and results'!$I$24,1),0)</f>
        <v>0</v>
      </c>
      <c r="BS33" s="740">
        <f>(BQ33*$AX$20+BR33*$AX$21)*IF(V33&gt;='Options and results'!$I$27,'Options and results'!$I$26,1)*IF(1+'Options and results'!$Q$21*(V33-1)&gt;0,1+'Options and results'!$Q$21*(V33-1),0)</f>
        <v>0</v>
      </c>
      <c r="BT33" s="894">
        <f>IF(V33&lt;='Options and results'!$W$20,IF(AD33&gt;0,(VLOOKUP($W$8,Treecost!$B$6:$AH$49,Treecost!$AG$2,FALSE)/60*AD33)*IF(V33&gt;='Options and results'!$I$25,'Options and results'!$I$24,1),0),0)</f>
        <v>0</v>
      </c>
      <c r="BU33" s="740">
        <f>IF(V33&lt;='Options and results'!$W$20,IF(AD33&gt;0,(VLOOKUP($W$8,Treecost!$B$6:$AH$49,Treecost!$AH$2,FALSE)/60*AD33)*IF(V33&gt;='Options and results'!$I$25,'Options and results'!$I$24,1),0),0)</f>
        <v>0</v>
      </c>
      <c r="BV33" s="740">
        <f>(BT33*$AX$22+BU33*$AX$23)*IF(V33&gt;='Options and results'!$I$27,'Options and results'!$I$26,1)*IF(1+'Options and results'!$Q$21*(V33-1)&gt;0,1+'Options and results'!$Q$21*(V33-1),0)</f>
        <v>0</v>
      </c>
      <c r="BW33" s="1033">
        <f t="shared" si="138"/>
        <v>0</v>
      </c>
      <c r="BX33" s="1027">
        <f t="shared" si="139"/>
        <v>0</v>
      </c>
      <c r="BY33" s="1027">
        <f t="shared" si="140"/>
        <v>0</v>
      </c>
      <c r="BZ33" s="740">
        <f t="shared" si="124"/>
        <v>3</v>
      </c>
      <c r="CA33" s="740">
        <f t="shared" si="141"/>
        <v>-3</v>
      </c>
      <c r="CB33" s="894">
        <f>IF($V33&lt;='Options and results'!$W$20,SUM(BX$8:$BX33),0)</f>
        <v>0</v>
      </c>
      <c r="CC33" s="740">
        <f>IF($V33&lt;='Options and results'!$W$20,SUM($BY$8:BY33),0)</f>
        <v>0</v>
      </c>
      <c r="CD33" s="740">
        <f>IF($V33&lt;='Options and results'!$W$20,SUM($BZ$8:BZ33),0)</f>
        <v>1646.7443691843955</v>
      </c>
      <c r="CE33" s="740">
        <f>IF(V33&lt;='Options and results'!$W$20,CB33+CC33-CD33,0)</f>
        <v>-1646.7443691843955</v>
      </c>
      <c r="CF33" s="1381">
        <f t="shared" si="142"/>
        <v>629.91129705236403</v>
      </c>
      <c r="CG33" s="1027">
        <f t="shared" si="143"/>
        <v>626.91129705236403</v>
      </c>
      <c r="CH33" s="1027">
        <f t="shared" si="144"/>
        <v>0</v>
      </c>
      <c r="CI33" s="1189">
        <f>IF(V33&lt;='Options and results'!$W$20,CE33+AO33,0)</f>
        <v>2726.3032845867001</v>
      </c>
      <c r="CJ33" s="1023"/>
      <c r="CK33" s="895">
        <f t="shared" si="145"/>
        <v>26</v>
      </c>
      <c r="CL33" s="1011" t="str">
        <f>IF('Options and results'!$C$54="None",0,IF(AND(CK33&gt;='Options and results'!$K$57,CK32&lt;'Options and results'!$W$20),'Options and results'!$K$56,IF(Optimisation!$B$3="No",CONCATENATE('Options and results'!$C$60," ",(HLOOKUP(CONCATENATE('Options and results'!$C$54," ",Agroforestrysystem!$B$12),Agroforestrysystem!$B$11:$IM$74,$CK33+4,FALSE))),Optimisation!AA53)))</f>
        <v>UK - Agriculture (BPS: from 2015) Agroforestry fallow</v>
      </c>
      <c r="CM33" s="1012">
        <f>IF(HLOOKUP(CONCATENATE('Options and results'!$C$54," ",Agroforestrysystem!$C$12),Agroforestrysystem!$B$11:$IM$74,$CK33+4,FALSE)="T",(VLOOKUP(CL33,Arablefinance!$Z$6:$AB$105,Arablefinance!$AB$2,FALSE)*CO33+VLOOKUP(CL33,Arablefinance!$Z$6:$AC$105,Arablefinance!$AC$2,FALSE)*CP33)/VLOOKUP(CL33,Arablefinance!$Z$6:$AA$105,Arablefinance!$AA$2,FALSE),0)</f>
        <v>0</v>
      </c>
      <c r="CN33" s="1012">
        <f>IF(CL33=0,0,HLOOKUP(CONCATENATE('Options and results'!$C$54," ",Agroforestrysystem!$D$12),Agroforestrysystem!$B$11:$IM$74,$CK33+4,FALSE))</f>
        <v>0.99</v>
      </c>
      <c r="CO33" s="1440">
        <f ca="1">IF(CL33=0,0,IF(AND(Optimisation!$B$3="yes",Optimisation!$B$4=1,CK33&gt;Optimisation!$B$9),0,HLOOKUP(CONCATENATE('Options and results'!$C$54," ",Agroforestrysystem!$E$12),Agroforestrysystem!$B$11:$IM$74,$CK33+4,FALSE)*IF(CK33&gt;='Options and results'!$J$19,'Options and results'!$J$18,1)))</f>
        <v>0</v>
      </c>
      <c r="CP33" s="1440">
        <f ca="1">IF(CL33=0,0,IF(AND(Optimisation!$B$3="yes",Optimisation!$B$4=1,CK33&gt;Optimisation!$B$9),0,HLOOKUP(CONCATENATE('Options and results'!$C$54," ",Agroforestrysystem!$F$12),Agroforestrysystem!$B$11:$IM$74,$CK33+4,FALSE)*IF(CK33&gt;='Options and results'!$J$19,'Options and results'!$J$18,1)))</f>
        <v>0</v>
      </c>
      <c r="CQ33" s="1013">
        <f ca="1">IF(CN33&lt;=0,0,IF(CK33&lt;='Options and results'!$W$20,IF(CM33&gt;0,VLOOKUP(CL33,Arablefinance!$Z$6:$AE$105,Arablefinance!$AD$2,FALSE)*CM33*CN33,((VLOOKUP(CL33,Arablefinance!$E$6:$H$126,2,FALSE)*CO33+VLOOKUP(CL33,Arablefinance!$E$6:$H$126,3,FALSE)*CP33)*CN33)),0)*IF(CK33&gt;='Options and results'!$J$21,'Options and results'!$J$20,1))*IF(1+'Options and results'!$O$20*(CK33-1)&gt;0,1+'Options and results'!$O$20*(CK33-1),0)</f>
        <v>0</v>
      </c>
      <c r="CR33" s="1441">
        <f>IF(CN33&lt;=0,0,IF(AND(CM33&gt;0,VLOOKUP(CL33,Arablefinance!$Z$6:$AI$105,Arablefinance!$AI$2,FALSE)=2),VLOOKUP(CL33,Arablefinance!$Z$6:$AE$105,Arablefinance!$AE$2,FALSE)*CM33*CN33,IF('Options and results'!$C$62&gt;0,IF(VLOOKUP(CL33,Arablefinance!$E$6:$W$126,Arablefinance!$H$2,FALSE)*(1-Plot!DM33*'Options and results'!$C$62)&gt;0,VLOOKUP(CL33,Arablefinance!$E$6:$W$126,Arablefinance!$H$2,FALSE)*(1-Plot!DM33*'Options and results'!$C$62),0),IF(CK33&lt;='Options and results'!$W$20,(VLOOKUP(CL33,Arablefinance!$E$6:$W$126,Arablefinance!$H$2,FALSE)*IF('Options and results'!$C$61="area",CN33,'Options and results'!$C$61)),0)))*IF(CK33&gt;='Options and results'!$J$23,'Options and results'!$J$22,1))*IF(AND(1+'Options and results'!$O$23*(CK33-1)&gt;0,1+'Options and results'!$O$23*(CK33-1)&gt;'Options and results'!$S$24),1+'Options and results'!$O$23*(CK33-1),'Options and results'!$S$24)</f>
        <v>0</v>
      </c>
      <c r="CS33" s="1441">
        <f t="shared" ca="1" si="146"/>
        <v>0</v>
      </c>
      <c r="CT33" s="1441">
        <f>IF(CN33&lt;=0,0,IF(CK33&lt;='Options and results'!$W$20,IF(CM33&gt;0,VLOOKUP(CL33,Arablefinance!$Z$6:$AF$105,Arablefinance!$AF$2,FALSE)*CM33*CN33,VLOOKUP(CL33,Arablefinance!$E$6:$X$126,Arablefinance!$R$2,FALSE)*CN33),0)*IF(CK33&gt;='Options and results'!$J$27,'Options and results'!$J$26,1))*IF(1+'Options and results'!$O$22*(CK33-1)&gt;0,1+'Options and results'!$O$22*(CK33-1),0)</f>
        <v>0</v>
      </c>
      <c r="CU33" s="1441">
        <f t="shared" ca="1" si="147"/>
        <v>0</v>
      </c>
      <c r="CV33" s="1441">
        <f>IF(CN33&lt;=0,0,IF(CK33&lt;='Options and results'!$W$20,IF(CM33&gt;0,VLOOKUP(CL33,Arablefinance!$Z$6:$AG$105,Arablefinance!$AG$2,FALSE)*CM33*CN33,VLOOKUP(CL33,Arablefinance!$E$6:$X$126,Arablefinance!$X$2,FALSE)*CN33),0)*IF(CK33&gt;='Options and results'!$J$27,'Options and results'!$J$26,1))*IF(1+'Options and results'!$O$22*(CK33-1)&gt;0,1+'Options and results'!$O$22*(CK33-1),0)</f>
        <v>0</v>
      </c>
      <c r="CW33" s="1442">
        <f>IF(CN33&lt;=0,0,IF(CK33&lt;='Options and results'!$W$20,'Options and results'!$C$27*IF(CK33&gt;='Options and results'!$J$27,'Options and results'!$J$26,1),0))*IF(1+'Options and results'!$O$21*(CK33-1)&gt;0,1+'Options and results'!$O$21*(CK33-1),0)</f>
        <v>14.6</v>
      </c>
      <c r="CX33" s="1442">
        <f>IF(CN33&lt;=0,0,IF(CK33&lt;='Options and results'!$W$20,IF(CM33&gt;0,VLOOKUP(CL33,Arablefinance!$Z$6:$AH$105,Arablefinance!$AH$2,FALSE)*CM33*CN33,VLOOKUP(CL33,Arablefinance!$E$6:$W$126,Arablefinance!$V$2,FALSE)*CN33),0)*IF(CK33&gt;='Options and results'!$J$25,'Options and results'!$J$24,1))</f>
        <v>0</v>
      </c>
      <c r="CY33" s="1013">
        <f t="shared" si="148"/>
        <v>0</v>
      </c>
      <c r="CZ33" s="1353">
        <f t="shared" ca="1" si="149"/>
        <v>0</v>
      </c>
      <c r="DA33" s="1013">
        <f ca="1">IF($CK33&lt;='Options and results'!$W$20,SUM($CQ$8:CQ33),0)</f>
        <v>18417.950100000002</v>
      </c>
      <c r="DB33" s="1441">
        <f>IF($CK33&lt;='Options and results'!$W$20,SUM($CR$8:CR33),0)</f>
        <v>0</v>
      </c>
      <c r="DC33" s="1441">
        <f>IF($CK33&lt;='Options and results'!$W$20,SUM($CY$8:CY33),0)</f>
        <v>16943.30918829242</v>
      </c>
      <c r="DD33" s="1189">
        <f ca="1">IF(CK33&lt;='Options and results'!$W$20,DA33+DB33-DC33,0)</f>
        <v>1474.6409117075818</v>
      </c>
      <c r="DE33" s="401"/>
      <c r="DF33" s="895">
        <f t="shared" si="150"/>
        <v>26</v>
      </c>
      <c r="DG33" s="173"/>
      <c r="DH33" s="1422"/>
      <c r="DI33" s="1427">
        <f>IF(DF33&lt;='Options and results'!$M$61,'Options and results'!$M$60,0)</f>
        <v>0</v>
      </c>
      <c r="DJ33" s="740">
        <f t="shared" si="151"/>
        <v>0</v>
      </c>
      <c r="DK33" s="740">
        <f t="shared" si="152"/>
        <v>0</v>
      </c>
      <c r="DL33" s="1428">
        <f t="shared" si="153"/>
        <v>100</v>
      </c>
      <c r="DM33" s="1429">
        <f>IF($DG$8=0,0,HLOOKUP(CONCATENATE('Options and results'!$C$54," ",Agroforestrysystem!$J$12),Agroforestrysystem!$11:$74,DF33+3,FALSE))/100</f>
        <v>1</v>
      </c>
      <c r="DN33" s="740">
        <f>IF($DG$8=0,0,IF(HLOOKUP(CONCATENATE('Options and results'!$C$54," ",Agroforestrysystem!$H$12),Agroforestrysystem!$11:$74,DF33+4,FALSE)&lt;DL33,HLOOKUP(CONCATENATE('Options and results'!$C$54," ",Agroforestrysystem!$H$12),Agroforestrysystem!$11:$74,DF33+4,FALSE),0))</f>
        <v>0</v>
      </c>
      <c r="DO33" s="1027">
        <f>IF($DG$8=0,0,IF(HLOOKUP(CONCATENATE('Options and results'!$C$54," ",Agroforestrysystem!$H$12),Agroforestrysystem!$11:$74,DF33+4,FALSE)&gt;=DL33,DL33,0))</f>
        <v>0</v>
      </c>
      <c r="DP33" s="1430">
        <f>IF($DG$8=0,0,HLOOKUP(CONCATENATE('Options and results'!$C$54," ",Agroforestrysystem!$I$12),Agroforestrysystem!$11:$74,DF33+4,FALSE))</f>
        <v>30.702299397450968</v>
      </c>
      <c r="DQ33" s="1038"/>
      <c r="DR33" s="1390">
        <f>IF($DG$8=0,0,IF(DF33&gt;'Options and results'!$W$20,0,)+IF(DF33=1,'Options and results'!$M$64)+IF('Options and results'!$M$67="yes",IF(AND(DR32+'Options and results'!$M$65&lt;=$DQ$8,DR32+'Options and results'!$M$65+IF(DF33=1,'Options and results'!$M$64,0)&lt;='Options and results'!$M$66*DP33),DR32+'Options and results'!$M$65,DR32),(HLOOKUP(CONCATENATE('Options and results'!$C$54," ",Agroforestrysystem!$K$12),Agroforestrysystem!$11:$74,DF33+4,FALSE)-IF(DF33=1,'Options and results'!$M$64))))</f>
        <v>7.5</v>
      </c>
      <c r="DS33" s="1027">
        <f>IF(OR($DG$8=0,DL33=0),0,HLOOKUP(CONCATENATE('Options and results'!$C$54," ",Agroforestrysystem!$L$12),Agroforestrysystem!$11:$74,DF33+4,FALSE)*IF(DF33&gt;='Options and results'!$K$19,'Options and results'!$K$18,1))</f>
        <v>168.76825700103655</v>
      </c>
      <c r="DT33" s="1431">
        <f t="shared" si="154"/>
        <v>1.6876825700103655</v>
      </c>
      <c r="DU33" s="889">
        <f t="shared" si="155"/>
        <v>0</v>
      </c>
      <c r="DV33" s="1027">
        <f>IF($DG$8=0,0,(HLOOKUP(CONCATENATE('Options and results'!$C$54," ",Agroforestrysystem!$M$12),Agroforestrysystem!$11:$74,DF33+4,FALSE))*IF(DF33&gt;='Options and results'!$K$19,'Options and results'!$K$18,1))-DW33</f>
        <v>74.417937886681727</v>
      </c>
      <c r="DW33" s="303">
        <f>IF($DG$8=0,0,(HLOOKUP(CONCATENATE('Options and results'!$C$54," ",Agroforestrysystem!$N$12),Agroforestrysystem!$11:$74,DF33+4,FALSE))*IF(DF33&gt;='Options and results'!$K$19,'Options and results'!$K$18,1))</f>
        <v>0</v>
      </c>
      <c r="DX33" s="303">
        <f>IF($DG$8=0,0,HLOOKUP(CONCATENATE('Options and results'!$C$54," ",Agroforestrysystem!$O$12),Agroforestrysystem!$11:$74,DF33+4,FALSE)*IF(DF33&gt;='Options and results'!$K$19,'Options and results'!$K$18,1))</f>
        <v>0</v>
      </c>
      <c r="DY33" s="1192">
        <f>IF(DT33&gt;0,HLOOKUP(DT33,Treevalue!$I$4:$BC$34,'Options and results'!$C$66+1),0)*IF(DF33&gt;='Options and results'!$K$21,'Options and results'!$K$20,1)*IF(1+'Options and results'!$Q$20*(DF33-1)&gt;0,1+'Options and results'!$Q$20*(DF33-1),0)</f>
        <v>29.522759239088508</v>
      </c>
      <c r="DZ33" s="1027">
        <f t="shared" si="156"/>
        <v>4982.504618642216</v>
      </c>
      <c r="EA33" s="1027">
        <f t="shared" si="125"/>
        <v>0</v>
      </c>
      <c r="EB33" s="1027">
        <f>(IF('Options and results'!$C$66&gt;0,IF(DF33&lt;='Options and results'!$W$20,VLOOKUP('Options and results'!$C$66,Treevalue!$A$4:$F$34,5,FALSE),0),0)*DV33)*IF(DF33&gt;='Options and results'!$K$21,'Options and results'!$K$20,1)*IF(1+'Options and results'!$Q$20*(DF33-1)&gt;0,1+'Options and results'!$Q$20*(DF33-1),0)</f>
        <v>1860.4484471670432</v>
      </c>
      <c r="EC33" s="740">
        <f>(IF('Options and results'!$C$66&gt;0,IF(DF33&lt;='Options and results'!$W$20,VLOOKUP('Options and results'!$C$66,Treevalue!$A$4:$F$34,5,FALSE),0),0)*DW33)*IF(DF33&gt;='Options and results'!$K$21,'Options and results'!$K$20,1)*IF(1+'Options and results'!$Q$20*(DF33-1)&gt;0,1+'Options and results'!$Q$20*(DF33-1),0)</f>
        <v>0</v>
      </c>
      <c r="ED33" s="889">
        <f>(IF('Options and results'!$C$66&gt;0,IF(DF33&lt;='Options and results'!$W$20,VLOOKUP('Options and results'!$C$66,Treevalue!$A$4:$F$34,6,FALSE),0),0)*DX33)*IF(DF33&gt;='Options and results'!$K$21,'Options and results'!$K$20,1)*IF(1+'Options and results'!$Q$20*(DF33-1)&gt;0,1+'Options and results'!$Q$20*(DF33-1),0)</f>
        <v>0</v>
      </c>
      <c r="EE33" s="740">
        <f>IF(DF33&lt;='Options and results'!$W$20,IF(DL33&lt;=0,0,IF('Options and results'!$C$70="cost",(IF(DF33&lt;='Options and results'!$C$71,FK33*SUM('Options and results'!$C$72:$C$73),0)),IF('Options and results'!$C$68&gt;0,(IF(VLOOKUP('Options and results'!$C$69,Treegrant!$B$6:$L$42,Treegrant!$C$2,FALSE)=DF33,VLOOKUP('Options and results'!$C$69,Treegrant!$B$6:$L$42,Treegrant!$D$2,FALSE),0)+IF(VLOOKUP('Options and results'!$C$69,Treegrant!$B$6:$L$42,Treegrant!$E$2,FALSE)=DF33,VLOOKUP('Options and results'!$C$69,Treegrant!$B$6:$L$42,Treegrant!$F$2,FALSE),0)+IF(VLOOKUP('Options and results'!$C$69,Treegrant!$B$6:$L$42,Treegrant!$G$2,FALSE)=DF33,VLOOKUP('Options and results'!$C$69,Treegrant!$B$6:$L$42,Treegrant!$H$2,FALSE)))*IF('Options and results'!$C$70="area",Unit!C34,'Options and results'!$C$70),0))*IF(DF33&gt;='Options and results'!$K$23,'Options and results'!$K$22,1)),0)*IF(1+'Options and results'!$Q$23*(DF33-1)&gt;0,1+'Options and results'!$Q$23*(DF33-1),0)</f>
        <v>0</v>
      </c>
      <c r="EF33" s="740">
        <f>IF($DG$8=0,0,IF(DF33&lt;='Options and results'!$W$20,IF(DL33&lt;=0,0,IF('Options and results'!$C$68&gt;0,IF(AND(VLOOKUP('Options and results'!$C$69,Treegrant!$B$6:$L$42,Treegrant!$J$2,FALSE)&lt;=DF33,VLOOKUP('Options and results'!$C$69,Treegrant!$B$6:$L$42,Treegrant!$K$2,FALSE)&gt;=DF33),(VLOOKUP('Options and results'!$C$69,Treegrant!$B$6:$L$42,Treegrant!$L$2,FALSE)),0)*IF('Options and results'!$C$74="area",Unit!C34,'Options and results'!$C$74))*IF(DF33&gt;='Options and results'!$K$23,'Options and results'!$K$22,1)),0))*IF(1+'Options and results'!$Q$23*(DF33-1)&gt;0,1+'Options and results'!$Q$23*(DF33-1),0)</f>
        <v>0</v>
      </c>
      <c r="EG33" s="1034">
        <f>IF($DG$8=0,0,IF(DF33&lt;='Options and results'!$W$20,IF(DL33&lt;=0,0,IF('Options and results'!$C$68&gt;0,((IF(AND(VLOOKUP('Options and results'!$C$69,Treegrant!$B$6:$O$42,Treegrant!$M$2,FALSE)&lt;=DF33,VLOOKUP('Options and results'!$C$69,Treegrant!$B$6:$O$42,Treegrant!$N$2,FALSE)&gt;=DF33),(VLOOKUP('Options and results'!$C$69,Treegrant!$B$6:$O$42,Treegrant!$O$2,FALSE)),0)*IF('Options and results'!$C$75="area",Unit!C34,'Options and results'!$C$75))+(IF(AND(VLOOKUP('Options and results'!$C$69,Treegrant!$B$6:$R$42,Treegrant!$P$2,FALSE)&lt;=DF33,VLOOKUP('Options and results'!$C$69,Treegrant!$B$6:$R$42,Treegrant!$Q$2,FALSE)&gt;=DF33),(VLOOKUP('Options and results'!$C$69,Treegrant!$B$6:$R$42,Treegrant!$R$2,FALSE)),0))*IF('Options and results'!$C$76="area",Unit!C34,'Options and results'!$C$76)))*IF(DF33&gt;='Options and results'!$K$23,'Options and results'!$K$22,1)),0))*IF(1+'Options and results'!$Q$23*(DF33-1)&gt;0,1+'Options and results'!$Q$23*(DF33-1),0)</f>
        <v>0</v>
      </c>
      <c r="EH33" s="1041"/>
      <c r="EI33" s="1042"/>
      <c r="EJ33" s="1419">
        <f>IF($DH$8+DK33&lt;1,0,IF(DF33=1,VLOOKUP($DG$8,Treecost!$B$6:$AH$49,Treecost!$E$2,FALSE),0)*IF(DF33&gt;='Options and results'!$K$25,'Options and results'!$K$24,1))</f>
        <v>0</v>
      </c>
      <c r="EK33" s="889">
        <f>IF($DH$8+DK33&lt;1,0,IF(DF33=1,VLOOKUP($DG$8,Treecost!$B$6:$AH$49,Treecost!$F$2,FALSE),0)*IF(DF33&gt;='Options and results'!$K$25,'Options and results'!$K$24,1))</f>
        <v>0</v>
      </c>
      <c r="EL33" s="889">
        <f>IF($DH$8+DK33&lt;1,0,IF(DF33=1,VLOOKUP($DG$8,Treecost!$B$6:$AH$49,Treecost!$G$2,FALSE),0)*IF(DF33&gt;='Options and results'!$K$25,'Options and results'!$K$24,1))</f>
        <v>0</v>
      </c>
      <c r="EM33" s="889">
        <f>IF($DG$8=0,0,IF(DF33&lt;='Options and results'!$W$20,((VLOOKUP($DG$8,Treecost!$B$6:$AH$49,Treecost!$H$2,FALSE)*(DH33+DK33))/60)*IF(DF33&gt;='Options and results'!$K$25,'Options and results'!$K$24,1),0))</f>
        <v>0</v>
      </c>
      <c r="EN33" s="889">
        <f>IF($DG$8=0,0,IF(DF33&lt;='Options and results'!$W$20,(((VLOOKUP($DG$8,Treecost!$B$6:$AH$49,Treecost!$I$2,FALSE))*(DH33+DK33))/60)*IF(DF33&gt;='Options and results'!$K$25,'Options and results'!$K$24,1),0))</f>
        <v>0</v>
      </c>
      <c r="EO33" s="889">
        <f>IF($DG$8=0,0,IF(DF33&lt;='Options and results'!$W$20,(((VLOOKUP($DG$8,Treecost!$B$6:$AH$49,Treecost!$J$2,FALSE))/60)*(DH33+DK33))*IF(DF33&gt;='Options and results'!$K$25,'Options and results'!$K$24,1),0))</f>
        <v>0</v>
      </c>
      <c r="EP33" s="1019">
        <f>IF($DG$8=0,0,IF(DF33&lt;='Options and results'!$W$20,(((VLOOKUP($DG$8,Treecost!$B$6:$AH$49,Treecost!$C$2,FALSE)+VLOOKUP($DG$8,Treecost!$B$6:$AH$49,Treecost!$D$2,FALSE))*(DH33+DK33)*IF(1+'Options and results'!$Q$22*(DF33-1)&gt;0,1+'Options and results'!$Q$22*(DF33-1),0))+(EJ33*$EI$8+EK33*$EI$9+EL33*$EI$10+EM33*$EI$11+EN33*$EI$12+EO33*$EI$13)*IF(1+'Options and results'!$Q$21*(DF33-1)&gt;0,1+'Options and results'!$Q$21*(DF33-1),0))*IF(DF33&gt;='Options and results'!$K$27,'Options and results'!$K$26,1),0))</f>
        <v>0</v>
      </c>
      <c r="EQ33" s="740">
        <f>IF($DG$8=0,0,IF(DF33&lt;='Options and results'!$W$20,IF(AND(VLOOKUP($DG$8,Treecost!$B$6:$AH$49,Treecost!$K$2,FALSE)&lt;=DF33,DF33&lt;=(VLOOKUP($DG$8,Treecost!$B$6:$AH$49,Treecost!$L$2,FALSE))),VLOOKUP($DG$8,Treecost!$B$6:$AH$49,Treecost!$M$2,FALSE)*DL33/60,0)*IF(DF33&gt;='Options and results'!$K$25,'Options and results'!$K$24,1),0))</f>
        <v>0</v>
      </c>
      <c r="ER33" s="1019">
        <f>IF(EQ33&gt;0,(VLOOKUP($DG$8,Treecost!$B$6:$AH$49,Treecost!$N$2,FALSE)*DL33*IF(1+'Options and results'!$Q$22*(DF33-1)&gt;0,1+'Options and results'!$Q$22*(DF33-1),0)+EQ33*$EI$14*IF(1+'Options and results'!$Q$21*(DF33-1)&gt;0,1+'Options and results'!$Q$21*(DF33-1),0)),0)*IF(DF33&gt;='Options and results'!$K$27,'Options and results'!$K$26,1)</f>
        <v>0</v>
      </c>
      <c r="ES33" s="889">
        <f>IF(DF33&lt;='Options and results'!$W$20,IF(AND(DR33-DR32&gt;0,DR33&gt;'Options and results'!$M$64),(DL33-DN33)*(VLOOKUP($DG$8,Treecost!$B$6:$AH$49,Treecost!$Y$2,FALSE)+(VLOOKUP($DG$8,Treecost!$B$6:$AH$49,Treecost!$AA$2,FALSE)-VLOOKUP($DG$8,Treecost!$B$6:$AH$49,Treecost!$Y$2,FALSE))/(VLOOKUP($DG$8,Treecost!$B$6:$AH$49,Treecost!$Z$2,FALSE)-VLOOKUP($DG$8,Treecost!$B$6:$AH$49,Treecost!$X$2,FALSE))*(DR33-VLOOKUP($DG$8,Treecost!$B$6:$AH$49,Treecost!$X$2,FALSE)))/60,0)*IF(DF33&gt;='Options and results'!$K$25,'Options and results'!$K$24,1),0)</f>
        <v>0</v>
      </c>
      <c r="ET33" s="889">
        <f>IF(DF33&lt;='Options and results'!$W$20,IF(ES33&gt;0,VLOOKUP($DG$8,Treecost!$B$6:$AH$49,Treecost!$AB$2,FALSE)/60*DL33,0)*IF(DF33&gt;='Options and results'!$K$25,'Options and results'!$K$24,1),0)*((ES33-(MIN($ES$8:$ES$67)))/((MAX($ES$8:$ES$67))-(MIN($ES$8:$ES$67))))</f>
        <v>0</v>
      </c>
      <c r="EU33" s="740">
        <f>IF(ES33&gt;0,(ES33*$EI$15+ET33*$EI$19)*IF(1+'Options and results'!$Q$21*(DF33-1)&gt;0,1+'Options and results'!$Q$21*(DF33-1),0),0)*IF(DF33&gt;='Options and results'!$K$27,'Options and results'!$K$26,1)</f>
        <v>0</v>
      </c>
      <c r="EV33" s="891">
        <f>IF($DG$8=0,0,IF(DF33&lt;='Options and results'!$W$20,IF(AND(VLOOKUP($DG$8,Treecost!$B$2:$AH$49,Treecost!$O$2,FALSE)=DF33,DF33&lt;=IF(AND(Optimisation!$B$3="Yes",Optimisation!$B$4=1),Optimisation!$B$9)),VLOOKUP($DG$8,Treecost!$B$2:$AH$49,Treecost!$P$2,FALSE)*(1-CN33),0)*IF(DF33&gt;='Options and results'!$K$25,'Options and results'!$K$24,1),0))</f>
        <v>0</v>
      </c>
      <c r="EW33" s="889">
        <f>IF($DG$8=0,0,IF(DF33&lt;='Options and results'!$W$20,IF(AND(DF33&gt;VLOOKUP($DG$8,Treecost!$B$2:$AH$49,Treecost!$O$2,FALSE),DF33&lt;=IF(AND(Optimisation!$B$3="Yes",Optimisation!$B$4=1),Optimisation!$B$9,VLOOKUP($DG$8,Treecost!$B$2:$AH$49,Treecost!$R$2,FALSE))),VLOOKUP($DG$8,Treecost!$B$2:$AH$49,Treecost!$S$2,FALSE)*(1-CN33),0)*IF(DF33&gt;='Options and results'!$K$25,'Options and results'!$K$24,1),0))</f>
        <v>0</v>
      </c>
      <c r="EX33" s="740">
        <f>IF($DG$8=0,0,IF(DF33&lt;='Options and results'!$W$20,(IF(AND(VLOOKUP($DG$8,Treecost!$B$2:$AH$49,Treecost!$O$2,FALSE)=DF33,DF33&lt;=IF(AND(Optimisation!$B$3="Yes",Optimisation!$B$4=1),Optimisation!$B$9)),VLOOKUP($DG$8,Treecost!$B$2:$AH$49,Treecost!$Q$2,FALSE),0)*(1-CN33)+IF(AND(DF33&gt;VLOOKUP($DG$8,Treecost!$B$2:$AH$49,Treecost!$O$2,FALSE),DF33&lt;=IF(AND(Optimisation!$B$3="Yes",Optimisation!$B$4=1),Optimisation!$B$9,VLOOKUP($DG$8,Treecost!$B$2:$AH$49,Treecost!$R$2,FALSE))),VLOOKUP($DG$8,Treecost!$B$2:$AH$49,Treecost!$T$2,FALSE),0)*(1-CN33)+(EV33*$EI$16+EW33*$EI$17))*IF(DF33&gt;='Options and results'!$K$27,'Options and results'!$K$26,1),0))*IF(1+'Options and results'!$Q$21*(DF33-1)&gt;0,1+'Options and results'!$Q$21*(DF33-1),0)</f>
        <v>0</v>
      </c>
      <c r="EY33" s="894">
        <f>IF($DG$8=0,0,IF(DF33&lt;='Options and results'!$W$20,IF(AND(DF33&gt;=VLOOKUP($DG$8,Treecost!$B$2:$W$49,Treecost!$U$2,FALSE),DF33&lt;=VLOOKUP($DG$8,Treecost!$B$2:$W$49,Treecost!$V$2,FALSE)),(DL33*VLOOKUP($DG$8,Treecost!$B$2:$W$49,Treecost!$W$2,FALSE)/60),0)*IF(DF33&gt;='Options and results'!$K$25,'Options and results'!$K$24,1),0))</f>
        <v>0</v>
      </c>
      <c r="EZ33" s="740">
        <f>EY33*$EI$18*IF(DF33&gt;='Options and results'!$K$27,'Options and results'!$K$26,1)*IF(1+'Options and results'!$Q$21*(DF33-1)&gt;0,1+'Options and results'!$Q$21*(DF33-1),0)</f>
        <v>0</v>
      </c>
      <c r="FA33" s="1025">
        <f>IF(DF33&lt;='Options and results'!$W$20,IF(DL33&lt;=0,0,VLOOKUP($DG$8,Treecost!$B$6:$AH$49,Treecost!$AC$2,FALSE)+VLOOKUP($DG$8,Treecost!$B$6:$AH$49,Treecost!$AD$2,FALSE)+IF(AND(DF33&gt;=VLOOKUP($DG$8,Treecost!$B$2:$AK$49,Treecost!$AI$2,FALSE),DF33&lt;=VLOOKUP($DG$8,Treecost!$B$2:$AK$49,Treecost!$AJ$2,FALSE)),VLOOKUP($DG$8,Treecost!$B$2:$AK$49,Treecost!$AK$2,FALSE)*(1-CN33),0))*IF(DF33&gt;='Options and results'!$K$27,'Options and results'!$K$26,1),0)*IF(1+'Options and results'!$Q$22*(DF33-1)&gt;0,1+'Options and results'!$Q$22*(DF33-1),0)</f>
        <v>3</v>
      </c>
      <c r="FB33" s="894">
        <f>IF(DF33&lt;='Options and results'!$W$20,IF(DN33&gt;0,VLOOKUP($DG$8,Treecost!$B$6:$AH$49,Treecost!$AE$2,FALSE)/60*DN33,0)*IF(DF33&gt;='Options and results'!$K$25,'Options and results'!$K$24,1),0)</f>
        <v>0</v>
      </c>
      <c r="FC33" s="740">
        <f>IF(DF33&lt;='Options and results'!$W$20,IF(DN33&gt;0,VLOOKUP($DG$8,Treecost!$B$6:$AH$49,Treecost!$AF$2,FALSE)/60*DN33,0)*IF(DF33&gt;='Options and results'!$K$25,'Options and results'!$K$24,1),0)</f>
        <v>0</v>
      </c>
      <c r="FD33" s="740">
        <f>(FB33*$EI$20+FC33*$EI$21)*IF(DF33&gt;='Options and results'!$K$27,'Options and results'!$K$26,1)*IF(1+'Options and results'!$Q$21*(DF33-1)&gt;0,1+'Options and results'!$Q$21*(DF33-1),0)</f>
        <v>0</v>
      </c>
      <c r="FE33" s="894">
        <f>IF(DF33&lt;='Options and results'!$W$20,IF(DO33&gt;0,(VLOOKUP($DG$8,Treecost!$B$6:$AH$49,Treecost!$AG$2,FALSE)/60*DO33)*IF(DF33&gt;='Options and results'!$K$25,'Options and results'!$K$24,1),0),0)</f>
        <v>0</v>
      </c>
      <c r="FF33" s="740">
        <f>IF(DF33&lt;='Options and results'!$W$20,IF(DO33&gt;0,(VLOOKUP($DG$8,Treecost!$B$6:$AH$49,Treecost!$AH$2,FALSE)/60*DO33)*IF(DF33&gt;='Options and results'!$K$25,'Options and results'!$K$24,1),0),0)</f>
        <v>0</v>
      </c>
      <c r="FG33" s="740">
        <f>(FE33*$EI$22+FF33*$EI$23)*IF(DF33&gt;='Options and results'!$K$27,'Options and results'!$K$26,1)*IF(1+'Options and results'!$Q$21*(DF33-1)&gt;0,1+'Options and results'!$Q$21*(DF33-1),0)</f>
        <v>0</v>
      </c>
      <c r="FH33" s="894">
        <f t="shared" si="157"/>
        <v>0</v>
      </c>
      <c r="FI33" s="1027">
        <f t="shared" si="158"/>
        <v>0</v>
      </c>
      <c r="FJ33" s="1027">
        <f t="shared" si="159"/>
        <v>0</v>
      </c>
      <c r="FK33" s="1027">
        <f t="shared" si="160"/>
        <v>3</v>
      </c>
      <c r="FL33" s="1027">
        <f t="shared" ref="FL33:FL44" si="184">FI33-FK33</f>
        <v>-3</v>
      </c>
      <c r="FM33" s="1027">
        <f>IF($DF33&lt;='Options and results'!$W$20,SUM(FI$8:$FI33),0)</f>
        <v>0</v>
      </c>
      <c r="FN33" s="1027">
        <f>IF($DF33&lt;='Options and results'!$W$20,SUM($FJ$8:FJ33),0)</f>
        <v>0</v>
      </c>
      <c r="FO33" s="1027">
        <f>IF($DF33&lt;='Options and results'!$W$20,SUM($FK$8:FK33),0)</f>
        <v>1118.0448753513026</v>
      </c>
      <c r="FP33" s="1027">
        <f>IF($DF33&lt;='Options and results'!$W$20,FM33+FN33-FO33,0)</f>
        <v>-1118.0448753513026</v>
      </c>
      <c r="FQ33" s="1027">
        <f t="shared" si="162"/>
        <v>666.82160874945635</v>
      </c>
      <c r="FR33" s="1027">
        <f t="shared" si="163"/>
        <v>663.82160874945635</v>
      </c>
      <c r="FS33" s="1027">
        <f t="shared" si="164"/>
        <v>0</v>
      </c>
      <c r="FT33" s="1189">
        <f>IF(DF33&lt;='Options and results'!$W$20,FP33+DZ33,0)</f>
        <v>3864.4597432909131</v>
      </c>
      <c r="FU33" s="401"/>
      <c r="FV33" s="895">
        <f t="shared" si="165"/>
        <v>26</v>
      </c>
      <c r="FW33" s="894">
        <f>G33/(1+'Options and results'!$W$33)^(FV33-1)</f>
        <v>509.29850931519667</v>
      </c>
      <c r="FX33" s="740">
        <f>(AP33+AR33+AS33)/(1+'Options and results'!$W$33)^(FV33-1)</f>
        <v>0</v>
      </c>
      <c r="FY33" s="740">
        <f ca="1">CQ33/(1+'Options and results'!$W$33)^(FV33-1)</f>
        <v>0</v>
      </c>
      <c r="FZ33" s="740">
        <f>(EA33+EC33+ED33)/(1+'Options and results'!$W$33)^(FV33-1)</f>
        <v>0</v>
      </c>
      <c r="GA33" s="1019">
        <f t="shared" ca="1" si="180"/>
        <v>0</v>
      </c>
      <c r="GB33" s="1026">
        <f>(AO33+AQ33)/(1+'Options and results'!$W$33)^(FV33-1)+FX33</f>
        <v>2359.8456049760903</v>
      </c>
      <c r="GC33" s="1027">
        <f>IF(FV33&gt;'Options and results'!$W$27,0,GB33-GB32)</f>
        <v>151.34809971304321</v>
      </c>
      <c r="GD33" s="1027">
        <f>(DZ33+EB33)/(1+'Options and results'!$W$33)^(FV33-1)+FZ33</f>
        <v>2566.9066720203268</v>
      </c>
      <c r="GE33" s="1379">
        <f>IF(FV33&gt;'Options and results'!$W$27,0,GD33-GD32)</f>
        <v>157.46516224904371</v>
      </c>
      <c r="GF33" s="894">
        <f>IF(FV33&lt;='Options and results'!$W$20,SUM(FW$8:FW33),0)</f>
        <v>25539.000893236251</v>
      </c>
      <c r="GG33" s="740">
        <f>IF(FV33&lt;='Options and results'!$W$20,SUM(FX$8:FX33), 0)</f>
        <v>0</v>
      </c>
      <c r="GH33" s="740">
        <f ca="1">IF(FV33&lt;='Options and results'!$W$20,SUM(FY$8:FY33),0)</f>
        <v>14787.259868716837</v>
      </c>
      <c r="GI33" s="740">
        <f>IF(FV33&lt;='Options and results'!$W$20,SUM(FZ$8:FZ33),0)</f>
        <v>0</v>
      </c>
      <c r="GJ33" s="1019">
        <f t="shared" ca="1" si="166"/>
        <v>14787.259868716837</v>
      </c>
      <c r="GK33" s="894">
        <f>IF(FV33&gt;'Options and results'!$W$27,0,GG33+SUM(GC$8:GC33)-FX33)</f>
        <v>2359.8456049760903</v>
      </c>
      <c r="GL33" s="740">
        <f>IF(FV33&lt;='Options and results'!$W$20,SUM(GD$8:GD33),0)</f>
        <v>19126.196298865547</v>
      </c>
      <c r="GM33" s="1034">
        <f t="shared" ca="1" si="167"/>
        <v>33913.456167582386</v>
      </c>
      <c r="GN33" s="401"/>
      <c r="GO33" s="895">
        <f t="shared" si="168"/>
        <v>26</v>
      </c>
      <c r="GP33" s="894">
        <f>H33/(1+'Options and results'!$W$33)^(GO33-1)</f>
        <v>88.227471890132279</v>
      </c>
      <c r="GQ33" s="740">
        <f>SUM(AT33:AV33)/(1+'Options and results'!$W$33)^(GO33-1)</f>
        <v>0</v>
      </c>
      <c r="GR33" s="740">
        <f>CR33/(1+'Options and results'!$W$33)^(GO33-1)</f>
        <v>0</v>
      </c>
      <c r="GS33" s="740">
        <f>SUM(EE33:EG33)/(1+'Options and results'!$W$33)^(GO33-1)</f>
        <v>0</v>
      </c>
      <c r="GT33" s="1019">
        <f t="shared" si="181"/>
        <v>0</v>
      </c>
      <c r="GU33" s="894">
        <f>IF(GO33&lt;='Options and results'!$W$20,SUM(GP$8:GP33),0)</f>
        <v>3909.5132027466884</v>
      </c>
      <c r="GV33" s="740">
        <f>IF(GO33&lt;='Options and results'!$W$20,SUM(GQ$8:GQ33),0)</f>
        <v>0</v>
      </c>
      <c r="GW33" s="740">
        <f>IF(GO33&lt;='Options and results'!$W$20,SUM(GR$8:GR33),0)</f>
        <v>0</v>
      </c>
      <c r="GX33" s="740">
        <f>IF(GO33&lt;='Options and results'!$W$20,SUM(GS$8:GS33),0)</f>
        <v>0</v>
      </c>
      <c r="GY33" s="1034">
        <f>IF(GO33&lt;='Options and results'!$W$20,SUM(GT$8:GT33),0)</f>
        <v>0</v>
      </c>
      <c r="GZ33" s="401"/>
      <c r="HA33" s="895">
        <f t="shared" si="169"/>
        <v>26</v>
      </c>
      <c r="HB33" s="1026">
        <f>(J33+L33+(M33*N33))/(1+'Options and results'!$W$33)^(HA33-1)</f>
        <v>475.42634729240348</v>
      </c>
      <c r="HC33" s="740">
        <f>BZ33/(1+'Options and results'!$W$33)^(HA33-1)</f>
        <v>1.1253504067618914</v>
      </c>
      <c r="HD33" s="1027">
        <f>(CT33+CV33+(CW33*CX33))/(1+'Options and results'!$W$33)^(HA33-1)</f>
        <v>0</v>
      </c>
      <c r="HE33" s="740">
        <f>FK33/(1+'Options and results'!$W$33)^(HA33-1)</f>
        <v>1.1253504067618914</v>
      </c>
      <c r="HF33" s="1019">
        <f t="shared" si="182"/>
        <v>1.1253504067618914</v>
      </c>
      <c r="HG33" s="894">
        <f>IF(HA33&lt;='Options and results'!$W$20,SUM(HB$8:HB33),0)</f>
        <v>20264.357347757039</v>
      </c>
      <c r="HH33" s="740">
        <f>IF(HA33&lt;='Options and results'!$W$20,SUM(HC$8:HC33),0)</f>
        <v>1401.0730148599093</v>
      </c>
      <c r="HI33" s="740">
        <f>IF(HA33&lt;='Options and results'!$W$20,SUM(HD$8:HD33),0)</f>
        <v>13294.975863606456</v>
      </c>
      <c r="HJ33" s="740">
        <f>IF(HA33&lt;='Options and results'!$W$20,SUM(HE$8:HE33),0)</f>
        <v>945.45282680809737</v>
      </c>
      <c r="HK33" s="1034">
        <f>IF(HA33&lt;='Options and results'!$W$20,SUM(HF$8:HF33),0)</f>
        <v>14240.428690414557</v>
      </c>
      <c r="HL33" s="405"/>
      <c r="HM33" s="895">
        <f t="shared" si="170"/>
        <v>26</v>
      </c>
      <c r="HN33" s="1026">
        <f t="shared" si="171"/>
        <v>122.09963391292541</v>
      </c>
      <c r="HO33" s="1027">
        <f t="shared" si="172"/>
        <v>-1.1253504067618914</v>
      </c>
      <c r="HP33" s="1027">
        <f t="shared" ca="1" si="173"/>
        <v>0</v>
      </c>
      <c r="HQ33" s="1027">
        <f t="shared" si="174"/>
        <v>-1.1253504067618914</v>
      </c>
      <c r="HR33" s="1027">
        <f t="shared" si="175"/>
        <v>150.22274930628132</v>
      </c>
      <c r="HS33" s="1379">
        <f t="shared" si="176"/>
        <v>156.33981184228182</v>
      </c>
      <c r="HT33" s="1026">
        <f>IF($HM33&lt;='Options and results'!$W$20,SUM(HN$8:HN33),0)</f>
        <v>9184.1567482258979</v>
      </c>
      <c r="HU33" s="1027">
        <f>IF($HM33&lt;='Options and results'!$W$20,SUM(HO$8:HO33),0)</f>
        <v>-1401.0730148599093</v>
      </c>
      <c r="HV33" s="1027">
        <f ca="1">IF($HM33&lt;='Options and results'!$W$20,SUM(HP$8:HP33),0)</f>
        <v>1492.284005110379</v>
      </c>
      <c r="HW33" s="1027">
        <f>IF($HM33&lt;='Options and results'!$W$20,SUM(HQ$8:HQ33),0)</f>
        <v>-945.45282680809737</v>
      </c>
      <c r="HX33" s="1027">
        <f t="shared" ca="1" si="177"/>
        <v>546.83117830228161</v>
      </c>
      <c r="HY33" s="1027">
        <f>IF($HM33&lt;='Options and results'!$W$20,SUM(HR$8:HR33),0)</f>
        <v>958.77259011618105</v>
      </c>
      <c r="HZ33" s="1027">
        <f>IF($HM33&lt;='Options and results'!$W$20,SUM(HS$8:HS33),0)</f>
        <v>1621.4538452122295</v>
      </c>
      <c r="IA33" s="1189">
        <f t="shared" ca="1" si="178"/>
        <v>3113.7378503226082</v>
      </c>
    </row>
    <row r="34" spans="1:235" x14ac:dyDescent="0.25">
      <c r="A34" s="1010">
        <f t="shared" si="126"/>
        <v>27</v>
      </c>
      <c r="B34" s="1011" t="str">
        <f>IF('Options and results'!$C$17="None",0,CONCATENATE('Options and results'!$C$23," ",(HLOOKUP(CONCATENATE('Options and results'!$C$17," ",Arablesystem!$B$11),Arablesystem!$B$10:$ER$72,$A34+3,FALSE))))</f>
        <v>UK - Agriculture (BPS: from 2015) Barley</v>
      </c>
      <c r="C34" s="1012">
        <f>IF(HLOOKUP(CONCATENATE('Options and results'!$C$17," ",Arablesystem!$C$11),Arablesystem!$B$10:$ER$72,$A34+3,FALSE)="T",(VLOOKUP(B34,Arablefinance!$Z$6:$AB$105,Arablefinance!$AB$2,FALSE)*E34+VLOOKUP(B34,Arablefinance!$Z$6:$AC$105,Arablefinance!$AC$2,FALSE)*F34)/VLOOKUP(B34,Arablefinance!$Z$6:$AA$105,Arablefinance!$AA$2,FALSE),0)</f>
        <v>0</v>
      </c>
      <c r="D34" s="1012">
        <f>IF(B34=0,0,HLOOKUP(CONCATENATE('Options and results'!$C$17," ",Arablesystem!$D$11),Arablesystem!$B$10:$ER$72,$A34+3,FALSE))</f>
        <v>1</v>
      </c>
      <c r="E34" s="1440">
        <f>IF(B34=0,0,HLOOKUP(CONCATENATE('Options and results'!$C$17," ",Arablesystem!$E$11),Arablesystem!$B$10:$ER$72,$A34+3,FALSE)*IF(A34&gt;='Options and results'!$H$19,'Options and results'!$H$18,1))</f>
        <v>1.8398642279853941</v>
      </c>
      <c r="F34" s="1440">
        <f>IF(B34=0,0,HLOOKUP(CONCATENATE('Options and results'!$C$17," ",Arablesystem!$F$11),Arablesystem!$B$10:$ER$72,$A34+3,FALSE)*IF(A34&gt;='Options and results'!$H$19,'Options and results'!$H$18,1))</f>
        <v>1.1039185367912363</v>
      </c>
      <c r="G34" s="1013">
        <f>IF(D34&lt;=0,0,IF(A34&lt;='Options and results'!$W$20,IF(C34&gt;0,VLOOKUP(B34,Arablefinance!$Z$6:$AE$105,Arablefinance!$AD$2,FALSE)*C34*D34,((VLOOKUP(B34,Arablefinance!$E$6:$G$126,Arablefinance!$F$2,FALSE)*(E34*D34)+VLOOKUP(B34,Arablefinance!$E$6:$G$126,Arablefinance!$G$2,FALSE)*(F34*D34)))),0)*IF(A34&gt;='Options and results'!$H$21,'Options and results'!$H$20,1))*IF(1+'Options and results'!$O$20*(A34-1)&gt;0,1+'Options and results'!$O$20*(A34-1),0)</f>
        <v>354.58272260451849</v>
      </c>
      <c r="H34" s="1441">
        <f>IF(D34&lt;=0,0,IF(A34&lt;='Options and results'!$W$20,IF(AND(C34&gt;0,VLOOKUP(B34,Arablefinance!$Z$6:$AI$105,Arablefinance!$AI$2,FALSE)=2),VLOOKUP(B34,Arablefinance!$Z$6:$AE$105,Arablefinance!$AE$2,FALSE)*C34*D34,(VLOOKUP(B34,Arablefinance!$E$6:$H$126,Arablefinance!$H$2,FALSE)*D34))*IF(A34&gt;='Options and results'!$H$23,'Options and results'!$H$22,1),0)*IF(AND(1+'Options and results'!$O$23*(A34-1)&gt;0,1+'Options and results'!$O$23*(A34-1)&gt;'Options and results'!$S$24),1+'Options and results'!$O$23*(A34-1),'Options and results'!$S$24))</f>
        <v>235.2</v>
      </c>
      <c r="I34" s="1441">
        <f t="shared" si="127"/>
        <v>589.78272260451854</v>
      </c>
      <c r="J34" s="1441">
        <f>IF(D34&lt;=0,0,IF(A34&lt;='Options and results'!$W$20,IF(C34&gt;0,VLOOKUP(B34,Arablefinance!$Z$6:$AF$105,Arablefinance!$AF$2,FALSE)*C34*D34,(VLOOKUP(B34,Arablefinance!$E$6:$X$126,Arablefinance!$R$2,FALSE))*D34),0)*IF(A34&gt;='Options and results'!$H$27,'Options and results'!$H$26,1))*IF(1+'Options and results'!$O$22*(A34-1)&gt;0,1+'Options and results'!$O$22*(A34-1),0)</f>
        <v>535.20833333333326</v>
      </c>
      <c r="K34" s="1441">
        <f t="shared" si="128"/>
        <v>54.574389271185282</v>
      </c>
      <c r="L34" s="1441">
        <f>IF(D34&lt;=0,0,IF(A34&lt;='Options and results'!$W$20,IF(C34&gt;0,VLOOKUP(B34,Arablefinance!$Z$6:$AG$105,Arablefinance!$AG$2,FALSE)*C34*D34,VLOOKUP(B34,Arablefinance!$E$6:$X$126,Arablefinance!$X$2,FALSE)*D34),0)*IF(A34&gt;='Options and results'!$H$27,'Options and results'!$H$26,1))*IF(1+'Options and results'!$O$22*(A34-1)&gt;0,1+'Options and results'!$O$22*(A34-1),0)</f>
        <v>444.44444444444446</v>
      </c>
      <c r="M34" s="1442">
        <f>IF(D34&lt;=0,0,IF(A34&lt;='Options and results'!$W$20,'Options and results'!$C$27,0)*IF(A34&gt;='Options and results'!$H$27,'Options and results'!$H$26,1))*IF(1+'Options and results'!$O$21*(A34-1)&gt;0,1+'Options and results'!$O$21*(A34-1),0)</f>
        <v>14.6</v>
      </c>
      <c r="N34" s="1442">
        <f>IF(D34&lt;=0,0,IF(A34&lt;='Options and results'!$W$20,IF(C34&gt;0,VLOOKUP(B34,Arablefinance!$Z$6:$AH$105,Arablefinance!$AH$2,FALSE)*C34*D34,VLOOKUP(B34,Arablefinance!$E$6:$W$126,Arablefinance!$V$2,FALSE)*D34),0)*IF(A34&gt;='Options and results'!$H$25,'Options and results'!$H$24,1))</f>
        <v>10.833689569810836</v>
      </c>
      <c r="O34" s="1013">
        <f t="shared" si="129"/>
        <v>1137.8246454970158</v>
      </c>
      <c r="P34" s="1353">
        <f t="shared" si="130"/>
        <v>-548.04192289249738</v>
      </c>
      <c r="Q34" s="1013">
        <f>IF(A34&lt;='Options and results'!$W$20,SUM(G$8:$G34),0)</f>
        <v>39650.183054597117</v>
      </c>
      <c r="R34" s="1441">
        <f>IF($A34&lt;='Options and results'!$W$20,SUM($H$8:H34),0)</f>
        <v>6350.3999999999969</v>
      </c>
      <c r="S34" s="1441">
        <f>IF($A34&lt;='Options and results'!$W$20,SUM($O$8:O34),0)</f>
        <v>32831.914437475913</v>
      </c>
      <c r="T34" s="1032">
        <f>IF(A34&lt;='Options and results'!$W$20,Q34+R34-S34,0)</f>
        <v>13168.668617121199</v>
      </c>
      <c r="U34" s="405"/>
      <c r="V34" s="1010">
        <f t="shared" si="131"/>
        <v>27</v>
      </c>
      <c r="W34" s="173"/>
      <c r="X34" s="1036"/>
      <c r="Y34" s="1030">
        <f>IF(V34&lt;='Options and results'!$M$34,'Options and results'!$M$33,0)</f>
        <v>0</v>
      </c>
      <c r="Z34" s="1441">
        <f t="shared" si="132"/>
        <v>0</v>
      </c>
      <c r="AA34" s="1441">
        <f t="shared" si="133"/>
        <v>0</v>
      </c>
      <c r="AB34" s="1428">
        <f t="shared" si="134"/>
        <v>156</v>
      </c>
      <c r="AC34" s="1441">
        <f>IF($W$8=0,0,IF(HLOOKUP(CONCATENATE('Options and results'!$C$32," ",Forestrysystem!$C$8),Forestrysystem!$A$7:$IH$70,V34+4,FALSE)&lt;AB34,HLOOKUP(CONCATENATE('Options and results'!$C$32," ",Forestrysystem!$C$8),Forestrysystem!$A$7:$IH$70,V34+4,FALSE),0))</f>
        <v>0</v>
      </c>
      <c r="AD34" s="1441">
        <f>IF($W$8=0,0,IF(HLOOKUP(CONCATENATE('Options and results'!$C$32," ",Forestrysystem!$C$8),Forestrysystem!$A$7:$IH$70,V34+4,FALSE)&gt;=AB34,AB34,0))</f>
        <v>0</v>
      </c>
      <c r="AE34" s="1440">
        <f>IF($W$8=0,0,HLOOKUP(CONCATENATE('Options and results'!$C$32," ",Forestrysystem!$D$8),Forestrysystem!$A$7:$IH$70,$V34+4,FALSE))</f>
        <v>27.40099990923574</v>
      </c>
      <c r="AF34" s="1037"/>
      <c r="AG34" s="1440">
        <f>IF($W$8=0,0,IF(V34=1,'Options and results'!$M$36,0)+IF('Options and results'!$M$39="yes",IF(AND(AG33+'Options and results'!$M$37&lt;=$AF$8,AG33+'Options and results'!$M$37+IF(V34=1,'Options and results'!$M$36,0)&lt;='Options and results'!$M$38*AE34),AG33+'Options and results'!$M$37,AG33),(HLOOKUP(CONCATENATE('Options and results'!$C$32," ",Forestrysystem!$E$8),Forestrysystem!$A$7:$IH$70,V34+4,FALSE))-IF(V34=1,'Options and results'!$M$36,0)))</f>
        <v>7.5</v>
      </c>
      <c r="AH34" s="1442">
        <f>IF(OR($W$8=0,AB34&lt;=0),0,(HLOOKUP(CONCATENATE('Options and results'!$C$32," ",Forestrysystem!$F$8),Forestrysystem!$A$7:$IH$70,$V34+4,FALSE)) * IF(V34&gt;='Options and results'!$I$19,'Options and results'!$I$18,1) )</f>
        <v>187.15519639685195</v>
      </c>
      <c r="AI34" s="1452">
        <f t="shared" si="179"/>
        <v>1.1997127974157176</v>
      </c>
      <c r="AJ34" s="1442">
        <f t="shared" si="135"/>
        <v>0</v>
      </c>
      <c r="AK34" s="1453">
        <f>IF(OR($W$8=0,AE34&lt;=0),0,(HLOOKUP(CONCATENATE('Options and results'!$C$32," ",Forestrysystem!$G$8),Forestrysystem!$A$7:$IH$70,$V34+4,FALSE)) * IF(Y34&gt;='Options and results'!$I$19,'Options and results'!$I$18,1) )</f>
        <v>82.525612506296781</v>
      </c>
      <c r="AL34" s="1453">
        <f>IF($W$8=0,0,HLOOKUP(CONCATENATE('Options and results'!$C$32," ",Forestrysystem!$H$8),Forestrysystem!$A$7:$IH$70,$V34+4,FALSE)*IF(V34&gt;='Options and results'!$I$19,'Options and results'!$I$18,1))</f>
        <v>0</v>
      </c>
      <c r="AM34" s="1383">
        <f>IF($W$8=0,0,HLOOKUP(CONCATENATE('Options and results'!$C$32," ",Forestrysystem!$I$8),Forestrysystem!$A$7:$IH$70,$V34+4,FALSE)*IF(V34&gt;='Options and results'!$I$19,'Options and results'!$I$18,1))</f>
        <v>0</v>
      </c>
      <c r="AN34" s="1382">
        <f>IF(AI34&gt;0,HLOOKUP(AI34,Treevalue!$I$4:$BC$34,'Options and results'!$C$39+1),0)*IF(V34&gt;='Options and results'!$I$21,'Options and results'!$I$20,1)*IF(1+'Options and results'!$Q$20*(V34-1)&gt;0,1+'Options and results'!$Q$20*(V34-1),0)</f>
        <v>25.135170948450579</v>
      </c>
      <c r="AO34" s="1454">
        <f t="shared" si="136"/>
        <v>4704.1778553257154</v>
      </c>
      <c r="AP34" s="1454">
        <f t="shared" si="137"/>
        <v>0</v>
      </c>
      <c r="AQ34" s="1454">
        <f>(IF('Options and results'!$C$39&gt;0,IF(V34&lt;='Options and results'!$W$20,VLOOKUP('Options and results'!$C$39,Treevalue!$A$4:$F$34,5,FALSE),0),0)*AK34)*IF(V34&gt;='Options and results'!$I$21,'Options and results'!$I$20,1)*IF(1+'Options and results'!$Q$20*(V34-1)&gt;0,1+'Options and results'!$Q$20*(V34-1),0)-AR34</f>
        <v>2063.1403126574196</v>
      </c>
      <c r="AR34" s="1441">
        <f>(IF('Options and results'!$C$39&gt;0,IF(V34&lt;='Options and results'!$W$20,VLOOKUP('Options and results'!$C$39,Treevalue!$A$4:$F$34,5,FALSE),0),0)*AL34)*IF(V34&gt;='Options and results'!$I$21,'Options and results'!$I$20,1)*IF(1+'Options and results'!$Q$20*(V34-1)&gt;0,1+'Options and results'!$Q$20*(V34-1),0)</f>
        <v>0</v>
      </c>
      <c r="AS34" s="1441">
        <f>(IF('Options and results'!$C$39&gt;0,IF(V34&lt;='Options and results'!$W$20,VLOOKUP('Options and results'!$C$39,Treevalue!$A$4:$F$34,6,FALSE),0),0)*AM34)*IF(V34&gt;='Options and results'!$I$21,'Options and results'!$I$20,1)*IF(1+'Options and results'!$Q$20*(V34-1)&gt;0,1+'Options and results'!$Q$20*(V34-1),0)</f>
        <v>0</v>
      </c>
      <c r="AT34" s="1441">
        <f>IF(V34&lt;='Options and results'!$W$20,(IF(AB34&lt;=0,0,IF('Options and results'!$C$43="cost",(IF(V34&lt;='Options and results'!$C$44,BZ34*SUM('Options and results'!$C$45:$C$46),0)),IF('Options and results'!$C$41&gt;0,(IF(VLOOKUP('Options and results'!$C$42,Treegrant!$B$6:$L$42,Treegrant!$C$2,FALSE)=V34,VLOOKUP('Options and results'!$C$42,Treegrant!$B$6:$L$42,Treegrant!$D$2,FALSE),0)+IF(VLOOKUP('Options and results'!$C$42,Treegrant!$B$6:$L$42,Treegrant!$E$2,FALSE)=V34,VLOOKUP('Options and results'!$C$42,Treegrant!$B$6:$L$42,Treegrant!$F$2,FALSE),0)+IF(VLOOKUP('Options and results'!$C$42,Treegrant!$B$6:$L$42,Treegrant!$G$2,FALSE)=V34,VLOOKUP('Options and results'!$C$42,Treegrant!$B$6:$L$42,Treegrant!$H$2,FALSE)))*IF('Options and results'!$C$43="area",1,'Options and results'!$C$43),0)))*IF(V34&gt;='Options and results'!$I$23,'Options and results'!$I$22,1)),0)*IF(1+'Options and results'!$Q$23*(V34-1)&gt;0,1+'Options and results'!$Q$23*(V34-1),0)</f>
        <v>0</v>
      </c>
      <c r="AU34" s="1441">
        <f>IF($W$8=0,0,IF(V34&lt;='Options and results'!$W$20,IF(AB34&lt;=0,0,IF('Options and results'!$C$41&gt;0,IF(AND(VLOOKUP('Options and results'!$C$42,Treegrant!$B$6:$L$42,Treegrant!$J$2,FALSE)&lt;=V34,VLOOKUP('Options and results'!$C$42,Treegrant!$B$6:$L$42,Treegrant!$K$2,FALSE)&gt;=V34),(VLOOKUP('Options and results'!$C$42,Treegrant!$B$6:$L$42,Treegrant!$L$2,FALSE)),0)*IF('Options and results'!$C$47="full",1,'Options and results'!$C$47))*IF(V34&gt;='Options and results'!$I$23,'Options and results'!$I$22,1)),0))*IF(1+'Options and results'!$Q$23*(V34-1)&gt;0,1+'Options and results'!$Q$23*(V34-1),0)</f>
        <v>0</v>
      </c>
      <c r="AV34" s="1032">
        <f>IF($W$8=0,0,IF(V34&lt;='Options and results'!$W$20,IF(AB34&lt;=0,0,(IF('Options and results'!$C$41&gt;0,(IF(AND(VLOOKUP('Options and results'!$C$42,Treegrant!$B$6:$O$42,Treegrant!$M$2,FALSE)&lt;=V34,VLOOKUP('Options and results'!$C$42,Treegrant!$B$6:$O$42,Treegrant!$N$2,FALSE)&gt;=V34),(VLOOKUP('Options and results'!$C$42,Treegrant!$B$6:$O$42,Treegrant!$O$2,FALSE)),0)*IF('Options and results'!$C$48="full",1,'Options and results'!$C$48))+(IF(AND(VLOOKUP('Options and results'!$C$42,Treegrant!$B$6:$R$42,Treegrant!$P$2,FALSE)&lt;=V34,VLOOKUP('Options and results'!$C$42,Treegrant!$B$6:$R$42,Treegrant!$Q$2,FALSE)&gt;=V34),(VLOOKUP('Options and results'!$C$42,Treegrant!$B$6:$R$42,Treegrant!$R$2,FALSE)),0))*IF('Options and results'!$C$49="full",1,'Options and results'!$C$49)))*IF(V34&gt;='Options and results'!$I$23,'Options and results'!$I$22,1)),0))*IF(1+'Options and results'!$Q$23*(V34-1)&gt;0,1+'Options and results'!$Q$23*(V34-1),0)</f>
        <v>0</v>
      </c>
      <c r="AW34" s="1041"/>
      <c r="AX34" s="1042"/>
      <c r="AY34" s="1419">
        <f>IF($W$8=0,0,IF(V34=1,VLOOKUP($W$8,Treecost!$B$6:$AH$49,Treecost!$E$2,FALSE),0)*IF(V34&gt;='Options and results'!$I$25,'Options and results'!$I$24,1))</f>
        <v>0</v>
      </c>
      <c r="AZ34" s="889">
        <f>IF($W$8=0,0,IF(V34=1,VLOOKUP($W$8,Treecost!$B$6:$AH$49,Treecost!$F$2,FALSE),0)*IF(V34&gt;='Options and results'!$I$25,'Options and results'!$I$24,1))</f>
        <v>0</v>
      </c>
      <c r="BA34" s="889">
        <f>IF($W$8=0,0,IF(V34=1,VLOOKUP($W$8,Treecost!$B$6:$AH$49,Treecost!$G$2,FALSE),0)*IF(V34&gt;='Options and results'!$I$25,'Options and results'!$I$24,1))</f>
        <v>0</v>
      </c>
      <c r="BB34" s="889">
        <f>IF($W$8=0,0,IF(V34&lt;='Options and results'!$W$20,((VLOOKUP($W$8,Treecost!$B$6:$AH$49,Treecost!$H$2,FALSE)*(X34+AA34))/60)*IF(V34&gt;='Options and results'!$I$25,'Options and results'!$I$24,1),0))</f>
        <v>0</v>
      </c>
      <c r="BC34" s="889">
        <f>IF($W$8=0,0,IF(V34&lt;='Options and results'!$W$20,(((VLOOKUP($W$8,Treecost!$B$6:$AH$49,Treecost!$I$2,FALSE))*(X34+AA34))/60)*IF(V34&gt;='Options and results'!$I$25,'Options and results'!$I$24,1),0))</f>
        <v>0</v>
      </c>
      <c r="BD34" s="889">
        <f>IF($W$8=0,0,IF(V34&lt;='Options and results'!$W$20,(((VLOOKUP($W$8,Treecost!$B$6:$AH$49,Treecost!$J$2,FALSE))/60)*(X34+AA34))*IF(V34&gt;='Options and results'!$I$25,'Options and results'!$I$24,1),0))</f>
        <v>0</v>
      </c>
      <c r="BE34" s="1019">
        <f>IF($W$8=0,0,IF(V34&lt;='Options and results'!$W$20,(((VLOOKUP($W$8,Treecost!$B$6:$AH$49,Treecost!$C$2,FALSE)+VLOOKUP($W$8,Treecost!$B$6:$AH$49,Treecost!$D$2,FALSE))*(X34+AA34)*IF(1+'Options and results'!$Q$22*(V34-1)&gt;0,1+'Options and results'!$Q$22*(V34-1),0))+((AY34*$AX$8+AZ34*$AX$9+BA34*$AX$10+BB34*$AX$11+BC34*$AX$12+BD34*$AX$13)*IF(1+'Options and results'!$Q$21*(V34-1)&gt;0,1+'Options and results'!$Q$21*(V34-1),0)))*IF(V34&gt;='Options and results'!$I$27,'Options and results'!$I$26,1),0))</f>
        <v>0</v>
      </c>
      <c r="BF34" s="889">
        <f>IF($W$8=0,0,IF(V34&lt;='Options and results'!$W$20,IF(AND(VLOOKUP($W$8,Treecost!$B$6:$AH$49,Treecost!$K$2,FALSE)&lt;=V34,V34&lt;=(VLOOKUP($W$8,Treecost!$B$6:$AH$49,Treecost!$L$2,FALSE))),VLOOKUP($W$8,Treecost!$B$6:$AH$49,Treecost!$M$2,FALSE)*AB34/60,0)*IF(V34&gt;='Options and results'!$I$25,'Options and results'!$I$24,1),0))</f>
        <v>0</v>
      </c>
      <c r="BG34" s="1019">
        <f>IF(BF34&gt;0,(VLOOKUP($W$8,Treecost!$B$6:$AH$49,Treecost!$N$2,FALSE)*AB34*IF(1+'Options and results'!$Q$22*(V34-1)&gt;0,1+'Options and results'!$Q$22*(V34-1),0)+BF34*$AX$14*IF(1+'Options and results'!$Q$21*(V34-1)&gt;0,1+'Options and results'!$Q$21*(V34-1),0)),0)*IF(V34&gt;='Options and results'!$I$27,'Options and results'!$I$26,1)</f>
        <v>0</v>
      </c>
      <c r="BH34" s="889">
        <f>IF(V34&lt;='Options and results'!$W$20,IF(AND(AG34-AG33&gt;0,AG34&gt;'Options and results'!$M$36),(AB34-AC34)*(VLOOKUP($W$8,Treecost!$B$6:$AH$49,Treecost!$Y$2,FALSE)+(VLOOKUP($W$8,Treecost!$B$6:$AH$49,Treecost!$AA$2,FALSE)-VLOOKUP($W$8,Treecost!$B$6:$AH$49,Treecost!$Y$2,FALSE))/(VLOOKUP($W$8,Treecost!$B$6:$AH$49,Treecost!$Z$2,FALSE)-VLOOKUP($W$8,Treecost!$B$6:$AH$49,Treecost!$X$2,FALSE))*(AG34-VLOOKUP($W$8,Treecost!$B$6:$AH$49,Treecost!$X$2,FALSE)))/60,0)*IF(V34&gt;='Options and results'!$I$25,'Options and results'!$I$24,1),0)</f>
        <v>0</v>
      </c>
      <c r="BI34" s="303">
        <f>IF(V34&lt;='Options and results'!$W$20,IF(BH34&gt;0,VLOOKUP($W$8,Treecost!$B$6:$AH$49,Treecost!$AB$2,FALSE)/60*AB34,0)*IF(V34&gt;='Options and results'!$I$25,'Options and results'!$I$24,1),0)*((BH34-(MIN($BH$8:$BH$67)))/((MAX($BH$8:$BH$67))-(MIN($BH$8:$BH$67))))</f>
        <v>0</v>
      </c>
      <c r="BJ34" s="740">
        <f>IF(BH34&gt;0,(BH34*$AX$15+BI34*$AX$19)*IF(1+'Options and results'!$Q$21*(V34-1)&gt;0,1+'Options and results'!$Q$21*(V34-1),0),0)*IF(V34&gt;='Options and results'!$I$27,'Options and results'!$I$26,1)</f>
        <v>0</v>
      </c>
      <c r="BK34" s="891">
        <f>IF($W$8=0,0,IF(V34&lt;='Options and results'!$W$20,IF(VLOOKUP($W$8,Treecost!$B$2:$AH$49,Treecost!$O$2,FALSE)=V34,VLOOKUP($W$8,Treecost!$B$2:$AH$49,Treecost!$P$2,FALSE),0)*IF(V34&gt;='Options and results'!$I$25,'Options and results'!$I$24,1),0))</f>
        <v>0</v>
      </c>
      <c r="BL34" s="889">
        <f>IF($W$8=0,0,IF(V34&lt;='Options and results'!$W$20,IF(AND(V34&gt;VLOOKUP($W$8,Treecost!$B$2:$AH$49,Treecost!$O$2,FALSE),V34&lt;=VLOOKUP($W$8,Treecost!$B$2:$AH$49,Treecost!$R$2,FALSE)),VLOOKUP($W$8,Treecost!$B$2:$AH$49,Treecost!$S$2,FALSE),0)*IF(V34&gt;='Options and results'!$I$25,'Options and results'!$I$24,1),0))</f>
        <v>0</v>
      </c>
      <c r="BM34" s="740">
        <f>IF($W$8=0,0,IF(V34&lt;='Options and results'!$W$20,((IF(VLOOKUP($W$8,Treecost!$B$2:$AH$49,Treecost!$O$2,FALSE)=V34,VLOOKUP($W$8,Treecost!$B$2:$AH$49,Treecost!$Q$2,FALSE),0)+IF(AND(V34&gt;VLOOKUP($W$8,Treecost!$B$2:$AH$49,Treecost!$O$2,FALSE),V34&lt;=VLOOKUP($W$8,Treecost!$B$2:$AH$49,Treecost!$R$2,FALSE)),VLOOKUP($W$8,Treecost!$B$2:$AH$49,Treecost!$T$2,FALSE),0)*IF(1+'Options and results'!$Q$22*(V34-1)&gt;0,1+'Options and results'!$Q$22*(V34-1),0))+(BK34*$AX$16+BL34*$AX$17)*IF(1+'Options and results'!$Q$21*(V34-1)&gt;0,1+'Options and results'!$Q$21*(V34-1),0))*IF(V34&gt;='Options and results'!$I$27,'Options and results'!$I$26,1),0))</f>
        <v>0</v>
      </c>
      <c r="BN34" s="894">
        <f>IF($W$8=0,0,IF(V34&lt;='Options and results'!$W$20,IF(AND(V34&gt;=VLOOKUP($W$8,Treecost!$B$2:$W$49,Treecost!$U$2,FALSE),V34&lt;=VLOOKUP($W$8,Treecost!$B$2:$W$49,Treecost!$V$2,FALSE)),(AB34*VLOOKUP($W$8,Treecost!$B$2:$W$49,Treecost!$W$2,FALSE)/60),0)*IF(V34&gt;='Options and results'!$I$25,'Options and results'!$I$24,1),0))</f>
        <v>0</v>
      </c>
      <c r="BO34" s="740">
        <f>BN34*$AX$18*IF(V34&gt;='Options and results'!$I$27,'Options and results'!$I$26,1)*IF(1+'Options and results'!$Q$21*(V34-1)&gt;0,1+'Options and results'!$Q$21*(V34-1),0)</f>
        <v>0</v>
      </c>
      <c r="BP34" s="894">
        <f>IF(V34&lt;='Options and results'!$W$20,IF(AB34&lt;=0,0,VLOOKUP($W$8,Treecost!$B$6:$AH$49,Treecost!$AC$2,FALSE)+VLOOKUP($W$8,Treecost!$B$6:$AH$49,Treecost!$AD$2,FALSE)+IF(AND(V34&gt;=VLOOKUP($W$8,Treecost!$B$2:$AK$49,Treecost!$AI$2,FALSE),V34&lt;=VLOOKUP($W$8,Treecost!$B$2:$AK$49,Treecost!$AJ$2,FALSE)),(VLOOKUP($W$8,Treecost!$B$2:$AK$49,Treecost!$AK$2,FALSE)),0))*IF(V34&gt;='Options and results'!$I$27,'Options and results'!$I$26,1),0)*IF(1+'Options and results'!$Q$22*(V34-1)&gt;0,1+'Options and results'!$Q$22*(V34-1),0)</f>
        <v>3</v>
      </c>
      <c r="BQ34" s="894">
        <f>IF(V34&lt;='Options and results'!$W$20,IF(AC34&gt;0,VLOOKUP($W$8,Treecost!$B$6:$AH$49,Treecost!$AE$2,FALSE)/60*AC34,0)*IF(V34&gt;='Options and results'!$I$25,'Options and results'!$I$24,1),0)</f>
        <v>0</v>
      </c>
      <c r="BR34" s="740">
        <f>IF(V34&lt;='Options and results'!$W$20,IF(AC34&gt;0,VLOOKUP($W$8,Treecost!$B$6:$AH$49,Treecost!$AF$2,FALSE)/60*AC34,0)*IF(V34&gt;='Options and results'!$I$25,'Options and results'!$I$24,1),0)</f>
        <v>0</v>
      </c>
      <c r="BS34" s="740">
        <f>(BQ34*$AX$20+BR34*$AX$21)*IF(V34&gt;='Options and results'!$I$27,'Options and results'!$I$26,1)*IF(1+'Options and results'!$Q$21*(V34-1)&gt;0,1+'Options and results'!$Q$21*(V34-1),0)</f>
        <v>0</v>
      </c>
      <c r="BT34" s="894">
        <f>IF(V34&lt;='Options and results'!$W$20,IF(AD34&gt;0,(VLOOKUP($W$8,Treecost!$B$6:$AH$49,Treecost!$AG$2,FALSE)/60*AD34)*IF(V34&gt;='Options and results'!$I$25,'Options and results'!$I$24,1),0),0)</f>
        <v>0</v>
      </c>
      <c r="BU34" s="740">
        <f>IF(V34&lt;='Options and results'!$W$20,IF(AD34&gt;0,(VLOOKUP($W$8,Treecost!$B$6:$AH$49,Treecost!$AH$2,FALSE)/60*AD34)*IF(V34&gt;='Options and results'!$I$25,'Options and results'!$I$24,1),0),0)</f>
        <v>0</v>
      </c>
      <c r="BV34" s="740">
        <f>(BT34*$AX$22+BU34*$AX$23)*IF(V34&gt;='Options and results'!$I$27,'Options and results'!$I$26,1)*IF(1+'Options and results'!$Q$21*(V34-1)&gt;0,1+'Options and results'!$Q$21*(V34-1),0)</f>
        <v>0</v>
      </c>
      <c r="BW34" s="1033">
        <f t="shared" si="138"/>
        <v>0</v>
      </c>
      <c r="BX34" s="1027">
        <f t="shared" si="139"/>
        <v>0</v>
      </c>
      <c r="BY34" s="1027">
        <f t="shared" si="140"/>
        <v>0</v>
      </c>
      <c r="BZ34" s="740">
        <f t="shared" si="124"/>
        <v>3</v>
      </c>
      <c r="CA34" s="740">
        <f t="shared" si="141"/>
        <v>-3</v>
      </c>
      <c r="CB34" s="894">
        <f>IF($V34&lt;='Options and results'!$W$20,SUM(BX$8:$BX34),0)</f>
        <v>0</v>
      </c>
      <c r="CC34" s="740">
        <f>IF($V34&lt;='Options and results'!$W$20,SUM($BY$8:BY34),0)</f>
        <v>0</v>
      </c>
      <c r="CD34" s="740">
        <f>IF($V34&lt;='Options and results'!$W$20,SUM($BZ$8:BZ34),0)</f>
        <v>1649.7443691843955</v>
      </c>
      <c r="CE34" s="740">
        <f>IF(V34&lt;='Options and results'!$W$20,CB34+CC34-CD34,0)</f>
        <v>-1649.7443691843955</v>
      </c>
      <c r="CF34" s="1381">
        <f t="shared" si="142"/>
        <v>476.35601753695619</v>
      </c>
      <c r="CG34" s="1027">
        <f t="shared" si="143"/>
        <v>473.35601753695619</v>
      </c>
      <c r="CH34" s="1027">
        <f t="shared" si="144"/>
        <v>0</v>
      </c>
      <c r="CI34" s="1189">
        <f>IF(V34&lt;='Options and results'!$W$20,CE34+AO34,0)</f>
        <v>3054.4334861413199</v>
      </c>
      <c r="CJ34" s="1023"/>
      <c r="CK34" s="895">
        <f t="shared" si="145"/>
        <v>27</v>
      </c>
      <c r="CL34" s="1011" t="str">
        <f>IF('Options and results'!$C$54="None",0,IF(AND(CK34&gt;='Options and results'!$K$57,CK33&lt;'Options and results'!$W$20),'Options and results'!$K$56,IF(Optimisation!$B$3="No",CONCATENATE('Options and results'!$C$60," ",(HLOOKUP(CONCATENATE('Options and results'!$C$54," ",Agroforestrysystem!$B$12),Agroforestrysystem!$B$11:$IM$74,$CK34+4,FALSE))),Optimisation!AA54)))</f>
        <v>UK - Agriculture (BPS: from 2015) Agroforestry fallow</v>
      </c>
      <c r="CM34" s="1012">
        <f>IF(HLOOKUP(CONCATENATE('Options and results'!$C$54," ",Agroforestrysystem!$C$12),Agroforestrysystem!$B$11:$IM$74,$CK34+4,FALSE)="T",(VLOOKUP(CL34,Arablefinance!$Z$6:$AB$105,Arablefinance!$AB$2,FALSE)*CO34+VLOOKUP(CL34,Arablefinance!$Z$6:$AC$105,Arablefinance!$AC$2,FALSE)*CP34)/VLOOKUP(CL34,Arablefinance!$Z$6:$AA$105,Arablefinance!$AA$2,FALSE),0)</f>
        <v>0</v>
      </c>
      <c r="CN34" s="1012">
        <f>IF(CL34=0,0,HLOOKUP(CONCATENATE('Options and results'!$C$54," ",Agroforestrysystem!$D$12),Agroforestrysystem!$B$11:$IM$74,$CK34+4,FALSE))</f>
        <v>0.99</v>
      </c>
      <c r="CO34" s="1440">
        <f ca="1">IF(CL34=0,0,IF(AND(Optimisation!$B$3="yes",Optimisation!$B$4=1,CK34&gt;Optimisation!$B$9),0,HLOOKUP(CONCATENATE('Options and results'!$C$54," ",Agroforestrysystem!$E$12),Agroforestrysystem!$B$11:$IM$74,$CK34+4,FALSE)*IF(CK34&gt;='Options and results'!$J$19,'Options and results'!$J$18,1)))</f>
        <v>0</v>
      </c>
      <c r="CP34" s="1440">
        <f ca="1">IF(CL34=0,0,IF(AND(Optimisation!$B$3="yes",Optimisation!$B$4=1,CK34&gt;Optimisation!$B$9),0,HLOOKUP(CONCATENATE('Options and results'!$C$54," ",Agroforestrysystem!$F$12),Agroforestrysystem!$B$11:$IM$74,$CK34+4,FALSE)*IF(CK34&gt;='Options and results'!$J$19,'Options and results'!$J$18,1)))</f>
        <v>0</v>
      </c>
      <c r="CQ34" s="1013">
        <f ca="1">IF(CN34&lt;=0,0,IF(CK34&lt;='Options and results'!$W$20,IF(CM34&gt;0,VLOOKUP(CL34,Arablefinance!$Z$6:$AE$105,Arablefinance!$AD$2,FALSE)*CM34*CN34,((VLOOKUP(CL34,Arablefinance!$E$6:$H$126,2,FALSE)*CO34+VLOOKUP(CL34,Arablefinance!$E$6:$H$126,3,FALSE)*CP34)*CN34)),0)*IF(CK34&gt;='Options and results'!$J$21,'Options and results'!$J$20,1))*IF(1+'Options and results'!$O$20*(CK34-1)&gt;0,1+'Options and results'!$O$20*(CK34-1),0)</f>
        <v>0</v>
      </c>
      <c r="CR34" s="1441">
        <f>IF(CN34&lt;=0,0,IF(AND(CM34&gt;0,VLOOKUP(CL34,Arablefinance!$Z$6:$AI$105,Arablefinance!$AI$2,FALSE)=2),VLOOKUP(CL34,Arablefinance!$Z$6:$AE$105,Arablefinance!$AE$2,FALSE)*CM34*CN34,IF('Options and results'!$C$62&gt;0,IF(VLOOKUP(CL34,Arablefinance!$E$6:$W$126,Arablefinance!$H$2,FALSE)*(1-Plot!DM34*'Options and results'!$C$62)&gt;0,VLOOKUP(CL34,Arablefinance!$E$6:$W$126,Arablefinance!$H$2,FALSE)*(1-Plot!DM34*'Options and results'!$C$62),0),IF(CK34&lt;='Options and results'!$W$20,(VLOOKUP(CL34,Arablefinance!$E$6:$W$126,Arablefinance!$H$2,FALSE)*IF('Options and results'!$C$61="area",CN34,'Options and results'!$C$61)),0)))*IF(CK34&gt;='Options and results'!$J$23,'Options and results'!$J$22,1))*IF(AND(1+'Options and results'!$O$23*(CK34-1)&gt;0,1+'Options and results'!$O$23*(CK34-1)&gt;'Options and results'!$S$24),1+'Options and results'!$O$23*(CK34-1),'Options and results'!$S$24)</f>
        <v>0</v>
      </c>
      <c r="CS34" s="1441">
        <f t="shared" ca="1" si="146"/>
        <v>0</v>
      </c>
      <c r="CT34" s="1441">
        <f>IF(CN34&lt;=0,0,IF(CK34&lt;='Options and results'!$W$20,IF(CM34&gt;0,VLOOKUP(CL34,Arablefinance!$Z$6:$AF$105,Arablefinance!$AF$2,FALSE)*CM34*CN34,VLOOKUP(CL34,Arablefinance!$E$6:$X$126,Arablefinance!$R$2,FALSE)*CN34),0)*IF(CK34&gt;='Options and results'!$J$27,'Options and results'!$J$26,1))*IF(1+'Options and results'!$O$22*(CK34-1)&gt;0,1+'Options and results'!$O$22*(CK34-1),0)</f>
        <v>0</v>
      </c>
      <c r="CU34" s="1441">
        <f t="shared" ca="1" si="147"/>
        <v>0</v>
      </c>
      <c r="CV34" s="1441">
        <f>IF(CN34&lt;=0,0,IF(CK34&lt;='Options and results'!$W$20,IF(CM34&gt;0,VLOOKUP(CL34,Arablefinance!$Z$6:$AG$105,Arablefinance!$AG$2,FALSE)*CM34*CN34,VLOOKUP(CL34,Arablefinance!$E$6:$X$126,Arablefinance!$X$2,FALSE)*CN34),0)*IF(CK34&gt;='Options and results'!$J$27,'Options and results'!$J$26,1))*IF(1+'Options and results'!$O$22*(CK34-1)&gt;0,1+'Options and results'!$O$22*(CK34-1),0)</f>
        <v>0</v>
      </c>
      <c r="CW34" s="1442">
        <f>IF(CN34&lt;=0,0,IF(CK34&lt;='Options and results'!$W$20,'Options and results'!$C$27*IF(CK34&gt;='Options and results'!$J$27,'Options and results'!$J$26,1),0))*IF(1+'Options and results'!$O$21*(CK34-1)&gt;0,1+'Options and results'!$O$21*(CK34-1),0)</f>
        <v>14.6</v>
      </c>
      <c r="CX34" s="1442">
        <f>IF(CN34&lt;=0,0,IF(CK34&lt;='Options and results'!$W$20,IF(CM34&gt;0,VLOOKUP(CL34,Arablefinance!$Z$6:$AH$105,Arablefinance!$AH$2,FALSE)*CM34*CN34,VLOOKUP(CL34,Arablefinance!$E$6:$W$126,Arablefinance!$V$2,FALSE)*CN34),0)*IF(CK34&gt;='Options and results'!$J$25,'Options and results'!$J$24,1))</f>
        <v>0</v>
      </c>
      <c r="CY34" s="1013">
        <f t="shared" si="148"/>
        <v>0</v>
      </c>
      <c r="CZ34" s="1353">
        <f t="shared" ca="1" si="149"/>
        <v>0</v>
      </c>
      <c r="DA34" s="1013">
        <f ca="1">IF($CK34&lt;='Options and results'!$W$20,SUM($CQ$8:CQ34),0)</f>
        <v>18417.950100000002</v>
      </c>
      <c r="DB34" s="1441">
        <f>IF($CK34&lt;='Options and results'!$W$20,SUM($CR$8:CR34),0)</f>
        <v>0</v>
      </c>
      <c r="DC34" s="1441">
        <f>IF($CK34&lt;='Options and results'!$W$20,SUM($CY$8:CY34),0)</f>
        <v>16943.30918829242</v>
      </c>
      <c r="DD34" s="1189">
        <f ca="1">IF(CK34&lt;='Options and results'!$W$20,DA34+DB34-DC34,0)</f>
        <v>1474.6409117075818</v>
      </c>
      <c r="DE34" s="401"/>
      <c r="DF34" s="895">
        <f t="shared" si="150"/>
        <v>27</v>
      </c>
      <c r="DG34" s="173"/>
      <c r="DH34" s="1422"/>
      <c r="DI34" s="1427">
        <f>IF(DF34&lt;='Options and results'!$M$61,'Options and results'!$M$60,0)</f>
        <v>0</v>
      </c>
      <c r="DJ34" s="740">
        <f t="shared" si="151"/>
        <v>0</v>
      </c>
      <c r="DK34" s="740">
        <f t="shared" si="152"/>
        <v>0</v>
      </c>
      <c r="DL34" s="1428">
        <f t="shared" si="153"/>
        <v>100</v>
      </c>
      <c r="DM34" s="1429">
        <f>IF($DG$8=0,0,HLOOKUP(CONCATENATE('Options and results'!$C$54," ",Agroforestrysystem!$J$12),Agroforestrysystem!$11:$74,DF34+3,FALSE))/100</f>
        <v>1</v>
      </c>
      <c r="DN34" s="740">
        <f>IF($DG$8=0,0,IF(HLOOKUP(CONCATENATE('Options and results'!$C$54," ",Agroforestrysystem!$H$12),Agroforestrysystem!$11:$74,DF34+4,FALSE)&lt;DL34,HLOOKUP(CONCATENATE('Options and results'!$C$54," ",Agroforestrysystem!$H$12),Agroforestrysystem!$11:$74,DF34+4,FALSE),0))</f>
        <v>0</v>
      </c>
      <c r="DO34" s="1027">
        <f>IF($DG$8=0,0,IF(HLOOKUP(CONCATENATE('Options and results'!$C$54," ",Agroforestrysystem!$H$12),Agroforestrysystem!$11:$74,DF34+4,FALSE)&gt;=DL34,DL34,0))</f>
        <v>0</v>
      </c>
      <c r="DP34" s="1430">
        <f>IF($DG$8=0,0,HLOOKUP(CONCATENATE('Options and results'!$C$54," ",Agroforestrysystem!$I$12),Agroforestrysystem!$11:$74,DF34+4,FALSE))</f>
        <v>31.552991880035002</v>
      </c>
      <c r="DQ34" s="1038"/>
      <c r="DR34" s="1390">
        <f>IF($DG$8=0,0,IF(DF34&gt;'Options and results'!$W$20,0,)+IF(DF34=1,'Options and results'!$M$64)+IF('Options and results'!$M$67="yes",IF(AND(DR33+'Options and results'!$M$65&lt;=$DQ$8,DR33+'Options and results'!$M$65+IF(DF34=1,'Options and results'!$M$64,0)&lt;='Options and results'!$M$66*DP34),DR33+'Options and results'!$M$65,DR33),(HLOOKUP(CONCATENATE('Options and results'!$C$54," ",Agroforestrysystem!$K$12),Agroforestrysystem!$11:$74,DF34+4,FALSE)-IF(DF34=1,'Options and results'!$M$64))))</f>
        <v>7.5</v>
      </c>
      <c r="DS34" s="1027">
        <f>IF(OR($DG$8=0,DL34=0),0,HLOOKUP(CONCATENATE('Options and results'!$C$54," ",Agroforestrysystem!$L$12),Agroforestrysystem!$11:$74,DF34+4,FALSE)*IF(DF34&gt;='Options and results'!$K$19,'Options and results'!$K$18,1))</f>
        <v>183.18912776364732</v>
      </c>
      <c r="DT34" s="1431">
        <f t="shared" si="154"/>
        <v>1.8318912776364733</v>
      </c>
      <c r="DU34" s="889">
        <f t="shared" si="155"/>
        <v>0</v>
      </c>
      <c r="DV34" s="1027">
        <f>IF($DG$8=0,0,(HLOOKUP(CONCATENATE('Options and results'!$C$54," ",Agroforestrysystem!$M$12),Agroforestrysystem!$11:$74,DF34+4,FALSE))*IF(DF34&gt;='Options and results'!$K$19,'Options and results'!$K$18,1))-DW34</f>
        <v>80.77678453091319</v>
      </c>
      <c r="DW34" s="303">
        <f>IF($DG$8=0,0,(HLOOKUP(CONCATENATE('Options and results'!$C$54," ",Agroforestrysystem!$N$12),Agroforestrysystem!$11:$74,DF34+4,FALSE))*IF(DF34&gt;='Options and results'!$K$19,'Options and results'!$K$18,1))</f>
        <v>0</v>
      </c>
      <c r="DX34" s="303">
        <f>IF($DG$8=0,0,HLOOKUP(CONCATENATE('Options and results'!$C$54," ",Agroforestrysystem!$O$12),Agroforestrysystem!$11:$74,DF34+4,FALSE)*IF(DF34&gt;='Options and results'!$K$19,'Options and results'!$K$18,1))</f>
        <v>0</v>
      </c>
      <c r="DY34" s="1192">
        <f>IF(DT34&gt;0,HLOOKUP(DT34,Treevalue!$I$4:$BC$34,'Options and results'!$C$66+1),0)*IF(DF34&gt;='Options and results'!$K$21,'Options and results'!$K$20,1)*IF(1+'Options and results'!$Q$20*(DF34-1)&gt;0,1+'Options and results'!$Q$20*(DF34-1),0)</f>
        <v>31.054306705566326</v>
      </c>
      <c r="DZ34" s="1027">
        <f t="shared" si="156"/>
        <v>5688.8113586974796</v>
      </c>
      <c r="EA34" s="1027">
        <f t="shared" si="125"/>
        <v>0</v>
      </c>
      <c r="EB34" s="1027">
        <f>(IF('Options and results'!$C$66&gt;0,IF(DF34&lt;='Options and results'!$W$20,VLOOKUP('Options and results'!$C$66,Treevalue!$A$4:$F$34,5,FALSE),0),0)*DV34)*IF(DF34&gt;='Options and results'!$K$21,'Options and results'!$K$20,1)*IF(1+'Options and results'!$Q$20*(DF34-1)&gt;0,1+'Options and results'!$Q$20*(DF34-1),0)</f>
        <v>2019.4196132728298</v>
      </c>
      <c r="EC34" s="740">
        <f>(IF('Options and results'!$C$66&gt;0,IF(DF34&lt;='Options and results'!$W$20,VLOOKUP('Options and results'!$C$66,Treevalue!$A$4:$F$34,5,FALSE),0),0)*DW34)*IF(DF34&gt;='Options and results'!$K$21,'Options and results'!$K$20,1)*IF(1+'Options and results'!$Q$20*(DF34-1)&gt;0,1+'Options and results'!$Q$20*(DF34-1),0)</f>
        <v>0</v>
      </c>
      <c r="ED34" s="889">
        <f>(IF('Options and results'!$C$66&gt;0,IF(DF34&lt;='Options and results'!$W$20,VLOOKUP('Options and results'!$C$66,Treevalue!$A$4:$F$34,6,FALSE),0),0)*DX34)*IF(DF34&gt;='Options and results'!$K$21,'Options and results'!$K$20,1)*IF(1+'Options and results'!$Q$20*(DF34-1)&gt;0,1+'Options and results'!$Q$20*(DF34-1),0)</f>
        <v>0</v>
      </c>
      <c r="EE34" s="740">
        <f>IF(DF34&lt;='Options and results'!$W$20,IF(DL34&lt;=0,0,IF('Options and results'!$C$70="cost",(IF(DF34&lt;='Options and results'!$C$71,FK34*SUM('Options and results'!$C$72:$C$73),0)),IF('Options and results'!$C$68&gt;0,(IF(VLOOKUP('Options and results'!$C$69,Treegrant!$B$6:$L$42,Treegrant!$C$2,FALSE)=DF34,VLOOKUP('Options and results'!$C$69,Treegrant!$B$6:$L$42,Treegrant!$D$2,FALSE),0)+IF(VLOOKUP('Options and results'!$C$69,Treegrant!$B$6:$L$42,Treegrant!$E$2,FALSE)=DF34,VLOOKUP('Options and results'!$C$69,Treegrant!$B$6:$L$42,Treegrant!$F$2,FALSE),0)+IF(VLOOKUP('Options and results'!$C$69,Treegrant!$B$6:$L$42,Treegrant!$G$2,FALSE)=DF34,VLOOKUP('Options and results'!$C$69,Treegrant!$B$6:$L$42,Treegrant!$H$2,FALSE)))*IF('Options and results'!$C$70="area",Unit!C35,'Options and results'!$C$70),0))*IF(DF34&gt;='Options and results'!$K$23,'Options and results'!$K$22,1)),0)*IF(1+'Options and results'!$Q$23*(DF34-1)&gt;0,1+'Options and results'!$Q$23*(DF34-1),0)</f>
        <v>0</v>
      </c>
      <c r="EF34" s="740">
        <f>IF($DG$8=0,0,IF(DF34&lt;='Options and results'!$W$20,IF(DL34&lt;=0,0,IF('Options and results'!$C$68&gt;0,IF(AND(VLOOKUP('Options and results'!$C$69,Treegrant!$B$6:$L$42,Treegrant!$J$2,FALSE)&lt;=DF34,VLOOKUP('Options and results'!$C$69,Treegrant!$B$6:$L$42,Treegrant!$K$2,FALSE)&gt;=DF34),(VLOOKUP('Options and results'!$C$69,Treegrant!$B$6:$L$42,Treegrant!$L$2,FALSE)),0)*IF('Options and results'!$C$74="area",Unit!C35,'Options and results'!$C$74))*IF(DF34&gt;='Options and results'!$K$23,'Options and results'!$K$22,1)),0))*IF(1+'Options and results'!$Q$23*(DF34-1)&gt;0,1+'Options and results'!$Q$23*(DF34-1),0)</f>
        <v>0</v>
      </c>
      <c r="EG34" s="1034">
        <f>IF($DG$8=0,0,IF(DF34&lt;='Options and results'!$W$20,IF(DL34&lt;=0,0,IF('Options and results'!$C$68&gt;0,((IF(AND(VLOOKUP('Options and results'!$C$69,Treegrant!$B$6:$O$42,Treegrant!$M$2,FALSE)&lt;=DF34,VLOOKUP('Options and results'!$C$69,Treegrant!$B$6:$O$42,Treegrant!$N$2,FALSE)&gt;=DF34),(VLOOKUP('Options and results'!$C$69,Treegrant!$B$6:$O$42,Treegrant!$O$2,FALSE)),0)*IF('Options and results'!$C$75="area",Unit!C35,'Options and results'!$C$75))+(IF(AND(VLOOKUP('Options and results'!$C$69,Treegrant!$B$6:$R$42,Treegrant!$P$2,FALSE)&lt;=DF34,VLOOKUP('Options and results'!$C$69,Treegrant!$B$6:$R$42,Treegrant!$Q$2,FALSE)&gt;=DF34),(VLOOKUP('Options and results'!$C$69,Treegrant!$B$6:$R$42,Treegrant!$R$2,FALSE)),0))*IF('Options and results'!$C$76="area",Unit!C35,'Options and results'!$C$76)))*IF(DF34&gt;='Options and results'!$K$23,'Options and results'!$K$22,1)),0))*IF(1+'Options and results'!$Q$23*(DF34-1)&gt;0,1+'Options and results'!$Q$23*(DF34-1),0)</f>
        <v>0</v>
      </c>
      <c r="EH34" s="1041"/>
      <c r="EI34" s="1042"/>
      <c r="EJ34" s="1419">
        <f>IF($DH$8+DK34&lt;1,0,IF(DF34=1,VLOOKUP($DG$8,Treecost!$B$6:$AH$49,Treecost!$E$2,FALSE),0)*IF(DF34&gt;='Options and results'!$K$25,'Options and results'!$K$24,1))</f>
        <v>0</v>
      </c>
      <c r="EK34" s="889">
        <f>IF($DH$8+DK34&lt;1,0,IF(DF34=1,VLOOKUP($DG$8,Treecost!$B$6:$AH$49,Treecost!$F$2,FALSE),0)*IF(DF34&gt;='Options and results'!$K$25,'Options and results'!$K$24,1))</f>
        <v>0</v>
      </c>
      <c r="EL34" s="889">
        <f>IF($DH$8+DK34&lt;1,0,IF(DF34=1,VLOOKUP($DG$8,Treecost!$B$6:$AH$49,Treecost!$G$2,FALSE),0)*IF(DF34&gt;='Options and results'!$K$25,'Options and results'!$K$24,1))</f>
        <v>0</v>
      </c>
      <c r="EM34" s="889">
        <f>IF($DG$8=0,0,IF(DF34&lt;='Options and results'!$W$20,((VLOOKUP($DG$8,Treecost!$B$6:$AH$49,Treecost!$H$2,FALSE)*(DH34+DK34))/60)*IF(DF34&gt;='Options and results'!$K$25,'Options and results'!$K$24,1),0))</f>
        <v>0</v>
      </c>
      <c r="EN34" s="889">
        <f>IF($DG$8=0,0,IF(DF34&lt;='Options and results'!$W$20,(((VLOOKUP($DG$8,Treecost!$B$6:$AH$49,Treecost!$I$2,FALSE))*(DH34+DK34))/60)*IF(DF34&gt;='Options and results'!$K$25,'Options and results'!$K$24,1),0))</f>
        <v>0</v>
      </c>
      <c r="EO34" s="889">
        <f>IF($DG$8=0,0,IF(DF34&lt;='Options and results'!$W$20,(((VLOOKUP($DG$8,Treecost!$B$6:$AH$49,Treecost!$J$2,FALSE))/60)*(DH34+DK34))*IF(DF34&gt;='Options and results'!$K$25,'Options and results'!$K$24,1),0))</f>
        <v>0</v>
      </c>
      <c r="EP34" s="1019">
        <f>IF($DG$8=0,0,IF(DF34&lt;='Options and results'!$W$20,(((VLOOKUP($DG$8,Treecost!$B$6:$AH$49,Treecost!$C$2,FALSE)+VLOOKUP($DG$8,Treecost!$B$6:$AH$49,Treecost!$D$2,FALSE))*(DH34+DK34)*IF(1+'Options and results'!$Q$22*(DF34-1)&gt;0,1+'Options and results'!$Q$22*(DF34-1),0))+(EJ34*$EI$8+EK34*$EI$9+EL34*$EI$10+EM34*$EI$11+EN34*$EI$12+EO34*$EI$13)*IF(1+'Options and results'!$Q$21*(DF34-1)&gt;0,1+'Options and results'!$Q$21*(DF34-1),0))*IF(DF34&gt;='Options and results'!$K$27,'Options and results'!$K$26,1),0))</f>
        <v>0</v>
      </c>
      <c r="EQ34" s="740">
        <f>IF($DG$8=0,0,IF(DF34&lt;='Options and results'!$W$20,IF(AND(VLOOKUP($DG$8,Treecost!$B$6:$AH$49,Treecost!$K$2,FALSE)&lt;=DF34,DF34&lt;=(VLOOKUP($DG$8,Treecost!$B$6:$AH$49,Treecost!$L$2,FALSE))),VLOOKUP($DG$8,Treecost!$B$6:$AH$49,Treecost!$M$2,FALSE)*DL34/60,0)*IF(DF34&gt;='Options and results'!$K$25,'Options and results'!$K$24,1),0))</f>
        <v>0</v>
      </c>
      <c r="ER34" s="1019">
        <f>IF(EQ34&gt;0,(VLOOKUP($DG$8,Treecost!$B$6:$AH$49,Treecost!$N$2,FALSE)*DL34*IF(1+'Options and results'!$Q$22*(DF34-1)&gt;0,1+'Options and results'!$Q$22*(DF34-1),0)+EQ34*$EI$14*IF(1+'Options and results'!$Q$21*(DF34-1)&gt;0,1+'Options and results'!$Q$21*(DF34-1),0)),0)*IF(DF34&gt;='Options and results'!$K$27,'Options and results'!$K$26,1)</f>
        <v>0</v>
      </c>
      <c r="ES34" s="889">
        <f>IF(DF34&lt;='Options and results'!$W$20,IF(AND(DR34-DR33&gt;0,DR34&gt;'Options and results'!$M$64),(DL34-DN34)*(VLOOKUP($DG$8,Treecost!$B$6:$AH$49,Treecost!$Y$2,FALSE)+(VLOOKUP($DG$8,Treecost!$B$6:$AH$49,Treecost!$AA$2,FALSE)-VLOOKUP($DG$8,Treecost!$B$6:$AH$49,Treecost!$Y$2,FALSE))/(VLOOKUP($DG$8,Treecost!$B$6:$AH$49,Treecost!$Z$2,FALSE)-VLOOKUP($DG$8,Treecost!$B$6:$AH$49,Treecost!$X$2,FALSE))*(DR34-VLOOKUP($DG$8,Treecost!$B$6:$AH$49,Treecost!$X$2,FALSE)))/60,0)*IF(DF34&gt;='Options and results'!$K$25,'Options and results'!$K$24,1),0)</f>
        <v>0</v>
      </c>
      <c r="ET34" s="889">
        <f>IF(DF34&lt;='Options and results'!$W$20,IF(ES34&gt;0,VLOOKUP($DG$8,Treecost!$B$6:$AH$49,Treecost!$AB$2,FALSE)/60*DL34,0)*IF(DF34&gt;='Options and results'!$K$25,'Options and results'!$K$24,1),0)*((ES34-(MIN($ES$8:$ES$67)))/((MAX($ES$8:$ES$67))-(MIN($ES$8:$ES$67))))</f>
        <v>0</v>
      </c>
      <c r="EU34" s="740">
        <f>IF(ES34&gt;0,(ES34*$EI$15+ET34*$EI$19)*IF(1+'Options and results'!$Q$21*(DF34-1)&gt;0,1+'Options and results'!$Q$21*(DF34-1),0),0)*IF(DF34&gt;='Options and results'!$K$27,'Options and results'!$K$26,1)</f>
        <v>0</v>
      </c>
      <c r="EV34" s="891">
        <f>IF($DG$8=0,0,IF(DF34&lt;='Options and results'!$W$20,IF(AND(VLOOKUP($DG$8,Treecost!$B$2:$AH$49,Treecost!$O$2,FALSE)=DF34,DF34&lt;=IF(AND(Optimisation!$B$3="Yes",Optimisation!$B$4=1),Optimisation!$B$9)),VLOOKUP($DG$8,Treecost!$B$2:$AH$49,Treecost!$P$2,FALSE)*(1-CN34),0)*IF(DF34&gt;='Options and results'!$K$25,'Options and results'!$K$24,1),0))</f>
        <v>0</v>
      </c>
      <c r="EW34" s="889">
        <f>IF($DG$8=0,0,IF(DF34&lt;='Options and results'!$W$20,IF(AND(DF34&gt;VLOOKUP($DG$8,Treecost!$B$2:$AH$49,Treecost!$O$2,FALSE),DF34&lt;=IF(AND(Optimisation!$B$3="Yes",Optimisation!$B$4=1),Optimisation!$B$9,VLOOKUP($DG$8,Treecost!$B$2:$AH$49,Treecost!$R$2,FALSE))),VLOOKUP($DG$8,Treecost!$B$2:$AH$49,Treecost!$S$2,FALSE)*(1-CN34),0)*IF(DF34&gt;='Options and results'!$K$25,'Options and results'!$K$24,1),0))</f>
        <v>0</v>
      </c>
      <c r="EX34" s="740">
        <f>IF($DG$8=0,0,IF(DF34&lt;='Options and results'!$W$20,(IF(AND(VLOOKUP($DG$8,Treecost!$B$2:$AH$49,Treecost!$O$2,FALSE)=DF34,DF34&lt;=IF(AND(Optimisation!$B$3="Yes",Optimisation!$B$4=1),Optimisation!$B$9)),VLOOKUP($DG$8,Treecost!$B$2:$AH$49,Treecost!$Q$2,FALSE),0)*(1-CN34)+IF(AND(DF34&gt;VLOOKUP($DG$8,Treecost!$B$2:$AH$49,Treecost!$O$2,FALSE),DF34&lt;=IF(AND(Optimisation!$B$3="Yes",Optimisation!$B$4=1),Optimisation!$B$9,VLOOKUP($DG$8,Treecost!$B$2:$AH$49,Treecost!$R$2,FALSE))),VLOOKUP($DG$8,Treecost!$B$2:$AH$49,Treecost!$T$2,FALSE),0)*(1-CN34)+(EV34*$EI$16+EW34*$EI$17))*IF(DF34&gt;='Options and results'!$K$27,'Options and results'!$K$26,1),0))*IF(1+'Options and results'!$Q$21*(DF34-1)&gt;0,1+'Options and results'!$Q$21*(DF34-1),0)</f>
        <v>0</v>
      </c>
      <c r="EY34" s="894">
        <f>IF($DG$8=0,0,IF(DF34&lt;='Options and results'!$W$20,IF(AND(DF34&gt;=VLOOKUP($DG$8,Treecost!$B$2:$W$49,Treecost!$U$2,FALSE),DF34&lt;=VLOOKUP($DG$8,Treecost!$B$2:$W$49,Treecost!$V$2,FALSE)),(DL34*VLOOKUP($DG$8,Treecost!$B$2:$W$49,Treecost!$W$2,FALSE)/60),0)*IF(DF34&gt;='Options and results'!$K$25,'Options and results'!$K$24,1),0))</f>
        <v>0</v>
      </c>
      <c r="EZ34" s="740">
        <f>EY34*$EI$18*IF(DF34&gt;='Options and results'!$K$27,'Options and results'!$K$26,1)*IF(1+'Options and results'!$Q$21*(DF34-1)&gt;0,1+'Options and results'!$Q$21*(DF34-1),0)</f>
        <v>0</v>
      </c>
      <c r="FA34" s="1025">
        <f>IF(DF34&lt;='Options and results'!$W$20,IF(DL34&lt;=0,0,VLOOKUP($DG$8,Treecost!$B$6:$AH$49,Treecost!$AC$2,FALSE)+VLOOKUP($DG$8,Treecost!$B$6:$AH$49,Treecost!$AD$2,FALSE)+IF(AND(DF34&gt;=VLOOKUP($DG$8,Treecost!$B$2:$AK$49,Treecost!$AI$2,FALSE),DF34&lt;=VLOOKUP($DG$8,Treecost!$B$2:$AK$49,Treecost!$AJ$2,FALSE)),VLOOKUP($DG$8,Treecost!$B$2:$AK$49,Treecost!$AK$2,FALSE)*(1-CN34),0))*IF(DF34&gt;='Options and results'!$K$27,'Options and results'!$K$26,1),0)*IF(1+'Options and results'!$Q$22*(DF34-1)&gt;0,1+'Options and results'!$Q$22*(DF34-1),0)</f>
        <v>3</v>
      </c>
      <c r="FB34" s="894">
        <f>IF(DF34&lt;='Options and results'!$W$20,IF(DN34&gt;0,VLOOKUP($DG$8,Treecost!$B$6:$AH$49,Treecost!$AE$2,FALSE)/60*DN34,0)*IF(DF34&gt;='Options and results'!$K$25,'Options and results'!$K$24,1),0)</f>
        <v>0</v>
      </c>
      <c r="FC34" s="740">
        <f>IF(DF34&lt;='Options and results'!$W$20,IF(DN34&gt;0,VLOOKUP($DG$8,Treecost!$B$6:$AH$49,Treecost!$AF$2,FALSE)/60*DN34,0)*IF(DF34&gt;='Options and results'!$K$25,'Options and results'!$K$24,1),0)</f>
        <v>0</v>
      </c>
      <c r="FD34" s="740">
        <f>(FB34*$EI$20+FC34*$EI$21)*IF(DF34&gt;='Options and results'!$K$27,'Options and results'!$K$26,1)*IF(1+'Options and results'!$Q$21*(DF34-1)&gt;0,1+'Options and results'!$Q$21*(DF34-1),0)</f>
        <v>0</v>
      </c>
      <c r="FE34" s="894">
        <f>IF(DF34&lt;='Options and results'!$W$20,IF(DO34&gt;0,(VLOOKUP($DG$8,Treecost!$B$6:$AH$49,Treecost!$AG$2,FALSE)/60*DO34)*IF(DF34&gt;='Options and results'!$K$25,'Options and results'!$K$24,1),0),0)</f>
        <v>0</v>
      </c>
      <c r="FF34" s="740">
        <f>IF(DF34&lt;='Options and results'!$W$20,IF(DO34&gt;0,(VLOOKUP($DG$8,Treecost!$B$6:$AH$49,Treecost!$AH$2,FALSE)/60*DO34)*IF(DF34&gt;='Options and results'!$K$25,'Options and results'!$K$24,1),0),0)</f>
        <v>0</v>
      </c>
      <c r="FG34" s="740">
        <f>(FE34*$EI$22+FF34*$EI$23)*IF(DF34&gt;='Options and results'!$K$27,'Options and results'!$K$26,1)*IF(1+'Options and results'!$Q$21*(DF34-1)&gt;0,1+'Options and results'!$Q$21*(DF34-1),0)</f>
        <v>0</v>
      </c>
      <c r="FH34" s="894">
        <f t="shared" si="157"/>
        <v>0</v>
      </c>
      <c r="FI34" s="1027">
        <f t="shared" si="158"/>
        <v>0</v>
      </c>
      <c r="FJ34" s="1027">
        <f t="shared" si="159"/>
        <v>0</v>
      </c>
      <c r="FK34" s="1027">
        <f t="shared" si="160"/>
        <v>3</v>
      </c>
      <c r="FL34" s="1027">
        <f t="shared" si="184"/>
        <v>-3</v>
      </c>
      <c r="FM34" s="1027">
        <f>IF($DF34&lt;='Options and results'!$W$20,SUM(FI$8:$FI34),0)</f>
        <v>0</v>
      </c>
      <c r="FN34" s="1027">
        <f>IF($DF34&lt;='Options and results'!$W$20,SUM($FJ$8:FJ34),0)</f>
        <v>0</v>
      </c>
      <c r="FO34" s="1027">
        <f>IF($DF34&lt;='Options and results'!$W$20,SUM($FK$8:FK34),0)</f>
        <v>1121.0448753513026</v>
      </c>
      <c r="FP34" s="1027">
        <f>IF($DF34&lt;='Options and results'!$W$20,FM34+FN34-FO34,0)</f>
        <v>-1121.0448753513026</v>
      </c>
      <c r="FQ34" s="1027">
        <f t="shared" si="162"/>
        <v>865.27790616105017</v>
      </c>
      <c r="FR34" s="1027">
        <f t="shared" si="163"/>
        <v>862.27790616105017</v>
      </c>
      <c r="FS34" s="1027">
        <f t="shared" si="164"/>
        <v>0</v>
      </c>
      <c r="FT34" s="1189">
        <f>IF(DF34&lt;='Options and results'!$W$20,FP34+DZ34,0)</f>
        <v>4567.7664833461768</v>
      </c>
      <c r="FU34" s="401"/>
      <c r="FV34" s="895">
        <f t="shared" si="165"/>
        <v>27</v>
      </c>
      <c r="FW34" s="894">
        <f>G34/(1+'Options and results'!$W$33)^(FV34-1)</f>
        <v>127.89417022876084</v>
      </c>
      <c r="FX34" s="740">
        <f>(AP34+AR34+AS34)/(1+'Options and results'!$W$33)^(FV34-1)</f>
        <v>0</v>
      </c>
      <c r="FY34" s="740">
        <f ca="1">CQ34/(1+'Options and results'!$W$33)^(FV34-1)</f>
        <v>0</v>
      </c>
      <c r="FZ34" s="740">
        <f>(EA34+EC34+ED34)/(1+'Options and results'!$W$33)^(FV34-1)</f>
        <v>0</v>
      </c>
      <c r="GA34" s="1019">
        <f t="shared" ca="1" si="180"/>
        <v>0</v>
      </c>
      <c r="GB34" s="1026">
        <f>(AO34+AQ34)/(1+'Options and results'!$W$33)^(FV34-1)+FX34</f>
        <v>2440.8987990471023</v>
      </c>
      <c r="GC34" s="1027">
        <f>IF(FV34&gt;'Options and results'!$W$27,0,GB34-GB33)</f>
        <v>81.053194071012058</v>
      </c>
      <c r="GD34" s="1027">
        <f>(DZ34+EB34)/(1+'Options and results'!$W$33)^(FV34-1)+FZ34</f>
        <v>2780.2759165773714</v>
      </c>
      <c r="GE34" s="1379">
        <f>IF(FV34&gt;'Options and results'!$W$27,0,GD34-GD33)</f>
        <v>213.36924455704457</v>
      </c>
      <c r="GF34" s="894">
        <f>IF(FV34&lt;='Options and results'!$W$20,SUM(FW$8:FW34),0)</f>
        <v>25666.89506346501</v>
      </c>
      <c r="GG34" s="740">
        <f>IF(FV34&lt;='Options and results'!$W$20,SUM(FX$8:FX34), 0)</f>
        <v>0</v>
      </c>
      <c r="GH34" s="740">
        <f ca="1">IF(FV34&lt;='Options and results'!$W$20,SUM(FY$8:FY34),0)</f>
        <v>14787.259868716837</v>
      </c>
      <c r="GI34" s="740">
        <f>IF(FV34&lt;='Options and results'!$W$20,SUM(FZ$8:FZ34),0)</f>
        <v>0</v>
      </c>
      <c r="GJ34" s="1019">
        <f t="shared" ca="1" si="166"/>
        <v>14787.259868716837</v>
      </c>
      <c r="GK34" s="894">
        <f>IF(FV34&gt;'Options and results'!$W$27,0,GG34+SUM(GC$8:GC34)-FX34)</f>
        <v>2440.8987990471023</v>
      </c>
      <c r="GL34" s="740">
        <f>IF(FV34&lt;='Options and results'!$W$20,SUM(GD$8:GD34),0)</f>
        <v>21906.472215442918</v>
      </c>
      <c r="GM34" s="1034">
        <f t="shared" ca="1" si="167"/>
        <v>36693.732084159754</v>
      </c>
      <c r="GN34" s="401"/>
      <c r="GO34" s="895">
        <f t="shared" si="168"/>
        <v>27</v>
      </c>
      <c r="GP34" s="894">
        <f>H34/(1+'Options and results'!$W$33)^(GO34-1)</f>
        <v>84.834107586665652</v>
      </c>
      <c r="GQ34" s="740">
        <f>SUM(AT34:AV34)/(1+'Options and results'!$W$33)^(GO34-1)</f>
        <v>0</v>
      </c>
      <c r="GR34" s="740">
        <f>CR34/(1+'Options and results'!$W$33)^(GO34-1)</f>
        <v>0</v>
      </c>
      <c r="GS34" s="740">
        <f>SUM(EE34:EG34)/(1+'Options and results'!$W$33)^(GO34-1)</f>
        <v>0</v>
      </c>
      <c r="GT34" s="1019">
        <f t="shared" si="181"/>
        <v>0</v>
      </c>
      <c r="GU34" s="894">
        <f>IF(GO34&lt;='Options and results'!$W$20,SUM(GP$8:GP34),0)</f>
        <v>3994.347310333354</v>
      </c>
      <c r="GV34" s="740">
        <f>IF(GO34&lt;='Options and results'!$W$20,SUM(GQ$8:GQ34),0)</f>
        <v>0</v>
      </c>
      <c r="GW34" s="740">
        <f>IF(GO34&lt;='Options and results'!$W$20,SUM(GR$8:GR34),0)</f>
        <v>0</v>
      </c>
      <c r="GX34" s="740">
        <f>IF(GO34&lt;='Options and results'!$W$20,SUM(GS$8:GS34),0)</f>
        <v>0</v>
      </c>
      <c r="GY34" s="1034">
        <f>IF(GO34&lt;='Options and results'!$W$20,SUM(GT$8:GT34),0)</f>
        <v>0</v>
      </c>
      <c r="GZ34" s="401"/>
      <c r="HA34" s="895">
        <f t="shared" si="169"/>
        <v>27</v>
      </c>
      <c r="HB34" s="1026">
        <f>(J34+L34+(M34*N34))/(1+'Options and results'!$W$33)^(HA34-1)</f>
        <v>410.40109860056782</v>
      </c>
      <c r="HC34" s="740">
        <f>BZ34/(1+'Options and results'!$W$33)^(HA34-1)</f>
        <v>1.082067698809511</v>
      </c>
      <c r="HD34" s="1027">
        <f>(CT34+CV34+(CW34*CX34))/(1+'Options and results'!$W$33)^(HA34-1)</f>
        <v>0</v>
      </c>
      <c r="HE34" s="740">
        <f>FK34/(1+'Options and results'!$W$33)^(HA34-1)</f>
        <v>1.082067698809511</v>
      </c>
      <c r="HF34" s="1019">
        <f t="shared" si="182"/>
        <v>1.082067698809511</v>
      </c>
      <c r="HG34" s="894">
        <f>IF(HA34&lt;='Options and results'!$W$20,SUM(HB$8:HB34),0)</f>
        <v>20674.758446357606</v>
      </c>
      <c r="HH34" s="740">
        <f>IF(HA34&lt;='Options and results'!$W$20,SUM(HC$8:HC34),0)</f>
        <v>1402.155082558719</v>
      </c>
      <c r="HI34" s="740">
        <f>IF(HA34&lt;='Options and results'!$W$20,SUM(HD$8:HD34),0)</f>
        <v>13294.975863606456</v>
      </c>
      <c r="HJ34" s="740">
        <f>IF(HA34&lt;='Options and results'!$W$20,SUM(HE$8:HE34),0)</f>
        <v>946.53489450690688</v>
      </c>
      <c r="HK34" s="1034">
        <f>IF(HA34&lt;='Options and results'!$W$20,SUM(HF$8:HF34),0)</f>
        <v>14241.510758113367</v>
      </c>
      <c r="HL34" s="405"/>
      <c r="HM34" s="895">
        <f t="shared" si="170"/>
        <v>27</v>
      </c>
      <c r="HN34" s="1026">
        <f t="shared" si="171"/>
        <v>-197.67282078514131</v>
      </c>
      <c r="HO34" s="1027">
        <f t="shared" si="172"/>
        <v>-1.082067698809511</v>
      </c>
      <c r="HP34" s="1027">
        <f t="shared" ca="1" si="173"/>
        <v>0</v>
      </c>
      <c r="HQ34" s="1027">
        <f t="shared" si="174"/>
        <v>-1.082067698809511</v>
      </c>
      <c r="HR34" s="1027">
        <f t="shared" si="175"/>
        <v>79.971126372202548</v>
      </c>
      <c r="HS34" s="1379">
        <f t="shared" si="176"/>
        <v>212.28717685823506</v>
      </c>
      <c r="HT34" s="1026">
        <f>IF($HM34&lt;='Options and results'!$W$20,SUM(HN$8:HN34),0)</f>
        <v>8986.4839274407568</v>
      </c>
      <c r="HU34" s="1027">
        <f>IF($HM34&lt;='Options and results'!$W$20,SUM(HO$8:HO34),0)</f>
        <v>-1402.155082558719</v>
      </c>
      <c r="HV34" s="1027">
        <f ca="1">IF($HM34&lt;='Options and results'!$W$20,SUM(HP$8:HP34),0)</f>
        <v>1492.284005110379</v>
      </c>
      <c r="HW34" s="1027">
        <f>IF($HM34&lt;='Options and results'!$W$20,SUM(HQ$8:HQ34),0)</f>
        <v>-946.53489450690688</v>
      </c>
      <c r="HX34" s="1027">
        <f t="shared" ca="1" si="177"/>
        <v>545.7491106034721</v>
      </c>
      <c r="HY34" s="1027">
        <f>IF($HM34&lt;='Options and results'!$W$20,SUM(HR$8:HR34),0)</f>
        <v>1038.7437164883836</v>
      </c>
      <c r="HZ34" s="1027">
        <f>IF($HM34&lt;='Options and results'!$W$20,SUM(HS$8:HS34),0)</f>
        <v>1833.7410220704646</v>
      </c>
      <c r="IA34" s="1189">
        <f t="shared" ca="1" si="178"/>
        <v>3326.0250271808436</v>
      </c>
    </row>
    <row r="35" spans="1:235" x14ac:dyDescent="0.25">
      <c r="A35" s="1010">
        <f t="shared" si="126"/>
        <v>28</v>
      </c>
      <c r="B35" s="1011" t="str">
        <f>IF('Options and results'!$C$17="None",0,CONCATENATE('Options and results'!$C$23," ",(HLOOKUP(CONCATENATE('Options and results'!$C$17," ",Arablesystem!$B$11),Arablesystem!$B$10:$ER$72,$A35+3,FALSE))))</f>
        <v>UK - Agriculture (BPS: from 2015) Oilseed</v>
      </c>
      <c r="C35" s="1012">
        <f>IF(HLOOKUP(CONCATENATE('Options and results'!$C$17," ",Arablesystem!$C$11),Arablesystem!$B$10:$ER$72,$A35+3,FALSE)="T",(VLOOKUP(B35,Arablefinance!$Z$6:$AB$105,Arablefinance!$AB$2,FALSE)*E35+VLOOKUP(B35,Arablefinance!$Z$6:$AC$105,Arablefinance!$AC$2,FALSE)*F35)/VLOOKUP(B35,Arablefinance!$Z$6:$AA$105,Arablefinance!$AA$2,FALSE),0)</f>
        <v>0</v>
      </c>
      <c r="D35" s="1012">
        <f>IF(B35=0,0,HLOOKUP(CONCATENATE('Options and results'!$C$17," ",Arablesystem!$D$11),Arablesystem!$B$10:$ER$72,$A35+3,FALSE))</f>
        <v>1</v>
      </c>
      <c r="E35" s="1440">
        <f>IF(B35=0,0,HLOOKUP(CONCATENATE('Options and results'!$C$17," ",Arablesystem!$E$11),Arablesystem!$B$10:$ER$72,$A35+3,FALSE)*IF(A35&gt;='Options and results'!$H$19,'Options and results'!$H$18,1))</f>
        <v>3.7405769215308071</v>
      </c>
      <c r="F35" s="1440">
        <f>IF(B35=0,0,HLOOKUP(CONCATENATE('Options and results'!$C$17," ",Arablesystem!$F$11),Arablesystem!$B$10:$ER$72,$A35+3,FALSE)*IF(A35&gt;='Options and results'!$H$19,'Options and results'!$H$18,1))</f>
        <v>1.8702884607654036</v>
      </c>
      <c r="G35" s="1013">
        <f>IF(D35&lt;=0,0,IF(A35&lt;='Options and results'!$W$20,IF(C35&gt;0,VLOOKUP(B35,Arablefinance!$Z$6:$AE$105,Arablefinance!$AD$2,FALSE)*C35*D35,((VLOOKUP(B35,Arablefinance!$E$6:$G$126,Arablefinance!$F$2,FALSE)*(E35*D35)+VLOOKUP(B35,Arablefinance!$E$6:$G$126,Arablefinance!$G$2,FALSE)*(F35*D35)))),0)*IF(A35&gt;='Options and results'!$H$21,'Options and results'!$H$20,1))*IF(1+'Options and results'!$O$20*(A35-1)&gt;0,1+'Options and results'!$O$20*(A35-1),0)</f>
        <v>1350.7638883305692</v>
      </c>
      <c r="H35" s="1441">
        <f>IF(D35&lt;=0,0,IF(A35&lt;='Options and results'!$W$20,IF(AND(C35&gt;0,VLOOKUP(B35,Arablefinance!$Z$6:$AI$105,Arablefinance!$AI$2,FALSE)=2),VLOOKUP(B35,Arablefinance!$Z$6:$AE$105,Arablefinance!$AE$2,FALSE)*C35*D35,(VLOOKUP(B35,Arablefinance!$E$6:$H$126,Arablefinance!$H$2,FALSE)*D35))*IF(A35&gt;='Options and results'!$H$23,'Options and results'!$H$22,1),0)*IF(AND(1+'Options and results'!$O$23*(A35-1)&gt;0,1+'Options and results'!$O$23*(A35-1)&gt;'Options and results'!$S$24),1+'Options and results'!$O$23*(A35-1),'Options and results'!$S$24))</f>
        <v>235.2</v>
      </c>
      <c r="I35" s="1441">
        <f t="shared" si="127"/>
        <v>1585.9638883305693</v>
      </c>
      <c r="J35" s="1441">
        <f>IF(D35&lt;=0,0,IF(A35&lt;='Options and results'!$W$20,IF(C35&gt;0,VLOOKUP(B35,Arablefinance!$Z$6:$AF$105,Arablefinance!$AF$2,FALSE)*C35*D35,(VLOOKUP(B35,Arablefinance!$E$6:$X$126,Arablefinance!$R$2,FALSE))*D35),0)*IF(A35&gt;='Options and results'!$H$27,'Options and results'!$H$26,1))*IF(1+'Options and results'!$O$22*(A35-1)&gt;0,1+'Options and results'!$O$22*(A35-1),0)</f>
        <v>633.88888888888891</v>
      </c>
      <c r="K35" s="1441">
        <f t="shared" si="128"/>
        <v>952.07499944168035</v>
      </c>
      <c r="L35" s="1441">
        <f>IF(D35&lt;=0,0,IF(A35&lt;='Options and results'!$W$20,IF(C35&gt;0,VLOOKUP(B35,Arablefinance!$Z$6:$AG$105,Arablefinance!$AG$2,FALSE)*C35*D35,VLOOKUP(B35,Arablefinance!$E$6:$X$126,Arablefinance!$X$2,FALSE)*D35),0)*IF(A35&gt;='Options and results'!$H$27,'Options and results'!$H$26,1))*IF(1+'Options and results'!$O$22*(A35-1)&gt;0,1+'Options and results'!$O$22*(A35-1),0)</f>
        <v>444.44444444444446</v>
      </c>
      <c r="M35" s="1442">
        <f>IF(D35&lt;=0,0,IF(A35&lt;='Options and results'!$W$20,'Options and results'!$C$27,0)*IF(A35&gt;='Options and results'!$H$27,'Options and results'!$H$26,1))*IF(1+'Options and results'!$O$21*(A35-1)&gt;0,1+'Options and results'!$O$21*(A35-1),0)</f>
        <v>14.6</v>
      </c>
      <c r="N35" s="1442">
        <f>IF(D35&lt;=0,0,IF(A35&lt;='Options and results'!$W$20,IF(C35&gt;0,VLOOKUP(B35,Arablefinance!$Z$6:$AH$105,Arablefinance!$AH$2,FALSE)*C35*D35,VLOOKUP(B35,Arablefinance!$E$6:$W$126,Arablefinance!$V$2,FALSE)*D35),0)*IF(A35&gt;='Options and results'!$H$25,'Options and results'!$H$24,1))</f>
        <v>7.4591130728145263</v>
      </c>
      <c r="O35" s="1013">
        <f t="shared" si="129"/>
        <v>1187.2363841964257</v>
      </c>
      <c r="P35" s="1353">
        <f t="shared" si="130"/>
        <v>398.72750413414383</v>
      </c>
      <c r="Q35" s="1013">
        <f>IF(A35&lt;='Options and results'!$W$20,SUM(G$8:$G35),0)</f>
        <v>41000.946942927687</v>
      </c>
      <c r="R35" s="1441">
        <f>IF($A35&lt;='Options and results'!$W$20,SUM($H$8:H35),0)</f>
        <v>6585.5999999999967</v>
      </c>
      <c r="S35" s="1441">
        <f>IF($A35&lt;='Options and results'!$W$20,SUM($O$8:O35),0)</f>
        <v>34019.150821672338</v>
      </c>
      <c r="T35" s="1032">
        <f>IF(A35&lt;='Options and results'!$W$20,Q35+R35-S35,0)</f>
        <v>13567.396121255348</v>
      </c>
      <c r="U35" s="405"/>
      <c r="V35" s="1010">
        <f t="shared" si="131"/>
        <v>28</v>
      </c>
      <c r="W35" s="173"/>
      <c r="X35" s="1036"/>
      <c r="Y35" s="1030">
        <f>IF(V35&lt;='Options and results'!$M$34,'Options and results'!$M$33,0)</f>
        <v>0</v>
      </c>
      <c r="Z35" s="1441">
        <f t="shared" si="132"/>
        <v>0</v>
      </c>
      <c r="AA35" s="1441">
        <f t="shared" si="133"/>
        <v>0</v>
      </c>
      <c r="AB35" s="1428">
        <f t="shared" si="134"/>
        <v>156</v>
      </c>
      <c r="AC35" s="1441">
        <f>IF($W$8=0,0,IF(HLOOKUP(CONCATENATE('Options and results'!$C$32," ",Forestrysystem!$C$8),Forestrysystem!$A$7:$IH$70,V35+4,FALSE)&lt;AB35,HLOOKUP(CONCATENATE('Options and results'!$C$32," ",Forestrysystem!$C$8),Forestrysystem!$A$7:$IH$70,V35+4,FALSE),0))</f>
        <v>0</v>
      </c>
      <c r="AD35" s="1441">
        <f>IF($W$8=0,0,IF(HLOOKUP(CONCATENATE('Options and results'!$C$32," ",Forestrysystem!$C$8),Forestrysystem!$A$7:$IH$70,V35+4,FALSE)&gt;=AB35,AB35,0))</f>
        <v>0</v>
      </c>
      <c r="AE35" s="1440">
        <f>IF($W$8=0,0,HLOOKUP(CONCATENATE('Options and results'!$C$32," ",Forestrysystem!$D$8),Forestrysystem!$A$7:$IH$70,$V35+4,FALSE))</f>
        <v>27.89425313060428</v>
      </c>
      <c r="AF35" s="1037"/>
      <c r="AG35" s="1440">
        <f>IF($W$8=0,0,IF(V35=1,'Options and results'!$M$36,0)+IF('Options and results'!$M$39="yes",IF(AND(AG34+'Options and results'!$M$37&lt;=$AF$8,AG34+'Options and results'!$M$37+IF(V35=1,'Options and results'!$M$36,0)&lt;='Options and results'!$M$38*AE35),AG34+'Options and results'!$M$37,AG34),(HLOOKUP(CONCATENATE('Options and results'!$C$32," ",Forestrysystem!$E$8),Forestrysystem!$A$7:$IH$70,V35+4,FALSE))-IF(V35=1,'Options and results'!$M$36,0)))</f>
        <v>7.5</v>
      </c>
      <c r="AH35" s="1442">
        <f>IF(OR($W$8=0,AB35&lt;=0),0,(HLOOKUP(CONCATENATE('Options and results'!$C$32," ",Forestrysystem!$F$8),Forestrysystem!$A$7:$IH$70,$V35+4,FALSE)) * IF(V35&gt;='Options and results'!$I$19,'Options and results'!$I$18,1) )</f>
        <v>197.4453313037246</v>
      </c>
      <c r="AI35" s="1452">
        <f t="shared" si="179"/>
        <v>1.2656752006649012</v>
      </c>
      <c r="AJ35" s="1442">
        <f t="shared" si="135"/>
        <v>0</v>
      </c>
      <c r="AK35" s="1453">
        <f>IF(OR($W$8=0,AE35&lt;=0),0,(HLOOKUP(CONCATENATE('Options and results'!$C$32," ",Forestrysystem!$G$8),Forestrysystem!$A$7:$IH$70,$V35+4,FALSE)) * IF(Y35&gt;='Options and results'!$I$19,'Options and results'!$I$18,1) )</f>
        <v>87.063021578078093</v>
      </c>
      <c r="AL35" s="1453">
        <f>IF($W$8=0,0,HLOOKUP(CONCATENATE('Options and results'!$C$32," ",Forestrysystem!$H$8),Forestrysystem!$A$7:$IH$70,$V35+4,FALSE)*IF(V35&gt;='Options and results'!$I$19,'Options and results'!$I$18,1))</f>
        <v>0</v>
      </c>
      <c r="AM35" s="1383">
        <f>IF($W$8=0,0,HLOOKUP(CONCATENATE('Options and results'!$C$32," ",Forestrysystem!$I$8),Forestrysystem!$A$7:$IH$70,$V35+4,FALSE)*IF(V35&gt;='Options and results'!$I$19,'Options and results'!$I$18,1))</f>
        <v>0</v>
      </c>
      <c r="AN35" s="1382">
        <f>IF(AI35&gt;0,HLOOKUP(AI35,Treevalue!$I$4:$BC$34,'Options and results'!$C$39+1),0)*IF(V35&gt;='Options and results'!$I$21,'Options and results'!$I$20,1)*IF(1+'Options and results'!$Q$20*(V35-1)&gt;0,1+'Options and results'!$Q$20*(V35-1),0)</f>
        <v>26.092052958422272</v>
      </c>
      <c r="AO35" s="1454">
        <f t="shared" si="136"/>
        <v>5151.7540407700135</v>
      </c>
      <c r="AP35" s="1454">
        <f t="shared" si="137"/>
        <v>0</v>
      </c>
      <c r="AQ35" s="1454">
        <f>(IF('Options and results'!$C$39&gt;0,IF(V35&lt;='Options and results'!$W$20,VLOOKUP('Options and results'!$C$39,Treevalue!$A$4:$F$34,5,FALSE),0),0)*AK35)*IF(V35&gt;='Options and results'!$I$21,'Options and results'!$I$20,1)*IF(1+'Options and results'!$Q$20*(V35-1)&gt;0,1+'Options and results'!$Q$20*(V35-1),0)-AR35</f>
        <v>2176.5755394519524</v>
      </c>
      <c r="AR35" s="1441">
        <f>(IF('Options and results'!$C$39&gt;0,IF(V35&lt;='Options and results'!$W$20,VLOOKUP('Options and results'!$C$39,Treevalue!$A$4:$F$34,5,FALSE),0),0)*AL35)*IF(V35&gt;='Options and results'!$I$21,'Options and results'!$I$20,1)*IF(1+'Options and results'!$Q$20*(V35-1)&gt;0,1+'Options and results'!$Q$20*(V35-1),0)</f>
        <v>0</v>
      </c>
      <c r="AS35" s="1441">
        <f>(IF('Options and results'!$C$39&gt;0,IF(V35&lt;='Options and results'!$W$20,VLOOKUP('Options and results'!$C$39,Treevalue!$A$4:$F$34,6,FALSE),0),0)*AM35)*IF(V35&gt;='Options and results'!$I$21,'Options and results'!$I$20,1)*IF(1+'Options and results'!$Q$20*(V35-1)&gt;0,1+'Options and results'!$Q$20*(V35-1),0)</f>
        <v>0</v>
      </c>
      <c r="AT35" s="1441">
        <f>IF(V35&lt;='Options and results'!$W$20,(IF(AB35&lt;=0,0,IF('Options and results'!$C$43="cost",(IF(V35&lt;='Options and results'!$C$44,BZ35*SUM('Options and results'!$C$45:$C$46),0)),IF('Options and results'!$C$41&gt;0,(IF(VLOOKUP('Options and results'!$C$42,Treegrant!$B$6:$L$42,Treegrant!$C$2,FALSE)=V35,VLOOKUP('Options and results'!$C$42,Treegrant!$B$6:$L$42,Treegrant!$D$2,FALSE),0)+IF(VLOOKUP('Options and results'!$C$42,Treegrant!$B$6:$L$42,Treegrant!$E$2,FALSE)=V35,VLOOKUP('Options and results'!$C$42,Treegrant!$B$6:$L$42,Treegrant!$F$2,FALSE),0)+IF(VLOOKUP('Options and results'!$C$42,Treegrant!$B$6:$L$42,Treegrant!$G$2,FALSE)=V35,VLOOKUP('Options and results'!$C$42,Treegrant!$B$6:$L$42,Treegrant!$H$2,FALSE)))*IF('Options and results'!$C$43="area",1,'Options and results'!$C$43),0)))*IF(V35&gt;='Options and results'!$I$23,'Options and results'!$I$22,1)),0)*IF(1+'Options and results'!$Q$23*(V35-1)&gt;0,1+'Options and results'!$Q$23*(V35-1),0)</f>
        <v>0</v>
      </c>
      <c r="AU35" s="1441">
        <f>IF($W$8=0,0,IF(V35&lt;='Options and results'!$W$20,IF(AB35&lt;=0,0,IF('Options and results'!$C$41&gt;0,IF(AND(VLOOKUP('Options and results'!$C$42,Treegrant!$B$6:$L$42,Treegrant!$J$2,FALSE)&lt;=V35,VLOOKUP('Options and results'!$C$42,Treegrant!$B$6:$L$42,Treegrant!$K$2,FALSE)&gt;=V35),(VLOOKUP('Options and results'!$C$42,Treegrant!$B$6:$L$42,Treegrant!$L$2,FALSE)),0)*IF('Options and results'!$C$47="full",1,'Options and results'!$C$47))*IF(V35&gt;='Options and results'!$I$23,'Options and results'!$I$22,1)),0))*IF(1+'Options and results'!$Q$23*(V35-1)&gt;0,1+'Options and results'!$Q$23*(V35-1),0)</f>
        <v>0</v>
      </c>
      <c r="AV35" s="1032">
        <f>IF($W$8=0,0,IF(V35&lt;='Options and results'!$W$20,IF(AB35&lt;=0,0,(IF('Options and results'!$C$41&gt;0,(IF(AND(VLOOKUP('Options and results'!$C$42,Treegrant!$B$6:$O$42,Treegrant!$M$2,FALSE)&lt;=V35,VLOOKUP('Options and results'!$C$42,Treegrant!$B$6:$O$42,Treegrant!$N$2,FALSE)&gt;=V35),(VLOOKUP('Options and results'!$C$42,Treegrant!$B$6:$O$42,Treegrant!$O$2,FALSE)),0)*IF('Options and results'!$C$48="full",1,'Options and results'!$C$48))+(IF(AND(VLOOKUP('Options and results'!$C$42,Treegrant!$B$6:$R$42,Treegrant!$P$2,FALSE)&lt;=V35,VLOOKUP('Options and results'!$C$42,Treegrant!$B$6:$R$42,Treegrant!$Q$2,FALSE)&gt;=V35),(VLOOKUP('Options and results'!$C$42,Treegrant!$B$6:$R$42,Treegrant!$R$2,FALSE)),0))*IF('Options and results'!$C$49="full",1,'Options and results'!$C$49)))*IF(V35&gt;='Options and results'!$I$23,'Options and results'!$I$22,1)),0))*IF(1+'Options and results'!$Q$23*(V35-1)&gt;0,1+'Options and results'!$Q$23*(V35-1),0)</f>
        <v>0</v>
      </c>
      <c r="AW35" s="1041"/>
      <c r="AX35" s="1042"/>
      <c r="AY35" s="1419">
        <f>IF($W$8=0,0,IF(V35=1,VLOOKUP($W$8,Treecost!$B$6:$AH$49,Treecost!$E$2,FALSE),0)*IF(V35&gt;='Options and results'!$I$25,'Options and results'!$I$24,1))</f>
        <v>0</v>
      </c>
      <c r="AZ35" s="889">
        <f>IF($W$8=0,0,IF(V35=1,VLOOKUP($W$8,Treecost!$B$6:$AH$49,Treecost!$F$2,FALSE),0)*IF(V35&gt;='Options and results'!$I$25,'Options and results'!$I$24,1))</f>
        <v>0</v>
      </c>
      <c r="BA35" s="889">
        <f>IF($W$8=0,0,IF(V35=1,VLOOKUP($W$8,Treecost!$B$6:$AH$49,Treecost!$G$2,FALSE),0)*IF(V35&gt;='Options and results'!$I$25,'Options and results'!$I$24,1))</f>
        <v>0</v>
      </c>
      <c r="BB35" s="889">
        <f>IF($W$8=0,0,IF(V35&lt;='Options and results'!$W$20,((VLOOKUP($W$8,Treecost!$B$6:$AH$49,Treecost!$H$2,FALSE)*(X35+AA35))/60)*IF(V35&gt;='Options and results'!$I$25,'Options and results'!$I$24,1),0))</f>
        <v>0</v>
      </c>
      <c r="BC35" s="889">
        <f>IF($W$8=0,0,IF(V35&lt;='Options and results'!$W$20,(((VLOOKUP($W$8,Treecost!$B$6:$AH$49,Treecost!$I$2,FALSE))*(X35+AA35))/60)*IF(V35&gt;='Options and results'!$I$25,'Options and results'!$I$24,1),0))</f>
        <v>0</v>
      </c>
      <c r="BD35" s="889">
        <f>IF($W$8=0,0,IF(V35&lt;='Options and results'!$W$20,(((VLOOKUP($W$8,Treecost!$B$6:$AH$49,Treecost!$J$2,FALSE))/60)*(X35+AA35))*IF(V35&gt;='Options and results'!$I$25,'Options and results'!$I$24,1),0))</f>
        <v>0</v>
      </c>
      <c r="BE35" s="1019">
        <f>IF($W$8=0,0,IF(V35&lt;='Options and results'!$W$20,(((VLOOKUP($W$8,Treecost!$B$6:$AH$49,Treecost!$C$2,FALSE)+VLOOKUP($W$8,Treecost!$B$6:$AH$49,Treecost!$D$2,FALSE))*(X35+AA35)*IF(1+'Options and results'!$Q$22*(V35-1)&gt;0,1+'Options and results'!$Q$22*(V35-1),0))+((AY35*$AX$8+AZ35*$AX$9+BA35*$AX$10+BB35*$AX$11+BC35*$AX$12+BD35*$AX$13)*IF(1+'Options and results'!$Q$21*(V35-1)&gt;0,1+'Options and results'!$Q$21*(V35-1),0)))*IF(V35&gt;='Options and results'!$I$27,'Options and results'!$I$26,1),0))</f>
        <v>0</v>
      </c>
      <c r="BF35" s="889">
        <f>IF($W$8=0,0,IF(V35&lt;='Options and results'!$W$20,IF(AND(VLOOKUP($W$8,Treecost!$B$6:$AH$49,Treecost!$K$2,FALSE)&lt;=V35,V35&lt;=(VLOOKUP($W$8,Treecost!$B$6:$AH$49,Treecost!$L$2,FALSE))),VLOOKUP($W$8,Treecost!$B$6:$AH$49,Treecost!$M$2,FALSE)*AB35/60,0)*IF(V35&gt;='Options and results'!$I$25,'Options and results'!$I$24,1),0))</f>
        <v>0</v>
      </c>
      <c r="BG35" s="1019">
        <f>IF(BF35&gt;0,(VLOOKUP($W$8,Treecost!$B$6:$AH$49,Treecost!$N$2,FALSE)*AB35*IF(1+'Options and results'!$Q$22*(V35-1)&gt;0,1+'Options and results'!$Q$22*(V35-1),0)+BF35*$AX$14*IF(1+'Options and results'!$Q$21*(V35-1)&gt;0,1+'Options and results'!$Q$21*(V35-1),0)),0)*IF(V35&gt;='Options and results'!$I$27,'Options and results'!$I$26,1)</f>
        <v>0</v>
      </c>
      <c r="BH35" s="889">
        <f>IF(V35&lt;='Options and results'!$W$20,IF(AND(AG35-AG34&gt;0,AG35&gt;'Options and results'!$M$36),(AB35-AC35)*(VLOOKUP($W$8,Treecost!$B$6:$AH$49,Treecost!$Y$2,FALSE)+(VLOOKUP($W$8,Treecost!$B$6:$AH$49,Treecost!$AA$2,FALSE)-VLOOKUP($W$8,Treecost!$B$6:$AH$49,Treecost!$Y$2,FALSE))/(VLOOKUP($W$8,Treecost!$B$6:$AH$49,Treecost!$Z$2,FALSE)-VLOOKUP($W$8,Treecost!$B$6:$AH$49,Treecost!$X$2,FALSE))*(AG35-VLOOKUP($W$8,Treecost!$B$6:$AH$49,Treecost!$X$2,FALSE)))/60,0)*IF(V35&gt;='Options and results'!$I$25,'Options and results'!$I$24,1),0)</f>
        <v>0</v>
      </c>
      <c r="BI35" s="303">
        <f>IF(V35&lt;='Options and results'!$W$20,IF(BH35&gt;0,VLOOKUP($W$8,Treecost!$B$6:$AH$49,Treecost!$AB$2,FALSE)/60*AB35,0)*IF(V35&gt;='Options and results'!$I$25,'Options and results'!$I$24,1),0)*((BH35-(MIN($BH$8:$BH$67)))/((MAX($BH$8:$BH$67))-(MIN($BH$8:$BH$67))))</f>
        <v>0</v>
      </c>
      <c r="BJ35" s="740">
        <f>IF(BH35&gt;0,(BH35*$AX$15+BI35*$AX$19)*IF(1+'Options and results'!$Q$21*(V35-1)&gt;0,1+'Options and results'!$Q$21*(V35-1),0),0)*IF(V35&gt;='Options and results'!$I$27,'Options and results'!$I$26,1)</f>
        <v>0</v>
      </c>
      <c r="BK35" s="891">
        <f>IF($W$8=0,0,IF(V35&lt;='Options and results'!$W$20,IF(VLOOKUP($W$8,Treecost!$B$2:$AH$49,Treecost!$O$2,FALSE)=V35,VLOOKUP($W$8,Treecost!$B$2:$AH$49,Treecost!$P$2,FALSE),0)*IF(V35&gt;='Options and results'!$I$25,'Options and results'!$I$24,1),0))</f>
        <v>0</v>
      </c>
      <c r="BL35" s="889">
        <f>IF($W$8=0,0,IF(V35&lt;='Options and results'!$W$20,IF(AND(V35&gt;VLOOKUP($W$8,Treecost!$B$2:$AH$49,Treecost!$O$2,FALSE),V35&lt;=VLOOKUP($W$8,Treecost!$B$2:$AH$49,Treecost!$R$2,FALSE)),VLOOKUP($W$8,Treecost!$B$2:$AH$49,Treecost!$S$2,FALSE),0)*IF(V35&gt;='Options and results'!$I$25,'Options and results'!$I$24,1),0))</f>
        <v>0</v>
      </c>
      <c r="BM35" s="740">
        <f>IF($W$8=0,0,IF(V35&lt;='Options and results'!$W$20,((IF(VLOOKUP($W$8,Treecost!$B$2:$AH$49,Treecost!$O$2,FALSE)=V35,VLOOKUP($W$8,Treecost!$B$2:$AH$49,Treecost!$Q$2,FALSE),0)+IF(AND(V35&gt;VLOOKUP($W$8,Treecost!$B$2:$AH$49,Treecost!$O$2,FALSE),V35&lt;=VLOOKUP($W$8,Treecost!$B$2:$AH$49,Treecost!$R$2,FALSE)),VLOOKUP($W$8,Treecost!$B$2:$AH$49,Treecost!$T$2,FALSE),0)*IF(1+'Options and results'!$Q$22*(V35-1)&gt;0,1+'Options and results'!$Q$22*(V35-1),0))+(BK35*$AX$16+BL35*$AX$17)*IF(1+'Options and results'!$Q$21*(V35-1)&gt;0,1+'Options and results'!$Q$21*(V35-1),0))*IF(V35&gt;='Options and results'!$I$27,'Options and results'!$I$26,1),0))</f>
        <v>0</v>
      </c>
      <c r="BN35" s="894">
        <f>IF($W$8=0,0,IF(V35&lt;='Options and results'!$W$20,IF(AND(V35&gt;=VLOOKUP($W$8,Treecost!$B$2:$W$49,Treecost!$U$2,FALSE),V35&lt;=VLOOKUP($W$8,Treecost!$B$2:$W$49,Treecost!$V$2,FALSE)),(AB35*VLOOKUP($W$8,Treecost!$B$2:$W$49,Treecost!$W$2,FALSE)/60),0)*IF(V35&gt;='Options and results'!$I$25,'Options and results'!$I$24,1),0))</f>
        <v>0</v>
      </c>
      <c r="BO35" s="740">
        <f>BN35*$AX$18*IF(V35&gt;='Options and results'!$I$27,'Options and results'!$I$26,1)*IF(1+'Options and results'!$Q$21*(V35-1)&gt;0,1+'Options and results'!$Q$21*(V35-1),0)</f>
        <v>0</v>
      </c>
      <c r="BP35" s="894">
        <f>IF(V35&lt;='Options and results'!$W$20,IF(AB35&lt;=0,0,VLOOKUP($W$8,Treecost!$B$6:$AH$49,Treecost!$AC$2,FALSE)+VLOOKUP($W$8,Treecost!$B$6:$AH$49,Treecost!$AD$2,FALSE)+IF(AND(V35&gt;=VLOOKUP($W$8,Treecost!$B$2:$AK$49,Treecost!$AI$2,FALSE),V35&lt;=VLOOKUP($W$8,Treecost!$B$2:$AK$49,Treecost!$AJ$2,FALSE)),(VLOOKUP($W$8,Treecost!$B$2:$AK$49,Treecost!$AK$2,FALSE)),0))*IF(V35&gt;='Options and results'!$I$27,'Options and results'!$I$26,1),0)*IF(1+'Options and results'!$Q$22*(V35-1)&gt;0,1+'Options and results'!$Q$22*(V35-1),0)</f>
        <v>3</v>
      </c>
      <c r="BQ35" s="894">
        <f>IF(V35&lt;='Options and results'!$W$20,IF(AC35&gt;0,VLOOKUP($W$8,Treecost!$B$6:$AH$49,Treecost!$AE$2,FALSE)/60*AC35,0)*IF(V35&gt;='Options and results'!$I$25,'Options and results'!$I$24,1),0)</f>
        <v>0</v>
      </c>
      <c r="BR35" s="740">
        <f>IF(V35&lt;='Options and results'!$W$20,IF(AC35&gt;0,VLOOKUP($W$8,Treecost!$B$6:$AH$49,Treecost!$AF$2,FALSE)/60*AC35,0)*IF(V35&gt;='Options and results'!$I$25,'Options and results'!$I$24,1),0)</f>
        <v>0</v>
      </c>
      <c r="BS35" s="740">
        <f>(BQ35*$AX$20+BR35*$AX$21)*IF(V35&gt;='Options and results'!$I$27,'Options and results'!$I$26,1)*IF(1+'Options and results'!$Q$21*(V35-1)&gt;0,1+'Options and results'!$Q$21*(V35-1),0)</f>
        <v>0</v>
      </c>
      <c r="BT35" s="894">
        <f>IF(V35&lt;='Options and results'!$W$20,IF(AD35&gt;0,(VLOOKUP($W$8,Treecost!$B$6:$AH$49,Treecost!$AG$2,FALSE)/60*AD35)*IF(V35&gt;='Options and results'!$I$25,'Options and results'!$I$24,1),0),0)</f>
        <v>0</v>
      </c>
      <c r="BU35" s="740">
        <f>IF(V35&lt;='Options and results'!$W$20,IF(AD35&gt;0,(VLOOKUP($W$8,Treecost!$B$6:$AH$49,Treecost!$AH$2,FALSE)/60*AD35)*IF(V35&gt;='Options and results'!$I$25,'Options and results'!$I$24,1),0),0)</f>
        <v>0</v>
      </c>
      <c r="BV35" s="740">
        <f>(BT35*$AX$22+BU35*$AX$23)*IF(V35&gt;='Options and results'!$I$27,'Options and results'!$I$26,1)*IF(1+'Options and results'!$Q$21*(V35-1)&gt;0,1+'Options and results'!$Q$21*(V35-1),0)</f>
        <v>0</v>
      </c>
      <c r="BW35" s="1033">
        <f t="shared" si="138"/>
        <v>0</v>
      </c>
      <c r="BX35" s="1027">
        <f t="shared" si="139"/>
        <v>0</v>
      </c>
      <c r="BY35" s="1027">
        <f t="shared" si="140"/>
        <v>0</v>
      </c>
      <c r="BZ35" s="740">
        <f t="shared" si="124"/>
        <v>3</v>
      </c>
      <c r="CA35" s="740">
        <f t="shared" si="141"/>
        <v>-3</v>
      </c>
      <c r="CB35" s="894">
        <f>IF($V35&lt;='Options and results'!$W$20,SUM(BX$8:$BX35),0)</f>
        <v>0</v>
      </c>
      <c r="CC35" s="740">
        <f>IF($V35&lt;='Options and results'!$W$20,SUM($BY$8:BY35),0)</f>
        <v>0</v>
      </c>
      <c r="CD35" s="740">
        <f>IF($V35&lt;='Options and results'!$W$20,SUM($BZ$8:BZ35),0)</f>
        <v>1652.7443691843955</v>
      </c>
      <c r="CE35" s="740">
        <f>IF(V35&lt;='Options and results'!$W$20,CB35+CC35-CD35,0)</f>
        <v>-1652.7443691843955</v>
      </c>
      <c r="CF35" s="1381">
        <f t="shared" si="142"/>
        <v>561.01141223883087</v>
      </c>
      <c r="CG35" s="1027">
        <f t="shared" si="143"/>
        <v>558.01141223883087</v>
      </c>
      <c r="CH35" s="1027">
        <f t="shared" si="144"/>
        <v>0</v>
      </c>
      <c r="CI35" s="1189">
        <f>IF(V35&lt;='Options and results'!$W$20,CE35+AO35,0)</f>
        <v>3499.009671585618</v>
      </c>
      <c r="CJ35" s="1023"/>
      <c r="CK35" s="895">
        <f t="shared" si="145"/>
        <v>28</v>
      </c>
      <c r="CL35" s="1011" t="str">
        <f>IF('Options and results'!$C$54="None",0,IF(AND(CK35&gt;='Options and results'!$K$57,CK34&lt;'Options and results'!$W$20),'Options and results'!$K$56,IF(Optimisation!$B$3="No",CONCATENATE('Options and results'!$C$60," ",(HLOOKUP(CONCATENATE('Options and results'!$C$54," ",Agroforestrysystem!$B$12),Agroforestrysystem!$B$11:$IM$74,$CK35+4,FALSE))),Optimisation!AA55)))</f>
        <v>UK - Agriculture (BPS: from 2015) Agroforestry fallow</v>
      </c>
      <c r="CM35" s="1012">
        <f>IF(HLOOKUP(CONCATENATE('Options and results'!$C$54," ",Agroforestrysystem!$C$12),Agroforestrysystem!$B$11:$IM$74,$CK35+4,FALSE)="T",(VLOOKUP(CL35,Arablefinance!$Z$6:$AB$105,Arablefinance!$AB$2,FALSE)*CO35+VLOOKUP(CL35,Arablefinance!$Z$6:$AC$105,Arablefinance!$AC$2,FALSE)*CP35)/VLOOKUP(CL35,Arablefinance!$Z$6:$AA$105,Arablefinance!$AA$2,FALSE),0)</f>
        <v>0</v>
      </c>
      <c r="CN35" s="1012">
        <f>IF(CL35=0,0,HLOOKUP(CONCATENATE('Options and results'!$C$54," ",Agroforestrysystem!$D$12),Agroforestrysystem!$B$11:$IM$74,$CK35+4,FALSE))</f>
        <v>0.99</v>
      </c>
      <c r="CO35" s="1440">
        <f ca="1">IF(CL35=0,0,IF(AND(Optimisation!$B$3="yes",Optimisation!$B$4=1,CK35&gt;Optimisation!$B$9),0,HLOOKUP(CONCATENATE('Options and results'!$C$54," ",Agroforestrysystem!$E$12),Agroforestrysystem!$B$11:$IM$74,$CK35+4,FALSE)*IF(CK35&gt;='Options and results'!$J$19,'Options and results'!$J$18,1)))</f>
        <v>0</v>
      </c>
      <c r="CP35" s="1440">
        <f ca="1">IF(CL35=0,0,IF(AND(Optimisation!$B$3="yes",Optimisation!$B$4=1,CK35&gt;Optimisation!$B$9),0,HLOOKUP(CONCATENATE('Options and results'!$C$54," ",Agroforestrysystem!$F$12),Agroforestrysystem!$B$11:$IM$74,$CK35+4,FALSE)*IF(CK35&gt;='Options and results'!$J$19,'Options and results'!$J$18,1)))</f>
        <v>0</v>
      </c>
      <c r="CQ35" s="1013">
        <f ca="1">IF(CN35&lt;=0,0,IF(CK35&lt;='Options and results'!$W$20,IF(CM35&gt;0,VLOOKUP(CL35,Arablefinance!$Z$6:$AE$105,Arablefinance!$AD$2,FALSE)*CM35*CN35,((VLOOKUP(CL35,Arablefinance!$E$6:$H$126,2,FALSE)*CO35+VLOOKUP(CL35,Arablefinance!$E$6:$H$126,3,FALSE)*CP35)*CN35)),0)*IF(CK35&gt;='Options and results'!$J$21,'Options and results'!$J$20,1))*IF(1+'Options and results'!$O$20*(CK35-1)&gt;0,1+'Options and results'!$O$20*(CK35-1),0)</f>
        <v>0</v>
      </c>
      <c r="CR35" s="1441">
        <f>IF(CN35&lt;=0,0,IF(AND(CM35&gt;0,VLOOKUP(CL35,Arablefinance!$Z$6:$AI$105,Arablefinance!$AI$2,FALSE)=2),VLOOKUP(CL35,Arablefinance!$Z$6:$AE$105,Arablefinance!$AE$2,FALSE)*CM35*CN35,IF('Options and results'!$C$62&gt;0,IF(VLOOKUP(CL35,Arablefinance!$E$6:$W$126,Arablefinance!$H$2,FALSE)*(1-Plot!DM35*'Options and results'!$C$62)&gt;0,VLOOKUP(CL35,Arablefinance!$E$6:$W$126,Arablefinance!$H$2,FALSE)*(1-Plot!DM35*'Options and results'!$C$62),0),IF(CK35&lt;='Options and results'!$W$20,(VLOOKUP(CL35,Arablefinance!$E$6:$W$126,Arablefinance!$H$2,FALSE)*IF('Options and results'!$C$61="area",CN35,'Options and results'!$C$61)),0)))*IF(CK35&gt;='Options and results'!$J$23,'Options and results'!$J$22,1))*IF(AND(1+'Options and results'!$O$23*(CK35-1)&gt;0,1+'Options and results'!$O$23*(CK35-1)&gt;'Options and results'!$S$24),1+'Options and results'!$O$23*(CK35-1),'Options and results'!$S$24)</f>
        <v>0</v>
      </c>
      <c r="CS35" s="1441">
        <f t="shared" ca="1" si="146"/>
        <v>0</v>
      </c>
      <c r="CT35" s="1441">
        <f>IF(CN35&lt;=0,0,IF(CK35&lt;='Options and results'!$W$20,IF(CM35&gt;0,VLOOKUP(CL35,Arablefinance!$Z$6:$AF$105,Arablefinance!$AF$2,FALSE)*CM35*CN35,VLOOKUP(CL35,Arablefinance!$E$6:$X$126,Arablefinance!$R$2,FALSE)*CN35),0)*IF(CK35&gt;='Options and results'!$J$27,'Options and results'!$J$26,1))*IF(1+'Options and results'!$O$22*(CK35-1)&gt;0,1+'Options and results'!$O$22*(CK35-1),0)</f>
        <v>0</v>
      </c>
      <c r="CU35" s="1441">
        <f t="shared" ca="1" si="147"/>
        <v>0</v>
      </c>
      <c r="CV35" s="1441">
        <f>IF(CN35&lt;=0,0,IF(CK35&lt;='Options and results'!$W$20,IF(CM35&gt;0,VLOOKUP(CL35,Arablefinance!$Z$6:$AG$105,Arablefinance!$AG$2,FALSE)*CM35*CN35,VLOOKUP(CL35,Arablefinance!$E$6:$X$126,Arablefinance!$X$2,FALSE)*CN35),0)*IF(CK35&gt;='Options and results'!$J$27,'Options and results'!$J$26,1))*IF(1+'Options and results'!$O$22*(CK35-1)&gt;0,1+'Options and results'!$O$22*(CK35-1),0)</f>
        <v>0</v>
      </c>
      <c r="CW35" s="1442">
        <f>IF(CN35&lt;=0,0,IF(CK35&lt;='Options and results'!$W$20,'Options and results'!$C$27*IF(CK35&gt;='Options and results'!$J$27,'Options and results'!$J$26,1),0))*IF(1+'Options and results'!$O$21*(CK35-1)&gt;0,1+'Options and results'!$O$21*(CK35-1),0)</f>
        <v>14.6</v>
      </c>
      <c r="CX35" s="1442">
        <f>IF(CN35&lt;=0,0,IF(CK35&lt;='Options and results'!$W$20,IF(CM35&gt;0,VLOOKUP(CL35,Arablefinance!$Z$6:$AH$105,Arablefinance!$AH$2,FALSE)*CM35*CN35,VLOOKUP(CL35,Arablefinance!$E$6:$W$126,Arablefinance!$V$2,FALSE)*CN35),0)*IF(CK35&gt;='Options and results'!$J$25,'Options and results'!$J$24,1))</f>
        <v>0</v>
      </c>
      <c r="CY35" s="1013">
        <f t="shared" si="148"/>
        <v>0</v>
      </c>
      <c r="CZ35" s="1353">
        <f t="shared" ca="1" si="149"/>
        <v>0</v>
      </c>
      <c r="DA35" s="1013">
        <f ca="1">IF($CK35&lt;='Options and results'!$W$20,SUM($CQ$8:CQ35),0)</f>
        <v>18417.950100000002</v>
      </c>
      <c r="DB35" s="1441">
        <f>IF($CK35&lt;='Options and results'!$W$20,SUM($CR$8:CR35),0)</f>
        <v>0</v>
      </c>
      <c r="DC35" s="1441">
        <f>IF($CK35&lt;='Options and results'!$W$20,SUM($CY$8:CY35),0)</f>
        <v>16943.30918829242</v>
      </c>
      <c r="DD35" s="1189">
        <f ca="1">IF(CK35&lt;='Options and results'!$W$20,DA35+DB35-DC35,0)</f>
        <v>1474.6409117075818</v>
      </c>
      <c r="DE35" s="401"/>
      <c r="DF35" s="895">
        <f t="shared" si="150"/>
        <v>28</v>
      </c>
      <c r="DG35" s="173"/>
      <c r="DH35" s="1422"/>
      <c r="DI35" s="1427">
        <f>IF(DF35&lt;='Options and results'!$M$61,'Options and results'!$M$60,0)</f>
        <v>0</v>
      </c>
      <c r="DJ35" s="740">
        <f t="shared" si="151"/>
        <v>0</v>
      </c>
      <c r="DK35" s="740">
        <f t="shared" si="152"/>
        <v>0</v>
      </c>
      <c r="DL35" s="1428">
        <f t="shared" si="153"/>
        <v>100</v>
      </c>
      <c r="DM35" s="1429">
        <f>IF($DG$8=0,0,HLOOKUP(CONCATENATE('Options and results'!$C$54," ",Agroforestrysystem!$J$12),Agroforestrysystem!$11:$74,DF35+3,FALSE))/100</f>
        <v>1</v>
      </c>
      <c r="DN35" s="740">
        <f>IF($DG$8=0,0,IF(HLOOKUP(CONCATENATE('Options and results'!$C$54," ",Agroforestrysystem!$H$12),Agroforestrysystem!$11:$74,DF35+4,FALSE)&lt;DL35,HLOOKUP(CONCATENATE('Options and results'!$C$54," ",Agroforestrysystem!$H$12),Agroforestrysystem!$11:$74,DF35+4,FALSE),0))</f>
        <v>0</v>
      </c>
      <c r="DO35" s="1027">
        <f>IF($DG$8=0,0,IF(HLOOKUP(CONCATENATE('Options and results'!$C$54," ",Agroforestrysystem!$H$12),Agroforestrysystem!$11:$74,DF35+4,FALSE)&gt;=DL35,DL35,0))</f>
        <v>0</v>
      </c>
      <c r="DP35" s="1430">
        <f>IF($DG$8=0,0,HLOOKUP(CONCATENATE('Options and results'!$C$54," ",Agroforestrysystem!$I$12),Agroforestrysystem!$11:$74,DF35+4,FALSE))</f>
        <v>32.197641135652972</v>
      </c>
      <c r="DQ35" s="1038"/>
      <c r="DR35" s="1390">
        <f>IF($DG$8=0,0,IF(DF35&gt;'Options and results'!$W$20,0,)+IF(DF35=1,'Options and results'!$M$64)+IF('Options and results'!$M$67="yes",IF(AND(DR34+'Options and results'!$M$65&lt;=$DQ$8,DR34+'Options and results'!$M$65+IF(DF35=1,'Options and results'!$M$64,0)&lt;='Options and results'!$M$66*DP35),DR34+'Options and results'!$M$65,DR34),(HLOOKUP(CONCATENATE('Options and results'!$C$54," ",Agroforestrysystem!$K$12),Agroforestrysystem!$11:$74,DF35+4,FALSE)-IF(DF35=1,'Options and results'!$M$64))))</f>
        <v>7.5</v>
      </c>
      <c r="DS35" s="1027">
        <f>IF(OR($DG$8=0,DL35=0),0,HLOOKUP(CONCATENATE('Options and results'!$C$54," ",Agroforestrysystem!$L$12),Agroforestrysystem!$11:$74,DF35+4,FALSE)*IF(DF35&gt;='Options and results'!$K$19,'Options and results'!$K$18,1))</f>
        <v>194.64812493120189</v>
      </c>
      <c r="DT35" s="1431">
        <f t="shared" si="154"/>
        <v>1.9464812493120189</v>
      </c>
      <c r="DU35" s="889">
        <f t="shared" si="155"/>
        <v>0</v>
      </c>
      <c r="DV35" s="1027">
        <f>IF($DG$8=0,0,(HLOOKUP(CONCATENATE('Options and results'!$C$54," ",Agroforestrysystem!$M$12),Agroforestrysystem!$11:$74,DF35+4,FALSE))*IF(DF35&gt;='Options and results'!$K$19,'Options and results'!$K$18,1))-DW35</f>
        <v>85.829600472796741</v>
      </c>
      <c r="DW35" s="303">
        <f>IF($DG$8=0,0,(HLOOKUP(CONCATENATE('Options and results'!$C$54," ",Agroforestrysystem!$N$12),Agroforestrysystem!$11:$74,DF35+4,FALSE))*IF(DF35&gt;='Options and results'!$K$19,'Options and results'!$K$18,1))</f>
        <v>0</v>
      </c>
      <c r="DX35" s="303">
        <f>IF($DG$8=0,0,HLOOKUP(CONCATENATE('Options and results'!$C$54," ",Agroforestrysystem!$O$12),Agroforestrysystem!$11:$74,DF35+4,FALSE)*IF(DF35&gt;='Options and results'!$K$19,'Options and results'!$K$18,1))</f>
        <v>0</v>
      </c>
      <c r="DY35" s="1192">
        <f>IF(DT35&gt;0,HLOOKUP(DT35,Treevalue!$I$4:$BC$34,'Options and results'!$C$66+1),0)*IF(DF35&gt;='Options and results'!$K$21,'Options and results'!$K$20,1)*IF(1+'Options and results'!$Q$20*(DF35-1)&gt;0,1+'Options and results'!$Q$20*(DF35-1),0)</f>
        <v>31.78371227139937</v>
      </c>
      <c r="DZ35" s="1027">
        <f t="shared" si="156"/>
        <v>6186.6399969807189</v>
      </c>
      <c r="EA35" s="1027">
        <f t="shared" si="125"/>
        <v>0</v>
      </c>
      <c r="EB35" s="1027">
        <f>(IF('Options and results'!$C$66&gt;0,IF(DF35&lt;='Options and results'!$W$20,VLOOKUP('Options and results'!$C$66,Treevalue!$A$4:$F$34,5,FALSE),0),0)*DV35)*IF(DF35&gt;='Options and results'!$K$21,'Options and results'!$K$20,1)*IF(1+'Options and results'!$Q$20*(DF35-1)&gt;0,1+'Options and results'!$Q$20*(DF35-1),0)</f>
        <v>2145.7400118199184</v>
      </c>
      <c r="EC35" s="740">
        <f>(IF('Options and results'!$C$66&gt;0,IF(DF35&lt;='Options and results'!$W$20,VLOOKUP('Options and results'!$C$66,Treevalue!$A$4:$F$34,5,FALSE),0),0)*DW35)*IF(DF35&gt;='Options and results'!$K$21,'Options and results'!$K$20,1)*IF(1+'Options and results'!$Q$20*(DF35-1)&gt;0,1+'Options and results'!$Q$20*(DF35-1),0)</f>
        <v>0</v>
      </c>
      <c r="ED35" s="889">
        <f>(IF('Options and results'!$C$66&gt;0,IF(DF35&lt;='Options and results'!$W$20,VLOOKUP('Options and results'!$C$66,Treevalue!$A$4:$F$34,6,FALSE),0),0)*DX35)*IF(DF35&gt;='Options and results'!$K$21,'Options and results'!$K$20,1)*IF(1+'Options and results'!$Q$20*(DF35-1)&gt;0,1+'Options and results'!$Q$20*(DF35-1),0)</f>
        <v>0</v>
      </c>
      <c r="EE35" s="740">
        <f>IF(DF35&lt;='Options and results'!$W$20,IF(DL35&lt;=0,0,IF('Options and results'!$C$70="cost",(IF(DF35&lt;='Options and results'!$C$71,FK35*SUM('Options and results'!$C$72:$C$73),0)),IF('Options and results'!$C$68&gt;0,(IF(VLOOKUP('Options and results'!$C$69,Treegrant!$B$6:$L$42,Treegrant!$C$2,FALSE)=DF35,VLOOKUP('Options and results'!$C$69,Treegrant!$B$6:$L$42,Treegrant!$D$2,FALSE),0)+IF(VLOOKUP('Options and results'!$C$69,Treegrant!$B$6:$L$42,Treegrant!$E$2,FALSE)=DF35,VLOOKUP('Options and results'!$C$69,Treegrant!$B$6:$L$42,Treegrant!$F$2,FALSE),0)+IF(VLOOKUP('Options and results'!$C$69,Treegrant!$B$6:$L$42,Treegrant!$G$2,FALSE)=DF35,VLOOKUP('Options and results'!$C$69,Treegrant!$B$6:$L$42,Treegrant!$H$2,FALSE)))*IF('Options and results'!$C$70="area",Unit!C36,'Options and results'!$C$70),0))*IF(DF35&gt;='Options and results'!$K$23,'Options and results'!$K$22,1)),0)*IF(1+'Options and results'!$Q$23*(DF35-1)&gt;0,1+'Options and results'!$Q$23*(DF35-1),0)</f>
        <v>0</v>
      </c>
      <c r="EF35" s="740">
        <f>IF($DG$8=0,0,IF(DF35&lt;='Options and results'!$W$20,IF(DL35&lt;=0,0,IF('Options and results'!$C$68&gt;0,IF(AND(VLOOKUP('Options and results'!$C$69,Treegrant!$B$6:$L$42,Treegrant!$J$2,FALSE)&lt;=DF35,VLOOKUP('Options and results'!$C$69,Treegrant!$B$6:$L$42,Treegrant!$K$2,FALSE)&gt;=DF35),(VLOOKUP('Options and results'!$C$69,Treegrant!$B$6:$L$42,Treegrant!$L$2,FALSE)),0)*IF('Options and results'!$C$74="area",Unit!C36,'Options and results'!$C$74))*IF(DF35&gt;='Options and results'!$K$23,'Options and results'!$K$22,1)),0))*IF(1+'Options and results'!$Q$23*(DF35-1)&gt;0,1+'Options and results'!$Q$23*(DF35-1),0)</f>
        <v>0</v>
      </c>
      <c r="EG35" s="1034">
        <f>IF($DG$8=0,0,IF(DF35&lt;='Options and results'!$W$20,IF(DL35&lt;=0,0,IF('Options and results'!$C$68&gt;0,((IF(AND(VLOOKUP('Options and results'!$C$69,Treegrant!$B$6:$O$42,Treegrant!$M$2,FALSE)&lt;=DF35,VLOOKUP('Options and results'!$C$69,Treegrant!$B$6:$O$42,Treegrant!$N$2,FALSE)&gt;=DF35),(VLOOKUP('Options and results'!$C$69,Treegrant!$B$6:$O$42,Treegrant!$O$2,FALSE)),0)*IF('Options and results'!$C$75="area",Unit!C36,'Options and results'!$C$75))+(IF(AND(VLOOKUP('Options and results'!$C$69,Treegrant!$B$6:$R$42,Treegrant!$P$2,FALSE)&lt;=DF35,VLOOKUP('Options and results'!$C$69,Treegrant!$B$6:$R$42,Treegrant!$Q$2,FALSE)&gt;=DF35),(VLOOKUP('Options and results'!$C$69,Treegrant!$B$6:$R$42,Treegrant!$R$2,FALSE)),0))*IF('Options and results'!$C$76="area",Unit!C36,'Options and results'!$C$76)))*IF(DF35&gt;='Options and results'!$K$23,'Options and results'!$K$22,1)),0))*IF(1+'Options and results'!$Q$23*(DF35-1)&gt;0,1+'Options and results'!$Q$23*(DF35-1),0)</f>
        <v>0</v>
      </c>
      <c r="EH35" s="1041"/>
      <c r="EI35" s="1042"/>
      <c r="EJ35" s="1419">
        <f>IF($DH$8+DK35&lt;1,0,IF(DF35=1,VLOOKUP($DG$8,Treecost!$B$6:$AH$49,Treecost!$E$2,FALSE),0)*IF(DF35&gt;='Options and results'!$K$25,'Options and results'!$K$24,1))</f>
        <v>0</v>
      </c>
      <c r="EK35" s="889">
        <f>IF($DH$8+DK35&lt;1,0,IF(DF35=1,VLOOKUP($DG$8,Treecost!$B$6:$AH$49,Treecost!$F$2,FALSE),0)*IF(DF35&gt;='Options and results'!$K$25,'Options and results'!$K$24,1))</f>
        <v>0</v>
      </c>
      <c r="EL35" s="889">
        <f>IF($DH$8+DK35&lt;1,0,IF(DF35=1,VLOOKUP($DG$8,Treecost!$B$6:$AH$49,Treecost!$G$2,FALSE),0)*IF(DF35&gt;='Options and results'!$K$25,'Options and results'!$K$24,1))</f>
        <v>0</v>
      </c>
      <c r="EM35" s="889">
        <f>IF($DG$8=0,0,IF(DF35&lt;='Options and results'!$W$20,((VLOOKUP($DG$8,Treecost!$B$6:$AH$49,Treecost!$H$2,FALSE)*(DH35+DK35))/60)*IF(DF35&gt;='Options and results'!$K$25,'Options and results'!$K$24,1),0))</f>
        <v>0</v>
      </c>
      <c r="EN35" s="889">
        <f>IF($DG$8=0,0,IF(DF35&lt;='Options and results'!$W$20,(((VLOOKUP($DG$8,Treecost!$B$6:$AH$49,Treecost!$I$2,FALSE))*(DH35+DK35))/60)*IF(DF35&gt;='Options and results'!$K$25,'Options and results'!$K$24,1),0))</f>
        <v>0</v>
      </c>
      <c r="EO35" s="889">
        <f>IF($DG$8=0,0,IF(DF35&lt;='Options and results'!$W$20,(((VLOOKUP($DG$8,Treecost!$B$6:$AH$49,Treecost!$J$2,FALSE))/60)*(DH35+DK35))*IF(DF35&gt;='Options and results'!$K$25,'Options and results'!$K$24,1),0))</f>
        <v>0</v>
      </c>
      <c r="EP35" s="1019">
        <f>IF($DG$8=0,0,IF(DF35&lt;='Options and results'!$W$20,(((VLOOKUP($DG$8,Treecost!$B$6:$AH$49,Treecost!$C$2,FALSE)+VLOOKUP($DG$8,Treecost!$B$6:$AH$49,Treecost!$D$2,FALSE))*(DH35+DK35)*IF(1+'Options and results'!$Q$22*(DF35-1)&gt;0,1+'Options and results'!$Q$22*(DF35-1),0))+(EJ35*$EI$8+EK35*$EI$9+EL35*$EI$10+EM35*$EI$11+EN35*$EI$12+EO35*$EI$13)*IF(1+'Options and results'!$Q$21*(DF35-1)&gt;0,1+'Options and results'!$Q$21*(DF35-1),0))*IF(DF35&gt;='Options and results'!$K$27,'Options and results'!$K$26,1),0))</f>
        <v>0</v>
      </c>
      <c r="EQ35" s="740">
        <f>IF($DG$8=0,0,IF(DF35&lt;='Options and results'!$W$20,IF(AND(VLOOKUP($DG$8,Treecost!$B$6:$AH$49,Treecost!$K$2,FALSE)&lt;=DF35,DF35&lt;=(VLOOKUP($DG$8,Treecost!$B$6:$AH$49,Treecost!$L$2,FALSE))),VLOOKUP($DG$8,Treecost!$B$6:$AH$49,Treecost!$M$2,FALSE)*DL35/60,0)*IF(DF35&gt;='Options and results'!$K$25,'Options and results'!$K$24,1),0))</f>
        <v>0</v>
      </c>
      <c r="ER35" s="1019">
        <f>IF(EQ35&gt;0,(VLOOKUP($DG$8,Treecost!$B$6:$AH$49,Treecost!$N$2,FALSE)*DL35*IF(1+'Options and results'!$Q$22*(DF35-1)&gt;0,1+'Options and results'!$Q$22*(DF35-1),0)+EQ35*$EI$14*IF(1+'Options and results'!$Q$21*(DF35-1)&gt;0,1+'Options and results'!$Q$21*(DF35-1),0)),0)*IF(DF35&gt;='Options and results'!$K$27,'Options and results'!$K$26,1)</f>
        <v>0</v>
      </c>
      <c r="ES35" s="889">
        <f>IF(DF35&lt;='Options and results'!$W$20,IF(AND(DR35-DR34&gt;0,DR35&gt;'Options and results'!$M$64),(DL35-DN35)*(VLOOKUP($DG$8,Treecost!$B$6:$AH$49,Treecost!$Y$2,FALSE)+(VLOOKUP($DG$8,Treecost!$B$6:$AH$49,Treecost!$AA$2,FALSE)-VLOOKUP($DG$8,Treecost!$B$6:$AH$49,Treecost!$Y$2,FALSE))/(VLOOKUP($DG$8,Treecost!$B$6:$AH$49,Treecost!$Z$2,FALSE)-VLOOKUP($DG$8,Treecost!$B$6:$AH$49,Treecost!$X$2,FALSE))*(DR35-VLOOKUP($DG$8,Treecost!$B$6:$AH$49,Treecost!$X$2,FALSE)))/60,0)*IF(DF35&gt;='Options and results'!$K$25,'Options and results'!$K$24,1),0)</f>
        <v>0</v>
      </c>
      <c r="ET35" s="889">
        <f>IF(DF35&lt;='Options and results'!$W$20,IF(ES35&gt;0,VLOOKUP($DG$8,Treecost!$B$6:$AH$49,Treecost!$AB$2,FALSE)/60*DL35,0)*IF(DF35&gt;='Options and results'!$K$25,'Options and results'!$K$24,1),0)*((ES35-(MIN($ES$8:$ES$67)))/((MAX($ES$8:$ES$67))-(MIN($ES$8:$ES$67))))</f>
        <v>0</v>
      </c>
      <c r="EU35" s="740">
        <f>IF(ES35&gt;0,(ES35*$EI$15+ET35*$EI$19)*IF(1+'Options and results'!$Q$21*(DF35-1)&gt;0,1+'Options and results'!$Q$21*(DF35-1),0),0)*IF(DF35&gt;='Options and results'!$K$27,'Options and results'!$K$26,1)</f>
        <v>0</v>
      </c>
      <c r="EV35" s="891">
        <f>IF($DG$8=0,0,IF(DF35&lt;='Options and results'!$W$20,IF(AND(VLOOKUP($DG$8,Treecost!$B$2:$AH$49,Treecost!$O$2,FALSE)=DF35,DF35&lt;=IF(AND(Optimisation!$B$3="Yes",Optimisation!$B$4=1),Optimisation!$B$9)),VLOOKUP($DG$8,Treecost!$B$2:$AH$49,Treecost!$P$2,FALSE)*(1-CN35),0)*IF(DF35&gt;='Options and results'!$K$25,'Options and results'!$K$24,1),0))</f>
        <v>0</v>
      </c>
      <c r="EW35" s="889">
        <f>IF($DG$8=0,0,IF(DF35&lt;='Options and results'!$W$20,IF(AND(DF35&gt;VLOOKUP($DG$8,Treecost!$B$2:$AH$49,Treecost!$O$2,FALSE),DF35&lt;=IF(AND(Optimisation!$B$3="Yes",Optimisation!$B$4=1),Optimisation!$B$9,VLOOKUP($DG$8,Treecost!$B$2:$AH$49,Treecost!$R$2,FALSE))),VLOOKUP($DG$8,Treecost!$B$2:$AH$49,Treecost!$S$2,FALSE)*(1-CN35),0)*IF(DF35&gt;='Options and results'!$K$25,'Options and results'!$K$24,1),0))</f>
        <v>0</v>
      </c>
      <c r="EX35" s="740">
        <f>IF($DG$8=0,0,IF(DF35&lt;='Options and results'!$W$20,(IF(AND(VLOOKUP($DG$8,Treecost!$B$2:$AH$49,Treecost!$O$2,FALSE)=DF35,DF35&lt;=IF(AND(Optimisation!$B$3="Yes",Optimisation!$B$4=1),Optimisation!$B$9)),VLOOKUP($DG$8,Treecost!$B$2:$AH$49,Treecost!$Q$2,FALSE),0)*(1-CN35)+IF(AND(DF35&gt;VLOOKUP($DG$8,Treecost!$B$2:$AH$49,Treecost!$O$2,FALSE),DF35&lt;=IF(AND(Optimisation!$B$3="Yes",Optimisation!$B$4=1),Optimisation!$B$9,VLOOKUP($DG$8,Treecost!$B$2:$AH$49,Treecost!$R$2,FALSE))),VLOOKUP($DG$8,Treecost!$B$2:$AH$49,Treecost!$T$2,FALSE),0)*(1-CN35)+(EV35*$EI$16+EW35*$EI$17))*IF(DF35&gt;='Options and results'!$K$27,'Options and results'!$K$26,1),0))*IF(1+'Options and results'!$Q$21*(DF35-1)&gt;0,1+'Options and results'!$Q$21*(DF35-1),0)</f>
        <v>0</v>
      </c>
      <c r="EY35" s="894">
        <f>IF($DG$8=0,0,IF(DF35&lt;='Options and results'!$W$20,IF(AND(DF35&gt;=VLOOKUP($DG$8,Treecost!$B$2:$W$49,Treecost!$U$2,FALSE),DF35&lt;=VLOOKUP($DG$8,Treecost!$B$2:$W$49,Treecost!$V$2,FALSE)),(DL35*VLOOKUP($DG$8,Treecost!$B$2:$W$49,Treecost!$W$2,FALSE)/60),0)*IF(DF35&gt;='Options and results'!$K$25,'Options and results'!$K$24,1),0))</f>
        <v>0</v>
      </c>
      <c r="EZ35" s="740">
        <f>EY35*$EI$18*IF(DF35&gt;='Options and results'!$K$27,'Options and results'!$K$26,1)*IF(1+'Options and results'!$Q$21*(DF35-1)&gt;0,1+'Options and results'!$Q$21*(DF35-1),0)</f>
        <v>0</v>
      </c>
      <c r="FA35" s="1025">
        <f>IF(DF35&lt;='Options and results'!$W$20,IF(DL35&lt;=0,0,VLOOKUP($DG$8,Treecost!$B$6:$AH$49,Treecost!$AC$2,FALSE)+VLOOKUP($DG$8,Treecost!$B$6:$AH$49,Treecost!$AD$2,FALSE)+IF(AND(DF35&gt;=VLOOKUP($DG$8,Treecost!$B$2:$AK$49,Treecost!$AI$2,FALSE),DF35&lt;=VLOOKUP($DG$8,Treecost!$B$2:$AK$49,Treecost!$AJ$2,FALSE)),VLOOKUP($DG$8,Treecost!$B$2:$AK$49,Treecost!$AK$2,FALSE)*(1-CN35),0))*IF(DF35&gt;='Options and results'!$K$27,'Options and results'!$K$26,1),0)*IF(1+'Options and results'!$Q$22*(DF35-1)&gt;0,1+'Options and results'!$Q$22*(DF35-1),0)</f>
        <v>3</v>
      </c>
      <c r="FB35" s="894">
        <f>IF(DF35&lt;='Options and results'!$W$20,IF(DN35&gt;0,VLOOKUP($DG$8,Treecost!$B$6:$AH$49,Treecost!$AE$2,FALSE)/60*DN35,0)*IF(DF35&gt;='Options and results'!$K$25,'Options and results'!$K$24,1),0)</f>
        <v>0</v>
      </c>
      <c r="FC35" s="740">
        <f>IF(DF35&lt;='Options and results'!$W$20,IF(DN35&gt;0,VLOOKUP($DG$8,Treecost!$B$6:$AH$49,Treecost!$AF$2,FALSE)/60*DN35,0)*IF(DF35&gt;='Options and results'!$K$25,'Options and results'!$K$24,1),0)</f>
        <v>0</v>
      </c>
      <c r="FD35" s="740">
        <f>(FB35*$EI$20+FC35*$EI$21)*IF(DF35&gt;='Options and results'!$K$27,'Options and results'!$K$26,1)*IF(1+'Options and results'!$Q$21*(DF35-1)&gt;0,1+'Options and results'!$Q$21*(DF35-1),0)</f>
        <v>0</v>
      </c>
      <c r="FE35" s="894">
        <f>IF(DF35&lt;='Options and results'!$W$20,IF(DO35&gt;0,(VLOOKUP($DG$8,Treecost!$B$6:$AH$49,Treecost!$AG$2,FALSE)/60*DO35)*IF(DF35&gt;='Options and results'!$K$25,'Options and results'!$K$24,1),0),0)</f>
        <v>0</v>
      </c>
      <c r="FF35" s="740">
        <f>IF(DF35&lt;='Options and results'!$W$20,IF(DO35&gt;0,(VLOOKUP($DG$8,Treecost!$B$6:$AH$49,Treecost!$AH$2,FALSE)/60*DO35)*IF(DF35&gt;='Options and results'!$K$25,'Options and results'!$K$24,1),0),0)</f>
        <v>0</v>
      </c>
      <c r="FG35" s="740">
        <f>(FE35*$EI$22+FF35*$EI$23)*IF(DF35&gt;='Options and results'!$K$27,'Options and results'!$K$26,1)*IF(1+'Options and results'!$Q$21*(DF35-1)&gt;0,1+'Options and results'!$Q$21*(DF35-1),0)</f>
        <v>0</v>
      </c>
      <c r="FH35" s="894">
        <f t="shared" si="157"/>
        <v>0</v>
      </c>
      <c r="FI35" s="1027">
        <f t="shared" si="158"/>
        <v>0</v>
      </c>
      <c r="FJ35" s="1027">
        <f t="shared" si="159"/>
        <v>0</v>
      </c>
      <c r="FK35" s="1027">
        <f t="shared" si="160"/>
        <v>3</v>
      </c>
      <c r="FL35" s="1027">
        <f t="shared" si="184"/>
        <v>-3</v>
      </c>
      <c r="FM35" s="1027">
        <f>IF($DF35&lt;='Options and results'!$W$20,SUM(FI$8:$FI35),0)</f>
        <v>0</v>
      </c>
      <c r="FN35" s="1027">
        <f>IF($DF35&lt;='Options and results'!$W$20,SUM($FJ$8:FJ35),0)</f>
        <v>0</v>
      </c>
      <c r="FO35" s="1027">
        <f>IF($DF35&lt;='Options and results'!$W$20,SUM($FK$8:FK35),0)</f>
        <v>1124.0448753513026</v>
      </c>
      <c r="FP35" s="1027">
        <f>IF($DF35&lt;='Options and results'!$W$20,FM35+FN35-FO35,0)</f>
        <v>-1124.0448753513026</v>
      </c>
      <c r="FQ35" s="1027">
        <f t="shared" si="162"/>
        <v>624.14903683032799</v>
      </c>
      <c r="FR35" s="1027">
        <f t="shared" si="163"/>
        <v>621.14903683032799</v>
      </c>
      <c r="FS35" s="1027">
        <f t="shared" si="164"/>
        <v>0</v>
      </c>
      <c r="FT35" s="1189">
        <f>IF(DF35&lt;='Options and results'!$W$20,FP35+DZ35,0)</f>
        <v>5062.5951216294161</v>
      </c>
      <c r="FU35" s="401"/>
      <c r="FV35" s="895">
        <f t="shared" si="165"/>
        <v>28</v>
      </c>
      <c r="FW35" s="894">
        <f>G35/(1+'Options and results'!$W$33)^(FV35-1)</f>
        <v>468.46729880796357</v>
      </c>
      <c r="FX35" s="740">
        <f>(AP35+AR35+AS35)/(1+'Options and results'!$W$33)^(FV35-1)</f>
        <v>0</v>
      </c>
      <c r="FY35" s="740">
        <f ca="1">CQ35/(1+'Options and results'!$W$33)^(FV35-1)</f>
        <v>0</v>
      </c>
      <c r="FZ35" s="740">
        <f>(EA35+EC35+ED35)/(1+'Options and results'!$W$33)^(FV35-1)</f>
        <v>0</v>
      </c>
      <c r="GA35" s="1019">
        <f t="shared" ca="1" si="180"/>
        <v>0</v>
      </c>
      <c r="GB35" s="1026">
        <f>(AO35+AQ35)/(1+'Options and results'!$W$33)^(FV35-1)+FX35</f>
        <v>2541.5861298039908</v>
      </c>
      <c r="GC35" s="1027">
        <f>IF(FV35&gt;'Options and results'!$W$27,0,GB35-GB34)</f>
        <v>100.68733075688851</v>
      </c>
      <c r="GD35" s="1027">
        <f>(DZ35+EB35)/(1+'Options and results'!$W$33)^(FV35-1)+FZ35</f>
        <v>2889.8074556824608</v>
      </c>
      <c r="GE35" s="1379">
        <f>IF(FV35&gt;'Options and results'!$W$27,0,GD35-GD34)</f>
        <v>109.53153910508945</v>
      </c>
      <c r="GF35" s="894">
        <f>IF(FV35&lt;='Options and results'!$W$20,SUM(FW$8:FW35),0)</f>
        <v>26135.362362272972</v>
      </c>
      <c r="GG35" s="740">
        <f>IF(FV35&lt;='Options and results'!$W$20,SUM(FX$8:FX35), 0)</f>
        <v>0</v>
      </c>
      <c r="GH35" s="740">
        <f ca="1">IF(FV35&lt;='Options and results'!$W$20,SUM(FY$8:FY35),0)</f>
        <v>14787.259868716837</v>
      </c>
      <c r="GI35" s="740">
        <f>IF(FV35&lt;='Options and results'!$W$20,SUM(FZ$8:FZ35),0)</f>
        <v>0</v>
      </c>
      <c r="GJ35" s="1019">
        <f t="shared" ca="1" si="166"/>
        <v>14787.259868716837</v>
      </c>
      <c r="GK35" s="894">
        <f>IF(FV35&gt;'Options and results'!$W$27,0,GG35+SUM(GC$8:GC35)-FX35)</f>
        <v>2541.5861298039908</v>
      </c>
      <c r="GL35" s="740">
        <f>IF(FV35&lt;='Options and results'!$W$20,SUM(GD$8:GD35),0)</f>
        <v>24796.27967112538</v>
      </c>
      <c r="GM35" s="1034">
        <f t="shared" ca="1" si="167"/>
        <v>39583.539539842219</v>
      </c>
      <c r="GN35" s="401"/>
      <c r="GO35" s="895">
        <f t="shared" si="168"/>
        <v>28</v>
      </c>
      <c r="GP35" s="894">
        <f>H35/(1+'Options and results'!$W$33)^(GO35-1)</f>
        <v>81.571257294870819</v>
      </c>
      <c r="GQ35" s="740">
        <f>SUM(AT35:AV35)/(1+'Options and results'!$W$33)^(GO35-1)</f>
        <v>0</v>
      </c>
      <c r="GR35" s="740">
        <f>CR35/(1+'Options and results'!$W$33)^(GO35-1)</f>
        <v>0</v>
      </c>
      <c r="GS35" s="740">
        <f>SUM(EE35:EG35)/(1+'Options and results'!$W$33)^(GO35-1)</f>
        <v>0</v>
      </c>
      <c r="GT35" s="1019">
        <f t="shared" si="181"/>
        <v>0</v>
      </c>
      <c r="GU35" s="894">
        <f>IF(GO35&lt;='Options and results'!$W$20,SUM(GP$8:GP35),0)</f>
        <v>4075.918567628225</v>
      </c>
      <c r="GV35" s="740">
        <f>IF(GO35&lt;='Options and results'!$W$20,SUM(GQ$8:GQ35),0)</f>
        <v>0</v>
      </c>
      <c r="GW35" s="740">
        <f>IF(GO35&lt;='Options and results'!$W$20,SUM(GR$8:GR35),0)</f>
        <v>0</v>
      </c>
      <c r="GX35" s="740">
        <f>IF(GO35&lt;='Options and results'!$W$20,SUM(GS$8:GS35),0)</f>
        <v>0</v>
      </c>
      <c r="GY35" s="1034">
        <f>IF(GO35&lt;='Options and results'!$W$20,SUM(GT$8:GT35),0)</f>
        <v>0</v>
      </c>
      <c r="GZ35" s="401"/>
      <c r="HA35" s="895">
        <f t="shared" si="169"/>
        <v>28</v>
      </c>
      <c r="HB35" s="1026">
        <f>(J35+L35+(M35*N35))/(1+'Options and results'!$W$33)^(HA35-1)</f>
        <v>411.75325070203553</v>
      </c>
      <c r="HC35" s="740">
        <f>BZ35/(1+'Options and results'!$W$33)^(HA35-1)</f>
        <v>1.0404497103937604</v>
      </c>
      <c r="HD35" s="1027">
        <f>(CT35+CV35+(CW35*CX35))/(1+'Options and results'!$W$33)^(HA35-1)</f>
        <v>0</v>
      </c>
      <c r="HE35" s="740">
        <f>FK35/(1+'Options and results'!$W$33)^(HA35-1)</f>
        <v>1.0404497103937604</v>
      </c>
      <c r="HF35" s="1019">
        <f t="shared" si="182"/>
        <v>1.0404497103937604</v>
      </c>
      <c r="HG35" s="894">
        <f>IF(HA35&lt;='Options and results'!$W$20,SUM(HB$8:HB35),0)</f>
        <v>21086.511697059643</v>
      </c>
      <c r="HH35" s="740">
        <f>IF(HA35&lt;='Options and results'!$W$20,SUM(HC$8:HC35),0)</f>
        <v>1403.1955322691126</v>
      </c>
      <c r="HI35" s="740">
        <f>IF(HA35&lt;='Options and results'!$W$20,SUM(HD$8:HD35),0)</f>
        <v>13294.975863606456</v>
      </c>
      <c r="HJ35" s="740">
        <f>IF(HA35&lt;='Options and results'!$W$20,SUM(HE$8:HE35),0)</f>
        <v>947.57534421730065</v>
      </c>
      <c r="HK35" s="1034">
        <f>IF(HA35&lt;='Options and results'!$W$20,SUM(HF$8:HF35),0)</f>
        <v>14242.551207823761</v>
      </c>
      <c r="HL35" s="405"/>
      <c r="HM35" s="895">
        <f t="shared" si="170"/>
        <v>28</v>
      </c>
      <c r="HN35" s="1026">
        <f t="shared" si="171"/>
        <v>138.28530540079885</v>
      </c>
      <c r="HO35" s="1027">
        <f t="shared" si="172"/>
        <v>-1.0404497103937604</v>
      </c>
      <c r="HP35" s="1027">
        <f t="shared" ca="1" si="173"/>
        <v>0</v>
      </c>
      <c r="HQ35" s="1027">
        <f t="shared" si="174"/>
        <v>-1.0404497103937604</v>
      </c>
      <c r="HR35" s="1027">
        <f t="shared" si="175"/>
        <v>99.646881046494755</v>
      </c>
      <c r="HS35" s="1379">
        <f t="shared" si="176"/>
        <v>108.49108939469569</v>
      </c>
      <c r="HT35" s="1026">
        <f>IF($HM35&lt;='Options and results'!$W$20,SUM(HN$8:HN35),0)</f>
        <v>9124.769232841556</v>
      </c>
      <c r="HU35" s="1027">
        <f>IF($HM35&lt;='Options and results'!$W$20,SUM(HO$8:HO35),0)</f>
        <v>-1403.1955322691126</v>
      </c>
      <c r="HV35" s="1027">
        <f ca="1">IF($HM35&lt;='Options and results'!$W$20,SUM(HP$8:HP35),0)</f>
        <v>1492.284005110379</v>
      </c>
      <c r="HW35" s="1027">
        <f>IF($HM35&lt;='Options and results'!$W$20,SUM(HQ$8:HQ35),0)</f>
        <v>-947.57534421730065</v>
      </c>
      <c r="HX35" s="1027">
        <f t="shared" ca="1" si="177"/>
        <v>544.70866089307833</v>
      </c>
      <c r="HY35" s="1027">
        <f>IF($HM35&lt;='Options and results'!$W$20,SUM(HR$8:HR35),0)</f>
        <v>1138.3905975348785</v>
      </c>
      <c r="HZ35" s="1027">
        <f>IF($HM35&lt;='Options and results'!$W$20,SUM(HS$8:HS35),0)</f>
        <v>1942.2321114651604</v>
      </c>
      <c r="IA35" s="1189">
        <f t="shared" ca="1" si="178"/>
        <v>3434.5161165755394</v>
      </c>
    </row>
    <row r="36" spans="1:235" x14ac:dyDescent="0.25">
      <c r="A36" s="1010">
        <f t="shared" si="126"/>
        <v>29</v>
      </c>
      <c r="B36" s="1011" t="str">
        <f>IF('Options and results'!$C$17="None",0,CONCATENATE('Options and results'!$C$23," ",(HLOOKUP(CONCATENATE('Options and results'!$C$17," ",Arablesystem!$B$11),Arablesystem!$B$10:$ER$72,$A36+3,FALSE))))</f>
        <v>UK - Agriculture (BPS: from 2015) Wheat</v>
      </c>
      <c r="C36" s="1012">
        <f>IF(HLOOKUP(CONCATENATE('Options and results'!$C$17," ",Arablesystem!$C$11),Arablesystem!$B$10:$ER$72,$A36+3,FALSE)="T",(VLOOKUP(B36,Arablefinance!$Z$6:$AB$105,Arablefinance!$AB$2,FALSE)*E36+VLOOKUP(B36,Arablefinance!$Z$6:$AC$105,Arablefinance!$AC$2,FALSE)*F36)/VLOOKUP(B36,Arablefinance!$Z$6:$AA$105,Arablefinance!$AA$2,FALSE),0)</f>
        <v>0</v>
      </c>
      <c r="D36" s="1012">
        <f>IF(B36=0,0,HLOOKUP(CONCATENATE('Options and results'!$C$17," ",Arablesystem!$D$11),Arablesystem!$B$10:$ER$72,$A36+3,FALSE))</f>
        <v>1</v>
      </c>
      <c r="E36" s="1440">
        <f>IF(B36=0,0,HLOOKUP(CONCATENATE('Options and results'!$C$17," ",Arablesystem!$E$11),Arablesystem!$B$10:$ER$72,$A36+3,FALSE)*IF(A36&gt;='Options and results'!$H$19,'Options and results'!$H$18,1))</f>
        <v>7.9811870817503401</v>
      </c>
      <c r="F36" s="1440">
        <f>IF(B36=0,0,HLOOKUP(CONCATENATE('Options and results'!$C$17," ",Arablesystem!$F$11),Arablesystem!$B$10:$ER$72,$A36+3,FALSE)*IF(A36&gt;='Options and results'!$H$19,'Options and results'!$H$18,1))</f>
        <v>3.1924748327001362</v>
      </c>
      <c r="G36" s="1013">
        <f>IF(D36&lt;=0,0,IF(A36&lt;='Options and results'!$W$20,IF(C36&gt;0,VLOOKUP(B36,Arablefinance!$Z$6:$AE$105,Arablefinance!$AD$2,FALSE)*C36*D36,((VLOOKUP(B36,Arablefinance!$E$6:$G$126,Arablefinance!$F$2,FALSE)*(E36*D36)+VLOOKUP(B36,Arablefinance!$E$6:$G$126,Arablefinance!$G$2,FALSE)*(F36*D36)))),0)*IF(A36&gt;='Options and results'!$H$21,'Options and results'!$H$20,1))*IF(1+'Options and results'!$O$20*(A36-1)&gt;0,1+'Options and results'!$O$20*(A36-1),0)</f>
        <v>1505.3405634745782</v>
      </c>
      <c r="H36" s="1441">
        <f>IF(D36&lt;=0,0,IF(A36&lt;='Options and results'!$W$20,IF(AND(C36&gt;0,VLOOKUP(B36,Arablefinance!$Z$6:$AI$105,Arablefinance!$AI$2,FALSE)=2),VLOOKUP(B36,Arablefinance!$Z$6:$AE$105,Arablefinance!$AE$2,FALSE)*C36*D36,(VLOOKUP(B36,Arablefinance!$E$6:$H$126,Arablefinance!$H$2,FALSE)*D36))*IF(A36&gt;='Options and results'!$H$23,'Options and results'!$H$22,1),0)*IF(AND(1+'Options and results'!$O$23*(A36-1)&gt;0,1+'Options and results'!$O$23*(A36-1)&gt;'Options and results'!$S$24),1+'Options and results'!$O$23*(A36-1),'Options and results'!$S$24))</f>
        <v>235.2</v>
      </c>
      <c r="I36" s="1441">
        <f t="shared" si="127"/>
        <v>1740.5405634745782</v>
      </c>
      <c r="J36" s="1441">
        <f>IF(D36&lt;=0,0,IF(A36&lt;='Options and results'!$W$20,IF(C36&gt;0,VLOOKUP(B36,Arablefinance!$Z$6:$AF$105,Arablefinance!$AF$2,FALSE)*C36*D36,(VLOOKUP(B36,Arablefinance!$E$6:$X$126,Arablefinance!$R$2,FALSE))*D36),0)*IF(A36&gt;='Options and results'!$H$27,'Options and results'!$H$26,1))*IF(1+'Options and results'!$O$22*(A36-1)&gt;0,1+'Options and results'!$O$22*(A36-1),0)</f>
        <v>653.12499999999989</v>
      </c>
      <c r="K36" s="1441">
        <f t="shared" si="128"/>
        <v>1087.4155634745784</v>
      </c>
      <c r="L36" s="1441">
        <f>IF(D36&lt;=0,0,IF(A36&lt;='Options and results'!$W$20,IF(C36&gt;0,VLOOKUP(B36,Arablefinance!$Z$6:$AG$105,Arablefinance!$AG$2,FALSE)*C36*D36,VLOOKUP(B36,Arablefinance!$E$6:$X$126,Arablefinance!$X$2,FALSE)*D36),0)*IF(A36&gt;='Options and results'!$H$27,'Options and results'!$H$26,1))*IF(1+'Options and results'!$O$22*(A36-1)&gt;0,1+'Options and results'!$O$22*(A36-1),0)</f>
        <v>444.44444444444446</v>
      </c>
      <c r="M36" s="1442">
        <f>IF(D36&lt;=0,0,IF(A36&lt;='Options and results'!$W$20,'Options and results'!$C$27,0)*IF(A36&gt;='Options and results'!$H$27,'Options and results'!$H$26,1))*IF(1+'Options and results'!$O$21*(A36-1)&gt;0,1+'Options and results'!$O$21*(A36-1),0)</f>
        <v>14.6</v>
      </c>
      <c r="N36" s="1442">
        <f>IF(D36&lt;=0,0,IF(A36&lt;='Options and results'!$W$20,IF(C36&gt;0,VLOOKUP(B36,Arablefinance!$Z$6:$AH$105,Arablefinance!$AH$2,FALSE)*C36*D36,VLOOKUP(B36,Arablefinance!$E$6:$W$126,Arablefinance!$V$2,FALSE)*D36),0)*IF(A36&gt;='Options and results'!$H$25,'Options and results'!$H$24,1))</f>
        <v>11.632834596849463</v>
      </c>
      <c r="O36" s="1013">
        <f t="shared" si="129"/>
        <v>1267.4088295584465</v>
      </c>
      <c r="P36" s="1353">
        <f t="shared" si="130"/>
        <v>473.13173391613179</v>
      </c>
      <c r="Q36" s="1013">
        <f>IF(A36&lt;='Options and results'!$W$20,SUM(G$8:$G36),0)</f>
        <v>42506.287506402266</v>
      </c>
      <c r="R36" s="1441">
        <f>IF($A36&lt;='Options and results'!$W$20,SUM($H$8:H36),0)</f>
        <v>6820.7999999999965</v>
      </c>
      <c r="S36" s="1441">
        <f>IF($A36&lt;='Options and results'!$W$20,SUM($O$8:O36),0)</f>
        <v>35286.559651230782</v>
      </c>
      <c r="T36" s="1032">
        <f>IF(A36&lt;='Options and results'!$W$20,Q36+R36-S36,0)</f>
        <v>14040.52785517148</v>
      </c>
      <c r="U36" s="405"/>
      <c r="V36" s="1010">
        <f t="shared" si="131"/>
        <v>29</v>
      </c>
      <c r="W36" s="173"/>
      <c r="X36" s="1036"/>
      <c r="Y36" s="1030">
        <f>IF(V36&lt;='Options and results'!$M$34,'Options and results'!$M$33,0)</f>
        <v>0</v>
      </c>
      <c r="Z36" s="1441">
        <f t="shared" si="132"/>
        <v>0</v>
      </c>
      <c r="AA36" s="1441">
        <f t="shared" si="133"/>
        <v>0</v>
      </c>
      <c r="AB36" s="1428">
        <f t="shared" si="134"/>
        <v>156</v>
      </c>
      <c r="AC36" s="1441">
        <f>IF($W$8=0,0,IF(HLOOKUP(CONCATENATE('Options and results'!$C$32," ",Forestrysystem!$C$8),Forestrysystem!$A$7:$IH$70,V36+4,FALSE)&lt;AB36,HLOOKUP(CONCATENATE('Options and results'!$C$32," ",Forestrysystem!$C$8),Forestrysystem!$A$7:$IH$70,V36+4,FALSE),0))</f>
        <v>0</v>
      </c>
      <c r="AD36" s="1441">
        <f>IF($W$8=0,0,IF(HLOOKUP(CONCATENATE('Options and results'!$C$32," ",Forestrysystem!$C$8),Forestrysystem!$A$7:$IH$70,V36+4,FALSE)&gt;=AB36,AB36,0))</f>
        <v>0</v>
      </c>
      <c r="AE36" s="1440">
        <f>IF($W$8=0,0,HLOOKUP(CONCATENATE('Options and results'!$C$32," ",Forestrysystem!$D$8),Forestrysystem!$A$7:$IH$70,$V36+4,FALSE))</f>
        <v>28.368222328032822</v>
      </c>
      <c r="AF36" s="1037"/>
      <c r="AG36" s="1440">
        <f>IF($W$8=0,0,IF(V36=1,'Options and results'!$M$36,0)+IF('Options and results'!$M$39="yes",IF(AND(AG35+'Options and results'!$M$37&lt;=$AF$8,AG35+'Options and results'!$M$37+IF(V36=1,'Options and results'!$M$36,0)&lt;='Options and results'!$M$38*AE36),AG35+'Options and results'!$M$37,AG35),(HLOOKUP(CONCATENATE('Options and results'!$C$32," ",Forestrysystem!$E$8),Forestrysystem!$A$7:$IH$70,V36+4,FALSE))-IF(V36=1,'Options and results'!$M$36,0)))</f>
        <v>7.5</v>
      </c>
      <c r="AH36" s="1442">
        <f>IF(OR($W$8=0,AB36&lt;=0),0,(HLOOKUP(CONCATENATE('Options and results'!$C$32," ",Forestrysystem!$F$8),Forestrysystem!$A$7:$IH$70,$V36+4,FALSE)) * IF(V36&gt;='Options and results'!$I$19,'Options and results'!$I$18,1) )</f>
        <v>207.68207864813559</v>
      </c>
      <c r="AI36" s="1452">
        <f t="shared" si="179"/>
        <v>1.3312953759495871</v>
      </c>
      <c r="AJ36" s="1442">
        <f t="shared" si="135"/>
        <v>0</v>
      </c>
      <c r="AK36" s="1453">
        <f>IF(OR($W$8=0,AE36&lt;=0),0,(HLOOKUP(CONCATENATE('Options and results'!$C$32," ",Forestrysystem!$G$8),Forestrysystem!$A$7:$IH$70,$V36+4,FALSE)) * IF(Y36&gt;='Options and results'!$I$19,'Options and results'!$I$18,1) )</f>
        <v>91.576889538646952</v>
      </c>
      <c r="AL36" s="1453">
        <f>IF($W$8=0,0,HLOOKUP(CONCATENATE('Options and results'!$C$32," ",Forestrysystem!$H$8),Forestrysystem!$A$7:$IH$70,$V36+4,FALSE)*IF(V36&gt;='Options and results'!$I$19,'Options and results'!$I$18,1))</f>
        <v>0</v>
      </c>
      <c r="AM36" s="1383">
        <f>IF($W$8=0,0,HLOOKUP(CONCATENATE('Options and results'!$C$32," ",Forestrysystem!$I$8),Forestrysystem!$A$7:$IH$70,$V36+4,FALSE)*IF(V36&gt;='Options and results'!$I$19,'Options and results'!$I$18,1))</f>
        <v>0</v>
      </c>
      <c r="AN36" s="1382">
        <f>IF(AI36&gt;0,HLOOKUP(AI36,Treevalue!$I$4:$BC$34,'Options and results'!$C$39+1),0)*IF(V36&gt;='Options and results'!$I$21,'Options and results'!$I$20,1)*IF(1+'Options and results'!$Q$20*(V36-1)&gt;0,1+'Options and results'!$Q$20*(V36-1),0)</f>
        <v>27.004435283890658</v>
      </c>
      <c r="AO36" s="1454">
        <f t="shared" si="136"/>
        <v>5608.3372524774677</v>
      </c>
      <c r="AP36" s="1454">
        <f t="shared" si="137"/>
        <v>0</v>
      </c>
      <c r="AQ36" s="1454">
        <f>(IF('Options and results'!$C$39&gt;0,IF(V36&lt;='Options and results'!$W$20,VLOOKUP('Options and results'!$C$39,Treevalue!$A$4:$F$34,5,FALSE),0),0)*AK36)*IF(V36&gt;='Options and results'!$I$21,'Options and results'!$I$20,1)*IF(1+'Options and results'!$Q$20*(V36-1)&gt;0,1+'Options and results'!$Q$20*(V36-1),0)-AR36</f>
        <v>2289.4222384661739</v>
      </c>
      <c r="AR36" s="1441">
        <f>(IF('Options and results'!$C$39&gt;0,IF(V36&lt;='Options and results'!$W$20,VLOOKUP('Options and results'!$C$39,Treevalue!$A$4:$F$34,5,FALSE),0),0)*AL36)*IF(V36&gt;='Options and results'!$I$21,'Options and results'!$I$20,1)*IF(1+'Options and results'!$Q$20*(V36-1)&gt;0,1+'Options and results'!$Q$20*(V36-1),0)</f>
        <v>0</v>
      </c>
      <c r="AS36" s="1441">
        <f>(IF('Options and results'!$C$39&gt;0,IF(V36&lt;='Options and results'!$W$20,VLOOKUP('Options and results'!$C$39,Treevalue!$A$4:$F$34,6,FALSE),0),0)*AM36)*IF(V36&gt;='Options and results'!$I$21,'Options and results'!$I$20,1)*IF(1+'Options and results'!$Q$20*(V36-1)&gt;0,1+'Options and results'!$Q$20*(V36-1),0)</f>
        <v>0</v>
      </c>
      <c r="AT36" s="1441">
        <f>IF(V36&lt;='Options and results'!$W$20,(IF(AB36&lt;=0,0,IF('Options and results'!$C$43="cost",(IF(V36&lt;='Options and results'!$C$44,BZ36*SUM('Options and results'!$C$45:$C$46),0)),IF('Options and results'!$C$41&gt;0,(IF(VLOOKUP('Options and results'!$C$42,Treegrant!$B$6:$L$42,Treegrant!$C$2,FALSE)=V36,VLOOKUP('Options and results'!$C$42,Treegrant!$B$6:$L$42,Treegrant!$D$2,FALSE),0)+IF(VLOOKUP('Options and results'!$C$42,Treegrant!$B$6:$L$42,Treegrant!$E$2,FALSE)=V36,VLOOKUP('Options and results'!$C$42,Treegrant!$B$6:$L$42,Treegrant!$F$2,FALSE),0)+IF(VLOOKUP('Options and results'!$C$42,Treegrant!$B$6:$L$42,Treegrant!$G$2,FALSE)=V36,VLOOKUP('Options and results'!$C$42,Treegrant!$B$6:$L$42,Treegrant!$H$2,FALSE)))*IF('Options and results'!$C$43="area",1,'Options and results'!$C$43),0)))*IF(V36&gt;='Options and results'!$I$23,'Options and results'!$I$22,1)),0)*IF(1+'Options and results'!$Q$23*(V36-1)&gt;0,1+'Options and results'!$Q$23*(V36-1),0)</f>
        <v>0</v>
      </c>
      <c r="AU36" s="1441">
        <f>IF($W$8=0,0,IF(V36&lt;='Options and results'!$W$20,IF(AB36&lt;=0,0,IF('Options and results'!$C$41&gt;0,IF(AND(VLOOKUP('Options and results'!$C$42,Treegrant!$B$6:$L$42,Treegrant!$J$2,FALSE)&lt;=V36,VLOOKUP('Options and results'!$C$42,Treegrant!$B$6:$L$42,Treegrant!$K$2,FALSE)&gt;=V36),(VLOOKUP('Options and results'!$C$42,Treegrant!$B$6:$L$42,Treegrant!$L$2,FALSE)),0)*IF('Options and results'!$C$47="full",1,'Options and results'!$C$47))*IF(V36&gt;='Options and results'!$I$23,'Options and results'!$I$22,1)),0))*IF(1+'Options and results'!$Q$23*(V36-1)&gt;0,1+'Options and results'!$Q$23*(V36-1),0)</f>
        <v>0</v>
      </c>
      <c r="AV36" s="1032">
        <f>IF($W$8=0,0,IF(V36&lt;='Options and results'!$W$20,IF(AB36&lt;=0,0,(IF('Options and results'!$C$41&gt;0,(IF(AND(VLOOKUP('Options and results'!$C$42,Treegrant!$B$6:$O$42,Treegrant!$M$2,FALSE)&lt;=V36,VLOOKUP('Options and results'!$C$42,Treegrant!$B$6:$O$42,Treegrant!$N$2,FALSE)&gt;=V36),(VLOOKUP('Options and results'!$C$42,Treegrant!$B$6:$O$42,Treegrant!$O$2,FALSE)),0)*IF('Options and results'!$C$48="full",1,'Options and results'!$C$48))+(IF(AND(VLOOKUP('Options and results'!$C$42,Treegrant!$B$6:$R$42,Treegrant!$P$2,FALSE)&lt;=V36,VLOOKUP('Options and results'!$C$42,Treegrant!$B$6:$R$42,Treegrant!$Q$2,FALSE)&gt;=V36),(VLOOKUP('Options and results'!$C$42,Treegrant!$B$6:$R$42,Treegrant!$R$2,FALSE)),0))*IF('Options and results'!$C$49="full",1,'Options and results'!$C$49)))*IF(V36&gt;='Options and results'!$I$23,'Options and results'!$I$22,1)),0))*IF(1+'Options and results'!$Q$23*(V36-1)&gt;0,1+'Options and results'!$Q$23*(V36-1),0)</f>
        <v>0</v>
      </c>
      <c r="AW36" s="1041"/>
      <c r="AX36" s="1042"/>
      <c r="AY36" s="1419">
        <f>IF($W$8=0,0,IF(V36=1,VLOOKUP($W$8,Treecost!$B$6:$AH$49,Treecost!$E$2,FALSE),0)*IF(V36&gt;='Options and results'!$I$25,'Options and results'!$I$24,1))</f>
        <v>0</v>
      </c>
      <c r="AZ36" s="889">
        <f>IF($W$8=0,0,IF(V36=1,VLOOKUP($W$8,Treecost!$B$6:$AH$49,Treecost!$F$2,FALSE),0)*IF(V36&gt;='Options and results'!$I$25,'Options and results'!$I$24,1))</f>
        <v>0</v>
      </c>
      <c r="BA36" s="889">
        <f>IF($W$8=0,0,IF(V36=1,VLOOKUP($W$8,Treecost!$B$6:$AH$49,Treecost!$G$2,FALSE),0)*IF(V36&gt;='Options and results'!$I$25,'Options and results'!$I$24,1))</f>
        <v>0</v>
      </c>
      <c r="BB36" s="889">
        <f>IF($W$8=0,0,IF(V36&lt;='Options and results'!$W$20,((VLOOKUP($W$8,Treecost!$B$6:$AH$49,Treecost!$H$2,FALSE)*(X36+AA36))/60)*IF(V36&gt;='Options and results'!$I$25,'Options and results'!$I$24,1),0))</f>
        <v>0</v>
      </c>
      <c r="BC36" s="889">
        <f>IF($W$8=0,0,IF(V36&lt;='Options and results'!$W$20,(((VLOOKUP($W$8,Treecost!$B$6:$AH$49,Treecost!$I$2,FALSE))*(X36+AA36))/60)*IF(V36&gt;='Options and results'!$I$25,'Options and results'!$I$24,1),0))</f>
        <v>0</v>
      </c>
      <c r="BD36" s="889">
        <f>IF($W$8=0,0,IF(V36&lt;='Options and results'!$W$20,(((VLOOKUP($W$8,Treecost!$B$6:$AH$49,Treecost!$J$2,FALSE))/60)*(X36+AA36))*IF(V36&gt;='Options and results'!$I$25,'Options and results'!$I$24,1),0))</f>
        <v>0</v>
      </c>
      <c r="BE36" s="1019">
        <f>IF($W$8=0,0,IF(V36&lt;='Options and results'!$W$20,(((VLOOKUP($W$8,Treecost!$B$6:$AH$49,Treecost!$C$2,FALSE)+VLOOKUP($W$8,Treecost!$B$6:$AH$49,Treecost!$D$2,FALSE))*(X36+AA36)*IF(1+'Options and results'!$Q$22*(V36-1)&gt;0,1+'Options and results'!$Q$22*(V36-1),0))+((AY36*$AX$8+AZ36*$AX$9+BA36*$AX$10+BB36*$AX$11+BC36*$AX$12+BD36*$AX$13)*IF(1+'Options and results'!$Q$21*(V36-1)&gt;0,1+'Options and results'!$Q$21*(V36-1),0)))*IF(V36&gt;='Options and results'!$I$27,'Options and results'!$I$26,1),0))</f>
        <v>0</v>
      </c>
      <c r="BF36" s="889">
        <f>IF($W$8=0,0,IF(V36&lt;='Options and results'!$W$20,IF(AND(VLOOKUP($W$8,Treecost!$B$6:$AH$49,Treecost!$K$2,FALSE)&lt;=V36,V36&lt;=(VLOOKUP($W$8,Treecost!$B$6:$AH$49,Treecost!$L$2,FALSE))),VLOOKUP($W$8,Treecost!$B$6:$AH$49,Treecost!$M$2,FALSE)*AB36/60,0)*IF(V36&gt;='Options and results'!$I$25,'Options and results'!$I$24,1),0))</f>
        <v>0</v>
      </c>
      <c r="BG36" s="1019">
        <f>IF(BF36&gt;0,(VLOOKUP($W$8,Treecost!$B$6:$AH$49,Treecost!$N$2,FALSE)*AB36*IF(1+'Options and results'!$Q$22*(V36-1)&gt;0,1+'Options and results'!$Q$22*(V36-1),0)+BF36*$AX$14*IF(1+'Options and results'!$Q$21*(V36-1)&gt;0,1+'Options and results'!$Q$21*(V36-1),0)),0)*IF(V36&gt;='Options and results'!$I$27,'Options and results'!$I$26,1)</f>
        <v>0</v>
      </c>
      <c r="BH36" s="889">
        <f>IF(V36&lt;='Options and results'!$W$20,IF(AND(AG36-AG35&gt;0,AG36&gt;'Options and results'!$M$36),(AB36-AC36)*(VLOOKUP($W$8,Treecost!$B$6:$AH$49,Treecost!$Y$2,FALSE)+(VLOOKUP($W$8,Treecost!$B$6:$AH$49,Treecost!$AA$2,FALSE)-VLOOKUP($W$8,Treecost!$B$6:$AH$49,Treecost!$Y$2,FALSE))/(VLOOKUP($W$8,Treecost!$B$6:$AH$49,Treecost!$Z$2,FALSE)-VLOOKUP($W$8,Treecost!$B$6:$AH$49,Treecost!$X$2,FALSE))*(AG36-VLOOKUP($W$8,Treecost!$B$6:$AH$49,Treecost!$X$2,FALSE)))/60,0)*IF(V36&gt;='Options and results'!$I$25,'Options and results'!$I$24,1),0)</f>
        <v>0</v>
      </c>
      <c r="BI36" s="303">
        <f>IF(V36&lt;='Options and results'!$W$20,IF(BH36&gt;0,VLOOKUP($W$8,Treecost!$B$6:$AH$49,Treecost!$AB$2,FALSE)/60*AB36,0)*IF(V36&gt;='Options and results'!$I$25,'Options and results'!$I$24,1),0)*((BH36-(MIN($BH$8:$BH$67)))/((MAX($BH$8:$BH$67))-(MIN($BH$8:$BH$67))))</f>
        <v>0</v>
      </c>
      <c r="BJ36" s="740">
        <f>IF(BH36&gt;0,(BH36*$AX$15+BI36*$AX$19)*IF(1+'Options and results'!$Q$21*(V36-1)&gt;0,1+'Options and results'!$Q$21*(V36-1),0),0)*IF(V36&gt;='Options and results'!$I$27,'Options and results'!$I$26,1)</f>
        <v>0</v>
      </c>
      <c r="BK36" s="891">
        <f>IF($W$8=0,0,IF(V36&lt;='Options and results'!$W$20,IF(VLOOKUP($W$8,Treecost!$B$2:$AH$49,Treecost!$O$2,FALSE)=V36,VLOOKUP($W$8,Treecost!$B$2:$AH$49,Treecost!$P$2,FALSE),0)*IF(V36&gt;='Options and results'!$I$25,'Options and results'!$I$24,1),0))</f>
        <v>0</v>
      </c>
      <c r="BL36" s="889">
        <f>IF($W$8=0,0,IF(V36&lt;='Options and results'!$W$20,IF(AND(V36&gt;VLOOKUP($W$8,Treecost!$B$2:$AH$49,Treecost!$O$2,FALSE),V36&lt;=VLOOKUP($W$8,Treecost!$B$2:$AH$49,Treecost!$R$2,FALSE)),VLOOKUP($W$8,Treecost!$B$2:$AH$49,Treecost!$S$2,FALSE),0)*IF(V36&gt;='Options and results'!$I$25,'Options and results'!$I$24,1),0))</f>
        <v>0</v>
      </c>
      <c r="BM36" s="740">
        <f>IF($W$8=0,0,IF(V36&lt;='Options and results'!$W$20,((IF(VLOOKUP($W$8,Treecost!$B$2:$AH$49,Treecost!$O$2,FALSE)=V36,VLOOKUP($W$8,Treecost!$B$2:$AH$49,Treecost!$Q$2,FALSE),0)+IF(AND(V36&gt;VLOOKUP($W$8,Treecost!$B$2:$AH$49,Treecost!$O$2,FALSE),V36&lt;=VLOOKUP($W$8,Treecost!$B$2:$AH$49,Treecost!$R$2,FALSE)),VLOOKUP($W$8,Treecost!$B$2:$AH$49,Treecost!$T$2,FALSE),0)*IF(1+'Options and results'!$Q$22*(V36-1)&gt;0,1+'Options and results'!$Q$22*(V36-1),0))+(BK36*$AX$16+BL36*$AX$17)*IF(1+'Options and results'!$Q$21*(V36-1)&gt;0,1+'Options and results'!$Q$21*(V36-1),0))*IF(V36&gt;='Options and results'!$I$27,'Options and results'!$I$26,1),0))</f>
        <v>0</v>
      </c>
      <c r="BN36" s="894">
        <f>IF($W$8=0,0,IF(V36&lt;='Options and results'!$W$20,IF(AND(V36&gt;=VLOOKUP($W$8,Treecost!$B$2:$W$49,Treecost!$U$2,FALSE),V36&lt;=VLOOKUP($W$8,Treecost!$B$2:$W$49,Treecost!$V$2,FALSE)),(AB36*VLOOKUP($W$8,Treecost!$B$2:$W$49,Treecost!$W$2,FALSE)/60),0)*IF(V36&gt;='Options and results'!$I$25,'Options and results'!$I$24,1),0))</f>
        <v>0</v>
      </c>
      <c r="BO36" s="740">
        <f>BN36*$AX$18*IF(V36&gt;='Options and results'!$I$27,'Options and results'!$I$26,1)*IF(1+'Options and results'!$Q$21*(V36-1)&gt;0,1+'Options and results'!$Q$21*(V36-1),0)</f>
        <v>0</v>
      </c>
      <c r="BP36" s="894">
        <f>IF(V36&lt;='Options and results'!$W$20,IF(AB36&lt;=0,0,VLOOKUP($W$8,Treecost!$B$6:$AH$49,Treecost!$AC$2,FALSE)+VLOOKUP($W$8,Treecost!$B$6:$AH$49,Treecost!$AD$2,FALSE)+IF(AND(V36&gt;=VLOOKUP($W$8,Treecost!$B$2:$AK$49,Treecost!$AI$2,FALSE),V36&lt;=VLOOKUP($W$8,Treecost!$B$2:$AK$49,Treecost!$AJ$2,FALSE)),(VLOOKUP($W$8,Treecost!$B$2:$AK$49,Treecost!$AK$2,FALSE)),0))*IF(V36&gt;='Options and results'!$I$27,'Options and results'!$I$26,1),0)*IF(1+'Options and results'!$Q$22*(V36-1)&gt;0,1+'Options and results'!$Q$22*(V36-1),0)</f>
        <v>3</v>
      </c>
      <c r="BQ36" s="894">
        <f>IF(V36&lt;='Options and results'!$W$20,IF(AC36&gt;0,VLOOKUP($W$8,Treecost!$B$6:$AH$49,Treecost!$AE$2,FALSE)/60*AC36,0)*IF(V36&gt;='Options and results'!$I$25,'Options and results'!$I$24,1),0)</f>
        <v>0</v>
      </c>
      <c r="BR36" s="740">
        <f>IF(V36&lt;='Options and results'!$W$20,IF(AC36&gt;0,VLOOKUP($W$8,Treecost!$B$6:$AH$49,Treecost!$AF$2,FALSE)/60*AC36,0)*IF(V36&gt;='Options and results'!$I$25,'Options and results'!$I$24,1),0)</f>
        <v>0</v>
      </c>
      <c r="BS36" s="740">
        <f>(BQ36*$AX$20+BR36*$AX$21)*IF(V36&gt;='Options and results'!$I$27,'Options and results'!$I$26,1)*IF(1+'Options and results'!$Q$21*(V36-1)&gt;0,1+'Options and results'!$Q$21*(V36-1),0)</f>
        <v>0</v>
      </c>
      <c r="BT36" s="894">
        <f>IF(V36&lt;='Options and results'!$W$20,IF(AD36&gt;0,(VLOOKUP($W$8,Treecost!$B$6:$AH$49,Treecost!$AG$2,FALSE)/60*AD36)*IF(V36&gt;='Options and results'!$I$25,'Options and results'!$I$24,1),0),0)</f>
        <v>0</v>
      </c>
      <c r="BU36" s="740">
        <f>IF(V36&lt;='Options and results'!$W$20,IF(AD36&gt;0,(VLOOKUP($W$8,Treecost!$B$6:$AH$49,Treecost!$AH$2,FALSE)/60*AD36)*IF(V36&gt;='Options and results'!$I$25,'Options and results'!$I$24,1),0),0)</f>
        <v>0</v>
      </c>
      <c r="BV36" s="740">
        <f>(BT36*$AX$22+BU36*$AX$23)*IF(V36&gt;='Options and results'!$I$27,'Options and results'!$I$26,1)*IF(1+'Options and results'!$Q$21*(V36-1)&gt;0,1+'Options and results'!$Q$21*(V36-1),0)</f>
        <v>0</v>
      </c>
      <c r="BW36" s="1033">
        <f t="shared" si="138"/>
        <v>0</v>
      </c>
      <c r="BX36" s="1027">
        <f t="shared" si="139"/>
        <v>0</v>
      </c>
      <c r="BY36" s="1027">
        <f t="shared" si="140"/>
        <v>0</v>
      </c>
      <c r="BZ36" s="740">
        <f t="shared" si="124"/>
        <v>3</v>
      </c>
      <c r="CA36" s="740">
        <f t="shared" si="141"/>
        <v>-3</v>
      </c>
      <c r="CB36" s="894">
        <f>IF($V36&lt;='Options and results'!$W$20,SUM(BX$8:$BX36),0)</f>
        <v>0</v>
      </c>
      <c r="CC36" s="740">
        <f>IF($V36&lt;='Options and results'!$W$20,SUM($BY$8:BY36),0)</f>
        <v>0</v>
      </c>
      <c r="CD36" s="740">
        <f>IF($V36&lt;='Options and results'!$W$20,SUM($BZ$8:BZ36),0)</f>
        <v>1655.7443691843955</v>
      </c>
      <c r="CE36" s="740">
        <f>IF(V36&lt;='Options and results'!$W$20,CB36+CC36-CD36,0)</f>
        <v>-1655.7443691843955</v>
      </c>
      <c r="CF36" s="1381">
        <f t="shared" si="142"/>
        <v>569.4299107216757</v>
      </c>
      <c r="CG36" s="1027">
        <f t="shared" si="143"/>
        <v>566.4299107216757</v>
      </c>
      <c r="CH36" s="1027">
        <f t="shared" si="144"/>
        <v>0</v>
      </c>
      <c r="CI36" s="1189">
        <f>IF(V36&lt;='Options and results'!$W$20,CE36+AO36,0)</f>
        <v>3952.5928832930722</v>
      </c>
      <c r="CJ36" s="1023"/>
      <c r="CK36" s="895">
        <f t="shared" si="145"/>
        <v>29</v>
      </c>
      <c r="CL36" s="1011" t="str">
        <f>IF('Options and results'!$C$54="None",0,IF(AND(CK36&gt;='Options and results'!$K$57,CK35&lt;'Options and results'!$W$20),'Options and results'!$K$56,IF(Optimisation!$B$3="No",CONCATENATE('Options and results'!$C$60," ",(HLOOKUP(CONCATENATE('Options and results'!$C$54," ",Agroforestrysystem!$B$12),Agroforestrysystem!$B$11:$IM$74,$CK36+4,FALSE))),Optimisation!AA56)))</f>
        <v>UK - Agriculture (BPS: from 2015) Agroforestry fallow</v>
      </c>
      <c r="CM36" s="1012">
        <f>IF(HLOOKUP(CONCATENATE('Options and results'!$C$54," ",Agroforestrysystem!$C$12),Agroforestrysystem!$B$11:$IM$74,$CK36+4,FALSE)="T",(VLOOKUP(CL36,Arablefinance!$Z$6:$AB$105,Arablefinance!$AB$2,FALSE)*CO36+VLOOKUP(CL36,Arablefinance!$Z$6:$AC$105,Arablefinance!$AC$2,FALSE)*CP36)/VLOOKUP(CL36,Arablefinance!$Z$6:$AA$105,Arablefinance!$AA$2,FALSE),0)</f>
        <v>0</v>
      </c>
      <c r="CN36" s="1012">
        <f>IF(CL36=0,0,HLOOKUP(CONCATENATE('Options and results'!$C$54," ",Agroforestrysystem!$D$12),Agroforestrysystem!$B$11:$IM$74,$CK36+4,FALSE))</f>
        <v>0.99</v>
      </c>
      <c r="CO36" s="1440">
        <f ca="1">IF(CL36=0,0,IF(AND(Optimisation!$B$3="yes",Optimisation!$B$4=1,CK36&gt;Optimisation!$B$9),0,HLOOKUP(CONCATENATE('Options and results'!$C$54," ",Agroforestrysystem!$E$12),Agroforestrysystem!$B$11:$IM$74,$CK36+4,FALSE)*IF(CK36&gt;='Options and results'!$J$19,'Options and results'!$J$18,1)))</f>
        <v>0</v>
      </c>
      <c r="CP36" s="1440">
        <f ca="1">IF(CL36=0,0,IF(AND(Optimisation!$B$3="yes",Optimisation!$B$4=1,CK36&gt;Optimisation!$B$9),0,HLOOKUP(CONCATENATE('Options and results'!$C$54," ",Agroforestrysystem!$F$12),Agroforestrysystem!$B$11:$IM$74,$CK36+4,FALSE)*IF(CK36&gt;='Options and results'!$J$19,'Options and results'!$J$18,1)))</f>
        <v>0</v>
      </c>
      <c r="CQ36" s="1013">
        <f ca="1">IF(CN36&lt;=0,0,IF(CK36&lt;='Options and results'!$W$20,IF(CM36&gt;0,VLOOKUP(CL36,Arablefinance!$Z$6:$AE$105,Arablefinance!$AD$2,FALSE)*CM36*CN36,((VLOOKUP(CL36,Arablefinance!$E$6:$H$126,2,FALSE)*CO36+VLOOKUP(CL36,Arablefinance!$E$6:$H$126,3,FALSE)*CP36)*CN36)),0)*IF(CK36&gt;='Options and results'!$J$21,'Options and results'!$J$20,1))*IF(1+'Options and results'!$O$20*(CK36-1)&gt;0,1+'Options and results'!$O$20*(CK36-1),0)</f>
        <v>0</v>
      </c>
      <c r="CR36" s="1441">
        <f>IF(CN36&lt;=0,0,IF(AND(CM36&gt;0,VLOOKUP(CL36,Arablefinance!$Z$6:$AI$105,Arablefinance!$AI$2,FALSE)=2),VLOOKUP(CL36,Arablefinance!$Z$6:$AE$105,Arablefinance!$AE$2,FALSE)*CM36*CN36,IF('Options and results'!$C$62&gt;0,IF(VLOOKUP(CL36,Arablefinance!$E$6:$W$126,Arablefinance!$H$2,FALSE)*(1-Plot!DM36*'Options and results'!$C$62)&gt;0,VLOOKUP(CL36,Arablefinance!$E$6:$W$126,Arablefinance!$H$2,FALSE)*(1-Plot!DM36*'Options and results'!$C$62),0),IF(CK36&lt;='Options and results'!$W$20,(VLOOKUP(CL36,Arablefinance!$E$6:$W$126,Arablefinance!$H$2,FALSE)*IF('Options and results'!$C$61="area",CN36,'Options and results'!$C$61)),0)))*IF(CK36&gt;='Options and results'!$J$23,'Options and results'!$J$22,1))*IF(AND(1+'Options and results'!$O$23*(CK36-1)&gt;0,1+'Options and results'!$O$23*(CK36-1)&gt;'Options and results'!$S$24),1+'Options and results'!$O$23*(CK36-1),'Options and results'!$S$24)</f>
        <v>0</v>
      </c>
      <c r="CS36" s="1441">
        <f t="shared" ca="1" si="146"/>
        <v>0</v>
      </c>
      <c r="CT36" s="1441">
        <f>IF(CN36&lt;=0,0,IF(CK36&lt;='Options and results'!$W$20,IF(CM36&gt;0,VLOOKUP(CL36,Arablefinance!$Z$6:$AF$105,Arablefinance!$AF$2,FALSE)*CM36*CN36,VLOOKUP(CL36,Arablefinance!$E$6:$X$126,Arablefinance!$R$2,FALSE)*CN36),0)*IF(CK36&gt;='Options and results'!$J$27,'Options and results'!$J$26,1))*IF(1+'Options and results'!$O$22*(CK36-1)&gt;0,1+'Options and results'!$O$22*(CK36-1),0)</f>
        <v>0</v>
      </c>
      <c r="CU36" s="1441">
        <f t="shared" ca="1" si="147"/>
        <v>0</v>
      </c>
      <c r="CV36" s="1441">
        <f>IF(CN36&lt;=0,0,IF(CK36&lt;='Options and results'!$W$20,IF(CM36&gt;0,VLOOKUP(CL36,Arablefinance!$Z$6:$AG$105,Arablefinance!$AG$2,FALSE)*CM36*CN36,VLOOKUP(CL36,Arablefinance!$E$6:$X$126,Arablefinance!$X$2,FALSE)*CN36),0)*IF(CK36&gt;='Options and results'!$J$27,'Options and results'!$J$26,1))*IF(1+'Options and results'!$O$22*(CK36-1)&gt;0,1+'Options and results'!$O$22*(CK36-1),0)</f>
        <v>0</v>
      </c>
      <c r="CW36" s="1442">
        <f>IF(CN36&lt;=0,0,IF(CK36&lt;='Options and results'!$W$20,'Options and results'!$C$27*IF(CK36&gt;='Options and results'!$J$27,'Options and results'!$J$26,1),0))*IF(1+'Options and results'!$O$21*(CK36-1)&gt;0,1+'Options and results'!$O$21*(CK36-1),0)</f>
        <v>14.6</v>
      </c>
      <c r="CX36" s="1442">
        <f>IF(CN36&lt;=0,0,IF(CK36&lt;='Options and results'!$W$20,IF(CM36&gt;0,VLOOKUP(CL36,Arablefinance!$Z$6:$AH$105,Arablefinance!$AH$2,FALSE)*CM36*CN36,VLOOKUP(CL36,Arablefinance!$E$6:$W$126,Arablefinance!$V$2,FALSE)*CN36),0)*IF(CK36&gt;='Options and results'!$J$25,'Options and results'!$J$24,1))</f>
        <v>0</v>
      </c>
      <c r="CY36" s="1013">
        <f t="shared" si="148"/>
        <v>0</v>
      </c>
      <c r="CZ36" s="1353">
        <f t="shared" ca="1" si="149"/>
        <v>0</v>
      </c>
      <c r="DA36" s="1013">
        <f ca="1">IF($CK36&lt;='Options and results'!$W$20,SUM($CQ$8:CQ36),0)</f>
        <v>18417.950100000002</v>
      </c>
      <c r="DB36" s="1441">
        <f>IF($CK36&lt;='Options and results'!$W$20,SUM($CR$8:CR36),0)</f>
        <v>0</v>
      </c>
      <c r="DC36" s="1441">
        <f>IF($CK36&lt;='Options and results'!$W$20,SUM($CY$8:CY36),0)</f>
        <v>16943.30918829242</v>
      </c>
      <c r="DD36" s="1189">
        <f ca="1">IF(CK36&lt;='Options and results'!$W$20,DA36+DB36-DC36,0)</f>
        <v>1474.6409117075818</v>
      </c>
      <c r="DE36" s="401"/>
      <c r="DF36" s="895">
        <f t="shared" si="150"/>
        <v>29</v>
      </c>
      <c r="DG36" s="173"/>
      <c r="DH36" s="1422"/>
      <c r="DI36" s="1427">
        <f>IF(DF36&lt;='Options and results'!$M$61,'Options and results'!$M$60,0)</f>
        <v>0</v>
      </c>
      <c r="DJ36" s="740">
        <f t="shared" si="151"/>
        <v>0</v>
      </c>
      <c r="DK36" s="740">
        <f t="shared" si="152"/>
        <v>0</v>
      </c>
      <c r="DL36" s="1428">
        <f t="shared" si="153"/>
        <v>100</v>
      </c>
      <c r="DM36" s="1429">
        <f>IF($DG$8=0,0,HLOOKUP(CONCATENATE('Options and results'!$C$54," ",Agroforestrysystem!$J$12),Agroforestrysystem!$11:$74,DF36+3,FALSE))/100</f>
        <v>1</v>
      </c>
      <c r="DN36" s="740">
        <f>IF($DG$8=0,0,IF(HLOOKUP(CONCATENATE('Options and results'!$C$54," ",Agroforestrysystem!$H$12),Agroforestrysystem!$11:$74,DF36+4,FALSE)&lt;DL36,HLOOKUP(CONCATENATE('Options and results'!$C$54," ",Agroforestrysystem!$H$12),Agroforestrysystem!$11:$74,DF36+4,FALSE),0))</f>
        <v>0</v>
      </c>
      <c r="DO36" s="1027">
        <f>IF($DG$8=0,0,IF(HLOOKUP(CONCATENATE('Options and results'!$C$54," ",Agroforestrysystem!$H$12),Agroforestrysystem!$11:$74,DF36+4,FALSE)&gt;=DL36,DL36,0))</f>
        <v>0</v>
      </c>
      <c r="DP36" s="1430">
        <f>IF($DG$8=0,0,HLOOKUP(CONCATENATE('Options and results'!$C$54," ",Agroforestrysystem!$I$12),Agroforestrysystem!$11:$74,DF36+4,FALSE))</f>
        <v>32.761133090868427</v>
      </c>
      <c r="DQ36" s="1038"/>
      <c r="DR36" s="1390">
        <f>IF($DG$8=0,0,IF(DF36&gt;'Options and results'!$W$20,0,)+IF(DF36=1,'Options and results'!$M$64)+IF('Options and results'!$M$67="yes",IF(AND(DR35+'Options and results'!$M$65&lt;=$DQ$8,DR35+'Options and results'!$M$65+IF(DF36=1,'Options and results'!$M$64,0)&lt;='Options and results'!$M$66*DP36),DR35+'Options and results'!$M$65,DR35),(HLOOKUP(CONCATENATE('Options and results'!$C$54," ",Agroforestrysystem!$K$12),Agroforestrysystem!$11:$74,DF36+4,FALSE)-IF(DF36=1,'Options and results'!$M$64))))</f>
        <v>7.5</v>
      </c>
      <c r="DS36" s="1027">
        <f>IF(OR($DG$8=0,DL36=0),0,HLOOKUP(CONCATENATE('Options and results'!$C$54," ",Agroforestrysystem!$L$12),Agroforestrysystem!$11:$74,DF36+4,FALSE)*IF(DF36&gt;='Options and results'!$K$19,'Options and results'!$K$18,1))</f>
        <v>205.04765169351325</v>
      </c>
      <c r="DT36" s="1431">
        <f t="shared" si="154"/>
        <v>2.0504765169351327</v>
      </c>
      <c r="DU36" s="889">
        <f t="shared" si="155"/>
        <v>0</v>
      </c>
      <c r="DV36" s="1027">
        <f>IF($DG$8=0,0,(HLOOKUP(CONCATENATE('Options and results'!$C$54," ",Agroforestrysystem!$M$12),Agroforestrysystem!$11:$74,DF36+4,FALSE))*IF(DF36&gt;='Options and results'!$K$19,'Options and results'!$K$18,1))-DW36</f>
        <v>90.415245607733567</v>
      </c>
      <c r="DW36" s="303">
        <f>IF($DG$8=0,0,(HLOOKUP(CONCATENATE('Options and results'!$C$54," ",Agroforestrysystem!$N$12),Agroforestrysystem!$11:$74,DF36+4,FALSE))*IF(DF36&gt;='Options and results'!$K$19,'Options and results'!$K$18,1))</f>
        <v>0</v>
      </c>
      <c r="DX36" s="303">
        <f>IF($DG$8=0,0,HLOOKUP(CONCATENATE('Options and results'!$C$54," ",Agroforestrysystem!$O$12),Agroforestrysystem!$11:$74,DF36+4,FALSE)*IF(DF36&gt;='Options and results'!$K$19,'Options and results'!$K$18,1))</f>
        <v>0</v>
      </c>
      <c r="DY36" s="1192">
        <f>IF(DT36&gt;0,HLOOKUP(DT36,Treevalue!$I$4:$BC$34,'Options and results'!$C$66+1),0)*IF(DF36&gt;='Options and results'!$K$21,'Options and results'!$K$20,1)*IF(1+'Options and results'!$Q$20*(DF36-1)&gt;0,1+'Options and results'!$Q$20*(DF36-1),0)</f>
        <v>32.49152566148328</v>
      </c>
      <c r="DZ36" s="1027">
        <f t="shared" si="156"/>
        <v>6662.3110368266725</v>
      </c>
      <c r="EA36" s="1027">
        <f t="shared" si="125"/>
        <v>0</v>
      </c>
      <c r="EB36" s="1027">
        <f>(IF('Options and results'!$C$66&gt;0,IF(DF36&lt;='Options and results'!$W$20,VLOOKUP('Options and results'!$C$66,Treevalue!$A$4:$F$34,5,FALSE),0),0)*DV36)*IF(DF36&gt;='Options and results'!$K$21,'Options and results'!$K$20,1)*IF(1+'Options and results'!$Q$20*(DF36-1)&gt;0,1+'Options and results'!$Q$20*(DF36-1),0)</f>
        <v>2260.381140193339</v>
      </c>
      <c r="EC36" s="740">
        <f>(IF('Options and results'!$C$66&gt;0,IF(DF36&lt;='Options and results'!$W$20,VLOOKUP('Options and results'!$C$66,Treevalue!$A$4:$F$34,5,FALSE),0),0)*DW36)*IF(DF36&gt;='Options and results'!$K$21,'Options and results'!$K$20,1)*IF(1+'Options and results'!$Q$20*(DF36-1)&gt;0,1+'Options and results'!$Q$20*(DF36-1),0)</f>
        <v>0</v>
      </c>
      <c r="ED36" s="889">
        <f>(IF('Options and results'!$C$66&gt;0,IF(DF36&lt;='Options and results'!$W$20,VLOOKUP('Options and results'!$C$66,Treevalue!$A$4:$F$34,6,FALSE),0),0)*DX36)*IF(DF36&gt;='Options and results'!$K$21,'Options and results'!$K$20,1)*IF(1+'Options and results'!$Q$20*(DF36-1)&gt;0,1+'Options and results'!$Q$20*(DF36-1),0)</f>
        <v>0</v>
      </c>
      <c r="EE36" s="740">
        <f>IF(DF36&lt;='Options and results'!$W$20,IF(DL36&lt;=0,0,IF('Options and results'!$C$70="cost",(IF(DF36&lt;='Options and results'!$C$71,FK36*SUM('Options and results'!$C$72:$C$73),0)),IF('Options and results'!$C$68&gt;0,(IF(VLOOKUP('Options and results'!$C$69,Treegrant!$B$6:$L$42,Treegrant!$C$2,FALSE)=DF36,VLOOKUP('Options and results'!$C$69,Treegrant!$B$6:$L$42,Treegrant!$D$2,FALSE),0)+IF(VLOOKUP('Options and results'!$C$69,Treegrant!$B$6:$L$42,Treegrant!$E$2,FALSE)=DF36,VLOOKUP('Options and results'!$C$69,Treegrant!$B$6:$L$42,Treegrant!$F$2,FALSE),0)+IF(VLOOKUP('Options and results'!$C$69,Treegrant!$B$6:$L$42,Treegrant!$G$2,FALSE)=DF36,VLOOKUP('Options and results'!$C$69,Treegrant!$B$6:$L$42,Treegrant!$H$2,FALSE)))*IF('Options and results'!$C$70="area",Unit!C37,'Options and results'!$C$70),0))*IF(DF36&gt;='Options and results'!$K$23,'Options and results'!$K$22,1)),0)*IF(1+'Options and results'!$Q$23*(DF36-1)&gt;0,1+'Options and results'!$Q$23*(DF36-1),0)</f>
        <v>0</v>
      </c>
      <c r="EF36" s="740">
        <f>IF($DG$8=0,0,IF(DF36&lt;='Options and results'!$W$20,IF(DL36&lt;=0,0,IF('Options and results'!$C$68&gt;0,IF(AND(VLOOKUP('Options and results'!$C$69,Treegrant!$B$6:$L$42,Treegrant!$J$2,FALSE)&lt;=DF36,VLOOKUP('Options and results'!$C$69,Treegrant!$B$6:$L$42,Treegrant!$K$2,FALSE)&gt;=DF36),(VLOOKUP('Options and results'!$C$69,Treegrant!$B$6:$L$42,Treegrant!$L$2,FALSE)),0)*IF('Options and results'!$C$74="area",Unit!C37,'Options and results'!$C$74))*IF(DF36&gt;='Options and results'!$K$23,'Options and results'!$K$22,1)),0))*IF(1+'Options and results'!$Q$23*(DF36-1)&gt;0,1+'Options and results'!$Q$23*(DF36-1),0)</f>
        <v>0</v>
      </c>
      <c r="EG36" s="1034">
        <f>IF($DG$8=0,0,IF(DF36&lt;='Options and results'!$W$20,IF(DL36&lt;=0,0,IF('Options and results'!$C$68&gt;0,((IF(AND(VLOOKUP('Options and results'!$C$69,Treegrant!$B$6:$O$42,Treegrant!$M$2,FALSE)&lt;=DF36,VLOOKUP('Options and results'!$C$69,Treegrant!$B$6:$O$42,Treegrant!$N$2,FALSE)&gt;=DF36),(VLOOKUP('Options and results'!$C$69,Treegrant!$B$6:$O$42,Treegrant!$O$2,FALSE)),0)*IF('Options and results'!$C$75="area",Unit!C37,'Options and results'!$C$75))+(IF(AND(VLOOKUP('Options and results'!$C$69,Treegrant!$B$6:$R$42,Treegrant!$P$2,FALSE)&lt;=DF36,VLOOKUP('Options and results'!$C$69,Treegrant!$B$6:$R$42,Treegrant!$Q$2,FALSE)&gt;=DF36),(VLOOKUP('Options and results'!$C$69,Treegrant!$B$6:$R$42,Treegrant!$R$2,FALSE)),0))*IF('Options and results'!$C$76="area",Unit!C37,'Options and results'!$C$76)))*IF(DF36&gt;='Options and results'!$K$23,'Options and results'!$K$22,1)),0))*IF(1+'Options and results'!$Q$23*(DF36-1)&gt;0,1+'Options and results'!$Q$23*(DF36-1),0)</f>
        <v>0</v>
      </c>
      <c r="EH36" s="1041"/>
      <c r="EI36" s="1042"/>
      <c r="EJ36" s="1419">
        <f>IF($DH$8+DK36&lt;1,0,IF(DF36=1,VLOOKUP($DG$8,Treecost!$B$6:$AH$49,Treecost!$E$2,FALSE),0)*IF(DF36&gt;='Options and results'!$K$25,'Options and results'!$K$24,1))</f>
        <v>0</v>
      </c>
      <c r="EK36" s="889">
        <f>IF($DH$8+DK36&lt;1,0,IF(DF36=1,VLOOKUP($DG$8,Treecost!$B$6:$AH$49,Treecost!$F$2,FALSE),0)*IF(DF36&gt;='Options and results'!$K$25,'Options and results'!$K$24,1))</f>
        <v>0</v>
      </c>
      <c r="EL36" s="889">
        <f>IF($DH$8+DK36&lt;1,0,IF(DF36=1,VLOOKUP($DG$8,Treecost!$B$6:$AH$49,Treecost!$G$2,FALSE),0)*IF(DF36&gt;='Options and results'!$K$25,'Options and results'!$K$24,1))</f>
        <v>0</v>
      </c>
      <c r="EM36" s="889">
        <f>IF($DG$8=0,0,IF(DF36&lt;='Options and results'!$W$20,((VLOOKUP($DG$8,Treecost!$B$6:$AH$49,Treecost!$H$2,FALSE)*(DH36+DK36))/60)*IF(DF36&gt;='Options and results'!$K$25,'Options and results'!$K$24,1),0))</f>
        <v>0</v>
      </c>
      <c r="EN36" s="889">
        <f>IF($DG$8=0,0,IF(DF36&lt;='Options and results'!$W$20,(((VLOOKUP($DG$8,Treecost!$B$6:$AH$49,Treecost!$I$2,FALSE))*(DH36+DK36))/60)*IF(DF36&gt;='Options and results'!$K$25,'Options and results'!$K$24,1),0))</f>
        <v>0</v>
      </c>
      <c r="EO36" s="889">
        <f>IF($DG$8=0,0,IF(DF36&lt;='Options and results'!$W$20,(((VLOOKUP($DG$8,Treecost!$B$6:$AH$49,Treecost!$J$2,FALSE))/60)*(DH36+DK36))*IF(DF36&gt;='Options and results'!$K$25,'Options and results'!$K$24,1),0))</f>
        <v>0</v>
      </c>
      <c r="EP36" s="1019">
        <f>IF($DG$8=0,0,IF(DF36&lt;='Options and results'!$W$20,(((VLOOKUP($DG$8,Treecost!$B$6:$AH$49,Treecost!$C$2,FALSE)+VLOOKUP($DG$8,Treecost!$B$6:$AH$49,Treecost!$D$2,FALSE))*(DH36+DK36)*IF(1+'Options and results'!$Q$22*(DF36-1)&gt;0,1+'Options and results'!$Q$22*(DF36-1),0))+(EJ36*$EI$8+EK36*$EI$9+EL36*$EI$10+EM36*$EI$11+EN36*$EI$12+EO36*$EI$13)*IF(1+'Options and results'!$Q$21*(DF36-1)&gt;0,1+'Options and results'!$Q$21*(DF36-1),0))*IF(DF36&gt;='Options and results'!$K$27,'Options and results'!$K$26,1),0))</f>
        <v>0</v>
      </c>
      <c r="EQ36" s="740">
        <f>IF($DG$8=0,0,IF(DF36&lt;='Options and results'!$W$20,IF(AND(VLOOKUP($DG$8,Treecost!$B$6:$AH$49,Treecost!$K$2,FALSE)&lt;=DF36,DF36&lt;=(VLOOKUP($DG$8,Treecost!$B$6:$AH$49,Treecost!$L$2,FALSE))),VLOOKUP($DG$8,Treecost!$B$6:$AH$49,Treecost!$M$2,FALSE)*DL36/60,0)*IF(DF36&gt;='Options and results'!$K$25,'Options and results'!$K$24,1),0))</f>
        <v>0</v>
      </c>
      <c r="ER36" s="1019">
        <f>IF(EQ36&gt;0,(VLOOKUP($DG$8,Treecost!$B$6:$AH$49,Treecost!$N$2,FALSE)*DL36*IF(1+'Options and results'!$Q$22*(DF36-1)&gt;0,1+'Options and results'!$Q$22*(DF36-1),0)+EQ36*$EI$14*IF(1+'Options and results'!$Q$21*(DF36-1)&gt;0,1+'Options and results'!$Q$21*(DF36-1),0)),0)*IF(DF36&gt;='Options and results'!$K$27,'Options and results'!$K$26,1)</f>
        <v>0</v>
      </c>
      <c r="ES36" s="889">
        <f>IF(DF36&lt;='Options and results'!$W$20,IF(AND(DR36-DR35&gt;0,DR36&gt;'Options and results'!$M$64),(DL36-DN36)*(VLOOKUP($DG$8,Treecost!$B$6:$AH$49,Treecost!$Y$2,FALSE)+(VLOOKUP($DG$8,Treecost!$B$6:$AH$49,Treecost!$AA$2,FALSE)-VLOOKUP($DG$8,Treecost!$B$6:$AH$49,Treecost!$Y$2,FALSE))/(VLOOKUP($DG$8,Treecost!$B$6:$AH$49,Treecost!$Z$2,FALSE)-VLOOKUP($DG$8,Treecost!$B$6:$AH$49,Treecost!$X$2,FALSE))*(DR36-VLOOKUP($DG$8,Treecost!$B$6:$AH$49,Treecost!$X$2,FALSE)))/60,0)*IF(DF36&gt;='Options and results'!$K$25,'Options and results'!$K$24,1),0)</f>
        <v>0</v>
      </c>
      <c r="ET36" s="889">
        <f>IF(DF36&lt;='Options and results'!$W$20,IF(ES36&gt;0,VLOOKUP($DG$8,Treecost!$B$6:$AH$49,Treecost!$AB$2,FALSE)/60*DL36,0)*IF(DF36&gt;='Options and results'!$K$25,'Options and results'!$K$24,1),0)*((ES36-(MIN($ES$8:$ES$67)))/((MAX($ES$8:$ES$67))-(MIN($ES$8:$ES$67))))</f>
        <v>0</v>
      </c>
      <c r="EU36" s="740">
        <f>IF(ES36&gt;0,(ES36*$EI$15+ET36*$EI$19)*IF(1+'Options and results'!$Q$21*(DF36-1)&gt;0,1+'Options and results'!$Q$21*(DF36-1),0),0)*IF(DF36&gt;='Options and results'!$K$27,'Options and results'!$K$26,1)</f>
        <v>0</v>
      </c>
      <c r="EV36" s="891">
        <f>IF($DG$8=0,0,IF(DF36&lt;='Options and results'!$W$20,IF(AND(VLOOKUP($DG$8,Treecost!$B$2:$AH$49,Treecost!$O$2,FALSE)=DF36,DF36&lt;=IF(AND(Optimisation!$B$3="Yes",Optimisation!$B$4=1),Optimisation!$B$9)),VLOOKUP($DG$8,Treecost!$B$2:$AH$49,Treecost!$P$2,FALSE)*(1-CN36),0)*IF(DF36&gt;='Options and results'!$K$25,'Options and results'!$K$24,1),0))</f>
        <v>0</v>
      </c>
      <c r="EW36" s="889">
        <f>IF($DG$8=0,0,IF(DF36&lt;='Options and results'!$W$20,IF(AND(DF36&gt;VLOOKUP($DG$8,Treecost!$B$2:$AH$49,Treecost!$O$2,FALSE),DF36&lt;=IF(AND(Optimisation!$B$3="Yes",Optimisation!$B$4=1),Optimisation!$B$9,VLOOKUP($DG$8,Treecost!$B$2:$AH$49,Treecost!$R$2,FALSE))),VLOOKUP($DG$8,Treecost!$B$2:$AH$49,Treecost!$S$2,FALSE)*(1-CN36),0)*IF(DF36&gt;='Options and results'!$K$25,'Options and results'!$K$24,1),0))</f>
        <v>0</v>
      </c>
      <c r="EX36" s="740">
        <f>IF($DG$8=0,0,IF(DF36&lt;='Options and results'!$W$20,(IF(AND(VLOOKUP($DG$8,Treecost!$B$2:$AH$49,Treecost!$O$2,FALSE)=DF36,DF36&lt;=IF(AND(Optimisation!$B$3="Yes",Optimisation!$B$4=1),Optimisation!$B$9)),VLOOKUP($DG$8,Treecost!$B$2:$AH$49,Treecost!$Q$2,FALSE),0)*(1-CN36)+IF(AND(DF36&gt;VLOOKUP($DG$8,Treecost!$B$2:$AH$49,Treecost!$O$2,FALSE),DF36&lt;=IF(AND(Optimisation!$B$3="Yes",Optimisation!$B$4=1),Optimisation!$B$9,VLOOKUP($DG$8,Treecost!$B$2:$AH$49,Treecost!$R$2,FALSE))),VLOOKUP($DG$8,Treecost!$B$2:$AH$49,Treecost!$T$2,FALSE),0)*(1-CN36)+(EV36*$EI$16+EW36*$EI$17))*IF(DF36&gt;='Options and results'!$K$27,'Options and results'!$K$26,1),0))*IF(1+'Options and results'!$Q$21*(DF36-1)&gt;0,1+'Options and results'!$Q$21*(DF36-1),0)</f>
        <v>0</v>
      </c>
      <c r="EY36" s="894">
        <f>IF($DG$8=0,0,IF(DF36&lt;='Options and results'!$W$20,IF(AND(DF36&gt;=VLOOKUP($DG$8,Treecost!$B$2:$W$49,Treecost!$U$2,FALSE),DF36&lt;=VLOOKUP($DG$8,Treecost!$B$2:$W$49,Treecost!$V$2,FALSE)),(DL36*VLOOKUP($DG$8,Treecost!$B$2:$W$49,Treecost!$W$2,FALSE)/60),0)*IF(DF36&gt;='Options and results'!$K$25,'Options and results'!$K$24,1),0))</f>
        <v>0</v>
      </c>
      <c r="EZ36" s="740">
        <f>EY36*$EI$18*IF(DF36&gt;='Options and results'!$K$27,'Options and results'!$K$26,1)*IF(1+'Options and results'!$Q$21*(DF36-1)&gt;0,1+'Options and results'!$Q$21*(DF36-1),0)</f>
        <v>0</v>
      </c>
      <c r="FA36" s="1025">
        <f>IF(DF36&lt;='Options and results'!$W$20,IF(DL36&lt;=0,0,VLOOKUP($DG$8,Treecost!$B$6:$AH$49,Treecost!$AC$2,FALSE)+VLOOKUP($DG$8,Treecost!$B$6:$AH$49,Treecost!$AD$2,FALSE)+IF(AND(DF36&gt;=VLOOKUP($DG$8,Treecost!$B$2:$AK$49,Treecost!$AI$2,FALSE),DF36&lt;=VLOOKUP($DG$8,Treecost!$B$2:$AK$49,Treecost!$AJ$2,FALSE)),VLOOKUP($DG$8,Treecost!$B$2:$AK$49,Treecost!$AK$2,FALSE)*(1-CN36),0))*IF(DF36&gt;='Options and results'!$K$27,'Options and results'!$K$26,1),0)*IF(1+'Options and results'!$Q$22*(DF36-1)&gt;0,1+'Options and results'!$Q$22*(DF36-1),0)</f>
        <v>3</v>
      </c>
      <c r="FB36" s="894">
        <f>IF(DF36&lt;='Options and results'!$W$20,IF(DN36&gt;0,VLOOKUP($DG$8,Treecost!$B$6:$AH$49,Treecost!$AE$2,FALSE)/60*DN36,0)*IF(DF36&gt;='Options and results'!$K$25,'Options and results'!$K$24,1),0)</f>
        <v>0</v>
      </c>
      <c r="FC36" s="740">
        <f>IF(DF36&lt;='Options and results'!$W$20,IF(DN36&gt;0,VLOOKUP($DG$8,Treecost!$B$6:$AH$49,Treecost!$AF$2,FALSE)/60*DN36,0)*IF(DF36&gt;='Options and results'!$K$25,'Options and results'!$K$24,1),0)</f>
        <v>0</v>
      </c>
      <c r="FD36" s="740">
        <f>(FB36*$EI$20+FC36*$EI$21)*IF(DF36&gt;='Options and results'!$K$27,'Options and results'!$K$26,1)*IF(1+'Options and results'!$Q$21*(DF36-1)&gt;0,1+'Options and results'!$Q$21*(DF36-1),0)</f>
        <v>0</v>
      </c>
      <c r="FE36" s="894">
        <f>IF(DF36&lt;='Options and results'!$W$20,IF(DO36&gt;0,(VLOOKUP($DG$8,Treecost!$B$6:$AH$49,Treecost!$AG$2,FALSE)/60*DO36)*IF(DF36&gt;='Options and results'!$K$25,'Options and results'!$K$24,1),0),0)</f>
        <v>0</v>
      </c>
      <c r="FF36" s="740">
        <f>IF(DF36&lt;='Options and results'!$W$20,IF(DO36&gt;0,(VLOOKUP($DG$8,Treecost!$B$6:$AH$49,Treecost!$AH$2,FALSE)/60*DO36)*IF(DF36&gt;='Options and results'!$K$25,'Options and results'!$K$24,1),0),0)</f>
        <v>0</v>
      </c>
      <c r="FG36" s="740">
        <f>(FE36*$EI$22+FF36*$EI$23)*IF(DF36&gt;='Options and results'!$K$27,'Options and results'!$K$26,1)*IF(1+'Options and results'!$Q$21*(DF36-1)&gt;0,1+'Options and results'!$Q$21*(DF36-1),0)</f>
        <v>0</v>
      </c>
      <c r="FH36" s="894">
        <f t="shared" si="157"/>
        <v>0</v>
      </c>
      <c r="FI36" s="1027">
        <f t="shared" si="158"/>
        <v>0</v>
      </c>
      <c r="FJ36" s="1027">
        <f t="shared" si="159"/>
        <v>0</v>
      </c>
      <c r="FK36" s="1027">
        <f t="shared" si="160"/>
        <v>3</v>
      </c>
      <c r="FL36" s="1027">
        <f t="shared" si="184"/>
        <v>-3</v>
      </c>
      <c r="FM36" s="1027">
        <f>IF($DF36&lt;='Options and results'!$W$20,SUM(FI$8:$FI36),0)</f>
        <v>0</v>
      </c>
      <c r="FN36" s="1027">
        <f>IF($DF36&lt;='Options and results'!$W$20,SUM($FJ$8:FJ36),0)</f>
        <v>0</v>
      </c>
      <c r="FO36" s="1027">
        <f>IF($DF36&lt;='Options and results'!$W$20,SUM($FK$8:FK36),0)</f>
        <v>1127.0448753513026</v>
      </c>
      <c r="FP36" s="1027">
        <f>IF($DF36&lt;='Options and results'!$W$20,FM36+FN36-FO36,0)</f>
        <v>-1127.0448753513026</v>
      </c>
      <c r="FQ36" s="1027">
        <f t="shared" si="162"/>
        <v>590.31216821937414</v>
      </c>
      <c r="FR36" s="1027">
        <f t="shared" si="163"/>
        <v>587.31216821937414</v>
      </c>
      <c r="FS36" s="1027">
        <f t="shared" si="164"/>
        <v>0</v>
      </c>
      <c r="FT36" s="1189">
        <f>IF(DF36&lt;='Options and results'!$W$20,FP36+DZ36,0)</f>
        <v>5535.2661614753697</v>
      </c>
      <c r="FU36" s="401"/>
      <c r="FV36" s="895">
        <f t="shared" si="165"/>
        <v>29</v>
      </c>
      <c r="FW36" s="894">
        <f>G36/(1+'Options and results'!$W$33)^(FV36-1)</f>
        <v>501.99716452279</v>
      </c>
      <c r="FX36" s="740">
        <f>(AP36+AR36+AS36)/(1+'Options and results'!$W$33)^(FV36-1)</f>
        <v>0</v>
      </c>
      <c r="FY36" s="740">
        <f ca="1">CQ36/(1+'Options and results'!$W$33)^(FV36-1)</f>
        <v>0</v>
      </c>
      <c r="FZ36" s="740">
        <f>(EA36+EC36+ED36)/(1+'Options and results'!$W$33)^(FV36-1)</f>
        <v>0</v>
      </c>
      <c r="GA36" s="1019">
        <f t="shared" ca="1" si="180"/>
        <v>0</v>
      </c>
      <c r="GB36" s="1026">
        <f>(AO36+AQ36)/(1+'Options and results'!$W$33)^(FV36-1)+FX36</f>
        <v>2633.7248638179112</v>
      </c>
      <c r="GC36" s="1027">
        <f>IF(FV36&gt;'Options and results'!$W$27,0,GB36-GB35)</f>
        <v>92.138734013920384</v>
      </c>
      <c r="GD36" s="1027">
        <f>(DZ36+EB36)/(1+'Options and results'!$W$33)^(FV36-1)+FZ36</f>
        <v>2975.5168242029299</v>
      </c>
      <c r="GE36" s="1379">
        <f>IF(FV36&gt;'Options and results'!$W$27,0,GD36-GD35)</f>
        <v>85.70936852046907</v>
      </c>
      <c r="GF36" s="894">
        <f>IF(FV36&lt;='Options and results'!$W$20,SUM(FW$8:FW36),0)</f>
        <v>26637.359526795761</v>
      </c>
      <c r="GG36" s="740">
        <f>IF(FV36&lt;='Options and results'!$W$20,SUM(FX$8:FX36), 0)</f>
        <v>0</v>
      </c>
      <c r="GH36" s="740">
        <f ca="1">IF(FV36&lt;='Options and results'!$W$20,SUM(FY$8:FY36),0)</f>
        <v>14787.259868716837</v>
      </c>
      <c r="GI36" s="740">
        <f>IF(FV36&lt;='Options and results'!$W$20,SUM(FZ$8:FZ36),0)</f>
        <v>0</v>
      </c>
      <c r="GJ36" s="1019">
        <f t="shared" ca="1" si="166"/>
        <v>14787.259868716837</v>
      </c>
      <c r="GK36" s="894">
        <f>IF(FV36&gt;'Options and results'!$W$27,0,GG36+SUM(GC$8:GC36)-FX36)</f>
        <v>2633.7248638179112</v>
      </c>
      <c r="GL36" s="740">
        <f>IF(FV36&lt;='Options and results'!$W$20,SUM(GD$8:GD36),0)</f>
        <v>27771.796495328308</v>
      </c>
      <c r="GM36" s="1034">
        <f t="shared" ca="1" si="167"/>
        <v>42559.056364045144</v>
      </c>
      <c r="GN36" s="401"/>
      <c r="GO36" s="895">
        <f t="shared" si="168"/>
        <v>29</v>
      </c>
      <c r="GP36" s="894">
        <f>H36/(1+'Options and results'!$W$33)^(GO36-1)</f>
        <v>78.433901245068085</v>
      </c>
      <c r="GQ36" s="740">
        <f>SUM(AT36:AV36)/(1+'Options and results'!$W$33)^(GO36-1)</f>
        <v>0</v>
      </c>
      <c r="GR36" s="740">
        <f>CR36/(1+'Options and results'!$W$33)^(GO36-1)</f>
        <v>0</v>
      </c>
      <c r="GS36" s="740">
        <f>SUM(EE36:EG36)/(1+'Options and results'!$W$33)^(GO36-1)</f>
        <v>0</v>
      </c>
      <c r="GT36" s="1019">
        <f t="shared" si="181"/>
        <v>0</v>
      </c>
      <c r="GU36" s="894">
        <f>IF(GO36&lt;='Options and results'!$W$20,SUM(GP$8:GP36),0)</f>
        <v>4154.3524688732932</v>
      </c>
      <c r="GV36" s="740">
        <f>IF(GO36&lt;='Options and results'!$W$20,SUM(GQ$8:GQ36),0)</f>
        <v>0</v>
      </c>
      <c r="GW36" s="740">
        <f>IF(GO36&lt;='Options and results'!$W$20,SUM(GR$8:GR36),0)</f>
        <v>0</v>
      </c>
      <c r="GX36" s="740">
        <f>IF(GO36&lt;='Options and results'!$W$20,SUM(GS$8:GS36),0)</f>
        <v>0</v>
      </c>
      <c r="GY36" s="1034">
        <f>IF(GO36&lt;='Options and results'!$W$20,SUM(GT$8:GT36),0)</f>
        <v>0</v>
      </c>
      <c r="GZ36" s="401"/>
      <c r="HA36" s="895">
        <f t="shared" si="169"/>
        <v>29</v>
      </c>
      <c r="HB36" s="1026">
        <f>(J36+L36+(M36*N36))/(1+'Options and results'!$W$33)^(HA36-1)</f>
        <v>422.6522915591604</v>
      </c>
      <c r="HC36" s="740">
        <f>BZ36/(1+'Options and results'!$W$33)^(HA36-1)</f>
        <v>1.0004324138401541</v>
      </c>
      <c r="HD36" s="1027">
        <f>(CT36+CV36+(CW36*CX36))/(1+'Options and results'!$W$33)^(HA36-1)</f>
        <v>0</v>
      </c>
      <c r="HE36" s="740">
        <f>FK36/(1+'Options and results'!$W$33)^(HA36-1)</f>
        <v>1.0004324138401541</v>
      </c>
      <c r="HF36" s="1019">
        <f t="shared" si="182"/>
        <v>1.0004324138401541</v>
      </c>
      <c r="HG36" s="894">
        <f>IF(HA36&lt;='Options and results'!$W$20,SUM(HB$8:HB36),0)</f>
        <v>21509.163988618802</v>
      </c>
      <c r="HH36" s="740">
        <f>IF(HA36&lt;='Options and results'!$W$20,SUM(HC$8:HC36),0)</f>
        <v>1404.1959646829528</v>
      </c>
      <c r="HI36" s="740">
        <f>IF(HA36&lt;='Options and results'!$W$20,SUM(HD$8:HD36),0)</f>
        <v>13294.975863606456</v>
      </c>
      <c r="HJ36" s="740">
        <f>IF(HA36&lt;='Options and results'!$W$20,SUM(HE$8:HE36),0)</f>
        <v>948.5757766311408</v>
      </c>
      <c r="HK36" s="1034">
        <f>IF(HA36&lt;='Options and results'!$W$20,SUM(HF$8:HF36),0)</f>
        <v>14243.551640237602</v>
      </c>
      <c r="HL36" s="405"/>
      <c r="HM36" s="895">
        <f t="shared" si="170"/>
        <v>29</v>
      </c>
      <c r="HN36" s="1026">
        <f t="shared" si="171"/>
        <v>157.77877420869766</v>
      </c>
      <c r="HO36" s="1027">
        <f t="shared" si="172"/>
        <v>-1.0004324138401541</v>
      </c>
      <c r="HP36" s="1027">
        <f t="shared" ca="1" si="173"/>
        <v>0</v>
      </c>
      <c r="HQ36" s="1027">
        <f t="shared" si="174"/>
        <v>-1.0004324138401541</v>
      </c>
      <c r="HR36" s="1027">
        <f t="shared" si="175"/>
        <v>91.138301600080226</v>
      </c>
      <c r="HS36" s="1379">
        <f t="shared" si="176"/>
        <v>84.708936106628911</v>
      </c>
      <c r="HT36" s="1026">
        <f>IF($HM36&lt;='Options and results'!$W$20,SUM(HN$8:HN36),0)</f>
        <v>9282.5480070502545</v>
      </c>
      <c r="HU36" s="1027">
        <f>IF($HM36&lt;='Options and results'!$W$20,SUM(HO$8:HO36),0)</f>
        <v>-1404.1959646829528</v>
      </c>
      <c r="HV36" s="1027">
        <f ca="1">IF($HM36&lt;='Options and results'!$W$20,SUM(HP$8:HP36),0)</f>
        <v>1492.284005110379</v>
      </c>
      <c r="HW36" s="1027">
        <f>IF($HM36&lt;='Options and results'!$W$20,SUM(HQ$8:HQ36),0)</f>
        <v>-948.5757766311408</v>
      </c>
      <c r="HX36" s="1027">
        <f t="shared" ca="1" si="177"/>
        <v>543.70822847923819</v>
      </c>
      <c r="HY36" s="1027">
        <f>IF($HM36&lt;='Options and results'!$W$20,SUM(HR$8:HR36),0)</f>
        <v>1229.5288991349587</v>
      </c>
      <c r="HZ36" s="1027">
        <f>IF($HM36&lt;='Options and results'!$W$20,SUM(HS$8:HS36),0)</f>
        <v>2026.9410475717893</v>
      </c>
      <c r="IA36" s="1189">
        <f t="shared" ca="1" si="178"/>
        <v>3519.2250526821681</v>
      </c>
    </row>
    <row r="37" spans="1:235" x14ac:dyDescent="0.25">
      <c r="A37" s="1010">
        <f t="shared" si="126"/>
        <v>30</v>
      </c>
      <c r="B37" s="1011" t="str">
        <f>IF('Options and results'!$C$17="None",0,CONCATENATE('Options and results'!$C$23," ",(HLOOKUP(CONCATENATE('Options and results'!$C$17," ",Arablesystem!$B$11),Arablesystem!$B$10:$ER$72,$A37+3,FALSE))))</f>
        <v>UK - Agriculture (BPS: from 2015) Wheat</v>
      </c>
      <c r="C37" s="1012">
        <f>IF(HLOOKUP(CONCATENATE('Options and results'!$C$17," ",Arablesystem!$C$11),Arablesystem!$B$10:$ER$72,$A37+3,FALSE)="T",(VLOOKUP(B37,Arablefinance!$Z$6:$AB$105,Arablefinance!$AB$2,FALSE)*E37+VLOOKUP(B37,Arablefinance!$Z$6:$AC$105,Arablefinance!$AC$2,FALSE)*F37)/VLOOKUP(B37,Arablefinance!$Z$6:$AA$105,Arablefinance!$AA$2,FALSE),0)</f>
        <v>0</v>
      </c>
      <c r="D37" s="1012">
        <f>IF(B37=0,0,HLOOKUP(CONCATENATE('Options and results'!$C$17," ",Arablesystem!$D$11),Arablesystem!$B$10:$ER$72,$A37+3,FALSE))</f>
        <v>1</v>
      </c>
      <c r="E37" s="1440">
        <f>IF(B37=0,0,HLOOKUP(CONCATENATE('Options and results'!$C$17," ",Arablesystem!$E$11),Arablesystem!$B$10:$ER$72,$A37+3,FALSE)*IF(A37&gt;='Options and results'!$H$19,'Options and results'!$H$18,1))</f>
        <v>9.7951285311895653</v>
      </c>
      <c r="F37" s="1440">
        <f>IF(B37=0,0,HLOOKUP(CONCATENATE('Options and results'!$C$17," ",Arablesystem!$F$11),Arablesystem!$B$10:$ER$72,$A37+3,FALSE)*IF(A37&gt;='Options and results'!$H$19,'Options and results'!$H$18,1))</f>
        <v>3.9180514124758261</v>
      </c>
      <c r="G37" s="1013">
        <f>IF(D37&lt;=0,0,IF(A37&lt;='Options and results'!$W$20,IF(C37&gt;0,VLOOKUP(B37,Arablefinance!$Z$6:$AE$105,Arablefinance!$AD$2,FALSE)*C37*D37,((VLOOKUP(B37,Arablefinance!$E$6:$G$126,Arablefinance!$F$2,FALSE)*(E37*D37)+VLOOKUP(B37,Arablefinance!$E$6:$G$126,Arablefinance!$G$2,FALSE)*(F37*D37)))),0)*IF(A37&gt;='Options and results'!$H$21,'Options and results'!$H$20,1))*IF(1+'Options and results'!$O$20*(A37-1)&gt;0,1+'Options and results'!$O$20*(A37-1),0)</f>
        <v>1847.4700757438097</v>
      </c>
      <c r="H37" s="1441">
        <f>IF(D37&lt;=0,0,IF(A37&lt;='Options and results'!$W$20,IF(AND(C37&gt;0,VLOOKUP(B37,Arablefinance!$Z$6:$AI$105,Arablefinance!$AI$2,FALSE)=2),VLOOKUP(B37,Arablefinance!$Z$6:$AE$105,Arablefinance!$AE$2,FALSE)*C37*D37,(VLOOKUP(B37,Arablefinance!$E$6:$H$126,Arablefinance!$H$2,FALSE)*D37))*IF(A37&gt;='Options and results'!$H$23,'Options and results'!$H$22,1),0)*IF(AND(1+'Options and results'!$O$23*(A37-1)&gt;0,1+'Options and results'!$O$23*(A37-1)&gt;'Options and results'!$S$24),1+'Options and results'!$O$23*(A37-1),'Options and results'!$S$24))</f>
        <v>235.2</v>
      </c>
      <c r="I37" s="1441">
        <f t="shared" si="127"/>
        <v>2082.6700757438098</v>
      </c>
      <c r="J37" s="1441">
        <f>IF(D37&lt;=0,0,IF(A37&lt;='Options and results'!$W$20,IF(C37&gt;0,VLOOKUP(B37,Arablefinance!$Z$6:$AF$105,Arablefinance!$AF$2,FALSE)*C37*D37,(VLOOKUP(B37,Arablefinance!$E$6:$X$126,Arablefinance!$R$2,FALSE))*D37),0)*IF(A37&gt;='Options and results'!$H$27,'Options and results'!$H$26,1))*IF(1+'Options and results'!$O$22*(A37-1)&gt;0,1+'Options and results'!$O$22*(A37-1),0)</f>
        <v>653.12499999999989</v>
      </c>
      <c r="K37" s="1441">
        <f t="shared" si="128"/>
        <v>1429.5450757438098</v>
      </c>
      <c r="L37" s="1441">
        <f>IF(D37&lt;=0,0,IF(A37&lt;='Options and results'!$W$20,IF(C37&gt;0,VLOOKUP(B37,Arablefinance!$Z$6:$AG$105,Arablefinance!$AG$2,FALSE)*C37*D37,VLOOKUP(B37,Arablefinance!$E$6:$X$126,Arablefinance!$X$2,FALSE)*D37),0)*IF(A37&gt;='Options and results'!$H$27,'Options and results'!$H$26,1))*IF(1+'Options and results'!$O$22*(A37-1)&gt;0,1+'Options and results'!$O$22*(A37-1),0)</f>
        <v>444.44444444444446</v>
      </c>
      <c r="M37" s="1442">
        <f>IF(D37&lt;=0,0,IF(A37&lt;='Options and results'!$W$20,'Options and results'!$C$27,0)*IF(A37&gt;='Options and results'!$H$27,'Options and results'!$H$26,1))*IF(1+'Options and results'!$O$21*(A37-1)&gt;0,1+'Options and results'!$O$21*(A37-1),0)</f>
        <v>14.6</v>
      </c>
      <c r="N37" s="1442">
        <f>IF(D37&lt;=0,0,IF(A37&lt;='Options and results'!$W$20,IF(C37&gt;0,VLOOKUP(B37,Arablefinance!$Z$6:$AH$105,Arablefinance!$AH$2,FALSE)*C37*D37,VLOOKUP(B37,Arablefinance!$E$6:$W$126,Arablefinance!$V$2,FALSE)*D37),0)*IF(A37&gt;='Options and results'!$H$25,'Options and results'!$H$24,1))</f>
        <v>11.632834596849463</v>
      </c>
      <c r="O37" s="1013">
        <f t="shared" si="129"/>
        <v>1267.4088295584465</v>
      </c>
      <c r="P37" s="1353">
        <f t="shared" si="130"/>
        <v>815.26124618536312</v>
      </c>
      <c r="Q37" s="1013">
        <f>IF(A37&lt;='Options and results'!$W$20,SUM(G$8:$G37),0)</f>
        <v>44353.757582146078</v>
      </c>
      <c r="R37" s="1441">
        <f>IF($A37&lt;='Options and results'!$W$20,SUM($H$8:H37),0)</f>
        <v>7055.9999999999964</v>
      </c>
      <c r="S37" s="1441">
        <f>IF($A37&lt;='Options and results'!$W$20,SUM($O$8:O37),0)</f>
        <v>36553.968480789226</v>
      </c>
      <c r="T37" s="1032">
        <f>IF(A37&lt;='Options and results'!$W$20,Q37+R37-S37,0)</f>
        <v>14855.789101356851</v>
      </c>
      <c r="U37" s="405"/>
      <c r="V37" s="1010">
        <f t="shared" si="131"/>
        <v>30</v>
      </c>
      <c r="W37" s="173"/>
      <c r="X37" s="1036"/>
      <c r="Y37" s="1030">
        <f>IF(V37&lt;='Options and results'!$M$34,'Options and results'!$M$33,0)</f>
        <v>0</v>
      </c>
      <c r="Z37" s="1441">
        <f t="shared" si="132"/>
        <v>0</v>
      </c>
      <c r="AA37" s="1441">
        <f t="shared" si="133"/>
        <v>0</v>
      </c>
      <c r="AB37" s="1428">
        <f t="shared" si="134"/>
        <v>156</v>
      </c>
      <c r="AC37" s="1441">
        <f>IF($W$8=0,0,IF(HLOOKUP(CONCATENATE('Options and results'!$C$32," ",Forestrysystem!$C$8),Forestrysystem!$A$7:$IH$70,V37+4,FALSE)&lt;AB37,HLOOKUP(CONCATENATE('Options and results'!$C$32," ",Forestrysystem!$C$8),Forestrysystem!$A$7:$IH$70,V37+4,FALSE),0))</f>
        <v>0</v>
      </c>
      <c r="AD37" s="1441">
        <f>IF($W$8=0,0,IF(HLOOKUP(CONCATENATE('Options and results'!$C$32," ",Forestrysystem!$C$8),Forestrysystem!$A$7:$IH$70,V37+4,FALSE)&gt;=AB37,AB37,0))</f>
        <v>156</v>
      </c>
      <c r="AE37" s="1440">
        <f>IF($W$8=0,0,HLOOKUP(CONCATENATE('Options and results'!$C$32," ",Forestrysystem!$D$8),Forestrysystem!$A$7:$IH$70,$V37+4,FALSE))</f>
        <v>28.876742618403934</v>
      </c>
      <c r="AF37" s="1037"/>
      <c r="AG37" s="1440">
        <f>IF($W$8=0,0,IF(V37=1,'Options and results'!$M$36,0)+IF('Options and results'!$M$39="yes",IF(AND(AG36+'Options and results'!$M$37&lt;=$AF$8,AG36+'Options and results'!$M$37+IF(V37=1,'Options and results'!$M$36,0)&lt;='Options and results'!$M$38*AE37),AG36+'Options and results'!$M$37,AG36),(HLOOKUP(CONCATENATE('Options and results'!$C$32," ",Forestrysystem!$E$8),Forestrysystem!$A$7:$IH$70,V37+4,FALSE))-IF(V37=1,'Options and results'!$M$36,0)))</f>
        <v>7.5</v>
      </c>
      <c r="AH37" s="1442">
        <f>IF(OR($W$8=0,AB37&lt;=0),0,(HLOOKUP(CONCATENATE('Options and results'!$C$32," ",Forestrysystem!$F$8),Forestrysystem!$A$7:$IH$70,$V37+4,FALSE)) * IF(V37&gt;='Options and results'!$I$19,'Options and results'!$I$18,1) )</f>
        <v>219.0520197990561</v>
      </c>
      <c r="AI37" s="1452">
        <f t="shared" si="179"/>
        <v>1.4041796140965135</v>
      </c>
      <c r="AJ37" s="1442">
        <f t="shared" si="135"/>
        <v>219.0520197990561</v>
      </c>
      <c r="AK37" s="1453">
        <f>IF(OR($W$8=0,AE37&lt;=0),0,(HLOOKUP(CONCATENATE('Options and results'!$C$32," ",Forestrysystem!$G$8),Forestrysystem!$A$7:$IH$70,$V37+4,FALSE)) * IF(Y37&gt;='Options and results'!$I$19,'Options and results'!$I$18,1) )</f>
        <v>103.65</v>
      </c>
      <c r="AL37" s="1453">
        <f>IF($W$8=0,0,HLOOKUP(CONCATENATE('Options and results'!$C$32," ",Forestrysystem!$H$8),Forestrysystem!$A$7:$IH$70,$V37+4,FALSE)*IF(V37&gt;='Options and results'!$I$19,'Options and results'!$I$18,1))</f>
        <v>103.65</v>
      </c>
      <c r="AM37" s="1383">
        <f>IF($W$8=0,0,HLOOKUP(CONCATENATE('Options and results'!$C$32," ",Forestrysystem!$I$8),Forestrysystem!$A$7:$IH$70,$V37+4,FALSE)*IF(V37&gt;='Options and results'!$I$19,'Options and results'!$I$18,1))</f>
        <v>0</v>
      </c>
      <c r="AN37" s="1382">
        <f>IF(AI37&gt;0,HLOOKUP(AI37,Treevalue!$I$4:$BC$34,'Options and results'!$C$39+1),0)*IF(V37&gt;='Options and results'!$I$21,'Options and results'!$I$20,1)*IF(1+'Options and results'!$Q$20*(V37-1)&gt;0,1+'Options and results'!$Q$20*(V37-1),0)</f>
        <v>27.877588474200628</v>
      </c>
      <c r="AO37" s="1454">
        <f t="shared" si="136"/>
        <v>0</v>
      </c>
      <c r="AP37" s="1454">
        <f t="shared" si="137"/>
        <v>6106.6420624005341</v>
      </c>
      <c r="AQ37" s="1454">
        <f>(IF('Options and results'!$C$39&gt;0,IF(V37&lt;='Options and results'!$W$20,VLOOKUP('Options and results'!$C$39,Treevalue!$A$4:$F$34,5,FALSE),0),0)*AK37)*IF(V37&gt;='Options and results'!$I$21,'Options and results'!$I$20,1)*IF(1+'Options and results'!$Q$20*(V37-1)&gt;0,1+'Options and results'!$Q$20*(V37-1),0)-AR37</f>
        <v>0</v>
      </c>
      <c r="AR37" s="1441">
        <f>(IF('Options and results'!$C$39&gt;0,IF(V37&lt;='Options and results'!$W$20,VLOOKUP('Options and results'!$C$39,Treevalue!$A$4:$F$34,5,FALSE),0),0)*AL37)*IF(V37&gt;='Options and results'!$I$21,'Options and results'!$I$20,1)*IF(1+'Options and results'!$Q$20*(V37-1)&gt;0,1+'Options and results'!$Q$20*(V37-1),0)</f>
        <v>2591.25</v>
      </c>
      <c r="AS37" s="1441">
        <f>(IF('Options and results'!$C$39&gt;0,IF(V37&lt;='Options and results'!$W$20,VLOOKUP('Options and results'!$C$39,Treevalue!$A$4:$F$34,6,FALSE),0),0)*AM37)*IF(V37&gt;='Options and results'!$I$21,'Options and results'!$I$20,1)*IF(1+'Options and results'!$Q$20*(V37-1)&gt;0,1+'Options and results'!$Q$20*(V37-1),0)</f>
        <v>0</v>
      </c>
      <c r="AT37" s="1441">
        <f>IF(V37&lt;='Options and results'!$W$20,(IF(AB37&lt;=0,0,IF('Options and results'!$C$43="cost",(IF(V37&lt;='Options and results'!$C$44,BZ37*SUM('Options and results'!$C$45:$C$46),0)),IF('Options and results'!$C$41&gt;0,(IF(VLOOKUP('Options and results'!$C$42,Treegrant!$B$6:$L$42,Treegrant!$C$2,FALSE)=V37,VLOOKUP('Options and results'!$C$42,Treegrant!$B$6:$L$42,Treegrant!$D$2,FALSE),0)+IF(VLOOKUP('Options and results'!$C$42,Treegrant!$B$6:$L$42,Treegrant!$E$2,FALSE)=V37,VLOOKUP('Options and results'!$C$42,Treegrant!$B$6:$L$42,Treegrant!$F$2,FALSE),0)+IF(VLOOKUP('Options and results'!$C$42,Treegrant!$B$6:$L$42,Treegrant!$G$2,FALSE)=V37,VLOOKUP('Options and results'!$C$42,Treegrant!$B$6:$L$42,Treegrant!$H$2,FALSE)))*IF('Options and results'!$C$43="area",1,'Options and results'!$C$43),0)))*IF(V37&gt;='Options and results'!$I$23,'Options and results'!$I$22,1)),0)*IF(1+'Options and results'!$Q$23*(V37-1)&gt;0,1+'Options and results'!$Q$23*(V37-1),0)</f>
        <v>0</v>
      </c>
      <c r="AU37" s="1441">
        <f>IF($W$8=0,0,IF(V37&lt;='Options and results'!$W$20,IF(AB37&lt;=0,0,IF('Options and results'!$C$41&gt;0,IF(AND(VLOOKUP('Options and results'!$C$42,Treegrant!$B$6:$L$42,Treegrant!$J$2,FALSE)&lt;=V37,VLOOKUP('Options and results'!$C$42,Treegrant!$B$6:$L$42,Treegrant!$K$2,FALSE)&gt;=V37),(VLOOKUP('Options and results'!$C$42,Treegrant!$B$6:$L$42,Treegrant!$L$2,FALSE)),0)*IF('Options and results'!$C$47="full",1,'Options and results'!$C$47))*IF(V37&gt;='Options and results'!$I$23,'Options and results'!$I$22,1)),0))*IF(1+'Options and results'!$Q$23*(V37-1)&gt;0,1+'Options and results'!$Q$23*(V37-1),0)</f>
        <v>0</v>
      </c>
      <c r="AV37" s="1032">
        <f>IF($W$8=0,0,IF(V37&lt;='Options and results'!$W$20,IF(AB37&lt;=0,0,(IF('Options and results'!$C$41&gt;0,(IF(AND(VLOOKUP('Options and results'!$C$42,Treegrant!$B$6:$O$42,Treegrant!$M$2,FALSE)&lt;=V37,VLOOKUP('Options and results'!$C$42,Treegrant!$B$6:$O$42,Treegrant!$N$2,FALSE)&gt;=V37),(VLOOKUP('Options and results'!$C$42,Treegrant!$B$6:$O$42,Treegrant!$O$2,FALSE)),0)*IF('Options and results'!$C$48="full",1,'Options and results'!$C$48))+(IF(AND(VLOOKUP('Options and results'!$C$42,Treegrant!$B$6:$R$42,Treegrant!$P$2,FALSE)&lt;=V37,VLOOKUP('Options and results'!$C$42,Treegrant!$B$6:$R$42,Treegrant!$Q$2,FALSE)&gt;=V37),(VLOOKUP('Options and results'!$C$42,Treegrant!$B$6:$R$42,Treegrant!$R$2,FALSE)),0))*IF('Options and results'!$C$49="full",1,'Options and results'!$C$49)))*IF(V37&gt;='Options and results'!$I$23,'Options and results'!$I$22,1)),0))*IF(1+'Options and results'!$Q$23*(V37-1)&gt;0,1+'Options and results'!$Q$23*(V37-1),0)</f>
        <v>0</v>
      </c>
      <c r="AW37" s="1041"/>
      <c r="AX37" s="1042"/>
      <c r="AY37" s="1419">
        <f>IF($W$8=0,0,IF(V37=1,VLOOKUP($W$8,Treecost!$B$6:$AH$49,Treecost!$E$2,FALSE),0)*IF(V37&gt;='Options and results'!$I$25,'Options and results'!$I$24,1))</f>
        <v>0</v>
      </c>
      <c r="AZ37" s="889">
        <f>IF($W$8=0,0,IF(V37=1,VLOOKUP($W$8,Treecost!$B$6:$AH$49,Treecost!$F$2,FALSE),0)*IF(V37&gt;='Options and results'!$I$25,'Options and results'!$I$24,1))</f>
        <v>0</v>
      </c>
      <c r="BA37" s="889">
        <f>IF($W$8=0,0,IF(V37=1,VLOOKUP($W$8,Treecost!$B$6:$AH$49,Treecost!$G$2,FALSE),0)*IF(V37&gt;='Options and results'!$I$25,'Options and results'!$I$24,1))</f>
        <v>0</v>
      </c>
      <c r="BB37" s="889">
        <f>IF($W$8=0,0,IF(V37&lt;='Options and results'!$W$20,((VLOOKUP($W$8,Treecost!$B$6:$AH$49,Treecost!$H$2,FALSE)*(X37+AA37))/60)*IF(V37&gt;='Options and results'!$I$25,'Options and results'!$I$24,1),0))</f>
        <v>0</v>
      </c>
      <c r="BC37" s="889">
        <f>IF($W$8=0,0,IF(V37&lt;='Options and results'!$W$20,(((VLOOKUP($W$8,Treecost!$B$6:$AH$49,Treecost!$I$2,FALSE))*(X37+AA37))/60)*IF(V37&gt;='Options and results'!$I$25,'Options and results'!$I$24,1),0))</f>
        <v>0</v>
      </c>
      <c r="BD37" s="889">
        <f>IF($W$8=0,0,IF(V37&lt;='Options and results'!$W$20,(((VLOOKUP($W$8,Treecost!$B$6:$AH$49,Treecost!$J$2,FALSE))/60)*(X37+AA37))*IF(V37&gt;='Options and results'!$I$25,'Options and results'!$I$24,1),0))</f>
        <v>0</v>
      </c>
      <c r="BE37" s="1019">
        <f>IF($W$8=0,0,IF(V37&lt;='Options and results'!$W$20,(((VLOOKUP($W$8,Treecost!$B$6:$AH$49,Treecost!$C$2,FALSE)+VLOOKUP($W$8,Treecost!$B$6:$AH$49,Treecost!$D$2,FALSE))*(X37+AA37)*IF(1+'Options and results'!$Q$22*(V37-1)&gt;0,1+'Options and results'!$Q$22*(V37-1),0))+((AY37*$AX$8+AZ37*$AX$9+BA37*$AX$10+BB37*$AX$11+BC37*$AX$12+BD37*$AX$13)*IF(1+'Options and results'!$Q$21*(V37-1)&gt;0,1+'Options and results'!$Q$21*(V37-1),0)))*IF(V37&gt;='Options and results'!$I$27,'Options and results'!$I$26,1),0))</f>
        <v>0</v>
      </c>
      <c r="BF37" s="889">
        <f>IF($W$8=0,0,IF(V37&lt;='Options and results'!$W$20,IF(AND(VLOOKUP($W$8,Treecost!$B$6:$AH$49,Treecost!$K$2,FALSE)&lt;=V37,V37&lt;=(VLOOKUP($W$8,Treecost!$B$6:$AH$49,Treecost!$L$2,FALSE))),VLOOKUP($W$8,Treecost!$B$6:$AH$49,Treecost!$M$2,FALSE)*AB37/60,0)*IF(V37&gt;='Options and results'!$I$25,'Options and results'!$I$24,1),0))</f>
        <v>0</v>
      </c>
      <c r="BG37" s="1019">
        <f>IF(BF37&gt;0,(VLOOKUP($W$8,Treecost!$B$6:$AH$49,Treecost!$N$2,FALSE)*AB37*IF(1+'Options and results'!$Q$22*(V37-1)&gt;0,1+'Options and results'!$Q$22*(V37-1),0)+BF37*$AX$14*IF(1+'Options and results'!$Q$21*(V37-1)&gt;0,1+'Options and results'!$Q$21*(V37-1),0)),0)*IF(V37&gt;='Options and results'!$I$27,'Options and results'!$I$26,1)</f>
        <v>0</v>
      </c>
      <c r="BH37" s="889">
        <f>IF(V37&lt;='Options and results'!$W$20,IF(AND(AG37-AG36&gt;0,AG37&gt;'Options and results'!$M$36),(AB37-AC37)*(VLOOKUP($W$8,Treecost!$B$6:$AH$49,Treecost!$Y$2,FALSE)+(VLOOKUP($W$8,Treecost!$B$6:$AH$49,Treecost!$AA$2,FALSE)-VLOOKUP($W$8,Treecost!$B$6:$AH$49,Treecost!$Y$2,FALSE))/(VLOOKUP($W$8,Treecost!$B$6:$AH$49,Treecost!$Z$2,FALSE)-VLOOKUP($W$8,Treecost!$B$6:$AH$49,Treecost!$X$2,FALSE))*(AG37-VLOOKUP($W$8,Treecost!$B$6:$AH$49,Treecost!$X$2,FALSE)))/60,0)*IF(V37&gt;='Options and results'!$I$25,'Options and results'!$I$24,1),0)</f>
        <v>0</v>
      </c>
      <c r="BI37" s="303">
        <f>IF(V37&lt;='Options and results'!$W$20,IF(BH37&gt;0,VLOOKUP($W$8,Treecost!$B$6:$AH$49,Treecost!$AB$2,FALSE)/60*AB37,0)*IF(V37&gt;='Options and results'!$I$25,'Options and results'!$I$24,1),0)*((BH37-(MIN($BH$8:$BH$67)))/((MAX($BH$8:$BH$67))-(MIN($BH$8:$BH$67))))</f>
        <v>0</v>
      </c>
      <c r="BJ37" s="740">
        <f>IF(BH37&gt;0,(BH37*$AX$15+BI37*$AX$19)*IF(1+'Options and results'!$Q$21*(V37-1)&gt;0,1+'Options and results'!$Q$21*(V37-1),0),0)*IF(V37&gt;='Options and results'!$I$27,'Options and results'!$I$26,1)</f>
        <v>0</v>
      </c>
      <c r="BK37" s="891">
        <f>IF($W$8=0,0,IF(V37&lt;='Options and results'!$W$20,IF(VLOOKUP($W$8,Treecost!$B$2:$AH$49,Treecost!$O$2,FALSE)=V37,VLOOKUP($W$8,Treecost!$B$2:$AH$49,Treecost!$P$2,FALSE),0)*IF(V37&gt;='Options and results'!$I$25,'Options and results'!$I$24,1),0))</f>
        <v>0</v>
      </c>
      <c r="BL37" s="889">
        <f>IF($W$8=0,0,IF(V37&lt;='Options and results'!$W$20,IF(AND(V37&gt;VLOOKUP($W$8,Treecost!$B$2:$AH$49,Treecost!$O$2,FALSE),V37&lt;=VLOOKUP($W$8,Treecost!$B$2:$AH$49,Treecost!$R$2,FALSE)),VLOOKUP($W$8,Treecost!$B$2:$AH$49,Treecost!$S$2,FALSE),0)*IF(V37&gt;='Options and results'!$I$25,'Options and results'!$I$24,1),0))</f>
        <v>0</v>
      </c>
      <c r="BM37" s="740">
        <f>IF($W$8=0,0,IF(V37&lt;='Options and results'!$W$20,((IF(VLOOKUP($W$8,Treecost!$B$2:$AH$49,Treecost!$O$2,FALSE)=V37,VLOOKUP($W$8,Treecost!$B$2:$AH$49,Treecost!$Q$2,FALSE),0)+IF(AND(V37&gt;VLOOKUP($W$8,Treecost!$B$2:$AH$49,Treecost!$O$2,FALSE),V37&lt;=VLOOKUP($W$8,Treecost!$B$2:$AH$49,Treecost!$R$2,FALSE)),VLOOKUP($W$8,Treecost!$B$2:$AH$49,Treecost!$T$2,FALSE),0)*IF(1+'Options and results'!$Q$22*(V37-1)&gt;0,1+'Options and results'!$Q$22*(V37-1),0))+(BK37*$AX$16+BL37*$AX$17)*IF(1+'Options and results'!$Q$21*(V37-1)&gt;0,1+'Options and results'!$Q$21*(V37-1),0))*IF(V37&gt;='Options and results'!$I$27,'Options and results'!$I$26,1),0))</f>
        <v>0</v>
      </c>
      <c r="BN37" s="894">
        <f>IF($W$8=0,0,IF(V37&lt;='Options and results'!$W$20,IF(AND(V37&gt;=VLOOKUP($W$8,Treecost!$B$2:$W$49,Treecost!$U$2,FALSE),V37&lt;=VLOOKUP($W$8,Treecost!$B$2:$W$49,Treecost!$V$2,FALSE)),(AB37*VLOOKUP($W$8,Treecost!$B$2:$W$49,Treecost!$W$2,FALSE)/60),0)*IF(V37&gt;='Options and results'!$I$25,'Options and results'!$I$24,1),0))</f>
        <v>0</v>
      </c>
      <c r="BO37" s="740">
        <f>BN37*$AX$18*IF(V37&gt;='Options and results'!$I$27,'Options and results'!$I$26,1)*IF(1+'Options and results'!$Q$21*(V37-1)&gt;0,1+'Options and results'!$Q$21*(V37-1),0)</f>
        <v>0</v>
      </c>
      <c r="BP37" s="894">
        <f>IF(V37&lt;='Options and results'!$W$20,IF(AB37&lt;=0,0,VLOOKUP($W$8,Treecost!$B$6:$AH$49,Treecost!$AC$2,FALSE)+VLOOKUP($W$8,Treecost!$B$6:$AH$49,Treecost!$AD$2,FALSE)+IF(AND(V37&gt;=VLOOKUP($W$8,Treecost!$B$2:$AK$49,Treecost!$AI$2,FALSE),V37&lt;=VLOOKUP($W$8,Treecost!$B$2:$AK$49,Treecost!$AJ$2,FALSE)),(VLOOKUP($W$8,Treecost!$B$2:$AK$49,Treecost!$AK$2,FALSE)),0))*IF(V37&gt;='Options and results'!$I$27,'Options and results'!$I$26,1),0)*IF(1+'Options and results'!$Q$22*(V37-1)&gt;0,1+'Options and results'!$Q$22*(V37-1),0)</f>
        <v>3</v>
      </c>
      <c r="BQ37" s="894">
        <f>IF(V37&lt;='Options and results'!$W$20,IF(AC37&gt;0,VLOOKUP($W$8,Treecost!$B$6:$AH$49,Treecost!$AE$2,FALSE)/60*AC37,0)*IF(V37&gt;='Options and results'!$I$25,'Options and results'!$I$24,1),0)</f>
        <v>0</v>
      </c>
      <c r="BR37" s="740">
        <f>IF(V37&lt;='Options and results'!$W$20,IF(AC37&gt;0,VLOOKUP($W$8,Treecost!$B$6:$AH$49,Treecost!$AF$2,FALSE)/60*AC37,0)*IF(V37&gt;='Options and results'!$I$25,'Options and results'!$I$24,1),0)</f>
        <v>0</v>
      </c>
      <c r="BS37" s="740">
        <f>(BQ37*$AX$20+BR37*$AX$21)*IF(V37&gt;='Options and results'!$I$27,'Options and results'!$I$26,1)*IF(1+'Options and results'!$Q$21*(V37-1)&gt;0,1+'Options and results'!$Q$21*(V37-1),0)</f>
        <v>0</v>
      </c>
      <c r="BT37" s="894">
        <f>IF(V37&lt;='Options and results'!$W$20,IF(AD37&gt;0,(VLOOKUP($W$8,Treecost!$B$6:$AH$49,Treecost!$AG$2,FALSE)/60*AD37)*IF(V37&gt;='Options and results'!$I$25,'Options and results'!$I$24,1),0),0)</f>
        <v>18.2</v>
      </c>
      <c r="BU37" s="740">
        <f>IF(V37&lt;='Options and results'!$W$20,IF(AD37&gt;0,(VLOOKUP($W$8,Treecost!$B$6:$AH$49,Treecost!$AH$2,FALSE)/60*AD37)*IF(V37&gt;='Options and results'!$I$25,'Options and results'!$I$24,1),0),0)</f>
        <v>2.6</v>
      </c>
      <c r="BV37" s="740">
        <f>(BT37*$AX$22+BU37*$AX$23)*IF(V37&gt;='Options and results'!$I$27,'Options and results'!$I$26,1)*IF(1+'Options and results'!$Q$21*(V37-1)&gt;0,1+'Options and results'!$Q$21*(V37-1),0)</f>
        <v>583.96</v>
      </c>
      <c r="BW37" s="1033">
        <f t="shared" si="138"/>
        <v>20.8</v>
      </c>
      <c r="BX37" s="1027">
        <f t="shared" si="139"/>
        <v>8697.8920624005332</v>
      </c>
      <c r="BY37" s="1027">
        <f t="shared" si="140"/>
        <v>0</v>
      </c>
      <c r="BZ37" s="740">
        <f t="shared" si="124"/>
        <v>586.96</v>
      </c>
      <c r="CA37" s="740">
        <f t="shared" si="141"/>
        <v>8110.9320624005331</v>
      </c>
      <c r="CB37" s="894">
        <f>IF($V37&lt;='Options and results'!$W$20,SUM(BX$8:$BX37),0)</f>
        <v>8697.8920624005332</v>
      </c>
      <c r="CC37" s="740">
        <f>IF($V37&lt;='Options and results'!$W$20,SUM($BY$8:BY37),0)</f>
        <v>0</v>
      </c>
      <c r="CD37" s="740">
        <f>IF($V37&lt;='Options and results'!$W$20,SUM($BZ$8:BZ37),0)</f>
        <v>2242.7043691843955</v>
      </c>
      <c r="CE37" s="740">
        <f>IF(V37&lt;='Options and results'!$W$20,CB37+CC37-CD37,0)</f>
        <v>6455.1876932161376</v>
      </c>
      <c r="CF37" s="1381">
        <f t="shared" si="142"/>
        <v>800.13257145689158</v>
      </c>
      <c r="CG37" s="1027">
        <f t="shared" si="143"/>
        <v>213.17257145689155</v>
      </c>
      <c r="CH37" s="1027">
        <f t="shared" si="144"/>
        <v>583.96</v>
      </c>
      <c r="CI37" s="1189">
        <f>IF(V37&lt;='Options and results'!$W$20,CE37+AO37,0)</f>
        <v>6455.1876932161376</v>
      </c>
      <c r="CJ37" s="1023"/>
      <c r="CK37" s="895">
        <f t="shared" si="145"/>
        <v>30</v>
      </c>
      <c r="CL37" s="1011" t="str">
        <f>IF('Options and results'!$C$54="None",0,IF(AND(CK37&gt;='Options and results'!$K$57,CK36&lt;'Options and results'!$W$20),'Options and results'!$K$56,IF(Optimisation!$B$3="No",CONCATENATE('Options and results'!$C$60," ",(HLOOKUP(CONCATENATE('Options and results'!$C$54," ",Agroforestrysystem!$B$12),Agroforestrysystem!$B$11:$IM$74,$CK37+4,FALSE))),Optimisation!AA57)))</f>
        <v>UK - Agriculture (BPS: from 2015) Agroforestry fallow</v>
      </c>
      <c r="CM37" s="1012">
        <f>IF(HLOOKUP(CONCATENATE('Options and results'!$C$54," ",Agroforestrysystem!$C$12),Agroforestrysystem!$B$11:$IM$74,$CK37+4,FALSE)="T",(VLOOKUP(CL37,Arablefinance!$Z$6:$AB$105,Arablefinance!$AB$2,FALSE)*CO37+VLOOKUP(CL37,Arablefinance!$Z$6:$AC$105,Arablefinance!$AC$2,FALSE)*CP37)/VLOOKUP(CL37,Arablefinance!$Z$6:$AA$105,Arablefinance!$AA$2,FALSE),0)</f>
        <v>0</v>
      </c>
      <c r="CN37" s="1012">
        <f>IF(CL37=0,0,HLOOKUP(CONCATENATE('Options and results'!$C$54," ",Agroforestrysystem!$D$12),Agroforestrysystem!$B$11:$IM$74,$CK37+4,FALSE))</f>
        <v>0.99</v>
      </c>
      <c r="CO37" s="1440">
        <f ca="1">IF(CL37=0,0,IF(AND(Optimisation!$B$3="yes",Optimisation!$B$4=1,CK37&gt;Optimisation!$B$9),0,HLOOKUP(CONCATENATE('Options and results'!$C$54," ",Agroforestrysystem!$E$12),Agroforestrysystem!$B$11:$IM$74,$CK37+4,FALSE)*IF(CK37&gt;='Options and results'!$J$19,'Options and results'!$J$18,1)))</f>
        <v>0</v>
      </c>
      <c r="CP37" s="1440">
        <f ca="1">IF(CL37=0,0,IF(AND(Optimisation!$B$3="yes",Optimisation!$B$4=1,CK37&gt;Optimisation!$B$9),0,HLOOKUP(CONCATENATE('Options and results'!$C$54," ",Agroforestrysystem!$F$12),Agroforestrysystem!$B$11:$IM$74,$CK37+4,FALSE)*IF(CK37&gt;='Options and results'!$J$19,'Options and results'!$J$18,1)))</f>
        <v>0</v>
      </c>
      <c r="CQ37" s="1013">
        <f ca="1">IF(CN37&lt;=0,0,IF(CK37&lt;='Options and results'!$W$20,IF(CM37&gt;0,VLOOKUP(CL37,Arablefinance!$Z$6:$AE$105,Arablefinance!$AD$2,FALSE)*CM37*CN37,((VLOOKUP(CL37,Arablefinance!$E$6:$H$126,2,FALSE)*CO37+VLOOKUP(CL37,Arablefinance!$E$6:$H$126,3,FALSE)*CP37)*CN37)),0)*IF(CK37&gt;='Options and results'!$J$21,'Options and results'!$J$20,1))*IF(1+'Options and results'!$O$20*(CK37-1)&gt;0,1+'Options and results'!$O$20*(CK37-1),0)</f>
        <v>0</v>
      </c>
      <c r="CR37" s="1441">
        <f>IF(CN37&lt;=0,0,IF(AND(CM37&gt;0,VLOOKUP(CL37,Arablefinance!$Z$6:$AI$105,Arablefinance!$AI$2,FALSE)=2),VLOOKUP(CL37,Arablefinance!$Z$6:$AE$105,Arablefinance!$AE$2,FALSE)*CM37*CN37,IF('Options and results'!$C$62&gt;0,IF(VLOOKUP(CL37,Arablefinance!$E$6:$W$126,Arablefinance!$H$2,FALSE)*(1-Plot!DM37*'Options and results'!$C$62)&gt;0,VLOOKUP(CL37,Arablefinance!$E$6:$W$126,Arablefinance!$H$2,FALSE)*(1-Plot!DM37*'Options and results'!$C$62),0),IF(CK37&lt;='Options and results'!$W$20,(VLOOKUP(CL37,Arablefinance!$E$6:$W$126,Arablefinance!$H$2,FALSE)*IF('Options and results'!$C$61="area",CN37,'Options and results'!$C$61)),0)))*IF(CK37&gt;='Options and results'!$J$23,'Options and results'!$J$22,1))*IF(AND(1+'Options and results'!$O$23*(CK37-1)&gt;0,1+'Options and results'!$O$23*(CK37-1)&gt;'Options and results'!$S$24),1+'Options and results'!$O$23*(CK37-1),'Options and results'!$S$24)</f>
        <v>0</v>
      </c>
      <c r="CS37" s="1441">
        <f t="shared" ca="1" si="146"/>
        <v>0</v>
      </c>
      <c r="CT37" s="1441">
        <f>IF(CN37&lt;=0,0,IF(CK37&lt;='Options and results'!$W$20,IF(CM37&gt;0,VLOOKUP(CL37,Arablefinance!$Z$6:$AF$105,Arablefinance!$AF$2,FALSE)*CM37*CN37,VLOOKUP(CL37,Arablefinance!$E$6:$X$126,Arablefinance!$R$2,FALSE)*CN37),0)*IF(CK37&gt;='Options and results'!$J$27,'Options and results'!$J$26,1))*IF(1+'Options and results'!$O$22*(CK37-1)&gt;0,1+'Options and results'!$O$22*(CK37-1),0)</f>
        <v>0</v>
      </c>
      <c r="CU37" s="1441">
        <f t="shared" ca="1" si="147"/>
        <v>0</v>
      </c>
      <c r="CV37" s="1441">
        <f>IF(CN37&lt;=0,0,IF(CK37&lt;='Options and results'!$W$20,IF(CM37&gt;0,VLOOKUP(CL37,Arablefinance!$Z$6:$AG$105,Arablefinance!$AG$2,FALSE)*CM37*CN37,VLOOKUP(CL37,Arablefinance!$E$6:$X$126,Arablefinance!$X$2,FALSE)*CN37),0)*IF(CK37&gt;='Options and results'!$J$27,'Options and results'!$J$26,1))*IF(1+'Options and results'!$O$22*(CK37-1)&gt;0,1+'Options and results'!$O$22*(CK37-1),0)</f>
        <v>0</v>
      </c>
      <c r="CW37" s="1442">
        <f>IF(CN37&lt;=0,0,IF(CK37&lt;='Options and results'!$W$20,'Options and results'!$C$27*IF(CK37&gt;='Options and results'!$J$27,'Options and results'!$J$26,1),0))*IF(1+'Options and results'!$O$21*(CK37-1)&gt;0,1+'Options and results'!$O$21*(CK37-1),0)</f>
        <v>14.6</v>
      </c>
      <c r="CX37" s="1442">
        <f>IF(CN37&lt;=0,0,IF(CK37&lt;='Options and results'!$W$20,IF(CM37&gt;0,VLOOKUP(CL37,Arablefinance!$Z$6:$AH$105,Arablefinance!$AH$2,FALSE)*CM37*CN37,VLOOKUP(CL37,Arablefinance!$E$6:$W$126,Arablefinance!$V$2,FALSE)*CN37),0)*IF(CK37&gt;='Options and results'!$J$25,'Options and results'!$J$24,1))</f>
        <v>0</v>
      </c>
      <c r="CY37" s="1013">
        <f t="shared" si="148"/>
        <v>0</v>
      </c>
      <c r="CZ37" s="1353">
        <f t="shared" ca="1" si="149"/>
        <v>0</v>
      </c>
      <c r="DA37" s="1013">
        <f ca="1">IF($CK37&lt;='Options and results'!$W$20,SUM($CQ$8:CQ37),0)</f>
        <v>18417.950100000002</v>
      </c>
      <c r="DB37" s="1441">
        <f>IF($CK37&lt;='Options and results'!$W$20,SUM($CR$8:CR37),0)</f>
        <v>0</v>
      </c>
      <c r="DC37" s="1441">
        <f>IF($CK37&lt;='Options and results'!$W$20,SUM($CY$8:CY37),0)</f>
        <v>16943.30918829242</v>
      </c>
      <c r="DD37" s="1189">
        <f ca="1">IF(CK37&lt;='Options and results'!$W$20,DA37+DB37-DC37,0)</f>
        <v>1474.6409117075818</v>
      </c>
      <c r="DE37" s="401"/>
      <c r="DF37" s="895">
        <f t="shared" si="150"/>
        <v>30</v>
      </c>
      <c r="DG37" s="173"/>
      <c r="DH37" s="1422"/>
      <c r="DI37" s="1427">
        <f>IF(DF37&lt;='Options and results'!$M$61,'Options and results'!$M$60,0)</f>
        <v>0</v>
      </c>
      <c r="DJ37" s="740">
        <f t="shared" si="151"/>
        <v>0</v>
      </c>
      <c r="DK37" s="740">
        <f t="shared" si="152"/>
        <v>0</v>
      </c>
      <c r="DL37" s="1428">
        <f t="shared" si="153"/>
        <v>100</v>
      </c>
      <c r="DM37" s="1429">
        <f>IF($DG$8=0,0,HLOOKUP(CONCATENATE('Options and results'!$C$54," ",Agroforestrysystem!$J$12),Agroforestrysystem!$11:$74,DF37+3,FALSE))/100</f>
        <v>1</v>
      </c>
      <c r="DN37" s="740">
        <f>IF($DG$8=0,0,IF(HLOOKUP(CONCATENATE('Options and results'!$C$54," ",Agroforestrysystem!$H$12),Agroforestrysystem!$11:$74,DF37+4,FALSE)&lt;DL37,HLOOKUP(CONCATENATE('Options and results'!$C$54," ",Agroforestrysystem!$H$12),Agroforestrysystem!$11:$74,DF37+4,FALSE),0))</f>
        <v>0</v>
      </c>
      <c r="DO37" s="1027">
        <f>IF($DG$8=0,0,IF(HLOOKUP(CONCATENATE('Options and results'!$C$54," ",Agroforestrysystem!$H$12),Agroforestrysystem!$11:$74,DF37+4,FALSE)&gt;=DL37,DL37,0))</f>
        <v>100</v>
      </c>
      <c r="DP37" s="1430">
        <f>IF($DG$8=0,0,HLOOKUP(CONCATENATE('Options and results'!$C$54," ",Agroforestrysystem!$I$12),Agroforestrysystem!$11:$74,DF37+4,FALSE))</f>
        <v>33.3639734650965</v>
      </c>
      <c r="DQ37" s="1038"/>
      <c r="DR37" s="1390">
        <f>IF($DG$8=0,0,IF(DF37&gt;'Options and results'!$W$20,0,)+IF(DF37=1,'Options and results'!$M$64)+IF('Options and results'!$M$67="yes",IF(AND(DR36+'Options and results'!$M$65&lt;=$DQ$8,DR36+'Options and results'!$M$65+IF(DF37=1,'Options and results'!$M$64,0)&lt;='Options and results'!$M$66*DP37),DR36+'Options and results'!$M$65,DR36),(HLOOKUP(CONCATENATE('Options and results'!$C$54," ",Agroforestrysystem!$K$12),Agroforestrysystem!$11:$74,DF37+4,FALSE)-IF(DF37=1,'Options and results'!$M$64))))</f>
        <v>7.5</v>
      </c>
      <c r="DS37" s="1027">
        <f>IF(OR($DG$8=0,DL37=0),0,HLOOKUP(CONCATENATE('Options and results'!$C$54," ",Agroforestrysystem!$L$12),Agroforestrysystem!$11:$74,DF37+4,FALSE)*IF(DF37&gt;='Options and results'!$K$19,'Options and results'!$K$18,1))</f>
        <v>216.57651403057335</v>
      </c>
      <c r="DT37" s="1431">
        <f t="shared" si="154"/>
        <v>2.1657651403057336</v>
      </c>
      <c r="DU37" s="889">
        <f t="shared" si="155"/>
        <v>216.57651403057338</v>
      </c>
      <c r="DV37" s="1027">
        <f>IF($DG$8=0,0,(HLOOKUP(CONCATENATE('Options and results'!$C$54," ",Agroforestrysystem!$M$12),Agroforestrysystem!$11:$74,DF37+4,FALSE))*IF(DF37&gt;='Options and results'!$K$19,'Options and results'!$K$18,1))-DW37</f>
        <v>0</v>
      </c>
      <c r="DW37" s="303">
        <f>IF($DG$8=0,0,(HLOOKUP(CONCATENATE('Options and results'!$C$54," ",Agroforestrysystem!$N$12),Agroforestrysystem!$11:$74,DF37+4,FALSE))*IF(DF37&gt;='Options and results'!$K$19,'Options and results'!$K$18,1))</f>
        <v>102.68</v>
      </c>
      <c r="DX37" s="303">
        <f>IF($DG$8=0,0,HLOOKUP(CONCATENATE('Options and results'!$C$54," ",Agroforestrysystem!$O$12),Agroforestrysystem!$11:$74,DF37+4,FALSE)*IF(DF37&gt;='Options and results'!$K$19,'Options and results'!$K$18,1))</f>
        <v>0</v>
      </c>
      <c r="DY37" s="1192">
        <f>IF(DT37&gt;0,HLOOKUP(DT37,Treevalue!$I$4:$BC$34,'Options and results'!$C$66+1),0)*IF(DF37&gt;='Options and results'!$K$21,'Options and results'!$K$20,1)*IF(1+'Options and results'!$Q$20*(DF37-1)&gt;0,1+'Options and results'!$Q$20*(DF37-1),0)</f>
        <v>32.49152566148328</v>
      </c>
      <c r="DZ37" s="1027">
        <f t="shared" si="156"/>
        <v>0</v>
      </c>
      <c r="EA37" s="1027">
        <f t="shared" si="125"/>
        <v>7036.9013632989681</v>
      </c>
      <c r="EB37" s="1027">
        <f>(IF('Options and results'!$C$66&gt;0,IF(DF37&lt;='Options and results'!$W$20,VLOOKUP('Options and results'!$C$66,Treevalue!$A$4:$F$34,5,FALSE),0),0)*DV37)*IF(DF37&gt;='Options and results'!$K$21,'Options and results'!$K$20,1)*IF(1+'Options and results'!$Q$20*(DF37-1)&gt;0,1+'Options and results'!$Q$20*(DF37-1),0)</f>
        <v>0</v>
      </c>
      <c r="EC37" s="740">
        <f>(IF('Options and results'!$C$66&gt;0,IF(DF37&lt;='Options and results'!$W$20,VLOOKUP('Options and results'!$C$66,Treevalue!$A$4:$F$34,5,FALSE),0),0)*DW37)*IF(DF37&gt;='Options and results'!$K$21,'Options and results'!$K$20,1)*IF(1+'Options and results'!$Q$20*(DF37-1)&gt;0,1+'Options and results'!$Q$20*(DF37-1),0)</f>
        <v>2567</v>
      </c>
      <c r="ED37" s="889">
        <f>(IF('Options and results'!$C$66&gt;0,IF(DF37&lt;='Options and results'!$W$20,VLOOKUP('Options and results'!$C$66,Treevalue!$A$4:$F$34,6,FALSE),0),0)*DX37)*IF(DF37&gt;='Options and results'!$K$21,'Options and results'!$K$20,1)*IF(1+'Options and results'!$Q$20*(DF37-1)&gt;0,1+'Options and results'!$Q$20*(DF37-1),0)</f>
        <v>0</v>
      </c>
      <c r="EE37" s="740">
        <f>IF(DF37&lt;='Options and results'!$W$20,IF(DL37&lt;=0,0,IF('Options and results'!$C$70="cost",(IF(DF37&lt;='Options and results'!$C$71,FK37*SUM('Options and results'!$C$72:$C$73),0)),IF('Options and results'!$C$68&gt;0,(IF(VLOOKUP('Options and results'!$C$69,Treegrant!$B$6:$L$42,Treegrant!$C$2,FALSE)=DF37,VLOOKUP('Options and results'!$C$69,Treegrant!$B$6:$L$42,Treegrant!$D$2,FALSE),0)+IF(VLOOKUP('Options and results'!$C$69,Treegrant!$B$6:$L$42,Treegrant!$E$2,FALSE)=DF37,VLOOKUP('Options and results'!$C$69,Treegrant!$B$6:$L$42,Treegrant!$F$2,FALSE),0)+IF(VLOOKUP('Options and results'!$C$69,Treegrant!$B$6:$L$42,Treegrant!$G$2,FALSE)=DF37,VLOOKUP('Options and results'!$C$69,Treegrant!$B$6:$L$42,Treegrant!$H$2,FALSE)))*IF('Options and results'!$C$70="area",Unit!C38,'Options and results'!$C$70),0))*IF(DF37&gt;='Options and results'!$K$23,'Options and results'!$K$22,1)),0)*IF(1+'Options and results'!$Q$23*(DF37-1)&gt;0,1+'Options and results'!$Q$23*(DF37-1),0)</f>
        <v>0</v>
      </c>
      <c r="EF37" s="740">
        <f>IF($DG$8=0,0,IF(DF37&lt;='Options and results'!$W$20,IF(DL37&lt;=0,0,IF('Options and results'!$C$68&gt;0,IF(AND(VLOOKUP('Options and results'!$C$69,Treegrant!$B$6:$L$42,Treegrant!$J$2,FALSE)&lt;=DF37,VLOOKUP('Options and results'!$C$69,Treegrant!$B$6:$L$42,Treegrant!$K$2,FALSE)&gt;=DF37),(VLOOKUP('Options and results'!$C$69,Treegrant!$B$6:$L$42,Treegrant!$L$2,FALSE)),0)*IF('Options and results'!$C$74="area",Unit!C38,'Options and results'!$C$74))*IF(DF37&gt;='Options and results'!$K$23,'Options and results'!$K$22,1)),0))*IF(1+'Options and results'!$Q$23*(DF37-1)&gt;0,1+'Options and results'!$Q$23*(DF37-1),0)</f>
        <v>0</v>
      </c>
      <c r="EG37" s="1034">
        <f>IF($DG$8=0,0,IF(DF37&lt;='Options and results'!$W$20,IF(DL37&lt;=0,0,IF('Options and results'!$C$68&gt;0,((IF(AND(VLOOKUP('Options and results'!$C$69,Treegrant!$B$6:$O$42,Treegrant!$M$2,FALSE)&lt;=DF37,VLOOKUP('Options and results'!$C$69,Treegrant!$B$6:$O$42,Treegrant!$N$2,FALSE)&gt;=DF37),(VLOOKUP('Options and results'!$C$69,Treegrant!$B$6:$O$42,Treegrant!$O$2,FALSE)),0)*IF('Options and results'!$C$75="area",Unit!C38,'Options and results'!$C$75))+(IF(AND(VLOOKUP('Options and results'!$C$69,Treegrant!$B$6:$R$42,Treegrant!$P$2,FALSE)&lt;=DF37,VLOOKUP('Options and results'!$C$69,Treegrant!$B$6:$R$42,Treegrant!$Q$2,FALSE)&gt;=DF37),(VLOOKUP('Options and results'!$C$69,Treegrant!$B$6:$R$42,Treegrant!$R$2,FALSE)),0))*IF('Options and results'!$C$76="area",Unit!C38,'Options and results'!$C$76)))*IF(DF37&gt;='Options and results'!$K$23,'Options and results'!$K$22,1)),0))*IF(1+'Options and results'!$Q$23*(DF37-1)&gt;0,1+'Options and results'!$Q$23*(DF37-1),0)</f>
        <v>0</v>
      </c>
      <c r="EH37" s="1041"/>
      <c r="EI37" s="1042"/>
      <c r="EJ37" s="1419">
        <f>IF($DH$8+DK37&lt;1,0,IF(DF37=1,VLOOKUP($DG$8,Treecost!$B$6:$AH$49,Treecost!$E$2,FALSE),0)*IF(DF37&gt;='Options and results'!$K$25,'Options and results'!$K$24,1))</f>
        <v>0</v>
      </c>
      <c r="EK37" s="889">
        <f>IF($DH$8+DK37&lt;1,0,IF(DF37=1,VLOOKUP($DG$8,Treecost!$B$6:$AH$49,Treecost!$F$2,FALSE),0)*IF(DF37&gt;='Options and results'!$K$25,'Options and results'!$K$24,1))</f>
        <v>0</v>
      </c>
      <c r="EL37" s="889">
        <f>IF($DH$8+DK37&lt;1,0,IF(DF37=1,VLOOKUP($DG$8,Treecost!$B$6:$AH$49,Treecost!$G$2,FALSE),0)*IF(DF37&gt;='Options and results'!$K$25,'Options and results'!$K$24,1))</f>
        <v>0</v>
      </c>
      <c r="EM37" s="889">
        <f>IF($DG$8=0,0,IF(DF37&lt;='Options and results'!$W$20,((VLOOKUP($DG$8,Treecost!$B$6:$AH$49,Treecost!$H$2,FALSE)*(DH37+DK37))/60)*IF(DF37&gt;='Options and results'!$K$25,'Options and results'!$K$24,1),0))</f>
        <v>0</v>
      </c>
      <c r="EN37" s="889">
        <f>IF($DG$8=0,0,IF(DF37&lt;='Options and results'!$W$20,(((VLOOKUP($DG$8,Treecost!$B$6:$AH$49,Treecost!$I$2,FALSE))*(DH37+DK37))/60)*IF(DF37&gt;='Options and results'!$K$25,'Options and results'!$K$24,1),0))</f>
        <v>0</v>
      </c>
      <c r="EO37" s="889">
        <f>IF($DG$8=0,0,IF(DF37&lt;='Options and results'!$W$20,(((VLOOKUP($DG$8,Treecost!$B$6:$AH$49,Treecost!$J$2,FALSE))/60)*(DH37+DK37))*IF(DF37&gt;='Options and results'!$K$25,'Options and results'!$K$24,1),0))</f>
        <v>0</v>
      </c>
      <c r="EP37" s="1019">
        <f>IF($DG$8=0,0,IF(DF37&lt;='Options and results'!$W$20,(((VLOOKUP($DG$8,Treecost!$B$6:$AH$49,Treecost!$C$2,FALSE)+VLOOKUP($DG$8,Treecost!$B$6:$AH$49,Treecost!$D$2,FALSE))*(DH37+DK37)*IF(1+'Options and results'!$Q$22*(DF37-1)&gt;0,1+'Options and results'!$Q$22*(DF37-1),0))+(EJ37*$EI$8+EK37*$EI$9+EL37*$EI$10+EM37*$EI$11+EN37*$EI$12+EO37*$EI$13)*IF(1+'Options and results'!$Q$21*(DF37-1)&gt;0,1+'Options and results'!$Q$21*(DF37-1),0))*IF(DF37&gt;='Options and results'!$K$27,'Options and results'!$K$26,1),0))</f>
        <v>0</v>
      </c>
      <c r="EQ37" s="740">
        <f>IF($DG$8=0,0,IF(DF37&lt;='Options and results'!$W$20,IF(AND(VLOOKUP($DG$8,Treecost!$B$6:$AH$49,Treecost!$K$2,FALSE)&lt;=DF37,DF37&lt;=(VLOOKUP($DG$8,Treecost!$B$6:$AH$49,Treecost!$L$2,FALSE))),VLOOKUP($DG$8,Treecost!$B$6:$AH$49,Treecost!$M$2,FALSE)*DL37/60,0)*IF(DF37&gt;='Options and results'!$K$25,'Options and results'!$K$24,1),0))</f>
        <v>0</v>
      </c>
      <c r="ER37" s="1019">
        <f>IF(EQ37&gt;0,(VLOOKUP($DG$8,Treecost!$B$6:$AH$49,Treecost!$N$2,FALSE)*DL37*IF(1+'Options and results'!$Q$22*(DF37-1)&gt;0,1+'Options and results'!$Q$22*(DF37-1),0)+EQ37*$EI$14*IF(1+'Options and results'!$Q$21*(DF37-1)&gt;0,1+'Options and results'!$Q$21*(DF37-1),0)),0)*IF(DF37&gt;='Options and results'!$K$27,'Options and results'!$K$26,1)</f>
        <v>0</v>
      </c>
      <c r="ES37" s="889">
        <f>IF(DF37&lt;='Options and results'!$W$20,IF(AND(DR37-DR36&gt;0,DR37&gt;'Options and results'!$M$64),(DL37-DN37)*(VLOOKUP($DG$8,Treecost!$B$6:$AH$49,Treecost!$Y$2,FALSE)+(VLOOKUP($DG$8,Treecost!$B$6:$AH$49,Treecost!$AA$2,FALSE)-VLOOKUP($DG$8,Treecost!$B$6:$AH$49,Treecost!$Y$2,FALSE))/(VLOOKUP($DG$8,Treecost!$B$6:$AH$49,Treecost!$Z$2,FALSE)-VLOOKUP($DG$8,Treecost!$B$6:$AH$49,Treecost!$X$2,FALSE))*(DR37-VLOOKUP($DG$8,Treecost!$B$6:$AH$49,Treecost!$X$2,FALSE)))/60,0)*IF(DF37&gt;='Options and results'!$K$25,'Options and results'!$K$24,1),0)</f>
        <v>0</v>
      </c>
      <c r="ET37" s="889">
        <f>IF(DF37&lt;='Options and results'!$W$20,IF(ES37&gt;0,VLOOKUP($DG$8,Treecost!$B$6:$AH$49,Treecost!$AB$2,FALSE)/60*DL37,0)*IF(DF37&gt;='Options and results'!$K$25,'Options and results'!$K$24,1),0)*((ES37-(MIN($ES$8:$ES$67)))/((MAX($ES$8:$ES$67))-(MIN($ES$8:$ES$67))))</f>
        <v>0</v>
      </c>
      <c r="EU37" s="740">
        <f>IF(ES37&gt;0,(ES37*$EI$15+ET37*$EI$19)*IF(1+'Options and results'!$Q$21*(DF37-1)&gt;0,1+'Options and results'!$Q$21*(DF37-1),0),0)*IF(DF37&gt;='Options and results'!$K$27,'Options and results'!$K$26,1)</f>
        <v>0</v>
      </c>
      <c r="EV37" s="891">
        <f>IF($DG$8=0,0,IF(DF37&lt;='Options and results'!$W$20,IF(AND(VLOOKUP($DG$8,Treecost!$B$2:$AH$49,Treecost!$O$2,FALSE)=DF37,DF37&lt;=IF(AND(Optimisation!$B$3="Yes",Optimisation!$B$4=1),Optimisation!$B$9)),VLOOKUP($DG$8,Treecost!$B$2:$AH$49,Treecost!$P$2,FALSE)*(1-CN37),0)*IF(DF37&gt;='Options and results'!$K$25,'Options and results'!$K$24,1),0))</f>
        <v>0</v>
      </c>
      <c r="EW37" s="889">
        <f>IF($DG$8=0,0,IF(DF37&lt;='Options and results'!$W$20,IF(AND(DF37&gt;VLOOKUP($DG$8,Treecost!$B$2:$AH$49,Treecost!$O$2,FALSE),DF37&lt;=IF(AND(Optimisation!$B$3="Yes",Optimisation!$B$4=1),Optimisation!$B$9,VLOOKUP($DG$8,Treecost!$B$2:$AH$49,Treecost!$R$2,FALSE))),VLOOKUP($DG$8,Treecost!$B$2:$AH$49,Treecost!$S$2,FALSE)*(1-CN37),0)*IF(DF37&gt;='Options and results'!$K$25,'Options and results'!$K$24,1),0))</f>
        <v>0</v>
      </c>
      <c r="EX37" s="740">
        <f>IF($DG$8=0,0,IF(DF37&lt;='Options and results'!$W$20,(IF(AND(VLOOKUP($DG$8,Treecost!$B$2:$AH$49,Treecost!$O$2,FALSE)=DF37,DF37&lt;=IF(AND(Optimisation!$B$3="Yes",Optimisation!$B$4=1),Optimisation!$B$9)),VLOOKUP($DG$8,Treecost!$B$2:$AH$49,Treecost!$Q$2,FALSE),0)*(1-CN37)+IF(AND(DF37&gt;VLOOKUP($DG$8,Treecost!$B$2:$AH$49,Treecost!$O$2,FALSE),DF37&lt;=IF(AND(Optimisation!$B$3="Yes",Optimisation!$B$4=1),Optimisation!$B$9,VLOOKUP($DG$8,Treecost!$B$2:$AH$49,Treecost!$R$2,FALSE))),VLOOKUP($DG$8,Treecost!$B$2:$AH$49,Treecost!$T$2,FALSE),0)*(1-CN37)+(EV37*$EI$16+EW37*$EI$17))*IF(DF37&gt;='Options and results'!$K$27,'Options and results'!$K$26,1),0))*IF(1+'Options and results'!$Q$21*(DF37-1)&gt;0,1+'Options and results'!$Q$21*(DF37-1),0)</f>
        <v>0</v>
      </c>
      <c r="EY37" s="894">
        <f>IF($DG$8=0,0,IF(DF37&lt;='Options and results'!$W$20,IF(AND(DF37&gt;=VLOOKUP($DG$8,Treecost!$B$2:$W$49,Treecost!$U$2,FALSE),DF37&lt;=VLOOKUP($DG$8,Treecost!$B$2:$W$49,Treecost!$V$2,FALSE)),(DL37*VLOOKUP($DG$8,Treecost!$B$2:$W$49,Treecost!$W$2,FALSE)/60),0)*IF(DF37&gt;='Options and results'!$K$25,'Options and results'!$K$24,1),0))</f>
        <v>0</v>
      </c>
      <c r="EZ37" s="740">
        <f>EY37*$EI$18*IF(DF37&gt;='Options and results'!$K$27,'Options and results'!$K$26,1)*IF(1+'Options and results'!$Q$21*(DF37-1)&gt;0,1+'Options and results'!$Q$21*(DF37-1),0)</f>
        <v>0</v>
      </c>
      <c r="FA37" s="1025">
        <f>IF(DF37&lt;='Options and results'!$W$20,IF(DL37&lt;=0,0,VLOOKUP($DG$8,Treecost!$B$6:$AH$49,Treecost!$AC$2,FALSE)+VLOOKUP($DG$8,Treecost!$B$6:$AH$49,Treecost!$AD$2,FALSE)+IF(AND(DF37&gt;=VLOOKUP($DG$8,Treecost!$B$2:$AK$49,Treecost!$AI$2,FALSE),DF37&lt;=VLOOKUP($DG$8,Treecost!$B$2:$AK$49,Treecost!$AJ$2,FALSE)),VLOOKUP($DG$8,Treecost!$B$2:$AK$49,Treecost!$AK$2,FALSE)*(1-CN37),0))*IF(DF37&gt;='Options and results'!$K$27,'Options and results'!$K$26,1),0)*IF(1+'Options and results'!$Q$22*(DF37-1)&gt;0,1+'Options and results'!$Q$22*(DF37-1),0)</f>
        <v>3</v>
      </c>
      <c r="FB37" s="894">
        <f>IF(DF37&lt;='Options and results'!$W$20,IF(DN37&gt;0,VLOOKUP($DG$8,Treecost!$B$6:$AH$49,Treecost!$AE$2,FALSE)/60*DN37,0)*IF(DF37&gt;='Options and results'!$K$25,'Options and results'!$K$24,1),0)</f>
        <v>0</v>
      </c>
      <c r="FC37" s="740">
        <f>IF(DF37&lt;='Options and results'!$W$20,IF(DN37&gt;0,VLOOKUP($DG$8,Treecost!$B$6:$AH$49,Treecost!$AF$2,FALSE)/60*DN37,0)*IF(DF37&gt;='Options and results'!$K$25,'Options and results'!$K$24,1),0)</f>
        <v>0</v>
      </c>
      <c r="FD37" s="740">
        <f>(FB37*$EI$20+FC37*$EI$21)*IF(DF37&gt;='Options and results'!$K$27,'Options and results'!$K$26,1)*IF(1+'Options and results'!$Q$21*(DF37-1)&gt;0,1+'Options and results'!$Q$21*(DF37-1),0)</f>
        <v>0</v>
      </c>
      <c r="FE37" s="894">
        <f>IF(DF37&lt;='Options and results'!$W$20,IF(DO37&gt;0,(VLOOKUP($DG$8,Treecost!$B$6:$AH$49,Treecost!$AG$2,FALSE)/60*DO37)*IF(DF37&gt;='Options and results'!$K$25,'Options and results'!$K$24,1),0),0)</f>
        <v>11.666666666666666</v>
      </c>
      <c r="FF37" s="740">
        <f>IF(DF37&lt;='Options and results'!$W$20,IF(DO37&gt;0,(VLOOKUP($DG$8,Treecost!$B$6:$AH$49,Treecost!$AH$2,FALSE)/60*DO37)*IF(DF37&gt;='Options and results'!$K$25,'Options and results'!$K$24,1),0),0)</f>
        <v>1.6666666666666667</v>
      </c>
      <c r="FG37" s="740">
        <f>(FE37*$EI$22+FF37*$EI$23)*IF(DF37&gt;='Options and results'!$K$27,'Options and results'!$K$26,1)*IF(1+'Options and results'!$Q$21*(DF37-1)&gt;0,1+'Options and results'!$Q$21*(DF37-1),0)</f>
        <v>374.33333333333331</v>
      </c>
      <c r="FH37" s="894">
        <f t="shared" si="157"/>
        <v>13.333333333333332</v>
      </c>
      <c r="FI37" s="1027">
        <f t="shared" si="158"/>
        <v>9603.9013632989681</v>
      </c>
      <c r="FJ37" s="1027">
        <f t="shared" si="159"/>
        <v>0</v>
      </c>
      <c r="FK37" s="1027">
        <f t="shared" si="160"/>
        <v>377.33333333333331</v>
      </c>
      <c r="FL37" s="1027">
        <f>FI37-FK37</f>
        <v>9226.5680299656342</v>
      </c>
      <c r="FM37" s="1027">
        <f>IF($DF37&lt;='Options and results'!$W$20,SUM(FI$8:$FI37),0)</f>
        <v>9603.9013632989681</v>
      </c>
      <c r="FN37" s="1027">
        <f>IF($DF37&lt;='Options and results'!$W$20,SUM($FJ$8:FJ37),0)</f>
        <v>0</v>
      </c>
      <c r="FO37" s="1027">
        <f>IF($DF37&lt;='Options and results'!$W$20,SUM($FK$8:FK37),0)</f>
        <v>1504.3782086846359</v>
      </c>
      <c r="FP37" s="1027">
        <f>IF($DF37&lt;='Options and results'!$W$20,FM37+FN37-FO37,0)</f>
        <v>8099.5231546143323</v>
      </c>
      <c r="FQ37" s="1027">
        <f t="shared" si="162"/>
        <v>681.20918627895662</v>
      </c>
      <c r="FR37" s="1027">
        <f t="shared" si="163"/>
        <v>303.87585294562331</v>
      </c>
      <c r="FS37" s="1027">
        <f t="shared" si="164"/>
        <v>374.33333333333331</v>
      </c>
      <c r="FT37" s="1189">
        <f>IF(DF37&lt;='Options and results'!$W$20,FP37+DZ37,0)</f>
        <v>8099.5231546143323</v>
      </c>
      <c r="FU37" s="401"/>
      <c r="FV37" s="895">
        <f t="shared" si="165"/>
        <v>30</v>
      </c>
      <c r="FW37" s="894">
        <f>G37/(1+'Options and results'!$W$33)^(FV37-1)</f>
        <v>592.39389338904869</v>
      </c>
      <c r="FX37" s="740">
        <f>(AP37+AR37+AS37)/(1+'Options and results'!$W$33)^(FV37-1)</f>
        <v>2788.9913946501542</v>
      </c>
      <c r="FY37" s="740">
        <f ca="1">CQ37/(1+'Options and results'!$W$33)^(FV37-1)</f>
        <v>0</v>
      </c>
      <c r="FZ37" s="740">
        <f>(EA37+EC37+ED37)/(1+'Options and results'!$W$33)^(FV37-1)</f>
        <v>3079.5045587076711</v>
      </c>
      <c r="GA37" s="1019">
        <f t="shared" ca="1" si="180"/>
        <v>3079.5045587076711</v>
      </c>
      <c r="GB37" s="1026">
        <f>(AO37+AQ37)/(1+'Options and results'!$W$33)^(FV37-1)+FX37</f>
        <v>2788.9913946501542</v>
      </c>
      <c r="GC37" s="1027">
        <f>IF(FV37&gt;'Options and results'!$W$27,0,GB37-GB36)</f>
        <v>155.26653083224301</v>
      </c>
      <c r="GD37" s="1027">
        <f>(DZ37+EB37)/(1+'Options and results'!$W$33)^(FV37-1)+FZ37</f>
        <v>3079.5045587076711</v>
      </c>
      <c r="GE37" s="1379">
        <f>IF(FV37&gt;'Options and results'!$W$27,0,GD37-GD36)</f>
        <v>103.98773450474118</v>
      </c>
      <c r="GF37" s="894">
        <f>IF(FV37&lt;='Options and results'!$W$20,SUM(FW$8:FW37),0)</f>
        <v>27229.75342018481</v>
      </c>
      <c r="GG37" s="740">
        <f>IF(FV37&lt;='Options and results'!$W$20,SUM(FX$8:FX37), 0)</f>
        <v>2788.9913946501542</v>
      </c>
      <c r="GH37" s="740">
        <f ca="1">IF(FV37&lt;='Options and results'!$W$20,SUM(FY$8:FY37),0)</f>
        <v>14787.259868716837</v>
      </c>
      <c r="GI37" s="740">
        <f>IF(FV37&lt;='Options and results'!$W$20,SUM(FZ$8:FZ37),0)</f>
        <v>3079.5045587076711</v>
      </c>
      <c r="GJ37" s="1019">
        <f t="shared" ca="1" si="166"/>
        <v>17866.76442742451</v>
      </c>
      <c r="GK37" s="894">
        <f>IF(FV37&gt;'Options and results'!$W$27,0,GG37+SUM(GC$8:GC37)-FX37)</f>
        <v>2788.9913946501542</v>
      </c>
      <c r="GL37" s="740">
        <f>IF(FV37&lt;='Options and results'!$W$20,SUM(GD$8:GD37),0)</f>
        <v>30851.301054035979</v>
      </c>
      <c r="GM37" s="1034">
        <f t="shared" ca="1" si="167"/>
        <v>45638.560922752818</v>
      </c>
      <c r="GN37" s="401"/>
      <c r="GO37" s="895">
        <f t="shared" si="168"/>
        <v>30</v>
      </c>
      <c r="GP37" s="894">
        <f>H37/(1+'Options and results'!$W$33)^(GO37-1)</f>
        <v>75.41721273564238</v>
      </c>
      <c r="GQ37" s="740">
        <f>SUM(AT37:AV37)/(1+'Options and results'!$W$33)^(GO37-1)</f>
        <v>0</v>
      </c>
      <c r="GR37" s="740">
        <f>CR37/(1+'Options and results'!$W$33)^(GO37-1)</f>
        <v>0</v>
      </c>
      <c r="GS37" s="740">
        <f>SUM(EE37:EG37)/(1+'Options and results'!$W$33)^(GO37-1)</f>
        <v>0</v>
      </c>
      <c r="GT37" s="1019">
        <f t="shared" si="181"/>
        <v>0</v>
      </c>
      <c r="GU37" s="894">
        <f>IF(GO37&lt;='Options and results'!$W$20,SUM(GP$8:GP37),0)</f>
        <v>4229.7696816089356</v>
      </c>
      <c r="GV37" s="740">
        <f>IF(GO37&lt;='Options and results'!$W$20,SUM(GQ$8:GQ37),0)</f>
        <v>0</v>
      </c>
      <c r="GW37" s="740">
        <f>IF(GO37&lt;='Options and results'!$W$20,SUM(GR$8:GR37),0)</f>
        <v>0</v>
      </c>
      <c r="GX37" s="740">
        <f>IF(GO37&lt;='Options and results'!$W$20,SUM(GS$8:GS37),0)</f>
        <v>0</v>
      </c>
      <c r="GY37" s="1034">
        <f>IF(GO37&lt;='Options and results'!$W$20,SUM(GT$8:GT37),0)</f>
        <v>0</v>
      </c>
      <c r="GZ37" s="401"/>
      <c r="HA37" s="895">
        <f t="shared" si="169"/>
        <v>30</v>
      </c>
      <c r="HB37" s="1026">
        <f>(J37+L37+(M37*N37))/(1+'Options and results'!$W$33)^(HA37-1)</f>
        <v>406.39643419150036</v>
      </c>
      <c r="HC37" s="740">
        <f>BZ37/(1+'Options and results'!$W$33)^(HA37-1)</f>
        <v>188.20955436782592</v>
      </c>
      <c r="HD37" s="1027">
        <f>(CT37+CV37+(CW37*CX37))/(1+'Options and results'!$W$33)^(HA37-1)</f>
        <v>0</v>
      </c>
      <c r="HE37" s="740">
        <f>FK37/(1+'Options and results'!$W$33)^(HA37-1)</f>
        <v>120.99246714391607</v>
      </c>
      <c r="HF37" s="1019">
        <f t="shared" si="182"/>
        <v>120.99246714391607</v>
      </c>
      <c r="HG37" s="894">
        <f>IF(HA37&lt;='Options and results'!$W$20,SUM(HB$8:HB37),0)</f>
        <v>21915.560422810304</v>
      </c>
      <c r="HH37" s="740">
        <f>IF(HA37&lt;='Options and results'!$W$20,SUM(HC$8:HC37),0)</f>
        <v>1592.4055190507786</v>
      </c>
      <c r="HI37" s="740">
        <f>IF(HA37&lt;='Options and results'!$W$20,SUM(HD$8:HD37),0)</f>
        <v>13294.975863606456</v>
      </c>
      <c r="HJ37" s="740">
        <f>IF(HA37&lt;='Options and results'!$W$20,SUM(HE$8:HE37),0)</f>
        <v>1069.5682437750568</v>
      </c>
      <c r="HK37" s="1034">
        <f>IF(HA37&lt;='Options and results'!$W$20,SUM(HF$8:HF37),0)</f>
        <v>14364.544107381518</v>
      </c>
      <c r="HL37" s="405"/>
      <c r="HM37" s="895">
        <f t="shared" si="170"/>
        <v>30</v>
      </c>
      <c r="HN37" s="1026">
        <f t="shared" si="171"/>
        <v>261.41467193319068</v>
      </c>
      <c r="HO37" s="1027">
        <f t="shared" si="172"/>
        <v>2600.7818402823282</v>
      </c>
      <c r="HP37" s="1027">
        <f t="shared" ca="1" si="173"/>
        <v>0</v>
      </c>
      <c r="HQ37" s="1027">
        <f t="shared" si="174"/>
        <v>2958.5120915637549</v>
      </c>
      <c r="HR37" s="1027">
        <f t="shared" si="175"/>
        <v>-32.94302353558291</v>
      </c>
      <c r="HS37" s="1379">
        <f t="shared" si="176"/>
        <v>-17.00473263917489</v>
      </c>
      <c r="HT37" s="1026">
        <f>IF($HM37&lt;='Options and results'!$W$20,SUM(HN$8:HN37),0)</f>
        <v>9543.9626789834456</v>
      </c>
      <c r="HU37" s="1027">
        <f>IF($HM37&lt;='Options and results'!$W$20,SUM(HO$8:HO37),0)</f>
        <v>1196.5858755993754</v>
      </c>
      <c r="HV37" s="1027">
        <f ca="1">IF($HM37&lt;='Options and results'!$W$20,SUM(HP$8:HP37),0)</f>
        <v>1492.284005110379</v>
      </c>
      <c r="HW37" s="1027">
        <f>IF($HM37&lt;='Options and results'!$W$20,SUM(HQ$8:HQ37),0)</f>
        <v>2009.9363149326141</v>
      </c>
      <c r="HX37" s="1027">
        <f t="shared" ca="1" si="177"/>
        <v>3502.2203200429931</v>
      </c>
      <c r="HY37" s="1027">
        <f>IF($HM37&lt;='Options and results'!$W$20,SUM(HR$8:HR37),0)</f>
        <v>1196.5858755993759</v>
      </c>
      <c r="HZ37" s="1027">
        <f>IF($HM37&lt;='Options and results'!$W$20,SUM(HS$8:HS37),0)</f>
        <v>2009.9363149326146</v>
      </c>
      <c r="IA37" s="1189">
        <f t="shared" ca="1" si="178"/>
        <v>3502.2203200429935</v>
      </c>
    </row>
    <row r="38" spans="1:235" x14ac:dyDescent="0.25">
      <c r="A38" s="1010">
        <f t="shared" si="126"/>
        <v>31</v>
      </c>
      <c r="B38" s="1011" t="str">
        <f>IF('Options and results'!$C$17="None",0,CONCATENATE('Options and results'!$C$23," ",(HLOOKUP(CONCATENATE('Options and results'!$C$17," ",Arablesystem!$B$11),Arablesystem!$B$10:$ER$72,$A38+3,FALSE))))</f>
        <v xml:space="preserve">UK - Agriculture (BPS: from 2015) </v>
      </c>
      <c r="C38" s="1012">
        <f>IF(HLOOKUP(CONCATENATE('Options and results'!$C$17," ",Arablesystem!$C$11),Arablesystem!$B$10:$ER$72,$A38+3,FALSE)="T",(VLOOKUP(B38,Arablefinance!$Z$6:$AB$105,Arablefinance!$AB$2,FALSE)*E38+VLOOKUP(B38,Arablefinance!$Z$6:$AC$105,Arablefinance!$AC$2,FALSE)*F38)/VLOOKUP(B38,Arablefinance!$Z$6:$AA$105,Arablefinance!$AA$2,FALSE),0)</f>
        <v>0</v>
      </c>
      <c r="D38" s="1012">
        <f>IF(B38=0,0,HLOOKUP(CONCATENATE('Options and results'!$C$17," ",Arablesystem!$D$11),Arablesystem!$B$10:$ER$72,$A38+3,FALSE))</f>
        <v>0</v>
      </c>
      <c r="E38" s="1440">
        <f>IF(B38=0,0,HLOOKUP(CONCATENATE('Options and results'!$C$17," ",Arablesystem!$E$11),Arablesystem!$B$10:$ER$72,$A38+3,FALSE)*IF(A38&gt;='Options and results'!$H$19,'Options and results'!$H$18,1))</f>
        <v>0</v>
      </c>
      <c r="F38" s="1440">
        <f>IF(B38=0,0,HLOOKUP(CONCATENATE('Options and results'!$C$17," ",Arablesystem!$F$11),Arablesystem!$B$10:$ER$72,$A38+3,FALSE)*IF(A38&gt;='Options and results'!$H$19,'Options and results'!$H$18,1))</f>
        <v>0</v>
      </c>
      <c r="G38" s="1013">
        <f>IF(D38&lt;=0,0,IF(A38&lt;='Options and results'!$W$20,IF(C38&gt;0,VLOOKUP(B38,Arablefinance!$Z$6:$AE$105,Arablefinance!$AD$2,FALSE)*C38*D38,((VLOOKUP(B38,Arablefinance!$E$6:$G$126,Arablefinance!$F$2,FALSE)*(E38*D38)+VLOOKUP(B38,Arablefinance!$E$6:$G$126,Arablefinance!$G$2,FALSE)*(F38*D38)))),0)*IF(A38&gt;='Options and results'!$H$21,'Options and results'!$H$20,1))*IF(1+'Options and results'!$O$20*(A38-1)&gt;0,1+'Options and results'!$O$20*(A38-1),0)</f>
        <v>0</v>
      </c>
      <c r="H38" s="1441">
        <f>IF(D38&lt;=0,0,IF(A38&lt;='Options and results'!$W$20,IF(AND(C38&gt;0,VLOOKUP(B38,Arablefinance!$Z$6:$AI$105,Arablefinance!$AI$2,FALSE)=2),VLOOKUP(B38,Arablefinance!$Z$6:$AE$105,Arablefinance!$AE$2,FALSE)*C38*D38,(VLOOKUP(B38,Arablefinance!$E$6:$H$126,Arablefinance!$H$2,FALSE)*D38))*IF(A38&gt;='Options and results'!$H$23,'Options and results'!$H$22,1),0)*IF(AND(1+'Options and results'!$O$23*(A38-1)&gt;0,1+'Options and results'!$O$23*(A38-1)&gt;'Options and results'!$S$24),1+'Options and results'!$O$23*(A38-1),'Options and results'!$S$24))</f>
        <v>0</v>
      </c>
      <c r="I38" s="1441">
        <f t="shared" si="127"/>
        <v>0</v>
      </c>
      <c r="J38" s="1441">
        <f>IF(D38&lt;=0,0,IF(A38&lt;='Options and results'!$W$20,IF(C38&gt;0,VLOOKUP(B38,Arablefinance!$Z$6:$AF$105,Arablefinance!$AF$2,FALSE)*C38*D38,(VLOOKUP(B38,Arablefinance!$E$6:$X$126,Arablefinance!$R$2,FALSE))*D38),0)*IF(A38&gt;='Options and results'!$H$27,'Options and results'!$H$26,1))*IF(1+'Options and results'!$O$22*(A38-1)&gt;0,1+'Options and results'!$O$22*(A38-1),0)</f>
        <v>0</v>
      </c>
      <c r="K38" s="1441">
        <f t="shared" si="128"/>
        <v>0</v>
      </c>
      <c r="L38" s="1441">
        <f>IF(D38&lt;=0,0,IF(A38&lt;='Options and results'!$W$20,IF(C38&gt;0,VLOOKUP(B38,Arablefinance!$Z$6:$AG$105,Arablefinance!$AG$2,FALSE)*C38*D38,VLOOKUP(B38,Arablefinance!$E$6:$X$126,Arablefinance!$X$2,FALSE)*D38),0)*IF(A38&gt;='Options and results'!$H$27,'Options and results'!$H$26,1))*IF(1+'Options and results'!$O$22*(A38-1)&gt;0,1+'Options and results'!$O$22*(A38-1),0)</f>
        <v>0</v>
      </c>
      <c r="M38" s="1442">
        <f>IF(D38&lt;=0,0,IF(A38&lt;='Options and results'!$W$20,'Options and results'!$C$27,0)*IF(A38&gt;='Options and results'!$H$27,'Options and results'!$H$26,1))*IF(1+'Options and results'!$O$21*(A38-1)&gt;0,1+'Options and results'!$O$21*(A38-1),0)</f>
        <v>0</v>
      </c>
      <c r="N38" s="1442">
        <f>IF(D38&lt;=0,0,IF(A38&lt;='Options and results'!$W$20,IF(C38&gt;0,VLOOKUP(B38,Arablefinance!$Z$6:$AH$105,Arablefinance!$AH$2,FALSE)*C38*D38,VLOOKUP(B38,Arablefinance!$E$6:$W$126,Arablefinance!$V$2,FALSE)*D38),0)*IF(A38&gt;='Options and results'!$H$25,'Options and results'!$H$24,1))</f>
        <v>0</v>
      </c>
      <c r="O38" s="1013">
        <f t="shared" si="129"/>
        <v>0</v>
      </c>
      <c r="P38" s="1353">
        <f t="shared" si="130"/>
        <v>0</v>
      </c>
      <c r="Q38" s="1013">
        <f>IF(A38&lt;='Options and results'!$W$20,SUM(G$8:$G38),0)</f>
        <v>0</v>
      </c>
      <c r="R38" s="1441">
        <f>IF($A38&lt;='Options and results'!$W$20,SUM($H$8:H38),0)</f>
        <v>0</v>
      </c>
      <c r="S38" s="1441">
        <f>IF($A38&lt;='Options and results'!$W$20,SUM($O$8:O38),0)</f>
        <v>0</v>
      </c>
      <c r="T38" s="1032">
        <f>IF(A38&lt;='Options and results'!$W$20,Q38+R38-S38,0)</f>
        <v>0</v>
      </c>
      <c r="U38" s="1043"/>
      <c r="V38" s="1010">
        <f t="shared" si="131"/>
        <v>31</v>
      </c>
      <c r="W38" s="173"/>
      <c r="X38" s="1036"/>
      <c r="Y38" s="1030">
        <f>IF(V38&lt;='Options and results'!$M$34,'Options and results'!$M$33,0)</f>
        <v>0</v>
      </c>
      <c r="Z38" s="1441">
        <f t="shared" si="132"/>
        <v>0</v>
      </c>
      <c r="AA38" s="1441">
        <f t="shared" si="133"/>
        <v>0</v>
      </c>
      <c r="AB38" s="1428">
        <f t="shared" si="134"/>
        <v>0</v>
      </c>
      <c r="AC38" s="1441">
        <f>IF($W$8=0,0,IF(HLOOKUP(CONCATENATE('Options and results'!$C$32," ",Forestrysystem!$C$8),Forestrysystem!$A$7:$IH$70,V38+4,FALSE)&lt;AB38,HLOOKUP(CONCATENATE('Options and results'!$C$32," ",Forestrysystem!$C$8),Forestrysystem!$A$7:$IH$70,V38+4,FALSE),0))</f>
        <v>0</v>
      </c>
      <c r="AD38" s="1441">
        <f>IF($W$8=0,0,IF(HLOOKUP(CONCATENATE('Options and results'!$C$32," ",Forestrysystem!$C$8),Forestrysystem!$A$7:$IH$70,V38+4,FALSE)&gt;=AB38,AB38,0))</f>
        <v>0</v>
      </c>
      <c r="AE38" s="1440">
        <f>IF($W$8=0,0,HLOOKUP(CONCATENATE('Options and results'!$C$32," ",Forestrysystem!$D$8),Forestrysystem!$A$7:$IH$70,$V38+4,FALSE))</f>
        <v>0</v>
      </c>
      <c r="AF38" s="1037"/>
      <c r="AG38" s="1440">
        <f>IF($W$8=0,0,IF(V38=1,'Options and results'!$M$36,0)+IF('Options and results'!$M$39="yes",IF(AND(AG37+'Options and results'!$M$37&lt;=$AF$8,AG37+'Options and results'!$M$37+IF(V38=1,'Options and results'!$M$36,0)&lt;='Options and results'!$M$38*AE38),AG37+'Options and results'!$M$37,AG37),(HLOOKUP(CONCATENATE('Options and results'!$C$32," ",Forestrysystem!$E$8),Forestrysystem!$A$7:$IH$70,V38+4,FALSE))-IF(V38=1,'Options and results'!$M$36,0)))</f>
        <v>0</v>
      </c>
      <c r="AH38" s="1442">
        <f>IF(OR($W$8=0,AB38&lt;=0),0,(HLOOKUP(CONCATENATE('Options and results'!$C$32," ",Forestrysystem!$F$8),Forestrysystem!$A$7:$IH$70,$V38+4,FALSE)) * IF(V38&gt;='Options and results'!$I$19,'Options and results'!$I$18,1) )</f>
        <v>0</v>
      </c>
      <c r="AI38" s="1452">
        <f t="shared" si="179"/>
        <v>0</v>
      </c>
      <c r="AJ38" s="1442">
        <f t="shared" si="135"/>
        <v>0</v>
      </c>
      <c r="AK38" s="1453">
        <f>IF(OR($W$8=0,AE38&lt;=0),0,(HLOOKUP(CONCATENATE('Options and results'!$C$32," ",Forestrysystem!$G$8),Forestrysystem!$A$7:$IH$70,$V38+4,FALSE)) * IF(Y38&gt;='Options and results'!$I$19,'Options and results'!$I$18,1) )</f>
        <v>0</v>
      </c>
      <c r="AL38" s="1453">
        <f>IF($W$8=0,0,HLOOKUP(CONCATENATE('Options and results'!$C$32," ",Forestrysystem!$H$8),Forestrysystem!$A$7:$IH$70,$V38+4,FALSE)*IF(V38&gt;='Options and results'!$I$19,'Options and results'!$I$18,1))</f>
        <v>0</v>
      </c>
      <c r="AM38" s="1383">
        <f>IF($W$8=0,0,HLOOKUP(CONCATENATE('Options and results'!$C$32," ",Forestrysystem!$I$8),Forestrysystem!$A$7:$IH$70,$V38+4,FALSE)*IF(V38&gt;='Options and results'!$I$19,'Options and results'!$I$18,1))</f>
        <v>0</v>
      </c>
      <c r="AN38" s="1382">
        <f>IF(AI38&gt;0,HLOOKUP(AI38,Treevalue!$I$4:$BC$34,'Options and results'!$C$39+1),0)*IF(V38&gt;='Options and results'!$I$21,'Options and results'!$I$20,1)*IF(1+'Options and results'!$Q$20*(V38-1)&gt;0,1+'Options and results'!$Q$20*(V38-1),0)</f>
        <v>0</v>
      </c>
      <c r="AO38" s="1454">
        <f t="shared" si="136"/>
        <v>0</v>
      </c>
      <c r="AP38" s="1454">
        <f t="shared" si="137"/>
        <v>0</v>
      </c>
      <c r="AQ38" s="1454">
        <f>(IF('Options and results'!$C$39&gt;0,IF(V38&lt;='Options and results'!$W$20,VLOOKUP('Options and results'!$C$39,Treevalue!$A$4:$F$34,5,FALSE),0),0)*AK38)*IF(V38&gt;='Options and results'!$I$21,'Options and results'!$I$20,1)*IF(1+'Options and results'!$Q$20*(V38-1)&gt;0,1+'Options and results'!$Q$20*(V38-1),0)-AR38</f>
        <v>0</v>
      </c>
      <c r="AR38" s="1441">
        <f>(IF('Options and results'!$C$39&gt;0,IF(V38&lt;='Options and results'!$W$20,VLOOKUP('Options and results'!$C$39,Treevalue!$A$4:$F$34,5,FALSE),0),0)*AL38)*IF(V38&gt;='Options and results'!$I$21,'Options and results'!$I$20,1)*IF(1+'Options and results'!$Q$20*(V38-1)&gt;0,1+'Options and results'!$Q$20*(V38-1),0)</f>
        <v>0</v>
      </c>
      <c r="AS38" s="1441">
        <f>(IF('Options and results'!$C$39&gt;0,IF(V38&lt;='Options and results'!$W$20,VLOOKUP('Options and results'!$C$39,Treevalue!$A$4:$F$34,6,FALSE),0),0)*AM38)*IF(V38&gt;='Options and results'!$I$21,'Options and results'!$I$20,1)*IF(1+'Options and results'!$Q$20*(V38-1)&gt;0,1+'Options and results'!$Q$20*(V38-1),0)</f>
        <v>0</v>
      </c>
      <c r="AT38" s="1441">
        <f>IF(V38&lt;='Options and results'!$W$20,(IF(AB38&lt;=0,0,IF('Options and results'!$C$43="cost",(IF(V38&lt;='Options and results'!$C$44,BZ38*SUM('Options and results'!$C$45:$C$46),0)),IF('Options and results'!$C$41&gt;0,(IF(VLOOKUP('Options and results'!$C$42,Treegrant!$B$6:$L$42,Treegrant!$C$2,FALSE)=V38,VLOOKUP('Options and results'!$C$42,Treegrant!$B$6:$L$42,Treegrant!$D$2,FALSE),0)+IF(VLOOKUP('Options and results'!$C$42,Treegrant!$B$6:$L$42,Treegrant!$E$2,FALSE)=V38,VLOOKUP('Options and results'!$C$42,Treegrant!$B$6:$L$42,Treegrant!$F$2,FALSE),0)+IF(VLOOKUP('Options and results'!$C$42,Treegrant!$B$6:$L$42,Treegrant!$G$2,FALSE)=V38,VLOOKUP('Options and results'!$C$42,Treegrant!$B$6:$L$42,Treegrant!$H$2,FALSE)))*IF('Options and results'!$C$43="area",1,'Options and results'!$C$43),0)))*IF(V38&gt;='Options and results'!$I$23,'Options and results'!$I$22,1)),0)*IF(1+'Options and results'!$Q$23*(V38-1)&gt;0,1+'Options and results'!$Q$23*(V38-1),0)</f>
        <v>0</v>
      </c>
      <c r="AU38" s="1441">
        <f>IF($W$8=0,0,IF(V38&lt;='Options and results'!$W$20,IF(AB38&lt;=0,0,IF('Options and results'!$C$41&gt;0,IF(AND(VLOOKUP('Options and results'!$C$42,Treegrant!$B$6:$L$42,Treegrant!$J$2,FALSE)&lt;=V38,VLOOKUP('Options and results'!$C$42,Treegrant!$B$6:$L$42,Treegrant!$K$2,FALSE)&gt;=V38),(VLOOKUP('Options and results'!$C$42,Treegrant!$B$6:$L$42,Treegrant!$L$2,FALSE)),0)*IF('Options and results'!$C$47="full",1,'Options and results'!$C$47))*IF(V38&gt;='Options and results'!$I$23,'Options and results'!$I$22,1)),0))*IF(1+'Options and results'!$Q$23*(V38-1)&gt;0,1+'Options and results'!$Q$23*(V38-1),0)</f>
        <v>0</v>
      </c>
      <c r="AV38" s="1032">
        <f>IF($W$8=0,0,IF(V38&lt;='Options and results'!$W$20,IF(AB38&lt;=0,0,(IF('Options and results'!$C$41&gt;0,(IF(AND(VLOOKUP('Options and results'!$C$42,Treegrant!$B$6:$O$42,Treegrant!$M$2,FALSE)&lt;=V38,VLOOKUP('Options and results'!$C$42,Treegrant!$B$6:$O$42,Treegrant!$N$2,FALSE)&gt;=V38),(VLOOKUP('Options and results'!$C$42,Treegrant!$B$6:$O$42,Treegrant!$O$2,FALSE)),0)*IF('Options and results'!$C$48="full",1,'Options and results'!$C$48))+(IF(AND(VLOOKUP('Options and results'!$C$42,Treegrant!$B$6:$R$42,Treegrant!$P$2,FALSE)&lt;=V38,VLOOKUP('Options and results'!$C$42,Treegrant!$B$6:$R$42,Treegrant!$Q$2,FALSE)&gt;=V38),(VLOOKUP('Options and results'!$C$42,Treegrant!$B$6:$R$42,Treegrant!$R$2,FALSE)),0))*IF('Options and results'!$C$49="full",1,'Options and results'!$C$49)))*IF(V38&gt;='Options and results'!$I$23,'Options and results'!$I$22,1)),0))*IF(1+'Options and results'!$Q$23*(V38-1)&gt;0,1+'Options and results'!$Q$23*(V38-1),0)</f>
        <v>0</v>
      </c>
      <c r="AW38" s="1041"/>
      <c r="AX38" s="1042"/>
      <c r="AY38" s="1419">
        <f>IF($W$8=0,0,IF(V38=1,VLOOKUP($W$8,Treecost!$B$6:$AH$49,Treecost!$E$2,FALSE),0)*IF(V38&gt;='Options and results'!$I$25,'Options and results'!$I$24,1))</f>
        <v>0</v>
      </c>
      <c r="AZ38" s="889">
        <f>IF($W$8=0,0,IF(V38=1,VLOOKUP($W$8,Treecost!$B$6:$AH$49,Treecost!$F$2,FALSE),0)*IF(V38&gt;='Options and results'!$I$25,'Options and results'!$I$24,1))</f>
        <v>0</v>
      </c>
      <c r="BA38" s="889">
        <f>IF($W$8=0,0,IF(V38=1,VLOOKUP($W$8,Treecost!$B$6:$AH$49,Treecost!$G$2,FALSE),0)*IF(V38&gt;='Options and results'!$I$25,'Options and results'!$I$24,1))</f>
        <v>0</v>
      </c>
      <c r="BB38" s="889">
        <f>IF($W$8=0,0,IF(V38&lt;='Options and results'!$W$20,((VLOOKUP($W$8,Treecost!$B$6:$AH$49,Treecost!$H$2,FALSE)*(X38+AA38))/60)*IF(V38&gt;='Options and results'!$I$25,'Options and results'!$I$24,1),0))</f>
        <v>0</v>
      </c>
      <c r="BC38" s="889">
        <f>IF($W$8=0,0,IF(V38&lt;='Options and results'!$W$20,(((VLOOKUP($W$8,Treecost!$B$6:$AH$49,Treecost!$I$2,FALSE))*(X38+AA38))/60)*IF(V38&gt;='Options and results'!$I$25,'Options and results'!$I$24,1),0))</f>
        <v>0</v>
      </c>
      <c r="BD38" s="889">
        <f>IF($W$8=0,0,IF(V38&lt;='Options and results'!$W$20,(((VLOOKUP($W$8,Treecost!$B$6:$AH$49,Treecost!$J$2,FALSE))/60)*(X38+AA38))*IF(V38&gt;='Options and results'!$I$25,'Options and results'!$I$24,1),0))</f>
        <v>0</v>
      </c>
      <c r="BE38" s="1019">
        <f>IF($W$8=0,0,IF(V38&lt;='Options and results'!$W$20,(((VLOOKUP($W$8,Treecost!$B$6:$AH$49,Treecost!$C$2,FALSE)+VLOOKUP($W$8,Treecost!$B$6:$AH$49,Treecost!$D$2,FALSE))*(X38+AA38)*IF(1+'Options and results'!$Q$22*(V38-1)&gt;0,1+'Options and results'!$Q$22*(V38-1),0))+((AY38*$AX$8+AZ38*$AX$9+BA38*$AX$10+BB38*$AX$11+BC38*$AX$12+BD38*$AX$13)*IF(1+'Options and results'!$Q$21*(V38-1)&gt;0,1+'Options and results'!$Q$21*(V38-1),0)))*IF(V38&gt;='Options and results'!$I$27,'Options and results'!$I$26,1),0))</f>
        <v>0</v>
      </c>
      <c r="BF38" s="889">
        <f>IF($W$8=0,0,IF(V38&lt;='Options and results'!$W$20,IF(AND(VLOOKUP($W$8,Treecost!$B$6:$AH$49,Treecost!$K$2,FALSE)&lt;=V38,V38&lt;=(VLOOKUP($W$8,Treecost!$B$6:$AH$49,Treecost!$L$2,FALSE))),VLOOKUP($W$8,Treecost!$B$6:$AH$49,Treecost!$M$2,FALSE)*AB38/60,0)*IF(V38&gt;='Options and results'!$I$25,'Options and results'!$I$24,1),0))</f>
        <v>0</v>
      </c>
      <c r="BG38" s="1019">
        <f>IF(BF38&gt;0,(VLOOKUP($W$8,Treecost!$B$6:$AH$49,Treecost!$N$2,FALSE)*AB38*IF(1+'Options and results'!$Q$22*(V38-1)&gt;0,1+'Options and results'!$Q$22*(V38-1),0)+BF38*$AX$14*IF(1+'Options and results'!$Q$21*(V38-1)&gt;0,1+'Options and results'!$Q$21*(V38-1),0)),0)*IF(V38&gt;='Options and results'!$I$27,'Options and results'!$I$26,1)</f>
        <v>0</v>
      </c>
      <c r="BH38" s="889">
        <f>IF(V38&lt;='Options and results'!$W$20,IF(AND(AG38-AG37&gt;0,AG38&gt;'Options and results'!$M$36),(AB38-AC38)*(VLOOKUP($W$8,Treecost!$B$6:$AH$49,Treecost!$Y$2,FALSE)+(VLOOKUP($W$8,Treecost!$B$6:$AH$49,Treecost!$AA$2,FALSE)-VLOOKUP($W$8,Treecost!$B$6:$AH$49,Treecost!$Y$2,FALSE))/(VLOOKUP($W$8,Treecost!$B$6:$AH$49,Treecost!$Z$2,FALSE)-VLOOKUP($W$8,Treecost!$B$6:$AH$49,Treecost!$X$2,FALSE))*(AG38-VLOOKUP($W$8,Treecost!$B$6:$AH$49,Treecost!$X$2,FALSE)))/60,0)*IF(V38&gt;='Options and results'!$I$25,'Options and results'!$I$24,1),0)</f>
        <v>0</v>
      </c>
      <c r="BI38" s="303">
        <f>IF(V38&lt;='Options and results'!$W$20,IF(BH38&gt;0,VLOOKUP($W$8,Treecost!$B$6:$AH$49,Treecost!$AB$2,FALSE)/60*AB38,0)*IF(V38&gt;='Options and results'!$I$25,'Options and results'!$I$24,1),0)*((BH38-(MIN($BH$8:$BH$67)))/((MAX($BH$8:$BH$67))-(MIN($BH$8:$BH$67))))</f>
        <v>0</v>
      </c>
      <c r="BJ38" s="740">
        <f>IF(BH38&gt;0,(BH38*$AX$15+BI38*$AX$19)*IF(1+'Options and results'!$Q$21*(V38-1)&gt;0,1+'Options and results'!$Q$21*(V38-1),0),0)*IF(V38&gt;='Options and results'!$I$27,'Options and results'!$I$26,1)</f>
        <v>0</v>
      </c>
      <c r="BK38" s="891">
        <f>IF($W$8=0,0,IF(V38&lt;='Options and results'!$W$20,IF(VLOOKUP($W$8,Treecost!$B$2:$AH$49,Treecost!$O$2,FALSE)=V38,VLOOKUP($W$8,Treecost!$B$2:$AH$49,Treecost!$P$2,FALSE),0)*IF(V38&gt;='Options and results'!$I$25,'Options and results'!$I$24,1),0))</f>
        <v>0</v>
      </c>
      <c r="BL38" s="889">
        <f>IF($W$8=0,0,IF(V38&lt;='Options and results'!$W$20,IF(AND(V38&gt;VLOOKUP($W$8,Treecost!$B$2:$AH$49,Treecost!$O$2,FALSE),V38&lt;=VLOOKUP($W$8,Treecost!$B$2:$AH$49,Treecost!$R$2,FALSE)),VLOOKUP($W$8,Treecost!$B$2:$AH$49,Treecost!$S$2,FALSE),0)*IF(V38&gt;='Options and results'!$I$25,'Options and results'!$I$24,1),0))</f>
        <v>0</v>
      </c>
      <c r="BM38" s="740">
        <f>IF($W$8=0,0,IF(V38&lt;='Options and results'!$W$20,((IF(VLOOKUP($W$8,Treecost!$B$2:$AH$49,Treecost!$O$2,FALSE)=V38,VLOOKUP($W$8,Treecost!$B$2:$AH$49,Treecost!$Q$2,FALSE),0)+IF(AND(V38&gt;VLOOKUP($W$8,Treecost!$B$2:$AH$49,Treecost!$O$2,FALSE),V38&lt;=VLOOKUP($W$8,Treecost!$B$2:$AH$49,Treecost!$R$2,FALSE)),VLOOKUP($W$8,Treecost!$B$2:$AH$49,Treecost!$T$2,FALSE),0)*IF(1+'Options and results'!$Q$22*(V38-1)&gt;0,1+'Options and results'!$Q$22*(V38-1),0))+(BK38*$AX$16+BL38*$AX$17)*IF(1+'Options and results'!$Q$21*(V38-1)&gt;0,1+'Options and results'!$Q$21*(V38-1),0))*IF(V38&gt;='Options and results'!$I$27,'Options and results'!$I$26,1),0))</f>
        <v>0</v>
      </c>
      <c r="BN38" s="894">
        <f>IF($W$8=0,0,IF(V38&lt;='Options and results'!$W$20,IF(AND(V38&gt;=VLOOKUP($W$8,Treecost!$B$2:$W$49,Treecost!$U$2,FALSE),V38&lt;=VLOOKUP($W$8,Treecost!$B$2:$W$49,Treecost!$V$2,FALSE)),(AB38*VLOOKUP($W$8,Treecost!$B$2:$W$49,Treecost!$W$2,FALSE)/60),0)*IF(V38&gt;='Options and results'!$I$25,'Options and results'!$I$24,1),0))</f>
        <v>0</v>
      </c>
      <c r="BO38" s="740">
        <f>BN38*$AX$18*IF(V38&gt;='Options and results'!$I$27,'Options and results'!$I$26,1)*IF(1+'Options and results'!$Q$21*(V38-1)&gt;0,1+'Options and results'!$Q$21*(V38-1),0)</f>
        <v>0</v>
      </c>
      <c r="BP38" s="894">
        <f>IF(V38&lt;='Options and results'!$W$20,IF(AB38&lt;=0,0,VLOOKUP($W$8,Treecost!$B$6:$AH$49,Treecost!$AC$2,FALSE)+VLOOKUP($W$8,Treecost!$B$6:$AH$49,Treecost!$AD$2,FALSE)+IF(AND(V38&gt;=VLOOKUP($W$8,Treecost!$B$2:$AK$49,Treecost!$AI$2,FALSE),V38&lt;=VLOOKUP($W$8,Treecost!$B$2:$AK$49,Treecost!$AJ$2,FALSE)),(VLOOKUP($W$8,Treecost!$B$2:$AK$49,Treecost!$AK$2,FALSE)),0))*IF(V38&gt;='Options and results'!$I$27,'Options and results'!$I$26,1),0)*IF(1+'Options and results'!$Q$22*(V38-1)&gt;0,1+'Options and results'!$Q$22*(V38-1),0)</f>
        <v>0</v>
      </c>
      <c r="BQ38" s="894">
        <f>IF(V38&lt;='Options and results'!$W$20,IF(AC38&gt;0,VLOOKUP($W$8,Treecost!$B$6:$AH$49,Treecost!$AE$2,FALSE)/60*AC38,0)*IF(V38&gt;='Options and results'!$I$25,'Options and results'!$I$24,1),0)</f>
        <v>0</v>
      </c>
      <c r="BR38" s="740">
        <f>IF(V38&lt;='Options and results'!$W$20,IF(AC38&gt;0,VLOOKUP($W$8,Treecost!$B$6:$AH$49,Treecost!$AF$2,FALSE)/60*AC38,0)*IF(V38&gt;='Options and results'!$I$25,'Options and results'!$I$24,1),0)</f>
        <v>0</v>
      </c>
      <c r="BS38" s="740">
        <f>(BQ38*$AX$20+BR38*$AX$21)*IF(V38&gt;='Options and results'!$I$27,'Options and results'!$I$26,1)*IF(1+'Options and results'!$Q$21*(V38-1)&gt;0,1+'Options and results'!$Q$21*(V38-1),0)</f>
        <v>0</v>
      </c>
      <c r="BT38" s="894">
        <f>IF(V38&lt;='Options and results'!$W$20,IF(AD38&gt;0,(VLOOKUP($W$8,Treecost!$B$6:$AH$49,Treecost!$AG$2,FALSE)/60*AD38)*IF(V38&gt;='Options and results'!$I$25,'Options and results'!$I$24,1),0),0)</f>
        <v>0</v>
      </c>
      <c r="BU38" s="740">
        <f>IF(V38&lt;='Options and results'!$W$20,IF(AD38&gt;0,(VLOOKUP($W$8,Treecost!$B$6:$AH$49,Treecost!$AH$2,FALSE)/60*AD38)*IF(V38&gt;='Options and results'!$I$25,'Options and results'!$I$24,1),0),0)</f>
        <v>0</v>
      </c>
      <c r="BV38" s="740">
        <f>(BT38*$AX$22+BU38*$AX$23)*IF(V38&gt;='Options and results'!$I$27,'Options and results'!$I$26,1)*IF(1+'Options and results'!$Q$21*(V38-1)&gt;0,1+'Options and results'!$Q$21*(V38-1),0)</f>
        <v>0</v>
      </c>
      <c r="BW38" s="1033">
        <f t="shared" si="138"/>
        <v>0</v>
      </c>
      <c r="BX38" s="1027">
        <f t="shared" si="139"/>
        <v>0</v>
      </c>
      <c r="BY38" s="1027">
        <f t="shared" si="140"/>
        <v>0</v>
      </c>
      <c r="BZ38" s="740">
        <f t="shared" si="124"/>
        <v>0</v>
      </c>
      <c r="CA38" s="740">
        <f t="shared" si="141"/>
        <v>0</v>
      </c>
      <c r="CB38" s="894">
        <f>IF($V38&lt;='Options and results'!$W$20,SUM(BX$8:$BX38),0)</f>
        <v>0</v>
      </c>
      <c r="CC38" s="740">
        <f>IF($V38&lt;='Options and results'!$W$20,SUM($BY$8:BY38),0)</f>
        <v>0</v>
      </c>
      <c r="CD38" s="740">
        <f>IF($V38&lt;='Options and results'!$W$20,SUM($BZ$8:BZ38),0)</f>
        <v>0</v>
      </c>
      <c r="CE38" s="740">
        <f>IF(V38&lt;='Options and results'!$W$20,CB38+CC38-CD38,0)</f>
        <v>0</v>
      </c>
      <c r="CF38" s="1381">
        <f t="shared" si="142"/>
        <v>0</v>
      </c>
      <c r="CG38" s="1027">
        <f t="shared" si="143"/>
        <v>0</v>
      </c>
      <c r="CH38" s="1027">
        <f t="shared" si="144"/>
        <v>0</v>
      </c>
      <c r="CI38" s="1189">
        <f>IF(V38&lt;='Options and results'!$W$20,CE38+AO38,0)</f>
        <v>0</v>
      </c>
      <c r="CJ38" s="1023"/>
      <c r="CK38" s="895">
        <f t="shared" si="145"/>
        <v>31</v>
      </c>
      <c r="CL38" s="1011" t="str">
        <f>IF('Options and results'!$C$54="None",0,IF(AND(CK38&gt;='Options and results'!$K$57,CK37&lt;'Options and results'!$W$20),'Options and results'!$K$56,IF(Optimisation!$B$3="No",CONCATENATE('Options and results'!$C$60," ",(HLOOKUP(CONCATENATE('Options and results'!$C$54," ",Agroforestrysystem!$B$12),Agroforestrysystem!$B$11:$IM$74,$CK38+4,FALSE))),Optimisation!AA58)))</f>
        <v xml:space="preserve">UK - Agriculture (BPS: from 2015) </v>
      </c>
      <c r="CM38" s="1012">
        <f>IF(HLOOKUP(CONCATENATE('Options and results'!$C$54," ",Agroforestrysystem!$C$12),Agroforestrysystem!$B$11:$IM$74,$CK38+4,FALSE)="T",(VLOOKUP(CL38,Arablefinance!$Z$6:$AB$105,Arablefinance!$AB$2,FALSE)*CO38+VLOOKUP(CL38,Arablefinance!$Z$6:$AC$105,Arablefinance!$AC$2,FALSE)*CP38)/VLOOKUP(CL38,Arablefinance!$Z$6:$AA$105,Arablefinance!$AA$2,FALSE),0)</f>
        <v>0</v>
      </c>
      <c r="CN38" s="1012">
        <f>IF(CL38=0,0,HLOOKUP(CONCATENATE('Options and results'!$C$54," ",Agroforestrysystem!$D$12),Agroforestrysystem!$B$11:$IM$74,$CK38+4,FALSE))</f>
        <v>0</v>
      </c>
      <c r="CO38" s="1440">
        <f ca="1">IF(CL38=0,0,IF(AND(Optimisation!$B$3="yes",Optimisation!$B$4=1,CK38&gt;Optimisation!$B$9),0,HLOOKUP(CONCATENATE('Options and results'!$C$54," ",Agroforestrysystem!$E$12),Agroforestrysystem!$B$11:$IM$74,$CK38+4,FALSE)*IF(CK38&gt;='Options and results'!$J$19,'Options and results'!$J$18,1)))</f>
        <v>0</v>
      </c>
      <c r="CP38" s="1440">
        <f ca="1">IF(CL38=0,0,IF(AND(Optimisation!$B$3="yes",Optimisation!$B$4=1,CK38&gt;Optimisation!$B$9),0,HLOOKUP(CONCATENATE('Options and results'!$C$54," ",Agroforestrysystem!$F$12),Agroforestrysystem!$B$11:$IM$74,$CK38+4,FALSE)*IF(CK38&gt;='Options and results'!$J$19,'Options and results'!$J$18,1)))</f>
        <v>0</v>
      </c>
      <c r="CQ38" s="1013">
        <f>IF(CN38&lt;=0,0,IF(CK38&lt;='Options and results'!$W$20,IF(CM38&gt;0,VLOOKUP(CL38,Arablefinance!$Z$6:$AE$105,Arablefinance!$AD$2,FALSE)*CM38*CN38,((VLOOKUP(CL38,Arablefinance!$E$6:$H$126,2,FALSE)*CO38+VLOOKUP(CL38,Arablefinance!$E$6:$H$126,3,FALSE)*CP38)*CN38)),0)*IF(CK38&gt;='Options and results'!$J$21,'Options and results'!$J$20,1))*IF(1+'Options and results'!$O$20*(CK38-1)&gt;0,1+'Options and results'!$O$20*(CK38-1),0)</f>
        <v>0</v>
      </c>
      <c r="CR38" s="1441">
        <f>IF(CN38&lt;=0,0,IF(AND(CM38&gt;0,VLOOKUP(CL38,Arablefinance!$Z$6:$AI$105,Arablefinance!$AI$2,FALSE)=2),VLOOKUP(CL38,Arablefinance!$Z$6:$AE$105,Arablefinance!$AE$2,FALSE)*CM38*CN38,IF('Options and results'!$C$62&gt;0,IF(VLOOKUP(CL38,Arablefinance!$E$6:$W$126,Arablefinance!$H$2,FALSE)*(1-Plot!DM38*'Options and results'!$C$62)&gt;0,VLOOKUP(CL38,Arablefinance!$E$6:$W$126,Arablefinance!$H$2,FALSE)*(1-Plot!DM38*'Options and results'!$C$62),0),IF(CK38&lt;='Options and results'!$W$20,(VLOOKUP(CL38,Arablefinance!$E$6:$W$126,Arablefinance!$H$2,FALSE)*IF('Options and results'!$C$61="area",CN38,'Options and results'!$C$61)),0)))*IF(CK38&gt;='Options and results'!$J$23,'Options and results'!$J$22,1))*IF(AND(1+'Options and results'!$O$23*(CK38-1)&gt;0,1+'Options and results'!$O$23*(CK38-1)&gt;'Options and results'!$S$24),1+'Options and results'!$O$23*(CK38-1),'Options and results'!$S$24)</f>
        <v>0</v>
      </c>
      <c r="CS38" s="1441">
        <f t="shared" ref="CS38:CS67" si="185">CR38+CQ38</f>
        <v>0</v>
      </c>
      <c r="CT38" s="1441">
        <f>IF(CN38&lt;=0,0,IF(CK38&lt;='Options and results'!$W$20,IF(CM38&gt;0,VLOOKUP(CL38,Arablefinance!$Z$6:$AF$105,Arablefinance!$AF$2,FALSE)*CM38*CN38,VLOOKUP(CL38,Arablefinance!$E$6:$X$126,Arablefinance!$R$2,FALSE)*CN38),0)*IF(CK38&gt;='Options and results'!$J$27,'Options and results'!$J$26,1))*IF(1+'Options and results'!$O$22*(CK38-1)&gt;0,1+'Options and results'!$O$22*(CK38-1),0)</f>
        <v>0</v>
      </c>
      <c r="CU38" s="1441">
        <f t="shared" ref="CU38:CU67" si="186">CS38-CT38</f>
        <v>0</v>
      </c>
      <c r="CV38" s="1441">
        <f>IF(CN38&lt;=0,0,IF(CK38&lt;='Options and results'!$W$20,IF(CM38&gt;0,VLOOKUP(CL38,Arablefinance!$Z$6:$AG$105,Arablefinance!$AG$2,FALSE)*CM38*CN38,VLOOKUP(CL38,Arablefinance!$E$6:$X$126,Arablefinance!$X$2,FALSE)*CN38),0)*IF(CK38&gt;='Options and results'!$J$27,'Options and results'!$J$26,1))*IF(1+'Options and results'!$O$22*(CK38-1)&gt;0,1+'Options and results'!$O$22*(CK38-1),0)</f>
        <v>0</v>
      </c>
      <c r="CW38" s="1442">
        <f>IF(CN38&lt;=0,0,IF(CK38&lt;='Options and results'!$W$20,'Options and results'!$C$27*IF(CK38&gt;='Options and results'!$J$27,'Options and results'!$J$26,1),0))*IF(1+'Options and results'!$O$21*(CK38-1)&gt;0,1+'Options and results'!$O$21*(CK38-1),0)</f>
        <v>0</v>
      </c>
      <c r="CX38" s="1442">
        <f>IF(CN38&lt;=0,0,IF(CK38&lt;='Options and results'!$W$20,IF(CM38&gt;0,VLOOKUP(CL38,Arablefinance!$Z$6:$AH$105,Arablefinance!$AH$2,FALSE)*CM38*CN38,VLOOKUP(CL38,Arablefinance!$E$6:$W$126,Arablefinance!$V$2,FALSE)*CN38),0)*IF(CK38&gt;='Options and results'!$J$25,'Options and results'!$J$24,1))</f>
        <v>0</v>
      </c>
      <c r="CY38" s="1013">
        <f t="shared" si="148"/>
        <v>0</v>
      </c>
      <c r="CZ38" s="1353">
        <f t="shared" si="149"/>
        <v>0</v>
      </c>
      <c r="DA38" s="1013">
        <f>IF($CK38&lt;='Options and results'!$W$20,SUM($CQ$8:CQ38),0)</f>
        <v>0</v>
      </c>
      <c r="DB38" s="1441">
        <f>IF($CK38&lt;='Options and results'!$W$20,SUM($CR$8:CR38),0)</f>
        <v>0</v>
      </c>
      <c r="DC38" s="1441">
        <f>IF($CK38&lt;='Options and results'!$W$20,SUM($CY$8:CY38),0)</f>
        <v>0</v>
      </c>
      <c r="DD38" s="1189">
        <f>IF(CK38&lt;='Options and results'!$W$20,DA38+DB38-DC38,0)</f>
        <v>0</v>
      </c>
      <c r="DE38" s="1023"/>
      <c r="DF38" s="895">
        <f t="shared" si="150"/>
        <v>31</v>
      </c>
      <c r="DG38" s="173"/>
      <c r="DH38" s="1422"/>
      <c r="DI38" s="1427">
        <f>IF(DF38&lt;='Options and results'!$M$61,'Options and results'!$M$60,0)</f>
        <v>0</v>
      </c>
      <c r="DJ38" s="740">
        <f t="shared" si="151"/>
        <v>0</v>
      </c>
      <c r="DK38" s="740">
        <f t="shared" si="152"/>
        <v>0</v>
      </c>
      <c r="DL38" s="1428">
        <f t="shared" si="153"/>
        <v>0</v>
      </c>
      <c r="DM38" s="1429">
        <f>IF($DG$8=0,0,HLOOKUP(CONCATENATE('Options and results'!$C$54," ",Agroforestrysystem!$J$12),Agroforestrysystem!$11:$74,DF38+3,FALSE))/100</f>
        <v>1</v>
      </c>
      <c r="DN38" s="740">
        <f>IF($DG$8=0,0,IF(HLOOKUP(CONCATENATE('Options and results'!$C$54," ",Agroforestrysystem!$H$12),Agroforestrysystem!$11:$74,DF38+4,FALSE)&lt;DL38,HLOOKUP(CONCATENATE('Options and results'!$C$54," ",Agroforestrysystem!$H$12),Agroforestrysystem!$11:$74,DF38+4,FALSE),0))</f>
        <v>0</v>
      </c>
      <c r="DO38" s="1027">
        <f>IF($DG$8=0,0,IF(HLOOKUP(CONCATENATE('Options and results'!$C$54," ",Agroforestrysystem!$H$12),Agroforestrysystem!$11:$74,DF38+4,FALSE)&gt;=DL38,DL38,0))</f>
        <v>0</v>
      </c>
      <c r="DP38" s="1430">
        <f>IF($DG$8=0,0,HLOOKUP(CONCATENATE('Options and results'!$C$54," ",Agroforestrysystem!$I$12),Agroforestrysystem!$11:$74,DF38+4,FALSE))</f>
        <v>0</v>
      </c>
      <c r="DQ38" s="1038"/>
      <c r="DR38" s="1430">
        <f>IF($DG$8=0,0,IF(DF38&gt;'Options and results'!$W$20,0,)+IF(DF38=1,'Options and results'!$M$64)+IF('Options and results'!$M$67="yes",IF(AND(DR37+'Options and results'!$M$65&lt;=$DQ$8,DR37+'Options and results'!$M$65+IF(DF38=1,'Options and results'!$M$64,0)&lt;='Options and results'!$M$66*DP38),DR37+'Options and results'!$M$65,DR37),(HLOOKUP(CONCATENATE('Options and results'!$C$54," ",Agroforestrysystem!$K$12),Agroforestrysystem!$11:$74,DF38+4,FALSE)-IF(DF38=1,'Options and results'!$M$64))))</f>
        <v>0</v>
      </c>
      <c r="DS38" s="1027">
        <f>IF(OR($DG$8=0,DL38=0),0,HLOOKUP(CONCATENATE('Options and results'!$C$54," ",Agroforestrysystem!$L$12),Agroforestrysystem!$11:$74,DF38+4,FALSE)*IF(DF38&gt;='Options and results'!$K$19,'Options and results'!$K$18,1))</f>
        <v>0</v>
      </c>
      <c r="DT38" s="1431">
        <f t="shared" si="154"/>
        <v>0</v>
      </c>
      <c r="DU38" s="889">
        <f t="shared" si="155"/>
        <v>0</v>
      </c>
      <c r="DV38" s="1027">
        <f>IF($DG$8=0,0,(HLOOKUP(CONCATENATE('Options and results'!$C$54," ",Agroforestrysystem!$M$12),Agroforestrysystem!$11:$74,DF38+4,FALSE))*IF(DF38&gt;='Options and results'!$K$19,'Options and results'!$K$18,1))-DW38</f>
        <v>0</v>
      </c>
      <c r="DW38" s="303">
        <f>IF($DG$8=0,0,(HLOOKUP(CONCATENATE('Options and results'!$C$54," ",Agroforestrysystem!$N$12),Agroforestrysystem!$11:$74,DF38+4,FALSE))*IF(DF38&gt;='Options and results'!$K$19,'Options and results'!$K$18,1))</f>
        <v>0</v>
      </c>
      <c r="DX38" s="303">
        <f>IF($DG$8=0,0,HLOOKUP(CONCATENATE('Options and results'!$C$54," ",Agroforestrysystem!$O$12),Agroforestrysystem!$11:$74,DF38+4,FALSE)*IF(DF38&gt;='Options and results'!$K$19,'Options and results'!$K$18,1))</f>
        <v>0</v>
      </c>
      <c r="DY38" s="1192">
        <f>IF(DT38&gt;0,HLOOKUP(DT38,Treevalue!$I$4:$BC$34,'Options and results'!$C$66+1),0)*IF(DF38&gt;='Options and results'!$K$21,'Options and results'!$K$20,1)*IF(1+'Options and results'!$Q$20*(DF38-1)&gt;0,1+'Options and results'!$Q$20*(DF38-1),0)</f>
        <v>0</v>
      </c>
      <c r="DZ38" s="1027">
        <f t="shared" si="156"/>
        <v>0</v>
      </c>
      <c r="EA38" s="1027">
        <f t="shared" si="125"/>
        <v>0</v>
      </c>
      <c r="EB38" s="1027">
        <f>(IF('Options and results'!$C$66&gt;0,IF(DF38&lt;='Options and results'!$W$20,VLOOKUP('Options and results'!$C$66,Treevalue!$A$4:$F$34,5,FALSE),0),0)*DV38)*IF(DF38&gt;='Options and results'!$K$21,'Options and results'!$K$20,1)*IF(1+'Options and results'!$Q$20*(DF38-1)&gt;0,1+'Options and results'!$Q$20*(DF38-1),0)</f>
        <v>0</v>
      </c>
      <c r="EC38" s="740">
        <f>(IF('Options and results'!$C$66&gt;0,IF(DF38&lt;='Options and results'!$W$20,VLOOKUP('Options and results'!$C$66,Treevalue!$A$4:$F$34,5,FALSE),0),0)*DW38)*IF(DF38&gt;='Options and results'!$K$21,'Options and results'!$K$20,1)*IF(1+'Options and results'!$Q$20*(DF38-1)&gt;0,1+'Options and results'!$Q$20*(DF38-1),0)</f>
        <v>0</v>
      </c>
      <c r="ED38" s="889">
        <f>(IF('Options and results'!$C$66&gt;0,IF(DF38&lt;='Options and results'!$W$20,VLOOKUP('Options and results'!$C$66,Treevalue!$A$4:$F$34,6,FALSE),0),0)*DX38)*IF(DF38&gt;='Options and results'!$K$21,'Options and results'!$K$20,1)*IF(1+'Options and results'!$Q$20*(DF38-1)&gt;0,1+'Options and results'!$Q$20*(DF38-1),0)</f>
        <v>0</v>
      </c>
      <c r="EE38" s="740">
        <f>IF(DF38&lt;='Options and results'!$W$20,IF(DL38&lt;=0,0,IF('Options and results'!$C$70="cost",(IF(DF38&lt;='Options and results'!$C$71,FK38*SUM('Options and results'!$C$72:$C$73),0)),IF('Options and results'!$C$68&gt;0,(IF(VLOOKUP('Options and results'!$C$69,Treegrant!$B$6:$L$42,Treegrant!$C$2,FALSE)=DF38,VLOOKUP('Options and results'!$C$69,Treegrant!$B$6:$L$42,Treegrant!$D$2,FALSE),0)+IF(VLOOKUP('Options and results'!$C$69,Treegrant!$B$6:$L$42,Treegrant!$E$2,FALSE)=DF38,VLOOKUP('Options and results'!$C$69,Treegrant!$B$6:$L$42,Treegrant!$F$2,FALSE),0)+IF(VLOOKUP('Options and results'!$C$69,Treegrant!$B$6:$L$42,Treegrant!$G$2,FALSE)=DF38,VLOOKUP('Options and results'!$C$69,Treegrant!$B$6:$L$42,Treegrant!$H$2,FALSE)))*IF('Options and results'!$C$70="area",Unit!C39,'Options and results'!$C$70),0))*IF(DF38&gt;='Options and results'!$K$23,'Options and results'!$K$22,1)),0)*IF(1+'Options and results'!$Q$23*(DF38-1)&gt;0,1+'Options and results'!$Q$23*(DF38-1),0)</f>
        <v>0</v>
      </c>
      <c r="EF38" s="740">
        <f>IF($DG$8=0,0,IF(DF38&lt;='Options and results'!$W$20,IF(DL38&lt;=0,0,IF('Options and results'!$C$68&gt;0,IF(AND(VLOOKUP('Options and results'!$C$69,Treegrant!$B$6:$L$42,Treegrant!$J$2,FALSE)&lt;=DF38,VLOOKUP('Options and results'!$C$69,Treegrant!$B$6:$L$42,Treegrant!$K$2,FALSE)&gt;=DF38),(VLOOKUP('Options and results'!$C$69,Treegrant!$B$6:$L$42,Treegrant!$L$2,FALSE)),0)*IF('Options and results'!$C$74="area",Unit!C39,'Options and results'!$C$74))*IF(DF38&gt;='Options and results'!$K$23,'Options and results'!$K$22,1)),0))*IF(1+'Options and results'!$Q$23*(DF38-1)&gt;0,1+'Options and results'!$Q$23*(DF38-1),0)</f>
        <v>0</v>
      </c>
      <c r="EG38" s="1034">
        <f>IF($DG$8=0,0,IF(DF38&lt;='Options and results'!$W$20,IF(DL38&lt;=0,0,IF('Options and results'!$C$68&gt;0,((IF(AND(VLOOKUP('Options and results'!$C$69,Treegrant!$B$6:$O$42,Treegrant!$M$2,FALSE)&lt;=DF38,VLOOKUP('Options and results'!$C$69,Treegrant!$B$6:$O$42,Treegrant!$N$2,FALSE)&gt;=DF38),(VLOOKUP('Options and results'!$C$69,Treegrant!$B$6:$O$42,Treegrant!$O$2,FALSE)),0)*IF('Options and results'!$C$75="area",Unit!C39,'Options and results'!$C$75))+(IF(AND(VLOOKUP('Options and results'!$C$69,Treegrant!$B$6:$R$42,Treegrant!$P$2,FALSE)&lt;=DF38,VLOOKUP('Options and results'!$C$69,Treegrant!$B$6:$R$42,Treegrant!$Q$2,FALSE)&gt;=DF38),(VLOOKUP('Options and results'!$C$69,Treegrant!$B$6:$R$42,Treegrant!$R$2,FALSE)),0))*IF('Options and results'!$C$76="area",Unit!C39,'Options and results'!$C$76)))*IF(DF38&gt;='Options and results'!$K$23,'Options and results'!$K$22,1)),0))*IF(1+'Options and results'!$Q$23*(DF38-1)&gt;0,1+'Options and results'!$Q$23*(DF38-1),0)</f>
        <v>0</v>
      </c>
      <c r="EH38" s="1041"/>
      <c r="EI38" s="1042"/>
      <c r="EJ38" s="1419">
        <f>IF($DH$8+DK38&lt;1,0,IF(DF38=1,VLOOKUP($DG$8,Treecost!$B$6:$AH$49,Treecost!$E$2,FALSE),0)*IF(DF38&gt;='Options and results'!$K$25,'Options and results'!$K$24,1))</f>
        <v>0</v>
      </c>
      <c r="EK38" s="889">
        <f>IF($DH$8+DK38&lt;1,0,IF(DF38=1,VLOOKUP($DG$8,Treecost!$B$6:$AH$49,Treecost!$F$2,FALSE),0)*IF(DF38&gt;='Options and results'!$K$25,'Options and results'!$K$24,1))</f>
        <v>0</v>
      </c>
      <c r="EL38" s="889">
        <f>IF($DH$8+DK38&lt;1,0,IF(DF38=1,VLOOKUP($DG$8,Treecost!$B$6:$AH$49,Treecost!$G$2,FALSE),0)*IF(DF38&gt;='Options and results'!$K$25,'Options and results'!$K$24,1))</f>
        <v>0</v>
      </c>
      <c r="EM38" s="889">
        <f>IF($DG$8=0,0,IF(DF38&lt;='Options and results'!$W$20,((VLOOKUP($DG$8,Treecost!$B$6:$AH$49,Treecost!$H$2,FALSE)*(DH38+DK38))/60)*IF(DF38&gt;='Options and results'!$K$25,'Options and results'!$K$24,1),0))</f>
        <v>0</v>
      </c>
      <c r="EN38" s="889">
        <f>IF($DG$8=0,0,IF(DF38&lt;='Options and results'!$W$20,(((VLOOKUP($DG$8,Treecost!$B$6:$AH$49,Treecost!$I$2,FALSE))*(DH38+DK38))/60)*IF(DF38&gt;='Options and results'!$K$25,'Options and results'!$K$24,1),0))</f>
        <v>0</v>
      </c>
      <c r="EO38" s="889">
        <f>IF($DG$8=0,0,IF(DF38&lt;='Options and results'!$W$20,(((VLOOKUP($DG$8,Treecost!$B$6:$AH$49,Treecost!$J$2,FALSE))/60)*(DH38+DK38))*IF(DF38&gt;='Options and results'!$K$25,'Options and results'!$K$24,1),0))</f>
        <v>0</v>
      </c>
      <c r="EP38" s="1019">
        <f>IF($DG$8=0,0,IF(DF38&lt;='Options and results'!$W$20,(((VLOOKUP($DG$8,Treecost!$B$6:$AH$49,Treecost!$C$2,FALSE)+VLOOKUP($DG$8,Treecost!$B$6:$AH$49,Treecost!$D$2,FALSE))*(DH38+DK38)*IF(1+'Options and results'!$Q$22*(DF38-1)&gt;0,1+'Options and results'!$Q$22*(DF38-1),0))+(EJ38*$EI$8+EK38*$EI$9+EL38*$EI$10+EM38*$EI$11+EN38*$EI$12+EO38*$EI$13)*IF(1+'Options and results'!$Q$21*(DF38-1)&gt;0,1+'Options and results'!$Q$21*(DF38-1),0))*IF(DF38&gt;='Options and results'!$K$27,'Options and results'!$K$26,1),0))</f>
        <v>0</v>
      </c>
      <c r="EQ38" s="740">
        <f>IF($DG$8=0,0,IF(DF38&lt;='Options and results'!$W$20,IF(AND(VLOOKUP($DG$8,Treecost!$B$6:$AH$49,Treecost!$K$2,FALSE)&lt;=DF38,DF38&lt;=(VLOOKUP($DG$8,Treecost!$B$6:$AH$49,Treecost!$L$2,FALSE))),VLOOKUP($DG$8,Treecost!$B$6:$AH$49,Treecost!$M$2,FALSE)*DL38/60,0)*IF(DF38&gt;='Options and results'!$K$25,'Options and results'!$K$24,1),0))</f>
        <v>0</v>
      </c>
      <c r="ER38" s="1019">
        <f>IF(EQ38&gt;0,(VLOOKUP($DG$8,Treecost!$B$6:$AH$49,Treecost!$N$2,FALSE)*DL38*IF(1+'Options and results'!$Q$22*(DF38-1)&gt;0,1+'Options and results'!$Q$22*(DF38-1),0)+EQ38*$EI$14*IF(1+'Options and results'!$Q$21*(DF38-1)&gt;0,1+'Options and results'!$Q$21*(DF38-1),0)),0)*IF(DF38&gt;='Options and results'!$K$27,'Options and results'!$K$26,1)</f>
        <v>0</v>
      </c>
      <c r="ES38" s="889">
        <f>IF(DF38&lt;='Options and results'!$W$20,IF(AND(DR38-DR37&gt;0,DR38&gt;'Options and results'!$M$64),(DL38-DN38)*(VLOOKUP($DG$8,Treecost!$B$6:$AH$49,Treecost!$Y$2,FALSE)+(VLOOKUP($DG$8,Treecost!$B$6:$AH$49,Treecost!$AA$2,FALSE)-VLOOKUP($DG$8,Treecost!$B$6:$AH$49,Treecost!$Y$2,FALSE))/(VLOOKUP($DG$8,Treecost!$B$6:$AH$49,Treecost!$Z$2,FALSE)-VLOOKUP($DG$8,Treecost!$B$6:$AH$49,Treecost!$X$2,FALSE))*(DR38-VLOOKUP($DG$8,Treecost!$B$6:$AH$49,Treecost!$X$2,FALSE)))/60,0)*IF(DF38&gt;='Options and results'!$K$25,'Options and results'!$K$24,1),0)</f>
        <v>0</v>
      </c>
      <c r="ET38" s="889">
        <f>IF(DF38&lt;='Options and results'!$W$20,IF(ES38&gt;0,VLOOKUP($DG$8,Treecost!$B$6:$AH$49,Treecost!$AB$2,FALSE)/60*DL38,0)*IF(DF38&gt;='Options and results'!$K$25,'Options and results'!$K$24,1),0)*((ES38-(MIN($ES$8:$ES$67)))/((MAX($ES$8:$ES$67))-(MIN($ES$8:$ES$67))))</f>
        <v>0</v>
      </c>
      <c r="EU38" s="740">
        <f>IF(ES38&gt;0,(ES38*$EI$15+ET38*$EI$19)*IF(1+'Options and results'!$Q$21*(DF38-1)&gt;0,1+'Options and results'!$Q$21*(DF38-1),0),0)*IF(DF38&gt;='Options and results'!$K$27,'Options and results'!$K$26,1)</f>
        <v>0</v>
      </c>
      <c r="EV38" s="891">
        <f>IF($DG$8=0,0,IF(DF38&lt;='Options and results'!$W$20,IF(AND(VLOOKUP($DG$8,Treecost!$B$2:$AH$49,Treecost!$O$2,FALSE)=DF38,DF38&lt;=IF(AND(Optimisation!$B$3="Yes",Optimisation!$B$4=1),Optimisation!$B$9)),VLOOKUP($DG$8,Treecost!$B$2:$AH$49,Treecost!$P$2,FALSE)*(1-CN38),0)*IF(DF38&gt;='Options and results'!$K$25,'Options and results'!$K$24,1),0))</f>
        <v>0</v>
      </c>
      <c r="EW38" s="889">
        <f>IF($DG$8=0,0,IF(DF38&lt;='Options and results'!$W$20,IF(AND(DF38&gt;VLOOKUP($DG$8,Treecost!$B$2:$AH$49,Treecost!$O$2,FALSE),DF38&lt;=IF(AND(Optimisation!$B$3="Yes",Optimisation!$B$4=1),Optimisation!$B$9,VLOOKUP($DG$8,Treecost!$B$2:$AH$49,Treecost!$R$2,FALSE))),VLOOKUP($DG$8,Treecost!$B$2:$AH$49,Treecost!$S$2,FALSE)*(1-CN38),0)*IF(DF38&gt;='Options and results'!$K$25,'Options and results'!$K$24,1),0))</f>
        <v>0</v>
      </c>
      <c r="EX38" s="740">
        <f>IF($DG$8=0,0,IF(DF38&lt;='Options and results'!$W$20,(IF(AND(VLOOKUP($DG$8,Treecost!$B$2:$AH$49,Treecost!$O$2,FALSE)=DF38,DF38&lt;=IF(AND(Optimisation!$B$3="Yes",Optimisation!$B$4=1),Optimisation!$B$9)),VLOOKUP($DG$8,Treecost!$B$2:$AH$49,Treecost!$Q$2,FALSE),0)*(1-CN38)+IF(AND(DF38&gt;VLOOKUP($DG$8,Treecost!$B$2:$AH$49,Treecost!$O$2,FALSE),DF38&lt;=IF(AND(Optimisation!$B$3="Yes",Optimisation!$B$4=1),Optimisation!$B$9,VLOOKUP($DG$8,Treecost!$B$2:$AH$49,Treecost!$R$2,FALSE))),VLOOKUP($DG$8,Treecost!$B$2:$AH$49,Treecost!$T$2,FALSE),0)*(1-CN38)+(EV38*$EI$16+EW38*$EI$17))*IF(DF38&gt;='Options and results'!$K$27,'Options and results'!$K$26,1),0))*IF(1+'Options and results'!$Q$21*(DF38-1)&gt;0,1+'Options and results'!$Q$21*(DF38-1),0)</f>
        <v>0</v>
      </c>
      <c r="EY38" s="894">
        <f>IF($DG$8=0,0,IF(DF38&lt;='Options and results'!$W$20,IF(AND(DF38&gt;=VLOOKUP($DG$8,Treecost!$B$2:$W$49,Treecost!$U$2,FALSE),DF38&lt;=VLOOKUP($DG$8,Treecost!$B$2:$W$49,Treecost!$V$2,FALSE)),(DL38*VLOOKUP($DG$8,Treecost!$B$2:$W$49,Treecost!$W$2,FALSE)/60),0)*IF(DF38&gt;='Options and results'!$K$25,'Options and results'!$K$24,1),0))</f>
        <v>0</v>
      </c>
      <c r="EZ38" s="740">
        <f>EY38*$EI$18*IF(DF38&gt;='Options and results'!$K$27,'Options and results'!$K$26,1)*IF(1+'Options and results'!$Q$21*(DF38-1)&gt;0,1+'Options and results'!$Q$21*(DF38-1),0)</f>
        <v>0</v>
      </c>
      <c r="FA38" s="1025">
        <f>IF(DF38&lt;='Options and results'!$W$20,IF(DL38&lt;=0,0,VLOOKUP($DG$8,Treecost!$B$6:$AH$49,Treecost!$AC$2,FALSE)+VLOOKUP($DG$8,Treecost!$B$6:$AH$49,Treecost!$AD$2,FALSE)+IF(AND(DF38&gt;=VLOOKUP($DG$8,Treecost!$B$2:$AK$49,Treecost!$AI$2,FALSE),DF38&lt;=VLOOKUP($DG$8,Treecost!$B$2:$AK$49,Treecost!$AJ$2,FALSE)),VLOOKUP($DG$8,Treecost!$B$2:$AK$49,Treecost!$AK$2,FALSE)*(1-CN38),0))*IF(DF38&gt;='Options and results'!$K$27,'Options and results'!$K$26,1),0)*IF(1+'Options and results'!$Q$22*(DF38-1)&gt;0,1+'Options and results'!$Q$22*(DF38-1),0)</f>
        <v>0</v>
      </c>
      <c r="FB38" s="894">
        <f>IF(DF38&lt;='Options and results'!$W$20,IF(DN38&gt;0,VLOOKUP($DG$8,Treecost!$B$6:$AH$49,Treecost!$AE$2,FALSE)/60*DN38,0)*IF(DF38&gt;='Options and results'!$K$25,'Options and results'!$K$24,1),0)</f>
        <v>0</v>
      </c>
      <c r="FC38" s="740">
        <f>IF(DF38&lt;='Options and results'!$W$20,IF(DN38&gt;0,VLOOKUP($DG$8,Treecost!$B$6:$AH$49,Treecost!$AF$2,FALSE)/60*DN38,0)*IF(DF38&gt;='Options and results'!$K$25,'Options and results'!$K$24,1),0)</f>
        <v>0</v>
      </c>
      <c r="FD38" s="740">
        <f>(FB38*$EI$20+FC38*$EI$21)*IF(DF38&gt;='Options and results'!$K$27,'Options and results'!$K$26,1)*IF(1+'Options and results'!$Q$21*(DF38-1)&gt;0,1+'Options and results'!$Q$21*(DF38-1),0)</f>
        <v>0</v>
      </c>
      <c r="FE38" s="894">
        <f>IF(DF38&lt;='Options and results'!$W$20,IF(DO38&gt;0,(VLOOKUP($DG$8,Treecost!$B$6:$AH$49,Treecost!$AG$2,FALSE)/60*DO38)*IF(DF38&gt;='Options and results'!$K$25,'Options and results'!$K$24,1),0),0)</f>
        <v>0</v>
      </c>
      <c r="FF38" s="740">
        <f>IF(DF38&lt;='Options and results'!$W$20,IF(DO38&gt;0,(VLOOKUP($DG$8,Treecost!$B$6:$AH$49,Treecost!$AH$2,FALSE)/60*DO38)*IF(DF38&gt;='Options and results'!$K$25,'Options and results'!$K$24,1),0),0)</f>
        <v>0</v>
      </c>
      <c r="FG38" s="740">
        <f>(FE38*$EI$22+FF38*$EI$23)*IF(DF38&gt;='Options and results'!$K$27,'Options and results'!$K$26,1)*IF(1+'Options and results'!$Q$21*(DF38-1)&gt;0,1+'Options and results'!$Q$21*(DF38-1),0)</f>
        <v>0</v>
      </c>
      <c r="FH38" s="894">
        <f t="shared" si="157"/>
        <v>0</v>
      </c>
      <c r="FI38" s="1027">
        <f t="shared" si="158"/>
        <v>0</v>
      </c>
      <c r="FJ38" s="1027">
        <f t="shared" si="159"/>
        <v>0</v>
      </c>
      <c r="FK38" s="1027">
        <f t="shared" si="160"/>
        <v>0</v>
      </c>
      <c r="FL38" s="1027">
        <f t="shared" si="184"/>
        <v>0</v>
      </c>
      <c r="FM38" s="1027">
        <f>IF($DF38&lt;='Options and results'!$W$20,SUM(FI$8:$FI38),0)</f>
        <v>0</v>
      </c>
      <c r="FN38" s="1027">
        <f>IF($DF38&lt;='Options and results'!$W$20,SUM($FJ$8:FJ38),0)</f>
        <v>0</v>
      </c>
      <c r="FO38" s="1027">
        <f>IF($DF38&lt;='Options and results'!$W$20,SUM($FK$8:FK38),0)</f>
        <v>0</v>
      </c>
      <c r="FP38" s="1027">
        <f>IF($DF38&lt;='Options and results'!$W$20,FM38+FN38-FO38,0)</f>
        <v>0</v>
      </c>
      <c r="FQ38" s="1027">
        <f t="shared" si="162"/>
        <v>0</v>
      </c>
      <c r="FR38" s="1027">
        <f t="shared" si="163"/>
        <v>0</v>
      </c>
      <c r="FS38" s="1027">
        <f t="shared" si="164"/>
        <v>0</v>
      </c>
      <c r="FT38" s="1189">
        <f>IF(DF38&lt;='Options and results'!$W$20,FP38+DZ38,0)</f>
        <v>0</v>
      </c>
      <c r="FU38" s="1023"/>
      <c r="FV38" s="895">
        <f t="shared" si="165"/>
        <v>31</v>
      </c>
      <c r="FW38" s="894">
        <f>G38/(1+'Options and results'!$W$33)^(FV38-1)</f>
        <v>0</v>
      </c>
      <c r="FX38" s="740">
        <f>(AP38+AR38+AS38)/(1+'Options and results'!$W$33)^(FV38-1)</f>
        <v>0</v>
      </c>
      <c r="FY38" s="740">
        <f>CQ38/(1+'Options and results'!$W$33)^(FV38-1)</f>
        <v>0</v>
      </c>
      <c r="FZ38" s="740">
        <f>(EA38+EC38+ED38)/(1+'Options and results'!$W$33)^(FV38-1)</f>
        <v>0</v>
      </c>
      <c r="GA38" s="1019">
        <f t="shared" si="180"/>
        <v>0</v>
      </c>
      <c r="GB38" s="1026">
        <f>(AO38+AQ38)/(1+'Options and results'!$W$33)^(FV38-1)+FX38</f>
        <v>0</v>
      </c>
      <c r="GC38" s="1027">
        <f>IF(FV38&gt;'Options and results'!$W$27,0,GB38-GB37)</f>
        <v>0</v>
      </c>
      <c r="GD38" s="1027">
        <f>(DZ38+EB38)/(1+'Options and results'!$W$33)^(FV38-1)+FZ38</f>
        <v>0</v>
      </c>
      <c r="GE38" s="1379">
        <f>IF(FV38&gt;'Options and results'!$W$27,0,GD38-GD37)</f>
        <v>0</v>
      </c>
      <c r="GF38" s="894">
        <f>IF(FV38&lt;='Options and results'!$W$20,SUM(FW$8:FW38),0)</f>
        <v>0</v>
      </c>
      <c r="GG38" s="740">
        <f>IF(FV38&lt;='Options and results'!$W$20,SUM(FX$8:FX38), 0)</f>
        <v>0</v>
      </c>
      <c r="GH38" s="740">
        <f>IF(FV38&lt;='Options and results'!$W$20,SUM(FY$8:FY38),0)</f>
        <v>0</v>
      </c>
      <c r="GI38" s="740">
        <f>IF(FV38&lt;='Options and results'!$W$20,SUM(FZ$8:FZ38),0)</f>
        <v>0</v>
      </c>
      <c r="GJ38" s="1019">
        <f t="shared" si="166"/>
        <v>0</v>
      </c>
      <c r="GK38" s="894">
        <f>IF(FV38&gt;'Options and results'!$W$27,0,GG38+SUM(GC$8:GC38)-FX38)</f>
        <v>0</v>
      </c>
      <c r="GL38" s="740">
        <f>IF(FV38&lt;='Options and results'!$W$20,SUM(GD$8:GD38),0)</f>
        <v>0</v>
      </c>
      <c r="GM38" s="1034">
        <f t="shared" si="167"/>
        <v>0</v>
      </c>
      <c r="GN38" s="1023"/>
      <c r="GO38" s="895">
        <f t="shared" si="168"/>
        <v>31</v>
      </c>
      <c r="GP38" s="894">
        <f>H38/(1+'Options and results'!$W$33)^(GO38-1)</f>
        <v>0</v>
      </c>
      <c r="GQ38" s="740">
        <f>SUM(AT38:AV38)/(1+'Options and results'!$W$33)^(GO38-1)</f>
        <v>0</v>
      </c>
      <c r="GR38" s="740">
        <f>CR38/(1+'Options and results'!$W$33)^(GO38-1)</f>
        <v>0</v>
      </c>
      <c r="GS38" s="740">
        <f>SUM(EE38:EG38)/(1+'Options and results'!$W$33)^(GO38-1)</f>
        <v>0</v>
      </c>
      <c r="GT38" s="1019">
        <f t="shared" si="181"/>
        <v>0</v>
      </c>
      <c r="GU38" s="894">
        <f>IF(GO38&lt;='Options and results'!$W$20,SUM(GP$8:GP38),0)</f>
        <v>0</v>
      </c>
      <c r="GV38" s="740">
        <f>IF(GO38&lt;='Options and results'!$W$20,SUM(GQ$8:GQ38),0)</f>
        <v>0</v>
      </c>
      <c r="GW38" s="740">
        <f>IF(GO38&lt;='Options and results'!$W$20,SUM(GR$8:GR38),0)</f>
        <v>0</v>
      </c>
      <c r="GX38" s="740">
        <f>IF(GO38&lt;='Options and results'!$W$20,SUM(GS$8:GS38),0)</f>
        <v>0</v>
      </c>
      <c r="GY38" s="1034">
        <f>IF(GO38&lt;='Options and results'!$W$20,SUM(GT$8:GT38),0)</f>
        <v>0</v>
      </c>
      <c r="GZ38" s="1023"/>
      <c r="HA38" s="895">
        <f t="shared" si="169"/>
        <v>31</v>
      </c>
      <c r="HB38" s="1026">
        <f>(J38+L38+(M38*N38))/(1+'Options and results'!$W$33)^(HA38-1)</f>
        <v>0</v>
      </c>
      <c r="HC38" s="740">
        <f>BZ38/(1+'Options and results'!$W$33)^(HA38-1)</f>
        <v>0</v>
      </c>
      <c r="HD38" s="1027">
        <f>(CT38+CV38+(CW38*CX38))/(1+'Options and results'!$W$33)^(HA38-1)</f>
        <v>0</v>
      </c>
      <c r="HE38" s="740">
        <f>FK38/(1+'Options and results'!$W$33)^(HA38-1)</f>
        <v>0</v>
      </c>
      <c r="HF38" s="1019">
        <f t="shared" si="182"/>
        <v>0</v>
      </c>
      <c r="HG38" s="894">
        <f>IF(HA38&lt;='Options and results'!$W$20,SUM(HB$8:HB38),0)</f>
        <v>0</v>
      </c>
      <c r="HH38" s="740">
        <f>IF(HA38&lt;='Options and results'!$W$20,SUM(HC$8:HC38),0)</f>
        <v>0</v>
      </c>
      <c r="HI38" s="740">
        <f>IF(HA38&lt;='Options and results'!$W$20,SUM(HD$8:HD38),0)</f>
        <v>0</v>
      </c>
      <c r="HJ38" s="740">
        <f>IF(HA38&lt;='Options and results'!$W$20,SUM(HE$8:HE38),0)</f>
        <v>0</v>
      </c>
      <c r="HK38" s="1034">
        <f>IF(HA38&lt;='Options and results'!$W$20,SUM(HF$8:HF38),0)</f>
        <v>0</v>
      </c>
      <c r="HL38" s="1043"/>
      <c r="HM38" s="895">
        <f t="shared" si="170"/>
        <v>31</v>
      </c>
      <c r="HN38" s="1026">
        <f t="shared" si="171"/>
        <v>0</v>
      </c>
      <c r="HO38" s="1027">
        <f t="shared" si="172"/>
        <v>0</v>
      </c>
      <c r="HP38" s="1027">
        <f t="shared" si="173"/>
        <v>0</v>
      </c>
      <c r="HQ38" s="1027">
        <f t="shared" si="174"/>
        <v>0</v>
      </c>
      <c r="HR38" s="1027">
        <f t="shared" si="175"/>
        <v>0</v>
      </c>
      <c r="HS38" s="1379">
        <f t="shared" si="176"/>
        <v>0</v>
      </c>
      <c r="HT38" s="1026">
        <f>IF($HM38&lt;='Options and results'!$W$20,SUM(HN$8:HN38),0)</f>
        <v>0</v>
      </c>
      <c r="HU38" s="1027">
        <f>IF($HM38&lt;='Options and results'!$W$20,SUM(HO$8:HO38),0)</f>
        <v>0</v>
      </c>
      <c r="HV38" s="1027">
        <f>IF($HM38&lt;='Options and results'!$W$20,SUM(HP$8:HP38),0)</f>
        <v>0</v>
      </c>
      <c r="HW38" s="1027">
        <f>IF($HM38&lt;='Options and results'!$W$20,SUM(HQ$8:HQ38),0)</f>
        <v>0</v>
      </c>
      <c r="HX38" s="1027">
        <f t="shared" si="177"/>
        <v>0</v>
      </c>
      <c r="HY38" s="1027">
        <f>IF($HM38&lt;='Options and results'!$W$20,SUM(HR$8:HR38),0)</f>
        <v>0</v>
      </c>
      <c r="HZ38" s="1027">
        <f>IF($HM38&lt;='Options and results'!$W$20,SUM(HS$8:HS38),0)</f>
        <v>0</v>
      </c>
      <c r="IA38" s="1189">
        <f t="shared" si="178"/>
        <v>0</v>
      </c>
    </row>
    <row r="39" spans="1:235" x14ac:dyDescent="0.25">
      <c r="A39" s="1010">
        <f t="shared" si="126"/>
        <v>32</v>
      </c>
      <c r="B39" s="1011" t="str">
        <f>IF('Options and results'!$C$17="None",0,CONCATENATE('Options and results'!$C$23," ",(HLOOKUP(CONCATENATE('Options and results'!$C$17," ",Arablesystem!$B$11),Arablesystem!$B$10:$ER$72,$A39+3,FALSE))))</f>
        <v xml:space="preserve">UK - Agriculture (BPS: from 2015) </v>
      </c>
      <c r="C39" s="1012">
        <f>IF(HLOOKUP(CONCATENATE('Options and results'!$C$17," ",Arablesystem!$C$11),Arablesystem!$B$10:$ER$72,$A39+3,FALSE)="T",(VLOOKUP(B39,Arablefinance!$Z$6:$AB$105,Arablefinance!$AB$2,FALSE)*E39+VLOOKUP(B39,Arablefinance!$Z$6:$AC$105,Arablefinance!$AC$2,FALSE)*F39)/VLOOKUP(B39,Arablefinance!$Z$6:$AA$105,Arablefinance!$AA$2,FALSE),0)</f>
        <v>0</v>
      </c>
      <c r="D39" s="1012">
        <f>IF(B39=0,0,HLOOKUP(CONCATENATE('Options and results'!$C$17," ",Arablesystem!$D$11),Arablesystem!$B$10:$ER$72,$A39+3,FALSE))</f>
        <v>0</v>
      </c>
      <c r="E39" s="1440">
        <f>IF(B39=0,0,HLOOKUP(CONCATENATE('Options and results'!$C$17," ",Arablesystem!$E$11),Arablesystem!$B$10:$ER$72,$A39+3,FALSE)*IF(A39&gt;='Options and results'!$H$19,'Options and results'!$H$18,1))</f>
        <v>0</v>
      </c>
      <c r="F39" s="1440">
        <f>IF(B39=0,0,HLOOKUP(CONCATENATE('Options and results'!$C$17," ",Arablesystem!$F$11),Arablesystem!$B$10:$ER$72,$A39+3,FALSE)*IF(A39&gt;='Options and results'!$H$19,'Options and results'!$H$18,1))</f>
        <v>0</v>
      </c>
      <c r="G39" s="1013">
        <f>IF(D39&lt;=0,0,IF(A39&lt;='Options and results'!$W$20,IF(C39&gt;0,VLOOKUP(B39,Arablefinance!$Z$6:$AE$105,Arablefinance!$AD$2,FALSE)*C39*D39,((VLOOKUP(B39,Arablefinance!$E$6:$G$126,Arablefinance!$F$2,FALSE)*(E39*D39)+VLOOKUP(B39,Arablefinance!$E$6:$G$126,Arablefinance!$G$2,FALSE)*(F39*D39)))),0)*IF(A39&gt;='Options and results'!$H$21,'Options and results'!$H$20,1))*IF(1+'Options and results'!$O$20*(A39-1)&gt;0,1+'Options and results'!$O$20*(A39-1),0)</f>
        <v>0</v>
      </c>
      <c r="H39" s="1441">
        <f>IF(D39&lt;=0,0,IF(A39&lt;='Options and results'!$W$20,IF(AND(C39&gt;0,VLOOKUP(B39,Arablefinance!$Z$6:$AI$105,Arablefinance!$AI$2,FALSE)=2),VLOOKUP(B39,Arablefinance!$Z$6:$AE$105,Arablefinance!$AE$2,FALSE)*C39*D39,(VLOOKUP(B39,Arablefinance!$E$6:$H$126,Arablefinance!$H$2,FALSE)*D39))*IF(A39&gt;='Options and results'!$H$23,'Options and results'!$H$22,1),0)*IF(AND(1+'Options and results'!$O$23*(A39-1)&gt;0,1+'Options and results'!$O$23*(A39-1)&gt;'Options and results'!$S$24),1+'Options and results'!$O$23*(A39-1),'Options and results'!$S$24))</f>
        <v>0</v>
      </c>
      <c r="I39" s="1441">
        <f t="shared" si="127"/>
        <v>0</v>
      </c>
      <c r="J39" s="1441">
        <f>IF(D39&lt;=0,0,IF(A39&lt;='Options and results'!$W$20,IF(C39&gt;0,VLOOKUP(B39,Arablefinance!$Z$6:$AF$105,Arablefinance!$AF$2,FALSE)*C39*D39,(VLOOKUP(B39,Arablefinance!$E$6:$X$126,Arablefinance!$R$2,FALSE))*D39),0)*IF(A39&gt;='Options and results'!$H$27,'Options and results'!$H$26,1))*IF(1+'Options and results'!$O$22*(A39-1)&gt;0,1+'Options and results'!$O$22*(A39-1),0)</f>
        <v>0</v>
      </c>
      <c r="K39" s="1441">
        <f t="shared" si="128"/>
        <v>0</v>
      </c>
      <c r="L39" s="1441">
        <f>IF(D39&lt;=0,0,IF(A39&lt;='Options and results'!$W$20,IF(C39&gt;0,VLOOKUP(B39,Arablefinance!$Z$6:$AG$105,Arablefinance!$AG$2,FALSE)*C39*D39,VLOOKUP(B39,Arablefinance!$E$6:$X$126,Arablefinance!$X$2,FALSE)*D39),0)*IF(A39&gt;='Options and results'!$H$27,'Options and results'!$H$26,1))*IF(1+'Options and results'!$O$22*(A39-1)&gt;0,1+'Options and results'!$O$22*(A39-1),0)</f>
        <v>0</v>
      </c>
      <c r="M39" s="1442">
        <f>IF(D39&lt;=0,0,IF(A39&lt;='Options and results'!$W$20,'Options and results'!$C$27,0)*IF(A39&gt;='Options and results'!$H$27,'Options and results'!$H$26,1))*IF(1+'Options and results'!$O$21*(A39-1)&gt;0,1+'Options and results'!$O$21*(A39-1),0)</f>
        <v>0</v>
      </c>
      <c r="N39" s="1442">
        <f>IF(D39&lt;=0,0,IF(A39&lt;='Options and results'!$W$20,IF(C39&gt;0,VLOOKUP(B39,Arablefinance!$Z$6:$AH$105,Arablefinance!$AH$2,FALSE)*C39*D39,VLOOKUP(B39,Arablefinance!$E$6:$W$126,Arablefinance!$V$2,FALSE)*D39),0)*IF(A39&gt;='Options and results'!$H$25,'Options and results'!$H$24,1))</f>
        <v>0</v>
      </c>
      <c r="O39" s="1013">
        <f t="shared" si="129"/>
        <v>0</v>
      </c>
      <c r="P39" s="1353">
        <f t="shared" si="130"/>
        <v>0</v>
      </c>
      <c r="Q39" s="1013">
        <f>IF(A39&lt;='Options and results'!$W$20,SUM(G$8:$G39),0)</f>
        <v>0</v>
      </c>
      <c r="R39" s="1441">
        <f>IF($A39&lt;='Options and results'!$W$20,SUM($H$8:H39),0)</f>
        <v>0</v>
      </c>
      <c r="S39" s="1441">
        <f>IF($A39&lt;='Options and results'!$W$20,SUM($O$8:O39),0)</f>
        <v>0</v>
      </c>
      <c r="T39" s="1032">
        <f>IF(A39&lt;='Options and results'!$W$20,Q39+R39-S39,0)</f>
        <v>0</v>
      </c>
      <c r="U39" s="405"/>
      <c r="V39" s="1010">
        <f t="shared" si="131"/>
        <v>32</v>
      </c>
      <c r="W39" s="173"/>
      <c r="X39" s="1036"/>
      <c r="Y39" s="1030">
        <f>IF(V39&lt;='Options and results'!$M$34,'Options and results'!$M$33,0)</f>
        <v>0</v>
      </c>
      <c r="Z39" s="1441">
        <f t="shared" si="132"/>
        <v>0</v>
      </c>
      <c r="AA39" s="1441">
        <f t="shared" si="133"/>
        <v>0</v>
      </c>
      <c r="AB39" s="1428">
        <f t="shared" si="134"/>
        <v>0</v>
      </c>
      <c r="AC39" s="1441">
        <f>IF($W$8=0,0,IF(HLOOKUP(CONCATENATE('Options and results'!$C$32," ",Forestrysystem!$C$8),Forestrysystem!$A$7:$IH$70,V39+4,FALSE)&lt;AB39,HLOOKUP(CONCATENATE('Options and results'!$C$32," ",Forestrysystem!$C$8),Forestrysystem!$A$7:$IH$70,V39+4,FALSE),0))</f>
        <v>0</v>
      </c>
      <c r="AD39" s="1441">
        <f>IF($W$8=0,0,IF(HLOOKUP(CONCATENATE('Options and results'!$C$32," ",Forestrysystem!$C$8),Forestrysystem!$A$7:$IH$70,V39+4,FALSE)&gt;=AB39,AB39,0))</f>
        <v>0</v>
      </c>
      <c r="AE39" s="1440">
        <f>IF($W$8=0,0,HLOOKUP(CONCATENATE('Options and results'!$C$32," ",Forestrysystem!$D$8),Forestrysystem!$A$7:$IH$70,$V39+4,FALSE))</f>
        <v>0</v>
      </c>
      <c r="AF39" s="1037"/>
      <c r="AG39" s="1440">
        <f>IF($W$8=0,0,IF(V39=1,'Options and results'!$M$36,0)+IF('Options and results'!$M$39="yes",IF(AND(AG38+'Options and results'!$M$37&lt;=$AF$8,AG38+'Options and results'!$M$37+IF(V39=1,'Options and results'!$M$36,0)&lt;='Options and results'!$M$38*AE39),AG38+'Options and results'!$M$37,AG38),(HLOOKUP(CONCATENATE('Options and results'!$C$32," ",Forestrysystem!$E$8),Forestrysystem!$A$7:$IH$70,V39+4,FALSE))-IF(V39=1,'Options and results'!$M$36,0)))</f>
        <v>0</v>
      </c>
      <c r="AH39" s="1442">
        <f>IF(OR($W$8=0,AB39&lt;=0),0,(HLOOKUP(CONCATENATE('Options and results'!$C$32," ",Forestrysystem!$F$8),Forestrysystem!$A$7:$IH$70,$V39+4,FALSE)) * IF(V39&gt;='Options and results'!$I$19,'Options and results'!$I$18,1) )</f>
        <v>0</v>
      </c>
      <c r="AI39" s="1452">
        <f t="shared" si="179"/>
        <v>0</v>
      </c>
      <c r="AJ39" s="1442">
        <f t="shared" si="135"/>
        <v>0</v>
      </c>
      <c r="AK39" s="1453">
        <f>IF(OR($W$8=0,AE39&lt;=0),0,(HLOOKUP(CONCATENATE('Options and results'!$C$32," ",Forestrysystem!$G$8),Forestrysystem!$A$7:$IH$70,$V39+4,FALSE)) * IF(Y39&gt;='Options and results'!$I$19,'Options and results'!$I$18,1) )</f>
        <v>0</v>
      </c>
      <c r="AL39" s="1453">
        <f>IF($W$8=0,0,HLOOKUP(CONCATENATE('Options and results'!$C$32," ",Forestrysystem!$H$8),Forestrysystem!$A$7:$IH$70,$V39+4,FALSE)*IF(V39&gt;='Options and results'!$I$19,'Options and results'!$I$18,1))</f>
        <v>0</v>
      </c>
      <c r="AM39" s="1383">
        <f>IF($W$8=0,0,HLOOKUP(CONCATENATE('Options and results'!$C$32," ",Forestrysystem!$I$8),Forestrysystem!$A$7:$IH$70,$V39+4,FALSE)*IF(V39&gt;='Options and results'!$I$19,'Options and results'!$I$18,1))</f>
        <v>0</v>
      </c>
      <c r="AN39" s="1382">
        <f>IF(AI39&gt;0,HLOOKUP(AI39,Treevalue!$I$4:$BC$34,'Options and results'!$C$39+1),0)*IF(V39&gt;='Options and results'!$I$21,'Options and results'!$I$20,1)*IF(1+'Options and results'!$Q$20*(V39-1)&gt;0,1+'Options and results'!$Q$20*(V39-1),0)</f>
        <v>0</v>
      </c>
      <c r="AO39" s="1454">
        <f t="shared" si="136"/>
        <v>0</v>
      </c>
      <c r="AP39" s="1454">
        <f t="shared" si="137"/>
        <v>0</v>
      </c>
      <c r="AQ39" s="1454">
        <f>(IF('Options and results'!$C$39&gt;0,IF(V39&lt;='Options and results'!$W$20,VLOOKUP('Options and results'!$C$39,Treevalue!$A$4:$F$34,5,FALSE),0),0)*AK39)*IF(V39&gt;='Options and results'!$I$21,'Options and results'!$I$20,1)*IF(1+'Options and results'!$Q$20*(V39-1)&gt;0,1+'Options and results'!$Q$20*(V39-1),0)-AR39</f>
        <v>0</v>
      </c>
      <c r="AR39" s="1441">
        <f>(IF('Options and results'!$C$39&gt;0,IF(V39&lt;='Options and results'!$W$20,VLOOKUP('Options and results'!$C$39,Treevalue!$A$4:$F$34,5,FALSE),0),0)*AL39)*IF(V39&gt;='Options and results'!$I$21,'Options and results'!$I$20,1)*IF(1+'Options and results'!$Q$20*(V39-1)&gt;0,1+'Options and results'!$Q$20*(V39-1),0)</f>
        <v>0</v>
      </c>
      <c r="AS39" s="1441">
        <f>(IF('Options and results'!$C$39&gt;0,IF(V39&lt;='Options and results'!$W$20,VLOOKUP('Options and results'!$C$39,Treevalue!$A$4:$F$34,6,FALSE),0),0)*AM39)*IF(V39&gt;='Options and results'!$I$21,'Options and results'!$I$20,1)*IF(1+'Options and results'!$Q$20*(V39-1)&gt;0,1+'Options and results'!$Q$20*(V39-1),0)</f>
        <v>0</v>
      </c>
      <c r="AT39" s="1441">
        <f>IF(V39&lt;='Options and results'!$W$20,(IF(AB39&lt;=0,0,IF('Options and results'!$C$43="cost",(IF(V39&lt;='Options and results'!$C$44,BZ39*SUM('Options and results'!$C$45:$C$46),0)),IF('Options and results'!$C$41&gt;0,(IF(VLOOKUP('Options and results'!$C$42,Treegrant!$B$6:$L$42,Treegrant!$C$2,FALSE)=V39,VLOOKUP('Options and results'!$C$42,Treegrant!$B$6:$L$42,Treegrant!$D$2,FALSE),0)+IF(VLOOKUP('Options and results'!$C$42,Treegrant!$B$6:$L$42,Treegrant!$E$2,FALSE)=V39,VLOOKUP('Options and results'!$C$42,Treegrant!$B$6:$L$42,Treegrant!$F$2,FALSE),0)+IF(VLOOKUP('Options and results'!$C$42,Treegrant!$B$6:$L$42,Treegrant!$G$2,FALSE)=V39,VLOOKUP('Options and results'!$C$42,Treegrant!$B$6:$L$42,Treegrant!$H$2,FALSE)))*IF('Options and results'!$C$43="area",1,'Options and results'!$C$43),0)))*IF(V39&gt;='Options and results'!$I$23,'Options and results'!$I$22,1)),0)*IF(1+'Options and results'!$Q$23*(V39-1)&gt;0,1+'Options and results'!$Q$23*(V39-1),0)</f>
        <v>0</v>
      </c>
      <c r="AU39" s="1441">
        <f>IF($W$8=0,0,IF(V39&lt;='Options and results'!$W$20,IF(AB39&lt;=0,0,IF('Options and results'!$C$41&gt;0,IF(AND(VLOOKUP('Options and results'!$C$42,Treegrant!$B$6:$L$42,Treegrant!$J$2,FALSE)&lt;=V39,VLOOKUP('Options and results'!$C$42,Treegrant!$B$6:$L$42,Treegrant!$K$2,FALSE)&gt;=V39),(VLOOKUP('Options and results'!$C$42,Treegrant!$B$6:$L$42,Treegrant!$L$2,FALSE)),0)*IF('Options and results'!$C$47="full",1,'Options and results'!$C$47))*IF(V39&gt;='Options and results'!$I$23,'Options and results'!$I$22,1)),0))*IF(1+'Options and results'!$Q$23*(V39-1)&gt;0,1+'Options and results'!$Q$23*(V39-1),0)</f>
        <v>0</v>
      </c>
      <c r="AV39" s="1032">
        <f>IF($W$8=0,0,IF(V39&lt;='Options and results'!$W$20,IF(AB39&lt;=0,0,(IF('Options and results'!$C$41&gt;0,(IF(AND(VLOOKUP('Options and results'!$C$42,Treegrant!$B$6:$O$42,Treegrant!$M$2,FALSE)&lt;=V39,VLOOKUP('Options and results'!$C$42,Treegrant!$B$6:$O$42,Treegrant!$N$2,FALSE)&gt;=V39),(VLOOKUP('Options and results'!$C$42,Treegrant!$B$6:$O$42,Treegrant!$O$2,FALSE)),0)*IF('Options and results'!$C$48="full",1,'Options and results'!$C$48))+(IF(AND(VLOOKUP('Options and results'!$C$42,Treegrant!$B$6:$R$42,Treegrant!$P$2,FALSE)&lt;=V39,VLOOKUP('Options and results'!$C$42,Treegrant!$B$6:$R$42,Treegrant!$Q$2,FALSE)&gt;=V39),(VLOOKUP('Options and results'!$C$42,Treegrant!$B$6:$R$42,Treegrant!$R$2,FALSE)),0))*IF('Options and results'!$C$49="full",1,'Options and results'!$C$49)))*IF(V39&gt;='Options and results'!$I$23,'Options and results'!$I$22,1)),0))*IF(1+'Options and results'!$Q$23*(V39-1)&gt;0,1+'Options and results'!$Q$23*(V39-1),0)</f>
        <v>0</v>
      </c>
      <c r="AW39" s="1041"/>
      <c r="AX39" s="1042"/>
      <c r="AY39" s="1419">
        <f>IF($W$8=0,0,IF(V39=1,VLOOKUP($W$8,Treecost!$B$6:$AH$49,Treecost!$E$2,FALSE),0)*IF(V39&gt;='Options and results'!$I$25,'Options and results'!$I$24,1))</f>
        <v>0</v>
      </c>
      <c r="AZ39" s="889">
        <f>IF($W$8=0,0,IF(V39=1,VLOOKUP($W$8,Treecost!$B$6:$AH$49,Treecost!$F$2,FALSE),0)*IF(V39&gt;='Options and results'!$I$25,'Options and results'!$I$24,1))</f>
        <v>0</v>
      </c>
      <c r="BA39" s="889">
        <f>IF($W$8=0,0,IF(V39=1,VLOOKUP($W$8,Treecost!$B$6:$AH$49,Treecost!$G$2,FALSE),0)*IF(V39&gt;='Options and results'!$I$25,'Options and results'!$I$24,1))</f>
        <v>0</v>
      </c>
      <c r="BB39" s="889">
        <f>IF($W$8=0,0,IF(V39&lt;='Options and results'!$W$20,((VLOOKUP($W$8,Treecost!$B$6:$AH$49,Treecost!$H$2,FALSE)*(X39+AA39))/60)*IF(V39&gt;='Options and results'!$I$25,'Options and results'!$I$24,1),0))</f>
        <v>0</v>
      </c>
      <c r="BC39" s="889">
        <f>IF($W$8=0,0,IF(V39&lt;='Options and results'!$W$20,(((VLOOKUP($W$8,Treecost!$B$6:$AH$49,Treecost!$I$2,FALSE))*(X39+AA39))/60)*IF(V39&gt;='Options and results'!$I$25,'Options and results'!$I$24,1),0))</f>
        <v>0</v>
      </c>
      <c r="BD39" s="889">
        <f>IF($W$8=0,0,IF(V39&lt;='Options and results'!$W$20,(((VLOOKUP($W$8,Treecost!$B$6:$AH$49,Treecost!$J$2,FALSE))/60)*(X39+AA39))*IF(V39&gt;='Options and results'!$I$25,'Options and results'!$I$24,1),0))</f>
        <v>0</v>
      </c>
      <c r="BE39" s="1019">
        <f>IF($W$8=0,0,IF(V39&lt;='Options and results'!$W$20,(((VLOOKUP($W$8,Treecost!$B$6:$AH$49,Treecost!$C$2,FALSE)+VLOOKUP($W$8,Treecost!$B$6:$AH$49,Treecost!$D$2,FALSE))*(X39+AA39)*IF(1+'Options and results'!$Q$22*(V39-1)&gt;0,1+'Options and results'!$Q$22*(V39-1),0))+((AY39*$AX$8+AZ39*$AX$9+BA39*$AX$10+BB39*$AX$11+BC39*$AX$12+BD39*$AX$13)*IF(1+'Options and results'!$Q$21*(V39-1)&gt;0,1+'Options and results'!$Q$21*(V39-1),0)))*IF(V39&gt;='Options and results'!$I$27,'Options and results'!$I$26,1),0))</f>
        <v>0</v>
      </c>
      <c r="BF39" s="889">
        <f>IF($W$8=0,0,IF(V39&lt;='Options and results'!$W$20,IF(AND(VLOOKUP($W$8,Treecost!$B$6:$AH$49,Treecost!$K$2,FALSE)&lt;=V39,V39&lt;=(VLOOKUP($W$8,Treecost!$B$6:$AH$49,Treecost!$L$2,FALSE))),VLOOKUP($W$8,Treecost!$B$6:$AH$49,Treecost!$M$2,FALSE)*AB39/60,0)*IF(V39&gt;='Options and results'!$I$25,'Options and results'!$I$24,1),0))</f>
        <v>0</v>
      </c>
      <c r="BG39" s="1019">
        <f>IF(BF39&gt;0,(VLOOKUP($W$8,Treecost!$B$6:$AH$49,Treecost!$N$2,FALSE)*AB39*IF(1+'Options and results'!$Q$22*(V39-1)&gt;0,1+'Options and results'!$Q$22*(V39-1),0)+BF39*$AX$14*IF(1+'Options and results'!$Q$21*(V39-1)&gt;0,1+'Options and results'!$Q$21*(V39-1),0)),0)*IF(V39&gt;='Options and results'!$I$27,'Options and results'!$I$26,1)</f>
        <v>0</v>
      </c>
      <c r="BH39" s="889">
        <f>IF(V39&lt;='Options and results'!$W$20,IF(AND(AG39-AG38&gt;0,AG39&gt;'Options and results'!$M$36),(AB39-AC39)*(VLOOKUP($W$8,Treecost!$B$6:$AH$49,Treecost!$Y$2,FALSE)+(VLOOKUP($W$8,Treecost!$B$6:$AH$49,Treecost!$AA$2,FALSE)-VLOOKUP($W$8,Treecost!$B$6:$AH$49,Treecost!$Y$2,FALSE))/(VLOOKUP($W$8,Treecost!$B$6:$AH$49,Treecost!$Z$2,FALSE)-VLOOKUP($W$8,Treecost!$B$6:$AH$49,Treecost!$X$2,FALSE))*(AG39-VLOOKUP($W$8,Treecost!$B$6:$AH$49,Treecost!$X$2,FALSE)))/60,0)*IF(V39&gt;='Options and results'!$I$25,'Options and results'!$I$24,1),0)</f>
        <v>0</v>
      </c>
      <c r="BI39" s="303">
        <f>IF(V39&lt;='Options and results'!$W$20,IF(BH39&gt;0,VLOOKUP($W$8,Treecost!$B$6:$AH$49,Treecost!$AB$2,FALSE)/60*AB39,0)*IF(V39&gt;='Options and results'!$I$25,'Options and results'!$I$24,1),0)*((BH39-(MIN($BH$8:$BH$67)))/((MAX($BH$8:$BH$67))-(MIN($BH$8:$BH$67))))</f>
        <v>0</v>
      </c>
      <c r="BJ39" s="740">
        <f>IF(BH39&gt;0,(BH39*$AX$15+BI39*$AX$19)*IF(1+'Options and results'!$Q$21*(V39-1)&gt;0,1+'Options and results'!$Q$21*(V39-1),0),0)*IF(V39&gt;='Options and results'!$I$27,'Options and results'!$I$26,1)</f>
        <v>0</v>
      </c>
      <c r="BK39" s="891">
        <f>IF($W$8=0,0,IF(V39&lt;='Options and results'!$W$20,IF(VLOOKUP($W$8,Treecost!$B$2:$AH$49,Treecost!$O$2,FALSE)=V39,VLOOKUP($W$8,Treecost!$B$2:$AH$49,Treecost!$P$2,FALSE),0)*IF(V39&gt;='Options and results'!$I$25,'Options and results'!$I$24,1),0))</f>
        <v>0</v>
      </c>
      <c r="BL39" s="889">
        <f>IF($W$8=0,0,IF(V39&lt;='Options and results'!$W$20,IF(AND(V39&gt;VLOOKUP($W$8,Treecost!$B$2:$AH$49,Treecost!$O$2,FALSE),V39&lt;=VLOOKUP($W$8,Treecost!$B$2:$AH$49,Treecost!$R$2,FALSE)),VLOOKUP($W$8,Treecost!$B$2:$AH$49,Treecost!$S$2,FALSE),0)*IF(V39&gt;='Options and results'!$I$25,'Options and results'!$I$24,1),0))</f>
        <v>0</v>
      </c>
      <c r="BM39" s="740">
        <f>IF($W$8=0,0,IF(V39&lt;='Options and results'!$W$20,((IF(VLOOKUP($W$8,Treecost!$B$2:$AH$49,Treecost!$O$2,FALSE)=V39,VLOOKUP($W$8,Treecost!$B$2:$AH$49,Treecost!$Q$2,FALSE),0)+IF(AND(V39&gt;VLOOKUP($W$8,Treecost!$B$2:$AH$49,Treecost!$O$2,FALSE),V39&lt;=VLOOKUP($W$8,Treecost!$B$2:$AH$49,Treecost!$R$2,FALSE)),VLOOKUP($W$8,Treecost!$B$2:$AH$49,Treecost!$T$2,FALSE),0)*IF(1+'Options and results'!$Q$22*(V39-1)&gt;0,1+'Options and results'!$Q$22*(V39-1),0))+(BK39*$AX$16+BL39*$AX$17)*IF(1+'Options and results'!$Q$21*(V39-1)&gt;0,1+'Options and results'!$Q$21*(V39-1),0))*IF(V39&gt;='Options and results'!$I$27,'Options and results'!$I$26,1),0))</f>
        <v>0</v>
      </c>
      <c r="BN39" s="894">
        <f>IF($W$8=0,0,IF(V39&lt;='Options and results'!$W$20,IF(AND(V39&gt;=VLOOKUP($W$8,Treecost!$B$2:$W$49,Treecost!$U$2,FALSE),V39&lt;=VLOOKUP($W$8,Treecost!$B$2:$W$49,Treecost!$V$2,FALSE)),(AB39*VLOOKUP($W$8,Treecost!$B$2:$W$49,Treecost!$W$2,FALSE)/60),0)*IF(V39&gt;='Options and results'!$I$25,'Options and results'!$I$24,1),0))</f>
        <v>0</v>
      </c>
      <c r="BO39" s="740">
        <f>BN39*$AX$18*IF(V39&gt;='Options and results'!$I$27,'Options and results'!$I$26,1)*IF(1+'Options and results'!$Q$21*(V39-1)&gt;0,1+'Options and results'!$Q$21*(V39-1),0)</f>
        <v>0</v>
      </c>
      <c r="BP39" s="894">
        <f>IF(V39&lt;='Options and results'!$W$20,IF(AB39&lt;=0,0,VLOOKUP($W$8,Treecost!$B$6:$AH$49,Treecost!$AC$2,FALSE)+VLOOKUP($W$8,Treecost!$B$6:$AH$49,Treecost!$AD$2,FALSE)+IF(AND(V39&gt;=VLOOKUP($W$8,Treecost!$B$2:$AK$49,Treecost!$AI$2,FALSE),V39&lt;=VLOOKUP($W$8,Treecost!$B$2:$AK$49,Treecost!$AJ$2,FALSE)),(VLOOKUP($W$8,Treecost!$B$2:$AK$49,Treecost!$AK$2,FALSE)),0))*IF(V39&gt;='Options and results'!$I$27,'Options and results'!$I$26,1),0)*IF(1+'Options and results'!$Q$22*(V39-1)&gt;0,1+'Options and results'!$Q$22*(V39-1),0)</f>
        <v>0</v>
      </c>
      <c r="BQ39" s="894">
        <f>IF(V39&lt;='Options and results'!$W$20,IF(AC39&gt;0,VLOOKUP($W$8,Treecost!$B$6:$AH$49,Treecost!$AE$2,FALSE)/60*AC39,0)*IF(V39&gt;='Options and results'!$I$25,'Options and results'!$I$24,1),0)</f>
        <v>0</v>
      </c>
      <c r="BR39" s="740">
        <f>IF(V39&lt;='Options and results'!$W$20,IF(AC39&gt;0,VLOOKUP($W$8,Treecost!$B$6:$AH$49,Treecost!$AF$2,FALSE)/60*AC39,0)*IF(V39&gt;='Options and results'!$I$25,'Options and results'!$I$24,1),0)</f>
        <v>0</v>
      </c>
      <c r="BS39" s="740">
        <f>(BQ39*$AX$20+BR39*$AX$21)*IF(V39&gt;='Options and results'!$I$27,'Options and results'!$I$26,1)*IF(1+'Options and results'!$Q$21*(V39-1)&gt;0,1+'Options and results'!$Q$21*(V39-1),0)</f>
        <v>0</v>
      </c>
      <c r="BT39" s="894">
        <f>IF(V39&lt;='Options and results'!$W$20,IF(AD39&gt;0,(VLOOKUP($W$8,Treecost!$B$6:$AH$49,Treecost!$AG$2,FALSE)/60*AD39)*IF(V39&gt;='Options and results'!$I$25,'Options and results'!$I$24,1),0),0)</f>
        <v>0</v>
      </c>
      <c r="BU39" s="740">
        <f>IF(V39&lt;='Options and results'!$W$20,IF(AD39&gt;0,(VLOOKUP($W$8,Treecost!$B$6:$AH$49,Treecost!$AH$2,FALSE)/60*AD39)*IF(V39&gt;='Options and results'!$I$25,'Options and results'!$I$24,1),0),0)</f>
        <v>0</v>
      </c>
      <c r="BV39" s="740">
        <f>(BT39*$AX$22+BU39*$AX$23)*IF(V39&gt;='Options and results'!$I$27,'Options and results'!$I$26,1)*IF(1+'Options and results'!$Q$21*(V39-1)&gt;0,1+'Options and results'!$Q$21*(V39-1),0)</f>
        <v>0</v>
      </c>
      <c r="BW39" s="1033">
        <f t="shared" si="138"/>
        <v>0</v>
      </c>
      <c r="BX39" s="1027">
        <f t="shared" si="139"/>
        <v>0</v>
      </c>
      <c r="BY39" s="1027">
        <f t="shared" si="140"/>
        <v>0</v>
      </c>
      <c r="BZ39" s="740">
        <f t="shared" si="124"/>
        <v>0</v>
      </c>
      <c r="CA39" s="740">
        <f t="shared" si="141"/>
        <v>0</v>
      </c>
      <c r="CB39" s="894">
        <f>IF($V39&lt;='Options and results'!$W$20,SUM(BX$8:$BX39),0)</f>
        <v>0</v>
      </c>
      <c r="CC39" s="740">
        <f>IF($V39&lt;='Options and results'!$W$20,SUM($BY$8:BY39),0)</f>
        <v>0</v>
      </c>
      <c r="CD39" s="740">
        <f>IF($V39&lt;='Options and results'!$W$20,SUM($BZ$8:BZ39),0)</f>
        <v>0</v>
      </c>
      <c r="CE39" s="740">
        <f>IF(V39&lt;='Options and results'!$W$20,CB39+CC39-CD39,0)</f>
        <v>0</v>
      </c>
      <c r="CF39" s="1381">
        <f t="shared" si="142"/>
        <v>0</v>
      </c>
      <c r="CG39" s="1027">
        <f t="shared" si="143"/>
        <v>0</v>
      </c>
      <c r="CH39" s="1027">
        <f t="shared" si="144"/>
        <v>0</v>
      </c>
      <c r="CI39" s="1189">
        <f>IF(V39&lt;='Options and results'!$W$20,CE39+AO39,0)</f>
        <v>0</v>
      </c>
      <c r="CJ39" s="1023"/>
      <c r="CK39" s="895">
        <f t="shared" si="145"/>
        <v>32</v>
      </c>
      <c r="CL39" s="1011" t="str">
        <f>IF('Options and results'!$C$54="None",0,IF(AND(CK39&gt;='Options and results'!$K$57,CK38&lt;'Options and results'!$W$20),'Options and results'!$K$56,IF(Optimisation!$B$3="No",CONCATENATE('Options and results'!$C$60," ",(HLOOKUP(CONCATENATE('Options and results'!$C$54," ",Agroforestrysystem!$B$12),Agroforestrysystem!$B$11:$IM$74,$CK39+4,FALSE))),Optimisation!AA59)))</f>
        <v xml:space="preserve">UK - Agriculture (BPS: from 2015) </v>
      </c>
      <c r="CM39" s="1012">
        <f>IF(HLOOKUP(CONCATENATE('Options and results'!$C$54," ",Agroforestrysystem!$C$12),Agroforestrysystem!$B$11:$IM$74,$CK39+4,FALSE)="T",(VLOOKUP(CL39,Arablefinance!$Z$6:$AB$105,Arablefinance!$AB$2,FALSE)*CO39+VLOOKUP(CL39,Arablefinance!$Z$6:$AC$105,Arablefinance!$AC$2,FALSE)*CP39)/VLOOKUP(CL39,Arablefinance!$Z$6:$AA$105,Arablefinance!$AA$2,FALSE),0)</f>
        <v>0</v>
      </c>
      <c r="CN39" s="1012">
        <f>IF(CL39=0,0,HLOOKUP(CONCATENATE('Options and results'!$C$54," ",Agroforestrysystem!$D$12),Agroforestrysystem!$B$11:$IM$74,$CK39+4,FALSE))</f>
        <v>0</v>
      </c>
      <c r="CO39" s="1440">
        <f ca="1">IF(CL39=0,0,IF(AND(Optimisation!$B$3="yes",Optimisation!$B$4=1,CK39&gt;Optimisation!$B$9),0,HLOOKUP(CONCATENATE('Options and results'!$C$54," ",Agroforestrysystem!$E$12),Agroforestrysystem!$B$11:$IM$74,$CK39+4,FALSE)*IF(CK39&gt;='Options and results'!$J$19,'Options and results'!$J$18,1)))</f>
        <v>0</v>
      </c>
      <c r="CP39" s="1440">
        <f ca="1">IF(CL39=0,0,IF(AND(Optimisation!$B$3="yes",Optimisation!$B$4=1,CK39&gt;Optimisation!$B$9),0,HLOOKUP(CONCATENATE('Options and results'!$C$54," ",Agroforestrysystem!$F$12),Agroforestrysystem!$B$11:$IM$74,$CK39+4,FALSE)*IF(CK39&gt;='Options and results'!$J$19,'Options and results'!$J$18,1)))</f>
        <v>0</v>
      </c>
      <c r="CQ39" s="1013">
        <f>IF(CN39&lt;=0,0,IF(CK39&lt;='Options and results'!$W$20,IF(CM39&gt;0,VLOOKUP(CL39,Arablefinance!$Z$6:$AE$105,Arablefinance!$AD$2,FALSE)*CM39*CN39,((VLOOKUP(CL39,Arablefinance!$E$6:$H$126,2,FALSE)*CO39+VLOOKUP(CL39,Arablefinance!$E$6:$H$126,3,FALSE)*CP39)*CN39)),0)*IF(CK39&gt;='Options and results'!$J$21,'Options and results'!$J$20,1))*IF(1+'Options and results'!$O$20*(CK39-1)&gt;0,1+'Options and results'!$O$20*(CK39-1),0)</f>
        <v>0</v>
      </c>
      <c r="CR39" s="1441">
        <f>IF(CN39&lt;=0,0,IF(AND(CM39&gt;0,VLOOKUP(CL39,Arablefinance!$Z$6:$AI$105,Arablefinance!$AI$2,FALSE)=2),VLOOKUP(CL39,Arablefinance!$Z$6:$AE$105,Arablefinance!$AE$2,FALSE)*CM39*CN39,IF('Options and results'!$C$62&gt;0,IF(VLOOKUP(CL39,Arablefinance!$E$6:$W$126,Arablefinance!$H$2,FALSE)*(1-Plot!DM39*'Options and results'!$C$62)&gt;0,VLOOKUP(CL39,Arablefinance!$E$6:$W$126,Arablefinance!$H$2,FALSE)*(1-Plot!DM39*'Options and results'!$C$62),0),IF(CK39&lt;='Options and results'!$W$20,(VLOOKUP(CL39,Arablefinance!$E$6:$W$126,Arablefinance!$H$2,FALSE)*IF('Options and results'!$C$61="area",CN39,'Options and results'!$C$61)),0)))*IF(CK39&gt;='Options and results'!$J$23,'Options and results'!$J$22,1))*IF(AND(1+'Options and results'!$O$23*(CK39-1)&gt;0,1+'Options and results'!$O$23*(CK39-1)&gt;'Options and results'!$S$24),1+'Options and results'!$O$23*(CK39-1),'Options and results'!$S$24)</f>
        <v>0</v>
      </c>
      <c r="CS39" s="1441">
        <f t="shared" si="185"/>
        <v>0</v>
      </c>
      <c r="CT39" s="1441">
        <f>IF(CN39&lt;=0,0,IF(CK39&lt;='Options and results'!$W$20,IF(CM39&gt;0,VLOOKUP(CL39,Arablefinance!$Z$6:$AF$105,Arablefinance!$AF$2,FALSE)*CM39*CN39,VLOOKUP(CL39,Arablefinance!$E$6:$X$126,Arablefinance!$R$2,FALSE)*CN39),0)*IF(CK39&gt;='Options and results'!$J$27,'Options and results'!$J$26,1))*IF(1+'Options and results'!$O$22*(CK39-1)&gt;0,1+'Options and results'!$O$22*(CK39-1),0)</f>
        <v>0</v>
      </c>
      <c r="CU39" s="1441">
        <f t="shared" si="186"/>
        <v>0</v>
      </c>
      <c r="CV39" s="1441">
        <f>IF(CN39&lt;=0,0,IF(CK39&lt;='Options and results'!$W$20,IF(CM39&gt;0,VLOOKUP(CL39,Arablefinance!$Z$6:$AG$105,Arablefinance!$AG$2,FALSE)*CM39*CN39,VLOOKUP(CL39,Arablefinance!$E$6:$X$126,Arablefinance!$X$2,FALSE)*CN39),0)*IF(CK39&gt;='Options and results'!$J$27,'Options and results'!$J$26,1))*IF(1+'Options and results'!$O$22*(CK39-1)&gt;0,1+'Options and results'!$O$22*(CK39-1),0)</f>
        <v>0</v>
      </c>
      <c r="CW39" s="1442">
        <f>IF(CN39&lt;=0,0,IF(CK39&lt;='Options and results'!$W$20,'Options and results'!$C$27*IF(CK39&gt;='Options and results'!$J$27,'Options and results'!$J$26,1),0))*IF(1+'Options and results'!$O$21*(CK39-1)&gt;0,1+'Options and results'!$O$21*(CK39-1),0)</f>
        <v>0</v>
      </c>
      <c r="CX39" s="1442">
        <f>IF(CN39&lt;=0,0,IF(CK39&lt;='Options and results'!$W$20,IF(CM39&gt;0,VLOOKUP(CL39,Arablefinance!$Z$6:$AH$105,Arablefinance!$AH$2,FALSE)*CM39*CN39,VLOOKUP(CL39,Arablefinance!$E$6:$W$126,Arablefinance!$V$2,FALSE)*CN39),0)*IF(CK39&gt;='Options and results'!$J$25,'Options and results'!$J$24,1))</f>
        <v>0</v>
      </c>
      <c r="CY39" s="1013">
        <f t="shared" si="148"/>
        <v>0</v>
      </c>
      <c r="CZ39" s="1353">
        <f t="shared" si="149"/>
        <v>0</v>
      </c>
      <c r="DA39" s="1013">
        <f>IF($CK39&lt;='Options and results'!$W$20,SUM($CQ$8:CQ39),0)</f>
        <v>0</v>
      </c>
      <c r="DB39" s="1441">
        <f>IF($CK39&lt;='Options and results'!$W$20,SUM($CR$8:CR39),0)</f>
        <v>0</v>
      </c>
      <c r="DC39" s="1441">
        <f>IF($CK39&lt;='Options and results'!$W$20,SUM($CY$8:CY39),0)</f>
        <v>0</v>
      </c>
      <c r="DD39" s="1189">
        <f>IF(CK39&lt;='Options and results'!$W$20,DA39+DB39-DC39,0)</f>
        <v>0</v>
      </c>
      <c r="DE39" s="1023"/>
      <c r="DF39" s="895">
        <f t="shared" si="150"/>
        <v>32</v>
      </c>
      <c r="DG39" s="173"/>
      <c r="DH39" s="1422"/>
      <c r="DI39" s="1427">
        <f>IF(DF39&lt;='Options and results'!$M$61,'Options and results'!$M$60,0)</f>
        <v>0</v>
      </c>
      <c r="DJ39" s="740">
        <f t="shared" si="151"/>
        <v>0</v>
      </c>
      <c r="DK39" s="740">
        <f t="shared" si="152"/>
        <v>0</v>
      </c>
      <c r="DL39" s="1428">
        <f t="shared" si="153"/>
        <v>0</v>
      </c>
      <c r="DM39" s="1429">
        <f>IF($DG$8=0,0,HLOOKUP(CONCATENATE('Options and results'!$C$54," ",Agroforestrysystem!$J$12),Agroforestrysystem!$11:$74,DF39+3,FALSE))/100</f>
        <v>0</v>
      </c>
      <c r="DN39" s="740">
        <f>IF($DG$8=0,0,IF(HLOOKUP(CONCATENATE('Options and results'!$C$54," ",Agroforestrysystem!$H$12),Agroforestrysystem!$11:$74,DF39+4,FALSE)&lt;DL39,HLOOKUP(CONCATENATE('Options and results'!$C$54," ",Agroforestrysystem!$H$12),Agroforestrysystem!$11:$74,DF39+4,FALSE),0))</f>
        <v>0</v>
      </c>
      <c r="DO39" s="1027">
        <f>IF($DG$8=0,0,IF(HLOOKUP(CONCATENATE('Options and results'!$C$54," ",Agroforestrysystem!$H$12),Agroforestrysystem!$11:$74,DF39+4,FALSE)&gt;=DL39,DL39,0))</f>
        <v>0</v>
      </c>
      <c r="DP39" s="1430">
        <f>IF($DG$8=0,0,HLOOKUP(CONCATENATE('Options and results'!$C$54," ",Agroforestrysystem!$I$12),Agroforestrysystem!$11:$74,DF39+4,FALSE))</f>
        <v>0</v>
      </c>
      <c r="DQ39" s="1038"/>
      <c r="DR39" s="1430">
        <f>IF($DG$8=0,0,IF(DF39&gt;'Options and results'!$W$20,0,)+IF(DF39=1,'Options and results'!$M$64)+IF('Options and results'!$M$67="yes",IF(AND(DR38+'Options and results'!$M$65&lt;=$DQ$8,DR38+'Options and results'!$M$65+IF(DF39=1,'Options and results'!$M$64,0)&lt;='Options and results'!$M$66*DP39),DR38+'Options and results'!$M$65,DR38),(HLOOKUP(CONCATENATE('Options and results'!$C$54," ",Agroforestrysystem!$K$12),Agroforestrysystem!$11:$74,DF39+4,FALSE)-IF(DF39=1,'Options and results'!$M$64))))</f>
        <v>0</v>
      </c>
      <c r="DS39" s="1027">
        <f>IF(OR($DG$8=0,DL39=0),0,HLOOKUP(CONCATENATE('Options and results'!$C$54," ",Agroforestrysystem!$L$12),Agroforestrysystem!$11:$74,DF39+4,FALSE)*IF(DF39&gt;='Options and results'!$K$19,'Options and results'!$K$18,1))</f>
        <v>0</v>
      </c>
      <c r="DT39" s="1431">
        <f t="shared" si="154"/>
        <v>0</v>
      </c>
      <c r="DU39" s="889">
        <f t="shared" si="155"/>
        <v>0</v>
      </c>
      <c r="DV39" s="1027">
        <f>IF($DG$8=0,0,(HLOOKUP(CONCATENATE('Options and results'!$C$54," ",Agroforestrysystem!$M$12),Agroforestrysystem!$11:$74,DF39+4,FALSE))*IF(DF39&gt;='Options and results'!$K$19,'Options and results'!$K$18,1))-DW39</f>
        <v>0</v>
      </c>
      <c r="DW39" s="303">
        <f>IF($DG$8=0,0,(HLOOKUP(CONCATENATE('Options and results'!$C$54," ",Agroforestrysystem!$N$12),Agroforestrysystem!$11:$74,DF39+4,FALSE))*IF(DF39&gt;='Options and results'!$K$19,'Options and results'!$K$18,1))</f>
        <v>0</v>
      </c>
      <c r="DX39" s="303">
        <f>IF($DG$8=0,0,HLOOKUP(CONCATENATE('Options and results'!$C$54," ",Agroforestrysystem!$O$12),Agroforestrysystem!$11:$74,DF39+4,FALSE)*IF(DF39&gt;='Options and results'!$K$19,'Options and results'!$K$18,1))</f>
        <v>0</v>
      </c>
      <c r="DY39" s="1192">
        <f>IF(DT39&gt;0,HLOOKUP(DT39,Treevalue!$I$4:$BC$34,'Options and results'!$C$66+1),0)*IF(DF39&gt;='Options and results'!$K$21,'Options and results'!$K$20,1)*IF(1+'Options and results'!$Q$20*(DF39-1)&gt;0,1+'Options and results'!$Q$20*(DF39-1),0)</f>
        <v>0</v>
      </c>
      <c r="DZ39" s="1027">
        <f t="shared" si="156"/>
        <v>0</v>
      </c>
      <c r="EA39" s="1027">
        <f t="shared" si="125"/>
        <v>0</v>
      </c>
      <c r="EB39" s="1027">
        <f>(IF('Options and results'!$C$66&gt;0,IF(DF39&lt;='Options and results'!$W$20,VLOOKUP('Options and results'!$C$66,Treevalue!$A$4:$F$34,5,FALSE),0),0)*DV39)*IF(DF39&gt;='Options and results'!$K$21,'Options and results'!$K$20,1)*IF(1+'Options and results'!$Q$20*(DF39-1)&gt;0,1+'Options and results'!$Q$20*(DF39-1),0)</f>
        <v>0</v>
      </c>
      <c r="EC39" s="740">
        <f>(IF('Options and results'!$C$66&gt;0,IF(DF39&lt;='Options and results'!$W$20,VLOOKUP('Options and results'!$C$66,Treevalue!$A$4:$F$34,5,FALSE),0),0)*DW39)*IF(DF39&gt;='Options and results'!$K$21,'Options and results'!$K$20,1)*IF(1+'Options and results'!$Q$20*(DF39-1)&gt;0,1+'Options and results'!$Q$20*(DF39-1),0)</f>
        <v>0</v>
      </c>
      <c r="ED39" s="889">
        <f>(IF('Options and results'!$C$66&gt;0,IF(DF39&lt;='Options and results'!$W$20,VLOOKUP('Options and results'!$C$66,Treevalue!$A$4:$F$34,6,FALSE),0),0)*DX39)*IF(DF39&gt;='Options and results'!$K$21,'Options and results'!$K$20,1)*IF(1+'Options and results'!$Q$20*(DF39-1)&gt;0,1+'Options and results'!$Q$20*(DF39-1),0)</f>
        <v>0</v>
      </c>
      <c r="EE39" s="740">
        <f>IF(DF39&lt;='Options and results'!$W$20,IF(DL39&lt;=0,0,IF('Options and results'!$C$70="cost",(IF(DF39&lt;='Options and results'!$C$71,FK39*SUM('Options and results'!$C$72:$C$73),0)),IF('Options and results'!$C$68&gt;0,(IF(VLOOKUP('Options and results'!$C$69,Treegrant!$B$6:$L$42,Treegrant!$C$2,FALSE)=DF39,VLOOKUP('Options and results'!$C$69,Treegrant!$B$6:$L$42,Treegrant!$D$2,FALSE),0)+IF(VLOOKUP('Options and results'!$C$69,Treegrant!$B$6:$L$42,Treegrant!$E$2,FALSE)=DF39,VLOOKUP('Options and results'!$C$69,Treegrant!$B$6:$L$42,Treegrant!$F$2,FALSE),0)+IF(VLOOKUP('Options and results'!$C$69,Treegrant!$B$6:$L$42,Treegrant!$G$2,FALSE)=DF39,VLOOKUP('Options and results'!$C$69,Treegrant!$B$6:$L$42,Treegrant!$H$2,FALSE)))*IF('Options and results'!$C$70="area",Unit!C40,'Options and results'!$C$70),0))*IF(DF39&gt;='Options and results'!$K$23,'Options and results'!$K$22,1)),0)*IF(1+'Options and results'!$Q$23*(DF39-1)&gt;0,1+'Options and results'!$Q$23*(DF39-1),0)</f>
        <v>0</v>
      </c>
      <c r="EF39" s="740">
        <f>IF($DG$8=0,0,IF(DF39&lt;='Options and results'!$W$20,IF(DL39&lt;=0,0,IF('Options and results'!$C$68&gt;0,IF(AND(VLOOKUP('Options and results'!$C$69,Treegrant!$B$6:$L$42,Treegrant!$J$2,FALSE)&lt;=DF39,VLOOKUP('Options and results'!$C$69,Treegrant!$B$6:$L$42,Treegrant!$K$2,FALSE)&gt;=DF39),(VLOOKUP('Options and results'!$C$69,Treegrant!$B$6:$L$42,Treegrant!$L$2,FALSE)),0)*IF('Options and results'!$C$74="area",Unit!C40,'Options and results'!$C$74))*IF(DF39&gt;='Options and results'!$K$23,'Options and results'!$K$22,1)),0))*IF(1+'Options and results'!$Q$23*(DF39-1)&gt;0,1+'Options and results'!$Q$23*(DF39-1),0)</f>
        <v>0</v>
      </c>
      <c r="EG39" s="1034">
        <f>IF($DG$8=0,0,IF(DF39&lt;='Options and results'!$W$20,IF(DL39&lt;=0,0,IF('Options and results'!$C$68&gt;0,((IF(AND(VLOOKUP('Options and results'!$C$69,Treegrant!$B$6:$O$42,Treegrant!$M$2,FALSE)&lt;=DF39,VLOOKUP('Options and results'!$C$69,Treegrant!$B$6:$O$42,Treegrant!$N$2,FALSE)&gt;=DF39),(VLOOKUP('Options and results'!$C$69,Treegrant!$B$6:$O$42,Treegrant!$O$2,FALSE)),0)*IF('Options and results'!$C$75="area",Unit!C40,'Options and results'!$C$75))+(IF(AND(VLOOKUP('Options and results'!$C$69,Treegrant!$B$6:$R$42,Treegrant!$P$2,FALSE)&lt;=DF39,VLOOKUP('Options and results'!$C$69,Treegrant!$B$6:$R$42,Treegrant!$Q$2,FALSE)&gt;=DF39),(VLOOKUP('Options and results'!$C$69,Treegrant!$B$6:$R$42,Treegrant!$R$2,FALSE)),0))*IF('Options and results'!$C$76="area",Unit!C40,'Options and results'!$C$76)))*IF(DF39&gt;='Options and results'!$K$23,'Options and results'!$K$22,1)),0))*IF(1+'Options and results'!$Q$23*(DF39-1)&gt;0,1+'Options and results'!$Q$23*(DF39-1),0)</f>
        <v>0</v>
      </c>
      <c r="EH39" s="1041"/>
      <c r="EI39" s="1042"/>
      <c r="EJ39" s="1419">
        <f>IF($DH$8+DK39&lt;1,0,IF(DF39=1,VLOOKUP($DG$8,Treecost!$B$6:$AH$49,Treecost!$E$2,FALSE),0)*IF(DF39&gt;='Options and results'!$K$25,'Options and results'!$K$24,1))</f>
        <v>0</v>
      </c>
      <c r="EK39" s="889">
        <f>IF($DH$8+DK39&lt;1,0,IF(DF39=1,VLOOKUP($DG$8,Treecost!$B$6:$AH$49,Treecost!$F$2,FALSE),0)*IF(DF39&gt;='Options and results'!$K$25,'Options and results'!$K$24,1))</f>
        <v>0</v>
      </c>
      <c r="EL39" s="889">
        <f>IF($DH$8+DK39&lt;1,0,IF(DF39=1,VLOOKUP($DG$8,Treecost!$B$6:$AH$49,Treecost!$G$2,FALSE),0)*IF(DF39&gt;='Options and results'!$K$25,'Options and results'!$K$24,1))</f>
        <v>0</v>
      </c>
      <c r="EM39" s="889">
        <f>IF($DG$8=0,0,IF(DF39&lt;='Options and results'!$W$20,((VLOOKUP($DG$8,Treecost!$B$6:$AH$49,Treecost!$H$2,FALSE)*(DH39+DK39))/60)*IF(DF39&gt;='Options and results'!$K$25,'Options and results'!$K$24,1),0))</f>
        <v>0</v>
      </c>
      <c r="EN39" s="889">
        <f>IF($DG$8=0,0,IF(DF39&lt;='Options and results'!$W$20,(((VLOOKUP($DG$8,Treecost!$B$6:$AH$49,Treecost!$I$2,FALSE))*(DH39+DK39))/60)*IF(DF39&gt;='Options and results'!$K$25,'Options and results'!$K$24,1),0))</f>
        <v>0</v>
      </c>
      <c r="EO39" s="889">
        <f>IF($DG$8=0,0,IF(DF39&lt;='Options and results'!$W$20,(((VLOOKUP($DG$8,Treecost!$B$6:$AH$49,Treecost!$J$2,FALSE))/60)*(DH39+DK39))*IF(DF39&gt;='Options and results'!$K$25,'Options and results'!$K$24,1),0))</f>
        <v>0</v>
      </c>
      <c r="EP39" s="1019">
        <f>IF($DG$8=0,0,IF(DF39&lt;='Options and results'!$W$20,(((VLOOKUP($DG$8,Treecost!$B$6:$AH$49,Treecost!$C$2,FALSE)+VLOOKUP($DG$8,Treecost!$B$6:$AH$49,Treecost!$D$2,FALSE))*(DH39+DK39)*IF(1+'Options and results'!$Q$22*(DF39-1)&gt;0,1+'Options and results'!$Q$22*(DF39-1),0))+(EJ39*$EI$8+EK39*$EI$9+EL39*$EI$10+EM39*$EI$11+EN39*$EI$12+EO39*$EI$13)*IF(1+'Options and results'!$Q$21*(DF39-1)&gt;0,1+'Options and results'!$Q$21*(DF39-1),0))*IF(DF39&gt;='Options and results'!$K$27,'Options and results'!$K$26,1),0))</f>
        <v>0</v>
      </c>
      <c r="EQ39" s="740">
        <f>IF($DG$8=0,0,IF(DF39&lt;='Options and results'!$W$20,IF(AND(VLOOKUP($DG$8,Treecost!$B$6:$AH$49,Treecost!$K$2,FALSE)&lt;=DF39,DF39&lt;=(VLOOKUP($DG$8,Treecost!$B$6:$AH$49,Treecost!$L$2,FALSE))),VLOOKUP($DG$8,Treecost!$B$6:$AH$49,Treecost!$M$2,FALSE)*DL39/60,0)*IF(DF39&gt;='Options and results'!$K$25,'Options and results'!$K$24,1),0))</f>
        <v>0</v>
      </c>
      <c r="ER39" s="1019">
        <f>IF(EQ39&gt;0,(VLOOKUP($DG$8,Treecost!$B$6:$AH$49,Treecost!$N$2,FALSE)*DL39*IF(1+'Options and results'!$Q$22*(DF39-1)&gt;0,1+'Options and results'!$Q$22*(DF39-1),0)+EQ39*$EI$14*IF(1+'Options and results'!$Q$21*(DF39-1)&gt;0,1+'Options and results'!$Q$21*(DF39-1),0)),0)*IF(DF39&gt;='Options and results'!$K$27,'Options and results'!$K$26,1)</f>
        <v>0</v>
      </c>
      <c r="ES39" s="889">
        <f>IF(DF39&lt;='Options and results'!$W$20,IF(AND(DR39-DR38&gt;0,DR39&gt;'Options and results'!$M$64),(DL39-DN39)*(VLOOKUP($DG$8,Treecost!$B$6:$AH$49,Treecost!$Y$2,FALSE)+(VLOOKUP($DG$8,Treecost!$B$6:$AH$49,Treecost!$AA$2,FALSE)-VLOOKUP($DG$8,Treecost!$B$6:$AH$49,Treecost!$Y$2,FALSE))/(VLOOKUP($DG$8,Treecost!$B$6:$AH$49,Treecost!$Z$2,FALSE)-VLOOKUP($DG$8,Treecost!$B$6:$AH$49,Treecost!$X$2,FALSE))*(DR39-VLOOKUP($DG$8,Treecost!$B$6:$AH$49,Treecost!$X$2,FALSE)))/60,0)*IF(DF39&gt;='Options and results'!$K$25,'Options and results'!$K$24,1),0)</f>
        <v>0</v>
      </c>
      <c r="ET39" s="889">
        <f>IF(DF39&lt;='Options and results'!$W$20,IF(ES39&gt;0,VLOOKUP($DG$8,Treecost!$B$6:$AH$49,Treecost!$AB$2,FALSE)/60*DL39,0)*IF(DF39&gt;='Options and results'!$K$25,'Options and results'!$K$24,1),0)*((ES39-(MIN($ES$8:$ES$67)))/((MAX($ES$8:$ES$67))-(MIN($ES$8:$ES$67))))</f>
        <v>0</v>
      </c>
      <c r="EU39" s="740">
        <f>IF(ES39&gt;0,(ES39*$EI$15+ET39*$EI$19)*IF(1+'Options and results'!$Q$21*(DF39-1)&gt;0,1+'Options and results'!$Q$21*(DF39-1),0),0)*IF(DF39&gt;='Options and results'!$K$27,'Options and results'!$K$26,1)</f>
        <v>0</v>
      </c>
      <c r="EV39" s="891">
        <f>IF($DG$8=0,0,IF(DF39&lt;='Options and results'!$W$20,IF(AND(VLOOKUP($DG$8,Treecost!$B$2:$AH$49,Treecost!$O$2,FALSE)=DF39,DF39&lt;=IF(AND(Optimisation!$B$3="Yes",Optimisation!$B$4=1),Optimisation!$B$9)),VLOOKUP($DG$8,Treecost!$B$2:$AH$49,Treecost!$P$2,FALSE)*(1-CN39),0)*IF(DF39&gt;='Options and results'!$K$25,'Options and results'!$K$24,1),0))</f>
        <v>0</v>
      </c>
      <c r="EW39" s="889">
        <f>IF($DG$8=0,0,IF(DF39&lt;='Options and results'!$W$20,IF(AND(DF39&gt;VLOOKUP($DG$8,Treecost!$B$2:$AH$49,Treecost!$O$2,FALSE),DF39&lt;=IF(AND(Optimisation!$B$3="Yes",Optimisation!$B$4=1),Optimisation!$B$9,VLOOKUP($DG$8,Treecost!$B$2:$AH$49,Treecost!$R$2,FALSE))),VLOOKUP($DG$8,Treecost!$B$2:$AH$49,Treecost!$S$2,FALSE)*(1-CN39),0)*IF(DF39&gt;='Options and results'!$K$25,'Options and results'!$K$24,1),0))</f>
        <v>0</v>
      </c>
      <c r="EX39" s="740">
        <f>IF($DG$8=0,0,IF(DF39&lt;='Options and results'!$W$20,(IF(AND(VLOOKUP($DG$8,Treecost!$B$2:$AH$49,Treecost!$O$2,FALSE)=DF39,DF39&lt;=IF(AND(Optimisation!$B$3="Yes",Optimisation!$B$4=1),Optimisation!$B$9)),VLOOKUP($DG$8,Treecost!$B$2:$AH$49,Treecost!$Q$2,FALSE),0)*(1-CN39)+IF(AND(DF39&gt;VLOOKUP($DG$8,Treecost!$B$2:$AH$49,Treecost!$O$2,FALSE),DF39&lt;=IF(AND(Optimisation!$B$3="Yes",Optimisation!$B$4=1),Optimisation!$B$9,VLOOKUP($DG$8,Treecost!$B$2:$AH$49,Treecost!$R$2,FALSE))),VLOOKUP($DG$8,Treecost!$B$2:$AH$49,Treecost!$T$2,FALSE),0)*(1-CN39)+(EV39*$EI$16+EW39*$EI$17))*IF(DF39&gt;='Options and results'!$K$27,'Options and results'!$K$26,1),0))*IF(1+'Options and results'!$Q$21*(DF39-1)&gt;0,1+'Options and results'!$Q$21*(DF39-1),0)</f>
        <v>0</v>
      </c>
      <c r="EY39" s="894">
        <f>IF($DG$8=0,0,IF(DF39&lt;='Options and results'!$W$20,IF(AND(DF39&gt;=VLOOKUP($DG$8,Treecost!$B$2:$W$49,Treecost!$U$2,FALSE),DF39&lt;=VLOOKUP($DG$8,Treecost!$B$2:$W$49,Treecost!$V$2,FALSE)),(DL39*VLOOKUP($DG$8,Treecost!$B$2:$W$49,Treecost!$W$2,FALSE)/60),0)*IF(DF39&gt;='Options and results'!$K$25,'Options and results'!$K$24,1),0))</f>
        <v>0</v>
      </c>
      <c r="EZ39" s="740">
        <f>EY39*$EI$18*IF(DF39&gt;='Options and results'!$K$27,'Options and results'!$K$26,1)*IF(1+'Options and results'!$Q$21*(DF39-1)&gt;0,1+'Options and results'!$Q$21*(DF39-1),0)</f>
        <v>0</v>
      </c>
      <c r="FA39" s="1025">
        <f>IF(DF39&lt;='Options and results'!$W$20,IF(DL39&lt;=0,0,VLOOKUP($DG$8,Treecost!$B$6:$AH$49,Treecost!$AC$2,FALSE)+VLOOKUP($DG$8,Treecost!$B$6:$AH$49,Treecost!$AD$2,FALSE)+IF(AND(DF39&gt;=VLOOKUP($DG$8,Treecost!$B$2:$AK$49,Treecost!$AI$2,FALSE),DF39&lt;=VLOOKUP($DG$8,Treecost!$B$2:$AK$49,Treecost!$AJ$2,FALSE)),VLOOKUP($DG$8,Treecost!$B$2:$AK$49,Treecost!$AK$2,FALSE)*(1-CN39),0))*IF(DF39&gt;='Options and results'!$K$27,'Options and results'!$K$26,1),0)*IF(1+'Options and results'!$Q$22*(DF39-1)&gt;0,1+'Options and results'!$Q$22*(DF39-1),0)</f>
        <v>0</v>
      </c>
      <c r="FB39" s="894">
        <f>IF(DF39&lt;='Options and results'!$W$20,IF(DN39&gt;0,VLOOKUP($DG$8,Treecost!$B$6:$AH$49,Treecost!$AE$2,FALSE)/60*DN39,0)*IF(DF39&gt;='Options and results'!$K$25,'Options and results'!$K$24,1),0)</f>
        <v>0</v>
      </c>
      <c r="FC39" s="740">
        <f>IF(DF39&lt;='Options and results'!$W$20,IF(DN39&gt;0,VLOOKUP($DG$8,Treecost!$B$6:$AH$49,Treecost!$AF$2,FALSE)/60*DN39,0)*IF(DF39&gt;='Options and results'!$K$25,'Options and results'!$K$24,1),0)</f>
        <v>0</v>
      </c>
      <c r="FD39" s="740">
        <f>(FB39*$EI$20+FC39*$EI$21)*IF(DF39&gt;='Options and results'!$K$27,'Options and results'!$K$26,1)*IF(1+'Options and results'!$Q$21*(DF39-1)&gt;0,1+'Options and results'!$Q$21*(DF39-1),0)</f>
        <v>0</v>
      </c>
      <c r="FE39" s="894">
        <f>IF(DF39&lt;='Options and results'!$W$20,IF(DO39&gt;0,(VLOOKUP($DG$8,Treecost!$B$6:$AH$49,Treecost!$AG$2,FALSE)/60*DO39)*IF(DF39&gt;='Options and results'!$K$25,'Options and results'!$K$24,1),0),0)</f>
        <v>0</v>
      </c>
      <c r="FF39" s="740">
        <f>IF(DF39&lt;='Options and results'!$W$20,IF(DO39&gt;0,(VLOOKUP($DG$8,Treecost!$B$6:$AH$49,Treecost!$AH$2,FALSE)/60*DO39)*IF(DF39&gt;='Options and results'!$K$25,'Options and results'!$K$24,1),0),0)</f>
        <v>0</v>
      </c>
      <c r="FG39" s="740">
        <f>(FE39*$EI$22+FF39*$EI$23)*IF(DF39&gt;='Options and results'!$K$27,'Options and results'!$K$26,1)*IF(1+'Options and results'!$Q$21*(DF39-1)&gt;0,1+'Options and results'!$Q$21*(DF39-1),0)</f>
        <v>0</v>
      </c>
      <c r="FH39" s="894">
        <f t="shared" si="157"/>
        <v>0</v>
      </c>
      <c r="FI39" s="1027">
        <f t="shared" si="158"/>
        <v>0</v>
      </c>
      <c r="FJ39" s="1027">
        <f t="shared" si="159"/>
        <v>0</v>
      </c>
      <c r="FK39" s="1027">
        <f t="shared" si="160"/>
        <v>0</v>
      </c>
      <c r="FL39" s="1027">
        <f t="shared" si="184"/>
        <v>0</v>
      </c>
      <c r="FM39" s="1027">
        <f>IF($DF39&lt;='Options and results'!$W$20,SUM(FI$8:$FI39),0)</f>
        <v>0</v>
      </c>
      <c r="FN39" s="1027">
        <f>IF($DF39&lt;='Options and results'!$W$20,SUM($FJ$8:FJ39),0)</f>
        <v>0</v>
      </c>
      <c r="FO39" s="1027">
        <f>IF($DF39&lt;='Options and results'!$W$20,SUM($FK$8:FK39),0)</f>
        <v>0</v>
      </c>
      <c r="FP39" s="1027">
        <f>IF($DF39&lt;='Options and results'!$W$20,FM39+FN39-FO39,0)</f>
        <v>0</v>
      </c>
      <c r="FQ39" s="1027">
        <f t="shared" si="162"/>
        <v>0</v>
      </c>
      <c r="FR39" s="1027">
        <f t="shared" si="163"/>
        <v>0</v>
      </c>
      <c r="FS39" s="1027">
        <f t="shared" si="164"/>
        <v>0</v>
      </c>
      <c r="FT39" s="1189">
        <f>IF(DF39&lt;='Options and results'!$W$20,FP39+DZ39,0)</f>
        <v>0</v>
      </c>
      <c r="FU39" s="1023"/>
      <c r="FV39" s="895">
        <f t="shared" si="165"/>
        <v>32</v>
      </c>
      <c r="FW39" s="894">
        <f>G39/(1+'Options and results'!$W$33)^(FV39-1)</f>
        <v>0</v>
      </c>
      <c r="FX39" s="740">
        <f>(AP39+AR39+AS39)/(1+'Options and results'!$W$33)^(FV39-1)</f>
        <v>0</v>
      </c>
      <c r="FY39" s="740">
        <f>CQ39/(1+'Options and results'!$W$33)^(FV39-1)</f>
        <v>0</v>
      </c>
      <c r="FZ39" s="740">
        <f>(EA39+EC39+ED39)/(1+'Options and results'!$W$33)^(FV39-1)</f>
        <v>0</v>
      </c>
      <c r="GA39" s="1019">
        <f t="shared" si="180"/>
        <v>0</v>
      </c>
      <c r="GB39" s="1026">
        <f>(AO39+AQ39)/(1+'Options and results'!$W$33)^(FV39-1)+FX39</f>
        <v>0</v>
      </c>
      <c r="GC39" s="1027">
        <f>IF(FV39&gt;'Options and results'!$W$27,0,GB39-GB38)</f>
        <v>0</v>
      </c>
      <c r="GD39" s="1027">
        <f>(DZ39+EB39)/(1+'Options and results'!$W$33)^(FV39-1)+FZ39</f>
        <v>0</v>
      </c>
      <c r="GE39" s="1379">
        <f>IF(FV39&gt;'Options and results'!$W$27,0,GD39-GD38)</f>
        <v>0</v>
      </c>
      <c r="GF39" s="894">
        <f>IF(FV39&lt;='Options and results'!$W$20,SUM(FW$8:FW39),0)</f>
        <v>0</v>
      </c>
      <c r="GG39" s="740">
        <f>IF(FV39&lt;='Options and results'!$W$20,SUM(FX$8:FX39), 0)</f>
        <v>0</v>
      </c>
      <c r="GH39" s="740">
        <f>IF(FV39&lt;='Options and results'!$W$20,SUM(FY$8:FY39),0)</f>
        <v>0</v>
      </c>
      <c r="GI39" s="740">
        <f>IF(FV39&lt;='Options and results'!$W$20,SUM(FZ$8:FZ39),0)</f>
        <v>0</v>
      </c>
      <c r="GJ39" s="1019">
        <f t="shared" si="166"/>
        <v>0</v>
      </c>
      <c r="GK39" s="894">
        <f>IF(FV39&gt;'Options and results'!$W$27,0,GG39+SUM(GC$8:GC39)-FX39)</f>
        <v>0</v>
      </c>
      <c r="GL39" s="740">
        <f>IF(FV39&lt;='Options and results'!$W$20,SUM(GD$8:GD39),0)</f>
        <v>0</v>
      </c>
      <c r="GM39" s="1034">
        <f t="shared" si="167"/>
        <v>0</v>
      </c>
      <c r="GN39" s="1023"/>
      <c r="GO39" s="895">
        <f t="shared" si="168"/>
        <v>32</v>
      </c>
      <c r="GP39" s="894">
        <f>H39/(1+'Options and results'!$W$33)^(GO39-1)</f>
        <v>0</v>
      </c>
      <c r="GQ39" s="740">
        <f>SUM(AT39:AV39)/(1+'Options and results'!$W$33)^(GO39-1)</f>
        <v>0</v>
      </c>
      <c r="GR39" s="740">
        <f>CR39/(1+'Options and results'!$W$33)^(GO39-1)</f>
        <v>0</v>
      </c>
      <c r="GS39" s="740">
        <f>SUM(EE39:EG39)/(1+'Options and results'!$W$33)^(GO39-1)</f>
        <v>0</v>
      </c>
      <c r="GT39" s="1019">
        <f t="shared" si="181"/>
        <v>0</v>
      </c>
      <c r="GU39" s="894">
        <f>IF(GO39&lt;='Options and results'!$W$20,SUM(GP$8:GP39),0)</f>
        <v>0</v>
      </c>
      <c r="GV39" s="740">
        <f>IF(GO39&lt;='Options and results'!$W$20,SUM(GQ$8:GQ39),0)</f>
        <v>0</v>
      </c>
      <c r="GW39" s="740">
        <f>IF(GO39&lt;='Options and results'!$W$20,SUM(GR$8:GR39),0)</f>
        <v>0</v>
      </c>
      <c r="GX39" s="740">
        <f>IF(GO39&lt;='Options and results'!$W$20,SUM(GS$8:GS39),0)</f>
        <v>0</v>
      </c>
      <c r="GY39" s="1034">
        <f>IF(GO39&lt;='Options and results'!$W$20,SUM(GT$8:GT39),0)</f>
        <v>0</v>
      </c>
      <c r="GZ39" s="1023"/>
      <c r="HA39" s="895">
        <f t="shared" si="169"/>
        <v>32</v>
      </c>
      <c r="HB39" s="1026">
        <f>(J39+L39+(M39*N39))/(1+'Options and results'!$W$33)^(HA39-1)</f>
        <v>0</v>
      </c>
      <c r="HC39" s="740">
        <f>BZ39/(1+'Options and results'!$W$33)^(HA39-1)</f>
        <v>0</v>
      </c>
      <c r="HD39" s="1027">
        <f>(CT39+CV39+(CW39*CX39))/(1+'Options and results'!$W$33)^(HA39-1)</f>
        <v>0</v>
      </c>
      <c r="HE39" s="740">
        <f>FK39/(1+'Options and results'!$W$33)^(HA39-1)</f>
        <v>0</v>
      </c>
      <c r="HF39" s="1019">
        <f t="shared" si="182"/>
        <v>0</v>
      </c>
      <c r="HG39" s="894">
        <f>IF(HA39&lt;='Options and results'!$W$20,SUM(HB$8:HB39),0)</f>
        <v>0</v>
      </c>
      <c r="HH39" s="740">
        <f>IF(HA39&lt;='Options and results'!$W$20,SUM(HC$8:HC39),0)</f>
        <v>0</v>
      </c>
      <c r="HI39" s="740">
        <f>IF(HA39&lt;='Options and results'!$W$20,SUM(HD$8:HD39),0)</f>
        <v>0</v>
      </c>
      <c r="HJ39" s="740">
        <f>IF(HA39&lt;='Options and results'!$W$20,SUM(HE$8:HE39),0)</f>
        <v>0</v>
      </c>
      <c r="HK39" s="1034">
        <f>IF(HA39&lt;='Options and results'!$W$20,SUM(HF$8:HF39),0)</f>
        <v>0</v>
      </c>
      <c r="HL39" s="1043"/>
      <c r="HM39" s="895">
        <f t="shared" si="170"/>
        <v>32</v>
      </c>
      <c r="HN39" s="1026">
        <f t="shared" si="171"/>
        <v>0</v>
      </c>
      <c r="HO39" s="1027">
        <f t="shared" si="172"/>
        <v>0</v>
      </c>
      <c r="HP39" s="1027">
        <f t="shared" si="173"/>
        <v>0</v>
      </c>
      <c r="HQ39" s="1027">
        <f t="shared" si="174"/>
        <v>0</v>
      </c>
      <c r="HR39" s="1027">
        <f t="shared" si="175"/>
        <v>0</v>
      </c>
      <c r="HS39" s="1379">
        <f t="shared" si="176"/>
        <v>0</v>
      </c>
      <c r="HT39" s="1026">
        <f>IF($HM39&lt;='Options and results'!$W$20,SUM(HN$8:HN39),0)</f>
        <v>0</v>
      </c>
      <c r="HU39" s="1027">
        <f>IF($HM39&lt;='Options and results'!$W$20,SUM(HO$8:HO39),0)</f>
        <v>0</v>
      </c>
      <c r="HV39" s="1027">
        <f>IF($HM39&lt;='Options and results'!$W$20,SUM(HP$8:HP39),0)</f>
        <v>0</v>
      </c>
      <c r="HW39" s="1027">
        <f>IF($HM39&lt;='Options and results'!$W$20,SUM(HQ$8:HQ39),0)</f>
        <v>0</v>
      </c>
      <c r="HX39" s="1027">
        <f t="shared" si="177"/>
        <v>0</v>
      </c>
      <c r="HY39" s="1027">
        <f>IF($HM39&lt;='Options and results'!$W$20,SUM(HR$8:HR39),0)</f>
        <v>0</v>
      </c>
      <c r="HZ39" s="1027">
        <f>IF($HM39&lt;='Options and results'!$W$20,SUM(HS$8:HS39),0)</f>
        <v>0</v>
      </c>
      <c r="IA39" s="1189">
        <f t="shared" si="178"/>
        <v>0</v>
      </c>
    </row>
    <row r="40" spans="1:235" x14ac:dyDescent="0.25">
      <c r="A40" s="1010">
        <f t="shared" si="126"/>
        <v>33</v>
      </c>
      <c r="B40" s="1011" t="str">
        <f>IF('Options and results'!$C$17="None",0,CONCATENATE('Options and results'!$C$23," ",(HLOOKUP(CONCATENATE('Options and results'!$C$17," ",Arablesystem!$B$11),Arablesystem!$B$10:$ER$72,$A40+3,FALSE))))</f>
        <v xml:space="preserve">UK - Agriculture (BPS: from 2015) </v>
      </c>
      <c r="C40" s="1012">
        <f>IF(HLOOKUP(CONCATENATE('Options and results'!$C$17," ",Arablesystem!$C$11),Arablesystem!$B$10:$ER$72,$A40+3,FALSE)="T",(VLOOKUP(B40,Arablefinance!$Z$6:$AB$105,Arablefinance!$AB$2,FALSE)*E40+VLOOKUP(B40,Arablefinance!$Z$6:$AC$105,Arablefinance!$AC$2,FALSE)*F40)/VLOOKUP(B40,Arablefinance!$Z$6:$AA$105,Arablefinance!$AA$2,FALSE),0)</f>
        <v>0</v>
      </c>
      <c r="D40" s="1012">
        <f>IF(B40=0,0,HLOOKUP(CONCATENATE('Options and results'!$C$17," ",Arablesystem!$D$11),Arablesystem!$B$10:$ER$72,$A40+3,FALSE))</f>
        <v>0</v>
      </c>
      <c r="E40" s="1440">
        <f>IF(B40=0,0,HLOOKUP(CONCATENATE('Options and results'!$C$17," ",Arablesystem!$E$11),Arablesystem!$B$10:$ER$72,$A40+3,FALSE)*IF(A40&gt;='Options and results'!$H$19,'Options and results'!$H$18,1))</f>
        <v>0</v>
      </c>
      <c r="F40" s="1440">
        <f>IF(B40=0,0,HLOOKUP(CONCATENATE('Options and results'!$C$17," ",Arablesystem!$F$11),Arablesystem!$B$10:$ER$72,$A40+3,FALSE)*IF(A40&gt;='Options and results'!$H$19,'Options and results'!$H$18,1))</f>
        <v>0</v>
      </c>
      <c r="G40" s="1013">
        <f>IF(D40&lt;=0,0,IF(A40&lt;='Options and results'!$W$20,IF(C40&gt;0,VLOOKUP(B40,Arablefinance!$Z$6:$AE$105,Arablefinance!$AD$2,FALSE)*C40*D40,((VLOOKUP(B40,Arablefinance!$E$6:$G$126,Arablefinance!$F$2,FALSE)*(E40*D40)+VLOOKUP(B40,Arablefinance!$E$6:$G$126,Arablefinance!$G$2,FALSE)*(F40*D40)))),0)*IF(A40&gt;='Options and results'!$H$21,'Options and results'!$H$20,1))*IF(1+'Options and results'!$O$20*(A40-1)&gt;0,1+'Options and results'!$O$20*(A40-1),0)</f>
        <v>0</v>
      </c>
      <c r="H40" s="1441">
        <f>IF(D40&lt;=0,0,IF(A40&lt;='Options and results'!$W$20,IF(AND(C40&gt;0,VLOOKUP(B40,Arablefinance!$Z$6:$AI$105,Arablefinance!$AI$2,FALSE)=2),VLOOKUP(B40,Arablefinance!$Z$6:$AE$105,Arablefinance!$AE$2,FALSE)*C40*D40,(VLOOKUP(B40,Arablefinance!$E$6:$H$126,Arablefinance!$H$2,FALSE)*D40))*IF(A40&gt;='Options and results'!$H$23,'Options and results'!$H$22,1),0)*IF(AND(1+'Options and results'!$O$23*(A40-1)&gt;0,1+'Options and results'!$O$23*(A40-1)&gt;'Options and results'!$S$24),1+'Options and results'!$O$23*(A40-1),'Options and results'!$S$24))</f>
        <v>0</v>
      </c>
      <c r="I40" s="1441">
        <f t="shared" si="127"/>
        <v>0</v>
      </c>
      <c r="J40" s="1441">
        <f>IF(D40&lt;=0,0,IF(A40&lt;='Options and results'!$W$20,IF(C40&gt;0,VLOOKUP(B40,Arablefinance!$Z$6:$AF$105,Arablefinance!$AF$2,FALSE)*C40*D40,(VLOOKUP(B40,Arablefinance!$E$6:$X$126,Arablefinance!$R$2,FALSE))*D40),0)*IF(A40&gt;='Options and results'!$H$27,'Options and results'!$H$26,1))*IF(1+'Options and results'!$O$22*(A40-1)&gt;0,1+'Options and results'!$O$22*(A40-1),0)</f>
        <v>0</v>
      </c>
      <c r="K40" s="1441">
        <f t="shared" si="128"/>
        <v>0</v>
      </c>
      <c r="L40" s="1441">
        <f>IF(D40&lt;=0,0,IF(A40&lt;='Options and results'!$W$20,IF(C40&gt;0,VLOOKUP(B40,Arablefinance!$Z$6:$AG$105,Arablefinance!$AG$2,FALSE)*C40*D40,VLOOKUP(B40,Arablefinance!$E$6:$X$126,Arablefinance!$X$2,FALSE)*D40),0)*IF(A40&gt;='Options and results'!$H$27,'Options and results'!$H$26,1))*IF(1+'Options and results'!$O$22*(A40-1)&gt;0,1+'Options and results'!$O$22*(A40-1),0)</f>
        <v>0</v>
      </c>
      <c r="M40" s="1442">
        <f>IF(D40&lt;=0,0,IF(A40&lt;='Options and results'!$W$20,'Options and results'!$C$27,0)*IF(A40&gt;='Options and results'!$H$27,'Options and results'!$H$26,1))*IF(1+'Options and results'!$O$21*(A40-1)&gt;0,1+'Options and results'!$O$21*(A40-1),0)</f>
        <v>0</v>
      </c>
      <c r="N40" s="1442">
        <f>IF(D40&lt;=0,0,IF(A40&lt;='Options and results'!$W$20,IF(C40&gt;0,VLOOKUP(B40,Arablefinance!$Z$6:$AH$105,Arablefinance!$AH$2,FALSE)*C40*D40,VLOOKUP(B40,Arablefinance!$E$6:$W$126,Arablefinance!$V$2,FALSE)*D40),0)*IF(A40&gt;='Options and results'!$H$25,'Options and results'!$H$24,1))</f>
        <v>0</v>
      </c>
      <c r="O40" s="1013">
        <f t="shared" si="129"/>
        <v>0</v>
      </c>
      <c r="P40" s="1353">
        <f t="shared" si="130"/>
        <v>0</v>
      </c>
      <c r="Q40" s="1013">
        <f>IF(A40&lt;='Options and results'!$W$20,SUM(G$8:$G40),0)</f>
        <v>0</v>
      </c>
      <c r="R40" s="1441">
        <f>IF($A40&lt;='Options and results'!$W$20,SUM($H$8:H40),0)</f>
        <v>0</v>
      </c>
      <c r="S40" s="1441">
        <f>IF($A40&lt;='Options and results'!$W$20,SUM($O$8:O40),0)</f>
        <v>0</v>
      </c>
      <c r="T40" s="1032">
        <f>IF(A40&lt;='Options and results'!$W$20,Q40+R40-S40,0)</f>
        <v>0</v>
      </c>
      <c r="U40" s="405"/>
      <c r="V40" s="1010">
        <f t="shared" si="131"/>
        <v>33</v>
      </c>
      <c r="W40" s="173"/>
      <c r="X40" s="1036"/>
      <c r="Y40" s="1030">
        <f>IF(V40&lt;='Options and results'!$M$34,'Options and results'!$M$33,0)</f>
        <v>0</v>
      </c>
      <c r="Z40" s="1441">
        <f t="shared" si="132"/>
        <v>0</v>
      </c>
      <c r="AA40" s="1441">
        <f t="shared" si="133"/>
        <v>0</v>
      </c>
      <c r="AB40" s="1428">
        <f t="shared" si="134"/>
        <v>0</v>
      </c>
      <c r="AC40" s="1441">
        <f>IF($W$8=0,0,IF(HLOOKUP(CONCATENATE('Options and results'!$C$32," ",Forestrysystem!$C$8),Forestrysystem!$A$7:$IH$70,V40+4,FALSE)&lt;AB40,HLOOKUP(CONCATENATE('Options and results'!$C$32," ",Forestrysystem!$C$8),Forestrysystem!$A$7:$IH$70,V40+4,FALSE),0))</f>
        <v>0</v>
      </c>
      <c r="AD40" s="1441">
        <f>IF($W$8=0,0,IF(HLOOKUP(CONCATENATE('Options and results'!$C$32," ",Forestrysystem!$C$8),Forestrysystem!$A$7:$IH$70,V40+4,FALSE)&gt;=AB40,AB40,0))</f>
        <v>0</v>
      </c>
      <c r="AE40" s="1440">
        <f>IF($W$8=0,0,HLOOKUP(CONCATENATE('Options and results'!$C$32," ",Forestrysystem!$D$8),Forestrysystem!$A$7:$IH$70,$V40+4,FALSE))</f>
        <v>0</v>
      </c>
      <c r="AF40" s="1037"/>
      <c r="AG40" s="1440">
        <f>IF($W$8=0,0,IF(V40=1,'Options and results'!$M$36,0)+IF('Options and results'!$M$39="yes",IF(AND(AG39+'Options and results'!$M$37&lt;=$AF$8,AG39+'Options and results'!$M$37+IF(V40=1,'Options and results'!$M$36,0)&lt;='Options and results'!$M$38*AE40),AG39+'Options and results'!$M$37,AG39),(HLOOKUP(CONCATENATE('Options and results'!$C$32," ",Forestrysystem!$E$8),Forestrysystem!$A$7:$IH$70,V40+4,FALSE))-IF(V40=1,'Options and results'!$M$36,0)))</f>
        <v>0</v>
      </c>
      <c r="AH40" s="1442">
        <f>IF(OR($W$8=0,AB40&lt;=0),0,(HLOOKUP(CONCATENATE('Options and results'!$C$32," ",Forestrysystem!$F$8),Forestrysystem!$A$7:$IH$70,$V40+4,FALSE)) * IF(V40&gt;='Options and results'!$I$19,'Options and results'!$I$18,1) )</f>
        <v>0</v>
      </c>
      <c r="AI40" s="1452">
        <f t="shared" si="179"/>
        <v>0</v>
      </c>
      <c r="AJ40" s="1442">
        <f t="shared" si="135"/>
        <v>0</v>
      </c>
      <c r="AK40" s="1453">
        <f>IF(OR($W$8=0,AE40&lt;=0),0,(HLOOKUP(CONCATENATE('Options and results'!$C$32," ",Forestrysystem!$G$8),Forestrysystem!$A$7:$IH$70,$V40+4,FALSE)) * IF(Y40&gt;='Options and results'!$I$19,'Options and results'!$I$18,1) )</f>
        <v>0</v>
      </c>
      <c r="AL40" s="1453">
        <f>IF($W$8=0,0,HLOOKUP(CONCATENATE('Options and results'!$C$32," ",Forestrysystem!$H$8),Forestrysystem!$A$7:$IH$70,$V40+4,FALSE)*IF(V40&gt;='Options and results'!$I$19,'Options and results'!$I$18,1))</f>
        <v>0</v>
      </c>
      <c r="AM40" s="1383">
        <f>IF($W$8=0,0,HLOOKUP(CONCATENATE('Options and results'!$C$32," ",Forestrysystem!$I$8),Forestrysystem!$A$7:$IH$70,$V40+4,FALSE)*IF(V40&gt;='Options and results'!$I$19,'Options and results'!$I$18,1))</f>
        <v>0</v>
      </c>
      <c r="AN40" s="1382">
        <f>IF(AI40&gt;0,HLOOKUP(AI40,Treevalue!$I$4:$BC$34,'Options and results'!$C$39+1),0)*IF(V40&gt;='Options and results'!$I$21,'Options and results'!$I$20,1)*IF(1+'Options and results'!$Q$20*(V40-1)&gt;0,1+'Options and results'!$Q$20*(V40-1),0)</f>
        <v>0</v>
      </c>
      <c r="AO40" s="1454">
        <f t="shared" si="136"/>
        <v>0</v>
      </c>
      <c r="AP40" s="1454">
        <f t="shared" ref="AP40:AP67" si="187">(AC40+AD40)*AI40*AN40</f>
        <v>0</v>
      </c>
      <c r="AQ40" s="1454">
        <f>(IF('Options and results'!$C$39&gt;0,IF(V40&lt;='Options and results'!$W$20,VLOOKUP('Options and results'!$C$39,Treevalue!$A$4:$F$34,5,FALSE),0),0)*AK40)*IF(V40&gt;='Options and results'!$I$21,'Options and results'!$I$20,1)*IF(1+'Options and results'!$Q$20*(V40-1)&gt;0,1+'Options and results'!$Q$20*(V40-1),0)-AR40</f>
        <v>0</v>
      </c>
      <c r="AR40" s="1441">
        <f>(IF('Options and results'!$C$39&gt;0,IF(V40&lt;='Options and results'!$W$20,VLOOKUP('Options and results'!$C$39,Treevalue!$A$4:$F$34,5,FALSE),0),0)*AL40)*IF(V40&gt;='Options and results'!$I$21,'Options and results'!$I$20,1)*IF(1+'Options and results'!$Q$20*(V40-1)&gt;0,1+'Options and results'!$Q$20*(V40-1),0)</f>
        <v>0</v>
      </c>
      <c r="AS40" s="1441">
        <f>(IF('Options and results'!$C$39&gt;0,IF(V40&lt;='Options and results'!$W$20,VLOOKUP('Options and results'!$C$39,Treevalue!$A$4:$F$34,6,FALSE),0),0)*AM40)*IF(V40&gt;='Options and results'!$I$21,'Options and results'!$I$20,1)*IF(1+'Options and results'!$Q$20*(V40-1)&gt;0,1+'Options and results'!$Q$20*(V40-1),0)</f>
        <v>0</v>
      </c>
      <c r="AT40" s="1441">
        <f>IF(V40&lt;='Options and results'!$W$20,(IF(AB40&lt;=0,0,IF('Options and results'!$C$43="cost",(IF(V40&lt;='Options and results'!$C$44,BZ40*SUM('Options and results'!$C$45:$C$46),0)),IF('Options and results'!$C$41&gt;0,(IF(VLOOKUP('Options and results'!$C$42,Treegrant!$B$6:$L$42,Treegrant!$C$2,FALSE)=V40,VLOOKUP('Options and results'!$C$42,Treegrant!$B$6:$L$42,Treegrant!$D$2,FALSE),0)+IF(VLOOKUP('Options and results'!$C$42,Treegrant!$B$6:$L$42,Treegrant!$E$2,FALSE)=V40,VLOOKUP('Options and results'!$C$42,Treegrant!$B$6:$L$42,Treegrant!$F$2,FALSE),0)+IF(VLOOKUP('Options and results'!$C$42,Treegrant!$B$6:$L$42,Treegrant!$G$2,FALSE)=V40,VLOOKUP('Options and results'!$C$42,Treegrant!$B$6:$L$42,Treegrant!$H$2,FALSE)))*IF('Options and results'!$C$43="area",1,'Options and results'!$C$43),0)))*IF(V40&gt;='Options and results'!$I$23,'Options and results'!$I$22,1)),0)*IF(1+'Options and results'!$Q$23*(V40-1)&gt;0,1+'Options and results'!$Q$23*(V40-1),0)</f>
        <v>0</v>
      </c>
      <c r="AU40" s="1441">
        <f>IF($W$8=0,0,IF(V40&lt;='Options and results'!$W$20,IF(AB40&lt;=0,0,IF('Options and results'!$C$41&gt;0,IF(AND(VLOOKUP('Options and results'!$C$42,Treegrant!$B$6:$L$42,Treegrant!$J$2,FALSE)&lt;=V40,VLOOKUP('Options and results'!$C$42,Treegrant!$B$6:$L$42,Treegrant!$K$2,FALSE)&gt;=V40),(VLOOKUP('Options and results'!$C$42,Treegrant!$B$6:$L$42,Treegrant!$L$2,FALSE)),0)*IF('Options and results'!$C$47="full",1,'Options and results'!$C$47))*IF(V40&gt;='Options and results'!$I$23,'Options and results'!$I$22,1)),0))*IF(1+'Options and results'!$Q$23*(V40-1)&gt;0,1+'Options and results'!$Q$23*(V40-1),0)</f>
        <v>0</v>
      </c>
      <c r="AV40" s="1032">
        <f>IF($W$8=0,0,IF(V40&lt;='Options and results'!$W$20,IF(AB40&lt;=0,0,(IF('Options and results'!$C$41&gt;0,(IF(AND(VLOOKUP('Options and results'!$C$42,Treegrant!$B$6:$O$42,Treegrant!$M$2,FALSE)&lt;=V40,VLOOKUP('Options and results'!$C$42,Treegrant!$B$6:$O$42,Treegrant!$N$2,FALSE)&gt;=V40),(VLOOKUP('Options and results'!$C$42,Treegrant!$B$6:$O$42,Treegrant!$O$2,FALSE)),0)*IF('Options and results'!$C$48="full",1,'Options and results'!$C$48))+(IF(AND(VLOOKUP('Options and results'!$C$42,Treegrant!$B$6:$R$42,Treegrant!$P$2,FALSE)&lt;=V40,VLOOKUP('Options and results'!$C$42,Treegrant!$B$6:$R$42,Treegrant!$Q$2,FALSE)&gt;=V40),(VLOOKUP('Options and results'!$C$42,Treegrant!$B$6:$R$42,Treegrant!$R$2,FALSE)),0))*IF('Options and results'!$C$49="full",1,'Options and results'!$C$49)))*IF(V40&gt;='Options and results'!$I$23,'Options and results'!$I$22,1)),0))*IF(1+'Options and results'!$Q$23*(V40-1)&gt;0,1+'Options and results'!$Q$23*(V40-1),0)</f>
        <v>0</v>
      </c>
      <c r="AW40" s="1041"/>
      <c r="AX40" s="1042"/>
      <c r="AY40" s="1419">
        <f>IF($W$8=0,0,IF(V40=1,VLOOKUP($W$8,Treecost!$B$6:$AH$49,Treecost!$E$2,FALSE),0)*IF(V40&gt;='Options and results'!$I$25,'Options and results'!$I$24,1))</f>
        <v>0</v>
      </c>
      <c r="AZ40" s="889">
        <f>IF($W$8=0,0,IF(V40=1,VLOOKUP($W$8,Treecost!$B$6:$AH$49,Treecost!$F$2,FALSE),0)*IF(V40&gt;='Options and results'!$I$25,'Options and results'!$I$24,1))</f>
        <v>0</v>
      </c>
      <c r="BA40" s="889">
        <f>IF($W$8=0,0,IF(V40=1,VLOOKUP($W$8,Treecost!$B$6:$AH$49,Treecost!$G$2,FALSE),0)*IF(V40&gt;='Options and results'!$I$25,'Options and results'!$I$24,1))</f>
        <v>0</v>
      </c>
      <c r="BB40" s="889">
        <f>IF($W$8=0,0,IF(V40&lt;='Options and results'!$W$20,((VLOOKUP($W$8,Treecost!$B$6:$AH$49,Treecost!$H$2,FALSE)*(X40+AA40))/60)*IF(V40&gt;='Options and results'!$I$25,'Options and results'!$I$24,1),0))</f>
        <v>0</v>
      </c>
      <c r="BC40" s="889">
        <f>IF($W$8=0,0,IF(V40&lt;='Options and results'!$W$20,(((VLOOKUP($W$8,Treecost!$B$6:$AH$49,Treecost!$I$2,FALSE))*(X40+AA40))/60)*IF(V40&gt;='Options and results'!$I$25,'Options and results'!$I$24,1),0))</f>
        <v>0</v>
      </c>
      <c r="BD40" s="889">
        <f>IF($W$8=0,0,IF(V40&lt;='Options and results'!$W$20,(((VLOOKUP($W$8,Treecost!$B$6:$AH$49,Treecost!$J$2,FALSE))/60)*(X40+AA40))*IF(V40&gt;='Options and results'!$I$25,'Options and results'!$I$24,1),0))</f>
        <v>0</v>
      </c>
      <c r="BE40" s="1019">
        <f>IF($W$8=0,0,IF(V40&lt;='Options and results'!$W$20,(((VLOOKUP($W$8,Treecost!$B$6:$AH$49,Treecost!$C$2,FALSE)+VLOOKUP($W$8,Treecost!$B$6:$AH$49,Treecost!$D$2,FALSE))*(X40+AA40)*IF(1+'Options and results'!$Q$22*(V40-1)&gt;0,1+'Options and results'!$Q$22*(V40-1),0))+((AY40*$AX$8+AZ40*$AX$9+BA40*$AX$10+BB40*$AX$11+BC40*$AX$12+BD40*$AX$13)*IF(1+'Options and results'!$Q$21*(V40-1)&gt;0,1+'Options and results'!$Q$21*(V40-1),0)))*IF(V40&gt;='Options and results'!$I$27,'Options and results'!$I$26,1),0))</f>
        <v>0</v>
      </c>
      <c r="BF40" s="889">
        <f>IF($W$8=0,0,IF(V40&lt;='Options and results'!$W$20,IF(AND(VLOOKUP($W$8,Treecost!$B$6:$AH$49,Treecost!$K$2,FALSE)&lt;=V40,V40&lt;=(VLOOKUP($W$8,Treecost!$B$6:$AH$49,Treecost!$L$2,FALSE))),VLOOKUP($W$8,Treecost!$B$6:$AH$49,Treecost!$M$2,FALSE)*AB40/60,0)*IF(V40&gt;='Options and results'!$I$25,'Options and results'!$I$24,1),0))</f>
        <v>0</v>
      </c>
      <c r="BG40" s="1019">
        <f>IF(BF40&gt;0,(VLOOKUP($W$8,Treecost!$B$6:$AH$49,Treecost!$N$2,FALSE)*AB40*IF(1+'Options and results'!$Q$22*(V40-1)&gt;0,1+'Options and results'!$Q$22*(V40-1),0)+BF40*$AX$14*IF(1+'Options and results'!$Q$21*(V40-1)&gt;0,1+'Options and results'!$Q$21*(V40-1),0)),0)*IF(V40&gt;='Options and results'!$I$27,'Options and results'!$I$26,1)</f>
        <v>0</v>
      </c>
      <c r="BH40" s="889">
        <f>IF(V40&lt;='Options and results'!$W$20,IF(AND(AG40-AG39&gt;0,AG40&gt;'Options and results'!$M$36),(AB40-AC40)*(VLOOKUP($W$8,Treecost!$B$6:$AH$49,Treecost!$Y$2,FALSE)+(VLOOKUP($W$8,Treecost!$B$6:$AH$49,Treecost!$AA$2,FALSE)-VLOOKUP($W$8,Treecost!$B$6:$AH$49,Treecost!$Y$2,FALSE))/(VLOOKUP($W$8,Treecost!$B$6:$AH$49,Treecost!$Z$2,FALSE)-VLOOKUP($W$8,Treecost!$B$6:$AH$49,Treecost!$X$2,FALSE))*(AG40-VLOOKUP($W$8,Treecost!$B$6:$AH$49,Treecost!$X$2,FALSE)))/60,0)*IF(V40&gt;='Options and results'!$I$25,'Options and results'!$I$24,1),0)</f>
        <v>0</v>
      </c>
      <c r="BI40" s="303">
        <f>IF(V40&lt;='Options and results'!$W$20,IF(BH40&gt;0,VLOOKUP($W$8,Treecost!$B$6:$AH$49,Treecost!$AB$2,FALSE)/60*AB40,0)*IF(V40&gt;='Options and results'!$I$25,'Options and results'!$I$24,1),0)*((BH40-(MIN($BH$8:$BH$67)))/((MAX($BH$8:$BH$67))-(MIN($BH$8:$BH$67))))</f>
        <v>0</v>
      </c>
      <c r="BJ40" s="740">
        <f>IF(BH40&gt;0,(BH40*$AX$15+BI40*$AX$19)*IF(1+'Options and results'!$Q$21*(V40-1)&gt;0,1+'Options and results'!$Q$21*(V40-1),0),0)*IF(V40&gt;='Options and results'!$I$27,'Options and results'!$I$26,1)</f>
        <v>0</v>
      </c>
      <c r="BK40" s="891">
        <f>IF($W$8=0,0,IF(V40&lt;='Options and results'!$W$20,IF(VLOOKUP($W$8,Treecost!$B$2:$AH$49,Treecost!$O$2,FALSE)=V40,VLOOKUP($W$8,Treecost!$B$2:$AH$49,Treecost!$P$2,FALSE),0)*IF(V40&gt;='Options and results'!$I$25,'Options and results'!$I$24,1),0))</f>
        <v>0</v>
      </c>
      <c r="BL40" s="889">
        <f>IF($W$8=0,0,IF(V40&lt;='Options and results'!$W$20,IF(AND(V40&gt;VLOOKUP($W$8,Treecost!$B$2:$AH$49,Treecost!$O$2,FALSE),V40&lt;=VLOOKUP($W$8,Treecost!$B$2:$AH$49,Treecost!$R$2,FALSE)),VLOOKUP($W$8,Treecost!$B$2:$AH$49,Treecost!$S$2,FALSE),0)*IF(V40&gt;='Options and results'!$I$25,'Options and results'!$I$24,1),0))</f>
        <v>0</v>
      </c>
      <c r="BM40" s="740">
        <f>IF($W$8=0,0,IF(V40&lt;='Options and results'!$W$20,((IF(VLOOKUP($W$8,Treecost!$B$2:$AH$49,Treecost!$O$2,FALSE)=V40,VLOOKUP($W$8,Treecost!$B$2:$AH$49,Treecost!$Q$2,FALSE),0)+IF(AND(V40&gt;VLOOKUP($W$8,Treecost!$B$2:$AH$49,Treecost!$O$2,FALSE),V40&lt;=VLOOKUP($W$8,Treecost!$B$2:$AH$49,Treecost!$R$2,FALSE)),VLOOKUP($W$8,Treecost!$B$2:$AH$49,Treecost!$T$2,FALSE),0)*IF(1+'Options and results'!$Q$22*(V40-1)&gt;0,1+'Options and results'!$Q$22*(V40-1),0))+(BK40*$AX$16+BL40*$AX$17)*IF(1+'Options and results'!$Q$21*(V40-1)&gt;0,1+'Options and results'!$Q$21*(V40-1),0))*IF(V40&gt;='Options and results'!$I$27,'Options and results'!$I$26,1),0))</f>
        <v>0</v>
      </c>
      <c r="BN40" s="894">
        <f>IF($W$8=0,0,IF(V40&lt;='Options and results'!$W$20,IF(AND(V40&gt;=VLOOKUP($W$8,Treecost!$B$2:$W$49,Treecost!$U$2,FALSE),V40&lt;=VLOOKUP($W$8,Treecost!$B$2:$W$49,Treecost!$V$2,FALSE)),(AB40*VLOOKUP($W$8,Treecost!$B$2:$W$49,Treecost!$W$2,FALSE)/60),0)*IF(V40&gt;='Options and results'!$I$25,'Options and results'!$I$24,1),0))</f>
        <v>0</v>
      </c>
      <c r="BO40" s="740">
        <f>BN40*$AX$18*IF(V40&gt;='Options and results'!$I$27,'Options and results'!$I$26,1)*IF(1+'Options and results'!$Q$21*(V40-1)&gt;0,1+'Options and results'!$Q$21*(V40-1),0)</f>
        <v>0</v>
      </c>
      <c r="BP40" s="894">
        <f>IF(V40&lt;='Options and results'!$W$20,IF(AB40&lt;=0,0,VLOOKUP($W$8,Treecost!$B$6:$AH$49,Treecost!$AC$2,FALSE)+VLOOKUP($W$8,Treecost!$B$6:$AH$49,Treecost!$AD$2,FALSE)+IF(AND(V40&gt;=VLOOKUP($W$8,Treecost!$B$2:$AK$49,Treecost!$AI$2,FALSE),V40&lt;=VLOOKUP($W$8,Treecost!$B$2:$AK$49,Treecost!$AJ$2,FALSE)),(VLOOKUP($W$8,Treecost!$B$2:$AK$49,Treecost!$AK$2,FALSE)),0))*IF(V40&gt;='Options and results'!$I$27,'Options and results'!$I$26,1),0)*IF(1+'Options and results'!$Q$22*(V40-1)&gt;0,1+'Options and results'!$Q$22*(V40-1),0)</f>
        <v>0</v>
      </c>
      <c r="BQ40" s="894">
        <f>IF(V40&lt;='Options and results'!$W$20,IF(AC40&gt;0,VLOOKUP($W$8,Treecost!$B$6:$AH$49,Treecost!$AE$2,FALSE)/60*AC40,0)*IF(V40&gt;='Options and results'!$I$25,'Options and results'!$I$24,1),0)</f>
        <v>0</v>
      </c>
      <c r="BR40" s="740">
        <f>IF(V40&lt;='Options and results'!$W$20,IF(AC40&gt;0,VLOOKUP($W$8,Treecost!$B$6:$AH$49,Treecost!$AF$2,FALSE)/60*AC40,0)*IF(V40&gt;='Options and results'!$I$25,'Options and results'!$I$24,1),0)</f>
        <v>0</v>
      </c>
      <c r="BS40" s="740">
        <f>(BQ40*$AX$20+BR40*$AX$21)*IF(V40&gt;='Options and results'!$I$27,'Options and results'!$I$26,1)*IF(1+'Options and results'!$Q$21*(V40-1)&gt;0,1+'Options and results'!$Q$21*(V40-1),0)</f>
        <v>0</v>
      </c>
      <c r="BT40" s="894">
        <f>IF(V40&lt;='Options and results'!$W$20,IF(AD40&gt;0,(VLOOKUP($W$8,Treecost!$B$6:$AH$49,Treecost!$AG$2,FALSE)/60*AD40)*IF(V40&gt;='Options and results'!$I$25,'Options and results'!$I$24,1),0),0)</f>
        <v>0</v>
      </c>
      <c r="BU40" s="740">
        <f>IF(V40&lt;='Options and results'!$W$20,IF(AD40&gt;0,(VLOOKUP($W$8,Treecost!$B$6:$AH$49,Treecost!$AH$2,FALSE)/60*AD40)*IF(V40&gt;='Options and results'!$I$25,'Options and results'!$I$24,1),0),0)</f>
        <v>0</v>
      </c>
      <c r="BV40" s="740">
        <f>(BT40*$AX$22+BU40*$AX$23)*IF(V40&gt;='Options and results'!$I$27,'Options and results'!$I$26,1)*IF(1+'Options and results'!$Q$21*(V40-1)&gt;0,1+'Options and results'!$Q$21*(V40-1),0)</f>
        <v>0</v>
      </c>
      <c r="BW40" s="1033">
        <f t="shared" si="138"/>
        <v>0</v>
      </c>
      <c r="BX40" s="1027">
        <f t="shared" si="139"/>
        <v>0</v>
      </c>
      <c r="BY40" s="1027">
        <f t="shared" si="140"/>
        <v>0</v>
      </c>
      <c r="BZ40" s="740">
        <f t="shared" ref="BZ40:BZ67" si="188">BV40+BS40+BP40+BJ40+BG40+BE40+BM40+BO40</f>
        <v>0</v>
      </c>
      <c r="CA40" s="740">
        <f t="shared" si="141"/>
        <v>0</v>
      </c>
      <c r="CB40" s="894">
        <f>IF($V40&lt;='Options and results'!$W$20,SUM(BX$8:$BX40),0)</f>
        <v>0</v>
      </c>
      <c r="CC40" s="740">
        <f>IF($V40&lt;='Options and results'!$W$20,SUM($BY$8:BY40),0)</f>
        <v>0</v>
      </c>
      <c r="CD40" s="740">
        <f>IF($V40&lt;='Options and results'!$W$20,SUM($BZ$8:BZ40),0)</f>
        <v>0</v>
      </c>
      <c r="CE40" s="740">
        <f>IF(V40&lt;='Options and results'!$W$20,CB40+CC40-CD40,0)</f>
        <v>0</v>
      </c>
      <c r="CF40" s="1381">
        <f t="shared" si="142"/>
        <v>0</v>
      </c>
      <c r="CG40" s="1027">
        <f t="shared" si="143"/>
        <v>0</v>
      </c>
      <c r="CH40" s="1027">
        <f t="shared" si="144"/>
        <v>0</v>
      </c>
      <c r="CI40" s="1189">
        <f>IF(V40&lt;='Options and results'!$W$20,CE40+AO40,0)</f>
        <v>0</v>
      </c>
      <c r="CJ40" s="1023"/>
      <c r="CK40" s="895">
        <f t="shared" si="145"/>
        <v>33</v>
      </c>
      <c r="CL40" s="1011" t="str">
        <f>IF('Options and results'!$C$54="None",0,IF(AND(CK40&gt;='Options and results'!$K$57,CK39&lt;'Options and results'!$W$20),'Options and results'!$K$56,IF(Optimisation!$B$3="No",CONCATENATE('Options and results'!$C$60," ",(HLOOKUP(CONCATENATE('Options and results'!$C$54," ",Agroforestrysystem!$B$12),Agroforestrysystem!$B$11:$IM$74,$CK40+4,FALSE))),Optimisation!AA60)))</f>
        <v xml:space="preserve">UK - Agriculture (BPS: from 2015) </v>
      </c>
      <c r="CM40" s="1012">
        <f>IF(HLOOKUP(CONCATENATE('Options and results'!$C$54," ",Agroforestrysystem!$C$12),Agroforestrysystem!$B$11:$IM$74,$CK40+4,FALSE)="T",(VLOOKUP(CL40,Arablefinance!$Z$6:$AB$105,Arablefinance!$AB$2,FALSE)*CO40+VLOOKUP(CL40,Arablefinance!$Z$6:$AC$105,Arablefinance!$AC$2,FALSE)*CP40)/VLOOKUP(CL40,Arablefinance!$Z$6:$AA$105,Arablefinance!$AA$2,FALSE),0)</f>
        <v>0</v>
      </c>
      <c r="CN40" s="1012">
        <f>IF(CL40=0,0,HLOOKUP(CONCATENATE('Options and results'!$C$54," ",Agroforestrysystem!$D$12),Agroforestrysystem!$B$11:$IM$74,$CK40+4,FALSE))</f>
        <v>0</v>
      </c>
      <c r="CO40" s="1440">
        <f ca="1">IF(CL40=0,0,IF(AND(Optimisation!$B$3="yes",Optimisation!$B$4=1,CK40&gt;Optimisation!$B$9),0,HLOOKUP(CONCATENATE('Options and results'!$C$54," ",Agroforestrysystem!$E$12),Agroforestrysystem!$B$11:$IM$74,$CK40+4,FALSE)*IF(CK40&gt;='Options and results'!$J$19,'Options and results'!$J$18,1)))</f>
        <v>0</v>
      </c>
      <c r="CP40" s="1440">
        <f ca="1">IF(CL40=0,0,IF(AND(Optimisation!$B$3="yes",Optimisation!$B$4=1,CK40&gt;Optimisation!$B$9),0,HLOOKUP(CONCATENATE('Options and results'!$C$54," ",Agroforestrysystem!$F$12),Agroforestrysystem!$B$11:$IM$74,$CK40+4,FALSE)*IF(CK40&gt;='Options and results'!$J$19,'Options and results'!$J$18,1)))</f>
        <v>0</v>
      </c>
      <c r="CQ40" s="1013">
        <f>IF(CN40&lt;=0,0,IF(CK40&lt;='Options and results'!$W$20,IF(CM40&gt;0,VLOOKUP(CL40,Arablefinance!$Z$6:$AE$105,Arablefinance!$AD$2,FALSE)*CM40*CN40,((VLOOKUP(CL40,Arablefinance!$E$6:$H$126,2,FALSE)*CO40+VLOOKUP(CL40,Arablefinance!$E$6:$H$126,3,FALSE)*CP40)*CN40)),0)*IF(CK40&gt;='Options and results'!$J$21,'Options and results'!$J$20,1))*IF(1+'Options and results'!$O$20*(CK40-1)&gt;0,1+'Options and results'!$O$20*(CK40-1),0)</f>
        <v>0</v>
      </c>
      <c r="CR40" s="1441">
        <f>IF(CN40&lt;=0,0,IF(AND(CM40&gt;0,VLOOKUP(CL40,Arablefinance!$Z$6:$AI$105,Arablefinance!$AI$2,FALSE)=2),VLOOKUP(CL40,Arablefinance!$Z$6:$AE$105,Arablefinance!$AE$2,FALSE)*CM40*CN40,IF('Options and results'!$C$62&gt;0,IF(VLOOKUP(CL40,Arablefinance!$E$6:$W$126,Arablefinance!$H$2,FALSE)*(1-Plot!DM40*'Options and results'!$C$62)&gt;0,VLOOKUP(CL40,Arablefinance!$E$6:$W$126,Arablefinance!$H$2,FALSE)*(1-Plot!DM40*'Options and results'!$C$62),0),IF(CK40&lt;='Options and results'!$W$20,(VLOOKUP(CL40,Arablefinance!$E$6:$W$126,Arablefinance!$H$2,FALSE)*IF('Options and results'!$C$61="area",CN40,'Options and results'!$C$61)),0)))*IF(CK40&gt;='Options and results'!$J$23,'Options and results'!$J$22,1))*IF(AND(1+'Options and results'!$O$23*(CK40-1)&gt;0,1+'Options and results'!$O$23*(CK40-1)&gt;'Options and results'!$S$24),1+'Options and results'!$O$23*(CK40-1),'Options and results'!$S$24)</f>
        <v>0</v>
      </c>
      <c r="CS40" s="1441">
        <f t="shared" si="185"/>
        <v>0</v>
      </c>
      <c r="CT40" s="1441">
        <f>IF(CN40&lt;=0,0,IF(CK40&lt;='Options and results'!$W$20,IF(CM40&gt;0,VLOOKUP(CL40,Arablefinance!$Z$6:$AF$105,Arablefinance!$AF$2,FALSE)*CM40*CN40,VLOOKUP(CL40,Arablefinance!$E$6:$X$126,Arablefinance!$R$2,FALSE)*CN40),0)*IF(CK40&gt;='Options and results'!$J$27,'Options and results'!$J$26,1))*IF(1+'Options and results'!$O$22*(CK40-1)&gt;0,1+'Options and results'!$O$22*(CK40-1),0)</f>
        <v>0</v>
      </c>
      <c r="CU40" s="1441">
        <f t="shared" si="186"/>
        <v>0</v>
      </c>
      <c r="CV40" s="1441">
        <f>IF(CN40&lt;=0,0,IF(CK40&lt;='Options and results'!$W$20,IF(CM40&gt;0,VLOOKUP(CL40,Arablefinance!$Z$6:$AG$105,Arablefinance!$AG$2,FALSE)*CM40*CN40,VLOOKUP(CL40,Arablefinance!$E$6:$X$126,Arablefinance!$X$2,FALSE)*CN40),0)*IF(CK40&gt;='Options and results'!$J$27,'Options and results'!$J$26,1))*IF(1+'Options and results'!$O$22*(CK40-1)&gt;0,1+'Options and results'!$O$22*(CK40-1),0)</f>
        <v>0</v>
      </c>
      <c r="CW40" s="1442">
        <f>IF(CN40&lt;=0,0,IF(CK40&lt;='Options and results'!$W$20,'Options and results'!$C$27*IF(CK40&gt;='Options and results'!$J$27,'Options and results'!$J$26,1),0))*IF(1+'Options and results'!$O$21*(CK40-1)&gt;0,1+'Options and results'!$O$21*(CK40-1),0)</f>
        <v>0</v>
      </c>
      <c r="CX40" s="1442">
        <f>IF(CN40&lt;=0,0,IF(CK40&lt;='Options and results'!$W$20,IF(CM40&gt;0,VLOOKUP(CL40,Arablefinance!$Z$6:$AH$105,Arablefinance!$AH$2,FALSE)*CM40*CN40,VLOOKUP(CL40,Arablefinance!$E$6:$W$126,Arablefinance!$V$2,FALSE)*CN40),0)*IF(CK40&gt;='Options and results'!$J$25,'Options and results'!$J$24,1))</f>
        <v>0</v>
      </c>
      <c r="CY40" s="1013">
        <f t="shared" si="148"/>
        <v>0</v>
      </c>
      <c r="CZ40" s="1353">
        <f t="shared" si="149"/>
        <v>0</v>
      </c>
      <c r="DA40" s="1013">
        <f>IF($CK40&lt;='Options and results'!$W$20,SUM($CQ$8:CQ40),0)</f>
        <v>0</v>
      </c>
      <c r="DB40" s="1441">
        <f>IF($CK40&lt;='Options and results'!$W$20,SUM($CR$8:CR40),0)</f>
        <v>0</v>
      </c>
      <c r="DC40" s="1441">
        <f>IF($CK40&lt;='Options and results'!$W$20,SUM($CY$8:CY40),0)</f>
        <v>0</v>
      </c>
      <c r="DD40" s="1189">
        <f>IF(CK40&lt;='Options and results'!$W$20,DA40+DB40-DC40,0)</f>
        <v>0</v>
      </c>
      <c r="DE40" s="1023"/>
      <c r="DF40" s="895">
        <f t="shared" si="150"/>
        <v>33</v>
      </c>
      <c r="DG40" s="173"/>
      <c r="DH40" s="1422"/>
      <c r="DI40" s="1427">
        <f>IF(DF40&lt;='Options and results'!$M$61,'Options and results'!$M$60,0)</f>
        <v>0</v>
      </c>
      <c r="DJ40" s="740">
        <f t="shared" si="151"/>
        <v>0</v>
      </c>
      <c r="DK40" s="740">
        <f t="shared" si="152"/>
        <v>0</v>
      </c>
      <c r="DL40" s="1428">
        <f t="shared" si="153"/>
        <v>0</v>
      </c>
      <c r="DM40" s="1429">
        <f>IF($DG$8=0,0,HLOOKUP(CONCATENATE('Options and results'!$C$54," ",Agroforestrysystem!$J$12),Agroforestrysystem!$11:$74,DF40+3,FALSE))/100</f>
        <v>0</v>
      </c>
      <c r="DN40" s="740">
        <f>IF($DG$8=0,0,IF(HLOOKUP(CONCATENATE('Options and results'!$C$54," ",Agroforestrysystem!$H$12),Agroforestrysystem!$11:$74,DF40+4,FALSE)&lt;DL40,HLOOKUP(CONCATENATE('Options and results'!$C$54," ",Agroforestrysystem!$H$12),Agroforestrysystem!$11:$74,DF40+4,FALSE),0))</f>
        <v>0</v>
      </c>
      <c r="DO40" s="1027">
        <f>IF($DG$8=0,0,IF(HLOOKUP(CONCATENATE('Options and results'!$C$54," ",Agroforestrysystem!$H$12),Agroforestrysystem!$11:$74,DF40+4,FALSE)&gt;=DL40,DL40,0))</f>
        <v>0</v>
      </c>
      <c r="DP40" s="1430">
        <f>IF($DG$8=0,0,HLOOKUP(CONCATENATE('Options and results'!$C$54," ",Agroforestrysystem!$I$12),Agroforestrysystem!$11:$74,DF40+4,FALSE))</f>
        <v>0</v>
      </c>
      <c r="DQ40" s="1038"/>
      <c r="DR40" s="1430">
        <f>IF($DG$8=0,0,IF(DF40&gt;'Options and results'!$W$20,0,)+IF(DF40=1,'Options and results'!$M$64)+IF('Options and results'!$M$67="yes",IF(AND(DR39+'Options and results'!$M$65&lt;=$DQ$8,DR39+'Options and results'!$M$65+IF(DF40=1,'Options and results'!$M$64,0)&lt;='Options and results'!$M$66*DP40),DR39+'Options and results'!$M$65,DR39),(HLOOKUP(CONCATENATE('Options and results'!$C$54," ",Agroforestrysystem!$K$12),Agroforestrysystem!$11:$74,DF40+4,FALSE)-IF(DF40=1,'Options and results'!$M$64))))</f>
        <v>0</v>
      </c>
      <c r="DS40" s="1027">
        <f>IF(OR($DG$8=0,DL40=0),0,HLOOKUP(CONCATENATE('Options and results'!$C$54," ",Agroforestrysystem!$L$12),Agroforestrysystem!$11:$74,DF40+4,FALSE)*IF(DF40&gt;='Options and results'!$K$19,'Options and results'!$K$18,1))</f>
        <v>0</v>
      </c>
      <c r="DT40" s="1431">
        <f t="shared" si="154"/>
        <v>0</v>
      </c>
      <c r="DU40" s="889">
        <f t="shared" si="155"/>
        <v>0</v>
      </c>
      <c r="DV40" s="1027">
        <f>IF($DG$8=0,0,(HLOOKUP(CONCATENATE('Options and results'!$C$54," ",Agroforestrysystem!$M$12),Agroforestrysystem!$11:$74,DF40+4,FALSE))*IF(DF40&gt;='Options and results'!$K$19,'Options and results'!$K$18,1))-DW40</f>
        <v>0</v>
      </c>
      <c r="DW40" s="303">
        <f>IF($DG$8=0,0,(HLOOKUP(CONCATENATE('Options and results'!$C$54," ",Agroforestrysystem!$N$12),Agroforestrysystem!$11:$74,DF40+4,FALSE))*IF(DF40&gt;='Options and results'!$K$19,'Options and results'!$K$18,1))</f>
        <v>0</v>
      </c>
      <c r="DX40" s="303">
        <f>IF($DG$8=0,0,HLOOKUP(CONCATENATE('Options and results'!$C$54," ",Agroforestrysystem!$O$12),Agroforestrysystem!$11:$74,DF40+4,FALSE)*IF(DF40&gt;='Options and results'!$K$19,'Options and results'!$K$18,1))</f>
        <v>0</v>
      </c>
      <c r="DY40" s="1192">
        <f>IF(DT40&gt;0,HLOOKUP(DT40,Treevalue!$I$4:$BC$34,'Options and results'!$C$66+1),0)*IF(DF40&gt;='Options and results'!$K$21,'Options and results'!$K$20,1)*IF(1+'Options and results'!$Q$20*(DF40-1)&gt;0,1+'Options and results'!$Q$20*(DF40-1),0)</f>
        <v>0</v>
      </c>
      <c r="DZ40" s="1027">
        <f>DT40*DY40*(DL40-(DN40+DO40))</f>
        <v>0</v>
      </c>
      <c r="EA40" s="1027">
        <f t="shared" si="125"/>
        <v>0</v>
      </c>
      <c r="EB40" s="1027">
        <f>(IF('Options and results'!$C$66&gt;0,IF(DF40&lt;='Options and results'!$W$20,VLOOKUP('Options and results'!$C$66,Treevalue!$A$4:$F$34,5,FALSE),0),0)*DV40)*IF(DF40&gt;='Options and results'!$K$21,'Options and results'!$K$20,1)*IF(1+'Options and results'!$Q$20*(DF40-1)&gt;0,1+'Options and results'!$Q$20*(DF40-1),0)</f>
        <v>0</v>
      </c>
      <c r="EC40" s="740">
        <f>(IF('Options and results'!$C$66&gt;0,IF(DF40&lt;='Options and results'!$W$20,VLOOKUP('Options and results'!$C$66,Treevalue!$A$4:$F$34,5,FALSE),0),0)*DW40)*IF(DF40&gt;='Options and results'!$K$21,'Options and results'!$K$20,1)*IF(1+'Options and results'!$Q$20*(DF40-1)&gt;0,1+'Options and results'!$Q$20*(DF40-1),0)</f>
        <v>0</v>
      </c>
      <c r="ED40" s="889">
        <f>(IF('Options and results'!$C$66&gt;0,IF(DF40&lt;='Options and results'!$W$20,VLOOKUP('Options and results'!$C$66,Treevalue!$A$4:$F$34,6,FALSE),0),0)*DX40)*IF(DF40&gt;='Options and results'!$K$21,'Options and results'!$K$20,1)*IF(1+'Options and results'!$Q$20*(DF40-1)&gt;0,1+'Options and results'!$Q$20*(DF40-1),0)</f>
        <v>0</v>
      </c>
      <c r="EE40" s="740">
        <f>IF(DF40&lt;='Options and results'!$W$20,IF(DL40&lt;=0,0,IF('Options and results'!$C$70="cost",(IF(DF40&lt;='Options and results'!$C$71,FK40*SUM('Options and results'!$C$72:$C$73),0)),IF('Options and results'!$C$68&gt;0,(IF(VLOOKUP('Options and results'!$C$69,Treegrant!$B$6:$L$42,Treegrant!$C$2,FALSE)=DF40,VLOOKUP('Options and results'!$C$69,Treegrant!$B$6:$L$42,Treegrant!$D$2,FALSE),0)+IF(VLOOKUP('Options and results'!$C$69,Treegrant!$B$6:$L$42,Treegrant!$E$2,FALSE)=DF40,VLOOKUP('Options and results'!$C$69,Treegrant!$B$6:$L$42,Treegrant!$F$2,FALSE),0)+IF(VLOOKUP('Options and results'!$C$69,Treegrant!$B$6:$L$42,Treegrant!$G$2,FALSE)=DF40,VLOOKUP('Options and results'!$C$69,Treegrant!$B$6:$L$42,Treegrant!$H$2,FALSE)))*IF('Options and results'!$C$70="area",Unit!C41,'Options and results'!$C$70),0))*IF(DF40&gt;='Options and results'!$K$23,'Options and results'!$K$22,1)),0)*IF(1+'Options and results'!$Q$23*(DF40-1)&gt;0,1+'Options and results'!$Q$23*(DF40-1),0)</f>
        <v>0</v>
      </c>
      <c r="EF40" s="740">
        <f>IF($DG$8=0,0,IF(DF40&lt;='Options and results'!$W$20,IF(DL40&lt;=0,0,IF('Options and results'!$C$68&gt;0,IF(AND(VLOOKUP('Options and results'!$C$69,Treegrant!$B$6:$L$42,Treegrant!$J$2,FALSE)&lt;=DF40,VLOOKUP('Options and results'!$C$69,Treegrant!$B$6:$L$42,Treegrant!$K$2,FALSE)&gt;=DF40),(VLOOKUP('Options and results'!$C$69,Treegrant!$B$6:$L$42,Treegrant!$L$2,FALSE)),0)*IF('Options and results'!$C$74="area",Unit!C41,'Options and results'!$C$74))*IF(DF40&gt;='Options and results'!$K$23,'Options and results'!$K$22,1)),0))*IF(1+'Options and results'!$Q$23*(DF40-1)&gt;0,1+'Options and results'!$Q$23*(DF40-1),0)</f>
        <v>0</v>
      </c>
      <c r="EG40" s="1034">
        <f>IF($DG$8=0,0,IF(DF40&lt;='Options and results'!$W$20,IF(DL40&lt;=0,0,IF('Options and results'!$C$68&gt;0,((IF(AND(VLOOKUP('Options and results'!$C$69,Treegrant!$B$6:$O$42,Treegrant!$M$2,FALSE)&lt;=DF40,VLOOKUP('Options and results'!$C$69,Treegrant!$B$6:$O$42,Treegrant!$N$2,FALSE)&gt;=DF40),(VLOOKUP('Options and results'!$C$69,Treegrant!$B$6:$O$42,Treegrant!$O$2,FALSE)),0)*IF('Options and results'!$C$75="area",Unit!C41,'Options and results'!$C$75))+(IF(AND(VLOOKUP('Options and results'!$C$69,Treegrant!$B$6:$R$42,Treegrant!$P$2,FALSE)&lt;=DF40,VLOOKUP('Options and results'!$C$69,Treegrant!$B$6:$R$42,Treegrant!$Q$2,FALSE)&gt;=DF40),(VLOOKUP('Options and results'!$C$69,Treegrant!$B$6:$R$42,Treegrant!$R$2,FALSE)),0))*IF('Options and results'!$C$76="area",Unit!C41,'Options and results'!$C$76)))*IF(DF40&gt;='Options and results'!$K$23,'Options and results'!$K$22,1)),0))*IF(1+'Options and results'!$Q$23*(DF40-1)&gt;0,1+'Options and results'!$Q$23*(DF40-1),0)</f>
        <v>0</v>
      </c>
      <c r="EH40" s="1041"/>
      <c r="EI40" s="1042"/>
      <c r="EJ40" s="1419">
        <f>IF($DH$8+DK40&lt;1,0,IF(DF40=1,VLOOKUP($DG$8,Treecost!$B$6:$AH$49,Treecost!$E$2,FALSE),0)*IF(DF40&gt;='Options and results'!$K$25,'Options and results'!$K$24,1))</f>
        <v>0</v>
      </c>
      <c r="EK40" s="889">
        <f>IF($DH$8+DK40&lt;1,0,IF(DF40=1,VLOOKUP($DG$8,Treecost!$B$6:$AH$49,Treecost!$F$2,FALSE),0)*IF(DF40&gt;='Options and results'!$K$25,'Options and results'!$K$24,1))</f>
        <v>0</v>
      </c>
      <c r="EL40" s="889">
        <f>IF($DH$8+DK40&lt;1,0,IF(DF40=1,VLOOKUP($DG$8,Treecost!$B$6:$AH$49,Treecost!$G$2,FALSE),0)*IF(DF40&gt;='Options and results'!$K$25,'Options and results'!$K$24,1))</f>
        <v>0</v>
      </c>
      <c r="EM40" s="889">
        <f>IF($DG$8=0,0,IF(DF40&lt;='Options and results'!$W$20,((VLOOKUP($DG$8,Treecost!$B$6:$AH$49,Treecost!$H$2,FALSE)*(DH40+DK40))/60)*IF(DF40&gt;='Options and results'!$K$25,'Options and results'!$K$24,1),0))</f>
        <v>0</v>
      </c>
      <c r="EN40" s="889">
        <f>IF($DG$8=0,0,IF(DF40&lt;='Options and results'!$W$20,(((VLOOKUP($DG$8,Treecost!$B$6:$AH$49,Treecost!$I$2,FALSE))*(DH40+DK40))/60)*IF(DF40&gt;='Options and results'!$K$25,'Options and results'!$K$24,1),0))</f>
        <v>0</v>
      </c>
      <c r="EO40" s="889">
        <f>IF($DG$8=0,0,IF(DF40&lt;='Options and results'!$W$20,(((VLOOKUP($DG$8,Treecost!$B$6:$AH$49,Treecost!$J$2,FALSE))/60)*(DH40+DK40))*IF(DF40&gt;='Options and results'!$K$25,'Options and results'!$K$24,1),0))</f>
        <v>0</v>
      </c>
      <c r="EP40" s="1019">
        <f>IF($DG$8=0,0,IF(DF40&lt;='Options and results'!$W$20,(((VLOOKUP($DG$8,Treecost!$B$6:$AH$49,Treecost!$C$2,FALSE)+VLOOKUP($DG$8,Treecost!$B$6:$AH$49,Treecost!$D$2,FALSE))*(DH40+DK40)*IF(1+'Options and results'!$Q$22*(DF40-1)&gt;0,1+'Options and results'!$Q$22*(DF40-1),0))+(EJ40*$EI$8+EK40*$EI$9+EL40*$EI$10+EM40*$EI$11+EN40*$EI$12+EO40*$EI$13)*IF(1+'Options and results'!$Q$21*(DF40-1)&gt;0,1+'Options and results'!$Q$21*(DF40-1),0))*IF(DF40&gt;='Options and results'!$K$27,'Options and results'!$K$26,1),0))</f>
        <v>0</v>
      </c>
      <c r="EQ40" s="740">
        <f>IF($DG$8=0,0,IF(DF40&lt;='Options and results'!$W$20,IF(AND(VLOOKUP($DG$8,Treecost!$B$6:$AH$49,Treecost!$K$2,FALSE)&lt;=DF40,DF40&lt;=(VLOOKUP($DG$8,Treecost!$B$6:$AH$49,Treecost!$L$2,FALSE))),VLOOKUP($DG$8,Treecost!$B$6:$AH$49,Treecost!$M$2,FALSE)*DL40/60,0)*IF(DF40&gt;='Options and results'!$K$25,'Options and results'!$K$24,1),0))</f>
        <v>0</v>
      </c>
      <c r="ER40" s="1019">
        <f>IF(EQ40&gt;0,(VLOOKUP($DG$8,Treecost!$B$6:$AH$49,Treecost!$N$2,FALSE)*DL40*IF(1+'Options and results'!$Q$22*(DF40-1)&gt;0,1+'Options and results'!$Q$22*(DF40-1),0)+EQ40*$EI$14*IF(1+'Options and results'!$Q$21*(DF40-1)&gt;0,1+'Options and results'!$Q$21*(DF40-1),0)),0)*IF(DF40&gt;='Options and results'!$K$27,'Options and results'!$K$26,1)</f>
        <v>0</v>
      </c>
      <c r="ES40" s="889">
        <f>IF(DF40&lt;='Options and results'!$W$20,IF(AND(DR40-DR39&gt;0,DR40&gt;'Options and results'!$M$64),(DL40-DN40)*(VLOOKUP($DG$8,Treecost!$B$6:$AH$49,Treecost!$Y$2,FALSE)+(VLOOKUP($DG$8,Treecost!$B$6:$AH$49,Treecost!$AA$2,FALSE)-VLOOKUP($DG$8,Treecost!$B$6:$AH$49,Treecost!$Y$2,FALSE))/(VLOOKUP($DG$8,Treecost!$B$6:$AH$49,Treecost!$Z$2,FALSE)-VLOOKUP($DG$8,Treecost!$B$6:$AH$49,Treecost!$X$2,FALSE))*(DR40-VLOOKUP($DG$8,Treecost!$B$6:$AH$49,Treecost!$X$2,FALSE)))/60,0)*IF(DF40&gt;='Options and results'!$K$25,'Options and results'!$K$24,1),0)</f>
        <v>0</v>
      </c>
      <c r="ET40" s="889">
        <f>IF(DF40&lt;='Options and results'!$W$20,IF(ES40&gt;0,VLOOKUP($DG$8,Treecost!$B$6:$AH$49,Treecost!$AB$2,FALSE)/60*DL40,0)*IF(DF40&gt;='Options and results'!$K$25,'Options and results'!$K$24,1),0)*((ES40-(MIN($ES$8:$ES$67)))/((MAX($ES$8:$ES$67))-(MIN($ES$8:$ES$67))))</f>
        <v>0</v>
      </c>
      <c r="EU40" s="740">
        <f>IF(ES40&gt;0,(ES40*$EI$15+ET40*$EI$19)*IF(1+'Options and results'!$Q$21*(DF40-1)&gt;0,1+'Options and results'!$Q$21*(DF40-1),0),0)*IF(DF40&gt;='Options and results'!$K$27,'Options and results'!$K$26,1)</f>
        <v>0</v>
      </c>
      <c r="EV40" s="891">
        <f>IF($DG$8=0,0,IF(DF40&lt;='Options and results'!$W$20,IF(AND(VLOOKUP($DG$8,Treecost!$B$2:$AH$49,Treecost!$O$2,FALSE)=DF40,DF40&lt;=IF(AND(Optimisation!$B$3="Yes",Optimisation!$B$4=1),Optimisation!$B$9)),VLOOKUP($DG$8,Treecost!$B$2:$AH$49,Treecost!$P$2,FALSE)*(1-CN40),0)*IF(DF40&gt;='Options and results'!$K$25,'Options and results'!$K$24,1),0))</f>
        <v>0</v>
      </c>
      <c r="EW40" s="889">
        <f>IF($DG$8=0,0,IF(DF40&lt;='Options and results'!$W$20,IF(AND(DF40&gt;VLOOKUP($DG$8,Treecost!$B$2:$AH$49,Treecost!$O$2,FALSE),DF40&lt;=IF(AND(Optimisation!$B$3="Yes",Optimisation!$B$4=1),Optimisation!$B$9,VLOOKUP($DG$8,Treecost!$B$2:$AH$49,Treecost!$R$2,FALSE))),VLOOKUP($DG$8,Treecost!$B$2:$AH$49,Treecost!$S$2,FALSE)*(1-CN40),0)*IF(DF40&gt;='Options and results'!$K$25,'Options and results'!$K$24,1),0))</f>
        <v>0</v>
      </c>
      <c r="EX40" s="740">
        <f>IF($DG$8=0,0,IF(DF40&lt;='Options and results'!$W$20,(IF(AND(VLOOKUP($DG$8,Treecost!$B$2:$AH$49,Treecost!$O$2,FALSE)=DF40,DF40&lt;=IF(AND(Optimisation!$B$3="Yes",Optimisation!$B$4=1),Optimisation!$B$9)),VLOOKUP($DG$8,Treecost!$B$2:$AH$49,Treecost!$Q$2,FALSE),0)*(1-CN40)+IF(AND(DF40&gt;VLOOKUP($DG$8,Treecost!$B$2:$AH$49,Treecost!$O$2,FALSE),DF40&lt;=IF(AND(Optimisation!$B$3="Yes",Optimisation!$B$4=1),Optimisation!$B$9,VLOOKUP($DG$8,Treecost!$B$2:$AH$49,Treecost!$R$2,FALSE))),VLOOKUP($DG$8,Treecost!$B$2:$AH$49,Treecost!$T$2,FALSE),0)*(1-CN40)+(EV40*$EI$16+EW40*$EI$17))*IF(DF40&gt;='Options and results'!$K$27,'Options and results'!$K$26,1),0))*IF(1+'Options and results'!$Q$21*(DF40-1)&gt;0,1+'Options and results'!$Q$21*(DF40-1),0)</f>
        <v>0</v>
      </c>
      <c r="EY40" s="894">
        <f>IF($DG$8=0,0,IF(DF40&lt;='Options and results'!$W$20,IF(AND(DF40&gt;=VLOOKUP($DG$8,Treecost!$B$2:$W$49,Treecost!$U$2,FALSE),DF40&lt;=VLOOKUP($DG$8,Treecost!$B$2:$W$49,Treecost!$V$2,FALSE)),(DL40*VLOOKUP($DG$8,Treecost!$B$2:$W$49,Treecost!$W$2,FALSE)/60),0)*IF(DF40&gt;='Options and results'!$K$25,'Options and results'!$K$24,1),0))</f>
        <v>0</v>
      </c>
      <c r="EZ40" s="740">
        <f>EY40*$EI$18*IF(DF40&gt;='Options and results'!$K$27,'Options and results'!$K$26,1)*IF(1+'Options and results'!$Q$21*(DF40-1)&gt;0,1+'Options and results'!$Q$21*(DF40-1),0)</f>
        <v>0</v>
      </c>
      <c r="FA40" s="1025">
        <f>IF(DF40&lt;='Options and results'!$W$20,IF(DL40&lt;=0,0,VLOOKUP($DG$8,Treecost!$B$6:$AH$49,Treecost!$AC$2,FALSE)+VLOOKUP($DG$8,Treecost!$B$6:$AH$49,Treecost!$AD$2,FALSE)+IF(AND(DF40&gt;=VLOOKUP($DG$8,Treecost!$B$2:$AK$49,Treecost!$AI$2,FALSE),DF40&lt;=VLOOKUP($DG$8,Treecost!$B$2:$AK$49,Treecost!$AJ$2,FALSE)),VLOOKUP($DG$8,Treecost!$B$2:$AK$49,Treecost!$AK$2,FALSE)*(1-CN40),0))*IF(DF40&gt;='Options and results'!$K$27,'Options and results'!$K$26,1),0)*IF(1+'Options and results'!$Q$22*(DF40-1)&gt;0,1+'Options and results'!$Q$22*(DF40-1),0)</f>
        <v>0</v>
      </c>
      <c r="FB40" s="894">
        <f>IF(DF40&lt;='Options and results'!$W$20,IF(DN40&gt;0,VLOOKUP($DG$8,Treecost!$B$6:$AH$49,Treecost!$AE$2,FALSE)/60*DN40,0)*IF(DF40&gt;='Options and results'!$K$25,'Options and results'!$K$24,1),0)</f>
        <v>0</v>
      </c>
      <c r="FC40" s="740">
        <f>IF(DF40&lt;='Options and results'!$W$20,IF(DN40&gt;0,VLOOKUP($DG$8,Treecost!$B$6:$AH$49,Treecost!$AF$2,FALSE)/60*DN40,0)*IF(DF40&gt;='Options and results'!$K$25,'Options and results'!$K$24,1),0)</f>
        <v>0</v>
      </c>
      <c r="FD40" s="740">
        <f>(FB40*$EI$20+FC40*$EI$21)*IF(DF40&gt;='Options and results'!$K$27,'Options and results'!$K$26,1)*IF(1+'Options and results'!$Q$21*(DF40-1)&gt;0,1+'Options and results'!$Q$21*(DF40-1),0)</f>
        <v>0</v>
      </c>
      <c r="FE40" s="894">
        <f>IF(DF40&lt;='Options and results'!$W$20,IF(DO40&gt;0,(VLOOKUP($DG$8,Treecost!$B$6:$AH$49,Treecost!$AG$2,FALSE)/60*DO40)*IF(DF40&gt;='Options and results'!$K$25,'Options and results'!$K$24,1),0),0)</f>
        <v>0</v>
      </c>
      <c r="FF40" s="740">
        <f>IF(DF40&lt;='Options and results'!$W$20,IF(DO40&gt;0,(VLOOKUP($DG$8,Treecost!$B$6:$AH$49,Treecost!$AH$2,FALSE)/60*DO40)*IF(DF40&gt;='Options and results'!$K$25,'Options and results'!$K$24,1),0),0)</f>
        <v>0</v>
      </c>
      <c r="FG40" s="740">
        <f>(FE40*$EI$22+FF40*$EI$23)*IF(DF40&gt;='Options and results'!$K$27,'Options and results'!$K$26,1)*IF(1+'Options and results'!$Q$21*(DF40-1)&gt;0,1+'Options and results'!$Q$21*(DF40-1),0)</f>
        <v>0</v>
      </c>
      <c r="FH40" s="894">
        <f t="shared" si="157"/>
        <v>0</v>
      </c>
      <c r="FI40" s="1027">
        <f t="shared" si="158"/>
        <v>0</v>
      </c>
      <c r="FJ40" s="1027">
        <f t="shared" si="159"/>
        <v>0</v>
      </c>
      <c r="FK40" s="1027">
        <f t="shared" si="160"/>
        <v>0</v>
      </c>
      <c r="FL40" s="1027">
        <f t="shared" si="184"/>
        <v>0</v>
      </c>
      <c r="FM40" s="1027">
        <f>IF($DF40&lt;='Options and results'!$W$20,SUM(FI$8:$FI40),0)</f>
        <v>0</v>
      </c>
      <c r="FN40" s="1027">
        <f>IF($DF40&lt;='Options and results'!$W$20,SUM($FJ$8:FJ40),0)</f>
        <v>0</v>
      </c>
      <c r="FO40" s="1027">
        <f>IF($DF40&lt;='Options and results'!$W$20,SUM($FK$8:FK40),0)</f>
        <v>0</v>
      </c>
      <c r="FP40" s="1027">
        <f>IF($DF40&lt;='Options and results'!$W$20,FM40+FN40-FO40,0)</f>
        <v>0</v>
      </c>
      <c r="FQ40" s="1027">
        <f t="shared" si="162"/>
        <v>0</v>
      </c>
      <c r="FR40" s="1027">
        <f t="shared" si="163"/>
        <v>0</v>
      </c>
      <c r="FS40" s="1027">
        <f t="shared" si="164"/>
        <v>0</v>
      </c>
      <c r="FT40" s="1189">
        <f>IF(DF40&lt;='Options and results'!$W$20,FP40+DZ40,0)</f>
        <v>0</v>
      </c>
      <c r="FU40" s="1023"/>
      <c r="FV40" s="895">
        <f t="shared" si="165"/>
        <v>33</v>
      </c>
      <c r="FW40" s="894">
        <f>G40/(1+'Options and results'!$W$33)^(FV40-1)</f>
        <v>0</v>
      </c>
      <c r="FX40" s="740">
        <f>(AP40+AR40+AS40)/(1+'Options and results'!$W$33)^(FV40-1)</f>
        <v>0</v>
      </c>
      <c r="FY40" s="740">
        <f>CQ40/(1+'Options and results'!$W$33)^(FV40-1)</f>
        <v>0</v>
      </c>
      <c r="FZ40" s="740">
        <f>(EA40+EC40+ED40)/(1+'Options and results'!$W$33)^(FV40-1)</f>
        <v>0</v>
      </c>
      <c r="GA40" s="1019">
        <f t="shared" si="180"/>
        <v>0</v>
      </c>
      <c r="GB40" s="1026">
        <f>(AO40+AQ40)/(1+'Options and results'!$W$33)^(FV40-1)+FX40</f>
        <v>0</v>
      </c>
      <c r="GC40" s="1027">
        <f>IF(FV40&gt;'Options and results'!$W$27,0,GB40-GB39)</f>
        <v>0</v>
      </c>
      <c r="GD40" s="1027">
        <f>(DZ40+EB40)/(1+'Options and results'!$W$33)^(FV40-1)+FZ40</f>
        <v>0</v>
      </c>
      <c r="GE40" s="1379">
        <f>IF(FV40&gt;'Options and results'!$W$27,0,GD40-GD39)</f>
        <v>0</v>
      </c>
      <c r="GF40" s="894">
        <f>IF(FV40&lt;='Options and results'!$W$20,SUM(FW$8:FW40),0)</f>
        <v>0</v>
      </c>
      <c r="GG40" s="740">
        <f>IF(FV40&lt;='Options and results'!$W$20,SUM(FX$8:FX40), 0)</f>
        <v>0</v>
      </c>
      <c r="GH40" s="740">
        <f>IF(FV40&lt;='Options and results'!$W$20,SUM(FY$8:FY40),0)</f>
        <v>0</v>
      </c>
      <c r="GI40" s="740">
        <f>IF(FV40&lt;='Options and results'!$W$20,SUM(FZ$8:FZ40),0)</f>
        <v>0</v>
      </c>
      <c r="GJ40" s="1019">
        <f t="shared" si="166"/>
        <v>0</v>
      </c>
      <c r="GK40" s="894">
        <f>IF(FV40&gt;'Options and results'!$W$27,0,GG40+SUM(GC$8:GC40)-FX40)</f>
        <v>0</v>
      </c>
      <c r="GL40" s="740">
        <f>IF(FV40&lt;='Options and results'!$W$20,SUM(GD$8:GD40),0)</f>
        <v>0</v>
      </c>
      <c r="GM40" s="1034">
        <f t="shared" si="167"/>
        <v>0</v>
      </c>
      <c r="GN40" s="1023"/>
      <c r="GO40" s="895">
        <f t="shared" si="168"/>
        <v>33</v>
      </c>
      <c r="GP40" s="894">
        <f>H40/(1+'Options and results'!$W$33)^(GO40-1)</f>
        <v>0</v>
      </c>
      <c r="GQ40" s="740">
        <f>SUM(AT40:AV40)/(1+'Options and results'!$W$33)^(GO40-1)</f>
        <v>0</v>
      </c>
      <c r="GR40" s="740">
        <f>CR40/(1+'Options and results'!$W$33)^(GO40-1)</f>
        <v>0</v>
      </c>
      <c r="GS40" s="740">
        <f>SUM(EE40:EG40)/(1+'Options and results'!$W$33)^(GO40-1)</f>
        <v>0</v>
      </c>
      <c r="GT40" s="1019">
        <f t="shared" si="181"/>
        <v>0</v>
      </c>
      <c r="GU40" s="894">
        <f>IF(GO40&lt;='Options and results'!$W$20,SUM(GP$8:GP40),0)</f>
        <v>0</v>
      </c>
      <c r="GV40" s="740">
        <f>IF(GO40&lt;='Options and results'!$W$20,SUM(GQ$8:GQ40),0)</f>
        <v>0</v>
      </c>
      <c r="GW40" s="740">
        <f>IF(GO40&lt;='Options and results'!$W$20,SUM(GR$8:GR40),0)</f>
        <v>0</v>
      </c>
      <c r="GX40" s="740">
        <f>IF(GO40&lt;='Options and results'!$W$20,SUM(GS$8:GS40),0)</f>
        <v>0</v>
      </c>
      <c r="GY40" s="1034">
        <f>IF(GO40&lt;='Options and results'!$W$20,SUM(GT$8:GT40),0)</f>
        <v>0</v>
      </c>
      <c r="GZ40" s="1023"/>
      <c r="HA40" s="895">
        <f t="shared" si="169"/>
        <v>33</v>
      </c>
      <c r="HB40" s="1026">
        <f>(J40+L40+(M40*N40))/(1+'Options and results'!$W$33)^(HA40-1)</f>
        <v>0</v>
      </c>
      <c r="HC40" s="740">
        <f>BZ40/(1+'Options and results'!$W$33)^(HA40-1)</f>
        <v>0</v>
      </c>
      <c r="HD40" s="1027">
        <f>(CT40+CV40+(CW40*CX40))/(1+'Options and results'!$W$33)^(HA40-1)</f>
        <v>0</v>
      </c>
      <c r="HE40" s="740">
        <f>FK40/(1+'Options and results'!$W$33)^(HA40-1)</f>
        <v>0</v>
      </c>
      <c r="HF40" s="1019">
        <f t="shared" si="182"/>
        <v>0</v>
      </c>
      <c r="HG40" s="894">
        <f>IF(HA40&lt;='Options and results'!$W$20,SUM(HB$8:HB40),0)</f>
        <v>0</v>
      </c>
      <c r="HH40" s="740">
        <f>IF(HA40&lt;='Options and results'!$W$20,SUM(HC$8:HC40),0)</f>
        <v>0</v>
      </c>
      <c r="HI40" s="740">
        <f>IF(HA40&lt;='Options and results'!$W$20,SUM(HD$8:HD40),0)</f>
        <v>0</v>
      </c>
      <c r="HJ40" s="740">
        <f>IF(HA40&lt;='Options and results'!$W$20,SUM(HE$8:HE40),0)</f>
        <v>0</v>
      </c>
      <c r="HK40" s="1034">
        <f>IF(HA40&lt;='Options and results'!$W$20,SUM(HF$8:HF40),0)</f>
        <v>0</v>
      </c>
      <c r="HL40" s="1043"/>
      <c r="HM40" s="895">
        <f t="shared" si="170"/>
        <v>33</v>
      </c>
      <c r="HN40" s="1026">
        <f t="shared" si="171"/>
        <v>0</v>
      </c>
      <c r="HO40" s="1027">
        <f t="shared" si="172"/>
        <v>0</v>
      </c>
      <c r="HP40" s="1027">
        <f t="shared" si="173"/>
        <v>0</v>
      </c>
      <c r="HQ40" s="1027">
        <f t="shared" si="174"/>
        <v>0</v>
      </c>
      <c r="HR40" s="1027">
        <f t="shared" si="175"/>
        <v>0</v>
      </c>
      <c r="HS40" s="1379">
        <f t="shared" si="176"/>
        <v>0</v>
      </c>
      <c r="HT40" s="1026">
        <f>IF($HM40&lt;='Options and results'!$W$20,SUM(HN$8:HN40),0)</f>
        <v>0</v>
      </c>
      <c r="HU40" s="1027">
        <f>IF($HM40&lt;='Options and results'!$W$20,SUM(HO$8:HO40),0)</f>
        <v>0</v>
      </c>
      <c r="HV40" s="1027">
        <f>IF($HM40&lt;='Options and results'!$W$20,SUM(HP$8:HP40),0)</f>
        <v>0</v>
      </c>
      <c r="HW40" s="1027">
        <f>IF($HM40&lt;='Options and results'!$W$20,SUM(HQ$8:HQ40),0)</f>
        <v>0</v>
      </c>
      <c r="HX40" s="1027">
        <f t="shared" si="177"/>
        <v>0</v>
      </c>
      <c r="HY40" s="1027">
        <f>IF($HM40&lt;='Options and results'!$W$20,SUM(HR$8:HR40),0)</f>
        <v>0</v>
      </c>
      <c r="HZ40" s="1027">
        <f>IF($HM40&lt;='Options and results'!$W$20,SUM(HS$8:HS40),0)</f>
        <v>0</v>
      </c>
      <c r="IA40" s="1189">
        <f t="shared" si="178"/>
        <v>0</v>
      </c>
    </row>
    <row r="41" spans="1:235" x14ac:dyDescent="0.25">
      <c r="A41" s="1010">
        <f t="shared" si="126"/>
        <v>34</v>
      </c>
      <c r="B41" s="1011" t="str">
        <f>IF('Options and results'!$C$17="None",0,CONCATENATE('Options and results'!$C$23," ",(HLOOKUP(CONCATENATE('Options and results'!$C$17," ",Arablesystem!$B$11),Arablesystem!$B$10:$ER$72,$A41+3,FALSE))))</f>
        <v xml:space="preserve">UK - Agriculture (BPS: from 2015) </v>
      </c>
      <c r="C41" s="1012">
        <f>IF(HLOOKUP(CONCATENATE('Options and results'!$C$17," ",Arablesystem!$C$11),Arablesystem!$B$10:$ER$72,$A41+3,FALSE)="T",(VLOOKUP(B41,Arablefinance!$Z$6:$AB$105,Arablefinance!$AB$2,FALSE)*E41+VLOOKUP(B41,Arablefinance!$Z$6:$AC$105,Arablefinance!$AC$2,FALSE)*F41)/VLOOKUP(B41,Arablefinance!$Z$6:$AA$105,Arablefinance!$AA$2,FALSE),0)</f>
        <v>0</v>
      </c>
      <c r="D41" s="1012">
        <f>IF(B41=0,0,HLOOKUP(CONCATENATE('Options and results'!$C$17," ",Arablesystem!$D$11),Arablesystem!$B$10:$ER$72,$A41+3,FALSE))</f>
        <v>0</v>
      </c>
      <c r="E41" s="1440">
        <f>IF(B41=0,0,HLOOKUP(CONCATENATE('Options and results'!$C$17," ",Arablesystem!$E$11),Arablesystem!$B$10:$ER$72,$A41+3,FALSE)*IF(A41&gt;='Options and results'!$H$19,'Options and results'!$H$18,1))</f>
        <v>0</v>
      </c>
      <c r="F41" s="1440">
        <f>IF(B41=0,0,HLOOKUP(CONCATENATE('Options and results'!$C$17," ",Arablesystem!$F$11),Arablesystem!$B$10:$ER$72,$A41+3,FALSE)*IF(A41&gt;='Options and results'!$H$19,'Options and results'!$H$18,1))</f>
        <v>0</v>
      </c>
      <c r="G41" s="1013">
        <f>IF(D41&lt;=0,0,IF(A41&lt;='Options and results'!$W$20,IF(C41&gt;0,VLOOKUP(B41,Arablefinance!$Z$6:$AE$105,Arablefinance!$AD$2,FALSE)*C41*D41,((VLOOKUP(B41,Arablefinance!$E$6:$G$126,Arablefinance!$F$2,FALSE)*(E41*D41)+VLOOKUP(B41,Arablefinance!$E$6:$G$126,Arablefinance!$G$2,FALSE)*(F41*D41)))),0)*IF(A41&gt;='Options and results'!$H$21,'Options and results'!$H$20,1))*IF(1+'Options and results'!$O$20*(A41-1)&gt;0,1+'Options and results'!$O$20*(A41-1),0)</f>
        <v>0</v>
      </c>
      <c r="H41" s="1441">
        <f>IF(D41&lt;=0,0,IF(A41&lt;='Options and results'!$W$20,IF(AND(C41&gt;0,VLOOKUP(B41,Arablefinance!$Z$6:$AI$105,Arablefinance!$AI$2,FALSE)=2),VLOOKUP(B41,Arablefinance!$Z$6:$AE$105,Arablefinance!$AE$2,FALSE)*C41*D41,(VLOOKUP(B41,Arablefinance!$E$6:$H$126,Arablefinance!$H$2,FALSE)*D41))*IF(A41&gt;='Options and results'!$H$23,'Options and results'!$H$22,1),0)*IF(AND(1+'Options and results'!$O$23*(A41-1)&gt;0,1+'Options and results'!$O$23*(A41-1)&gt;'Options and results'!$S$24),1+'Options and results'!$O$23*(A41-1),'Options and results'!$S$24))</f>
        <v>0</v>
      </c>
      <c r="I41" s="1441">
        <f t="shared" si="127"/>
        <v>0</v>
      </c>
      <c r="J41" s="1441">
        <f>IF(D41&lt;=0,0,IF(A41&lt;='Options and results'!$W$20,IF(C41&gt;0,VLOOKUP(B41,Arablefinance!$Z$6:$AF$105,Arablefinance!$AF$2,FALSE)*C41*D41,(VLOOKUP(B41,Arablefinance!$E$6:$X$126,Arablefinance!$R$2,FALSE))*D41),0)*IF(A41&gt;='Options and results'!$H$27,'Options and results'!$H$26,1))*IF(1+'Options and results'!$O$22*(A41-1)&gt;0,1+'Options and results'!$O$22*(A41-1),0)</f>
        <v>0</v>
      </c>
      <c r="K41" s="1441">
        <f t="shared" si="128"/>
        <v>0</v>
      </c>
      <c r="L41" s="1441">
        <f>IF(D41&lt;=0,0,IF(A41&lt;='Options and results'!$W$20,IF(C41&gt;0,VLOOKUP(B41,Arablefinance!$Z$6:$AG$105,Arablefinance!$AG$2,FALSE)*C41*D41,VLOOKUP(B41,Arablefinance!$E$6:$X$126,Arablefinance!$X$2,FALSE)*D41),0)*IF(A41&gt;='Options and results'!$H$27,'Options and results'!$H$26,1))*IF(1+'Options and results'!$O$22*(A41-1)&gt;0,1+'Options and results'!$O$22*(A41-1),0)</f>
        <v>0</v>
      </c>
      <c r="M41" s="1442">
        <f>IF(D41&lt;=0,0,IF(A41&lt;='Options and results'!$W$20,'Options and results'!$C$27,0)*IF(A41&gt;='Options and results'!$H$27,'Options and results'!$H$26,1))*IF(1+'Options and results'!$O$21*(A41-1)&gt;0,1+'Options and results'!$O$21*(A41-1),0)</f>
        <v>0</v>
      </c>
      <c r="N41" s="1442">
        <f>IF(D41&lt;=0,0,IF(A41&lt;='Options and results'!$W$20,IF(C41&gt;0,VLOOKUP(B41,Arablefinance!$Z$6:$AH$105,Arablefinance!$AH$2,FALSE)*C41*D41,VLOOKUP(B41,Arablefinance!$E$6:$W$126,Arablefinance!$V$2,FALSE)*D41),0)*IF(A41&gt;='Options and results'!$H$25,'Options and results'!$H$24,1))</f>
        <v>0</v>
      </c>
      <c r="O41" s="1013">
        <f t="shared" si="129"/>
        <v>0</v>
      </c>
      <c r="P41" s="1353">
        <f t="shared" si="130"/>
        <v>0</v>
      </c>
      <c r="Q41" s="1013">
        <f>IF(A41&lt;='Options and results'!$W$20,SUM(G$8:$G41),0)</f>
        <v>0</v>
      </c>
      <c r="R41" s="1441">
        <f>IF($A41&lt;='Options and results'!$W$20,SUM($H$8:H41),0)</f>
        <v>0</v>
      </c>
      <c r="S41" s="1441">
        <f>IF($A41&lt;='Options and results'!$W$20,SUM($O$8:O41),0)</f>
        <v>0</v>
      </c>
      <c r="T41" s="1032">
        <f>IF(A41&lt;='Options and results'!$W$20,Q41+R41-S41,0)</f>
        <v>0</v>
      </c>
      <c r="U41" s="405"/>
      <c r="V41" s="1010">
        <f t="shared" si="131"/>
        <v>34</v>
      </c>
      <c r="W41" s="173"/>
      <c r="X41" s="1036"/>
      <c r="Y41" s="1030">
        <f>IF(V41&lt;='Options and results'!$M$34,'Options and results'!$M$33,0)</f>
        <v>0</v>
      </c>
      <c r="Z41" s="1441">
        <f t="shared" si="132"/>
        <v>0</v>
      </c>
      <c r="AA41" s="1441">
        <f t="shared" si="133"/>
        <v>0</v>
      </c>
      <c r="AB41" s="1428">
        <f t="shared" si="134"/>
        <v>0</v>
      </c>
      <c r="AC41" s="1441">
        <f>IF($W$8=0,0,IF(HLOOKUP(CONCATENATE('Options and results'!$C$32," ",Forestrysystem!$C$8),Forestrysystem!$A$7:$IH$70,V41+4,FALSE)&lt;AB41,HLOOKUP(CONCATENATE('Options and results'!$C$32," ",Forestrysystem!$C$8),Forestrysystem!$A$7:$IH$70,V41+4,FALSE),0))</f>
        <v>0</v>
      </c>
      <c r="AD41" s="1441">
        <f>IF($W$8=0,0,IF(HLOOKUP(CONCATENATE('Options and results'!$C$32," ",Forestrysystem!$C$8),Forestrysystem!$A$7:$IH$70,V41+4,FALSE)&gt;=AB41,AB41,0))</f>
        <v>0</v>
      </c>
      <c r="AE41" s="1440">
        <f>IF($W$8=0,0,HLOOKUP(CONCATENATE('Options and results'!$C$32," ",Forestrysystem!$D$8),Forestrysystem!$A$7:$IH$70,$V41+4,FALSE))</f>
        <v>0</v>
      </c>
      <c r="AF41" s="1037"/>
      <c r="AG41" s="1440">
        <f>IF($W$8=0,0,IF(V41=1,'Options and results'!$M$36,0)+IF('Options and results'!$M$39="yes",IF(AND(AG40+'Options and results'!$M$37&lt;=$AF$8,AG40+'Options and results'!$M$37+IF(V41=1,'Options and results'!$M$36,0)&lt;='Options and results'!$M$38*AE41),AG40+'Options and results'!$M$37,AG40),(HLOOKUP(CONCATENATE('Options and results'!$C$32," ",Forestrysystem!$E$8),Forestrysystem!$A$7:$IH$70,V41+4,FALSE))-IF(V41=1,'Options and results'!$M$36,0)))</f>
        <v>0</v>
      </c>
      <c r="AH41" s="1442">
        <f>IF(OR($W$8=0,AB41&lt;=0),0,(HLOOKUP(CONCATENATE('Options and results'!$C$32," ",Forestrysystem!$F$8),Forestrysystem!$A$7:$IH$70,$V41+4,FALSE)) * IF(V41&gt;='Options and results'!$I$19,'Options and results'!$I$18,1) )</f>
        <v>0</v>
      </c>
      <c r="AI41" s="1452">
        <f t="shared" si="179"/>
        <v>0</v>
      </c>
      <c r="AJ41" s="1442">
        <f t="shared" si="135"/>
        <v>0</v>
      </c>
      <c r="AK41" s="1453">
        <f>IF(OR($W$8=0,AE41&lt;=0),0,(HLOOKUP(CONCATENATE('Options and results'!$C$32," ",Forestrysystem!$G$8),Forestrysystem!$A$7:$IH$70,$V41+4,FALSE)) * IF(Y41&gt;='Options and results'!$I$19,'Options and results'!$I$18,1) )</f>
        <v>0</v>
      </c>
      <c r="AL41" s="1453">
        <f>IF($W$8=0,0,HLOOKUP(CONCATENATE('Options and results'!$C$32," ",Forestrysystem!$H$8),Forestrysystem!$A$7:$IH$70,$V41+4,FALSE)*IF(V41&gt;='Options and results'!$I$19,'Options and results'!$I$18,1))</f>
        <v>0</v>
      </c>
      <c r="AM41" s="1383">
        <f>IF($W$8=0,0,HLOOKUP(CONCATENATE('Options and results'!$C$32," ",Forestrysystem!$I$8),Forestrysystem!$A$7:$IH$70,$V41+4,FALSE)*IF(V41&gt;='Options and results'!$I$19,'Options and results'!$I$18,1))</f>
        <v>0</v>
      </c>
      <c r="AN41" s="1382">
        <f>IF(AI41&gt;0,HLOOKUP(AI41,Treevalue!$I$4:$BC$34,'Options and results'!$C$39+1),0)*IF(V41&gt;='Options and results'!$I$21,'Options and results'!$I$20,1)*IF(1+'Options and results'!$Q$20*(V41-1)&gt;0,1+'Options and results'!$Q$20*(V41-1),0)</f>
        <v>0</v>
      </c>
      <c r="AO41" s="1454">
        <f t="shared" si="136"/>
        <v>0</v>
      </c>
      <c r="AP41" s="1454">
        <f t="shared" si="187"/>
        <v>0</v>
      </c>
      <c r="AQ41" s="1454">
        <f>(IF('Options and results'!$C$39&gt;0,IF(V41&lt;='Options and results'!$W$20,VLOOKUP('Options and results'!$C$39,Treevalue!$A$4:$F$34,5,FALSE),0),0)*AK41)*IF(V41&gt;='Options and results'!$I$21,'Options and results'!$I$20,1)*IF(1+'Options and results'!$Q$20*(V41-1)&gt;0,1+'Options and results'!$Q$20*(V41-1),0)-AR41</f>
        <v>0</v>
      </c>
      <c r="AR41" s="1441">
        <f>(IF('Options and results'!$C$39&gt;0,IF(V41&lt;='Options and results'!$W$20,VLOOKUP('Options and results'!$C$39,Treevalue!$A$4:$F$34,5,FALSE),0),0)*AL41)*IF(V41&gt;='Options and results'!$I$21,'Options and results'!$I$20,1)*IF(1+'Options and results'!$Q$20*(V41-1)&gt;0,1+'Options and results'!$Q$20*(V41-1),0)</f>
        <v>0</v>
      </c>
      <c r="AS41" s="1441">
        <f>(IF('Options and results'!$C$39&gt;0,IF(V41&lt;='Options and results'!$W$20,VLOOKUP('Options and results'!$C$39,Treevalue!$A$4:$F$34,6,FALSE),0),0)*AM41)*IF(V41&gt;='Options and results'!$I$21,'Options and results'!$I$20,1)*IF(1+'Options and results'!$Q$20*(V41-1)&gt;0,1+'Options and results'!$Q$20*(V41-1),0)</f>
        <v>0</v>
      </c>
      <c r="AT41" s="1441">
        <f>IF(V41&lt;='Options and results'!$W$20,(IF(AB41&lt;=0,0,IF('Options and results'!$C$43="cost",(IF(V41&lt;='Options and results'!$C$44,BZ41*SUM('Options and results'!$C$45:$C$46),0)),IF('Options and results'!$C$41&gt;0,(IF(VLOOKUP('Options and results'!$C$42,Treegrant!$B$6:$L$42,Treegrant!$C$2,FALSE)=V41,VLOOKUP('Options and results'!$C$42,Treegrant!$B$6:$L$42,Treegrant!$D$2,FALSE),0)+IF(VLOOKUP('Options and results'!$C$42,Treegrant!$B$6:$L$42,Treegrant!$E$2,FALSE)=V41,VLOOKUP('Options and results'!$C$42,Treegrant!$B$6:$L$42,Treegrant!$F$2,FALSE),0)+IF(VLOOKUP('Options and results'!$C$42,Treegrant!$B$6:$L$42,Treegrant!$G$2,FALSE)=V41,VLOOKUP('Options and results'!$C$42,Treegrant!$B$6:$L$42,Treegrant!$H$2,FALSE)))*IF('Options and results'!$C$43="area",1,'Options and results'!$C$43),0)))*IF(V41&gt;='Options and results'!$I$23,'Options and results'!$I$22,1)),0)*IF(1+'Options and results'!$Q$23*(V41-1)&gt;0,1+'Options and results'!$Q$23*(V41-1),0)</f>
        <v>0</v>
      </c>
      <c r="AU41" s="1441">
        <f>IF($W$8=0,0,IF(V41&lt;='Options and results'!$W$20,IF(AB41&lt;=0,0,IF('Options and results'!$C$41&gt;0,IF(AND(VLOOKUP('Options and results'!$C$42,Treegrant!$B$6:$L$42,Treegrant!$J$2,FALSE)&lt;=V41,VLOOKUP('Options and results'!$C$42,Treegrant!$B$6:$L$42,Treegrant!$K$2,FALSE)&gt;=V41),(VLOOKUP('Options and results'!$C$42,Treegrant!$B$6:$L$42,Treegrant!$L$2,FALSE)),0)*IF('Options and results'!$C$47="full",1,'Options and results'!$C$47))*IF(V41&gt;='Options and results'!$I$23,'Options and results'!$I$22,1)),0))*IF(1+'Options and results'!$Q$23*(V41-1)&gt;0,1+'Options and results'!$Q$23*(V41-1),0)</f>
        <v>0</v>
      </c>
      <c r="AV41" s="1032">
        <f>IF($W$8=0,0,IF(V41&lt;='Options and results'!$W$20,IF(AB41&lt;=0,0,(IF('Options and results'!$C$41&gt;0,(IF(AND(VLOOKUP('Options and results'!$C$42,Treegrant!$B$6:$O$42,Treegrant!$M$2,FALSE)&lt;=V41,VLOOKUP('Options and results'!$C$42,Treegrant!$B$6:$O$42,Treegrant!$N$2,FALSE)&gt;=V41),(VLOOKUP('Options and results'!$C$42,Treegrant!$B$6:$O$42,Treegrant!$O$2,FALSE)),0)*IF('Options and results'!$C$48="full",1,'Options and results'!$C$48))+(IF(AND(VLOOKUP('Options and results'!$C$42,Treegrant!$B$6:$R$42,Treegrant!$P$2,FALSE)&lt;=V41,VLOOKUP('Options and results'!$C$42,Treegrant!$B$6:$R$42,Treegrant!$Q$2,FALSE)&gt;=V41),(VLOOKUP('Options and results'!$C$42,Treegrant!$B$6:$R$42,Treegrant!$R$2,FALSE)),0))*IF('Options and results'!$C$49="full",1,'Options and results'!$C$49)))*IF(V41&gt;='Options and results'!$I$23,'Options and results'!$I$22,1)),0))*IF(1+'Options and results'!$Q$23*(V41-1)&gt;0,1+'Options and results'!$Q$23*(V41-1),0)</f>
        <v>0</v>
      </c>
      <c r="AW41" s="1041"/>
      <c r="AX41" s="1042"/>
      <c r="AY41" s="1419">
        <f>IF($W$8=0,0,IF(V41=1,VLOOKUP($W$8,Treecost!$B$6:$AH$49,Treecost!$E$2,FALSE),0)*IF(V41&gt;='Options and results'!$I$25,'Options and results'!$I$24,1))</f>
        <v>0</v>
      </c>
      <c r="AZ41" s="889">
        <f>IF($W$8=0,0,IF(V41=1,VLOOKUP($W$8,Treecost!$B$6:$AH$49,Treecost!$F$2,FALSE),0)*IF(V41&gt;='Options and results'!$I$25,'Options and results'!$I$24,1))</f>
        <v>0</v>
      </c>
      <c r="BA41" s="889">
        <f>IF($W$8=0,0,IF(V41=1,VLOOKUP($W$8,Treecost!$B$6:$AH$49,Treecost!$G$2,FALSE),0)*IF(V41&gt;='Options and results'!$I$25,'Options and results'!$I$24,1))</f>
        <v>0</v>
      </c>
      <c r="BB41" s="889">
        <f>IF($W$8=0,0,IF(V41&lt;='Options and results'!$W$20,((VLOOKUP($W$8,Treecost!$B$6:$AH$49,Treecost!$H$2,FALSE)*(X41+AA41))/60)*IF(V41&gt;='Options and results'!$I$25,'Options and results'!$I$24,1),0))</f>
        <v>0</v>
      </c>
      <c r="BC41" s="889">
        <f>IF($W$8=0,0,IF(V41&lt;='Options and results'!$W$20,(((VLOOKUP($W$8,Treecost!$B$6:$AH$49,Treecost!$I$2,FALSE))*(X41+AA41))/60)*IF(V41&gt;='Options and results'!$I$25,'Options and results'!$I$24,1),0))</f>
        <v>0</v>
      </c>
      <c r="BD41" s="889">
        <f>IF($W$8=0,0,IF(V41&lt;='Options and results'!$W$20,(((VLOOKUP($W$8,Treecost!$B$6:$AH$49,Treecost!$J$2,FALSE))/60)*(X41+AA41))*IF(V41&gt;='Options and results'!$I$25,'Options and results'!$I$24,1),0))</f>
        <v>0</v>
      </c>
      <c r="BE41" s="1019">
        <f>IF($W$8=0,0,IF(V41&lt;='Options and results'!$W$20,(((VLOOKUP($W$8,Treecost!$B$6:$AH$49,Treecost!$C$2,FALSE)+VLOOKUP($W$8,Treecost!$B$6:$AH$49,Treecost!$D$2,FALSE))*(X41+AA41)*IF(1+'Options and results'!$Q$22*(V41-1)&gt;0,1+'Options and results'!$Q$22*(V41-1),0))+((AY41*$AX$8+AZ41*$AX$9+BA41*$AX$10+BB41*$AX$11+BC41*$AX$12+BD41*$AX$13)*IF(1+'Options and results'!$Q$21*(V41-1)&gt;0,1+'Options and results'!$Q$21*(V41-1),0)))*IF(V41&gt;='Options and results'!$I$27,'Options and results'!$I$26,1),0))</f>
        <v>0</v>
      </c>
      <c r="BF41" s="889">
        <f>IF($W$8=0,0,IF(V41&lt;='Options and results'!$W$20,IF(AND(VLOOKUP($W$8,Treecost!$B$6:$AH$49,Treecost!$K$2,FALSE)&lt;=V41,V41&lt;=(VLOOKUP($W$8,Treecost!$B$6:$AH$49,Treecost!$L$2,FALSE))),VLOOKUP($W$8,Treecost!$B$6:$AH$49,Treecost!$M$2,FALSE)*AB41/60,0)*IF(V41&gt;='Options and results'!$I$25,'Options and results'!$I$24,1),0))</f>
        <v>0</v>
      </c>
      <c r="BG41" s="1019">
        <f>IF(BF41&gt;0,(VLOOKUP($W$8,Treecost!$B$6:$AH$49,Treecost!$N$2,FALSE)*AB41*IF(1+'Options and results'!$Q$22*(V41-1)&gt;0,1+'Options and results'!$Q$22*(V41-1),0)+BF41*$AX$14*IF(1+'Options and results'!$Q$21*(V41-1)&gt;0,1+'Options and results'!$Q$21*(V41-1),0)),0)*IF(V41&gt;='Options and results'!$I$27,'Options and results'!$I$26,1)</f>
        <v>0</v>
      </c>
      <c r="BH41" s="889">
        <f>IF(V41&lt;='Options and results'!$W$20,IF(AND(AG41-AG40&gt;0,AG41&gt;'Options and results'!$M$36),(AB41-AC41)*(VLOOKUP($W$8,Treecost!$B$6:$AH$49,Treecost!$Y$2,FALSE)+(VLOOKUP($W$8,Treecost!$B$6:$AH$49,Treecost!$AA$2,FALSE)-VLOOKUP($W$8,Treecost!$B$6:$AH$49,Treecost!$Y$2,FALSE))/(VLOOKUP($W$8,Treecost!$B$6:$AH$49,Treecost!$Z$2,FALSE)-VLOOKUP($W$8,Treecost!$B$6:$AH$49,Treecost!$X$2,FALSE))*(AG41-VLOOKUP($W$8,Treecost!$B$6:$AH$49,Treecost!$X$2,FALSE)))/60,0)*IF(V41&gt;='Options and results'!$I$25,'Options and results'!$I$24,1),0)</f>
        <v>0</v>
      </c>
      <c r="BI41" s="303">
        <f>IF(V41&lt;='Options and results'!$W$20,IF(BH41&gt;0,VLOOKUP($W$8,Treecost!$B$6:$AH$49,Treecost!$AB$2,FALSE)/60*AB41,0)*IF(V41&gt;='Options and results'!$I$25,'Options and results'!$I$24,1),0)*((BH41-(MIN($BH$8:$BH$67)))/((MAX($BH$8:$BH$67))-(MIN($BH$8:$BH$67))))</f>
        <v>0</v>
      </c>
      <c r="BJ41" s="740">
        <f>IF(BH41&gt;0,(BH41*$AX$15+BI41*$AX$19)*IF(1+'Options and results'!$Q$21*(V41-1)&gt;0,1+'Options and results'!$Q$21*(V41-1),0),0)*IF(V41&gt;='Options and results'!$I$27,'Options and results'!$I$26,1)</f>
        <v>0</v>
      </c>
      <c r="BK41" s="891">
        <f>IF($W$8=0,0,IF(V41&lt;='Options and results'!$W$20,IF(VLOOKUP($W$8,Treecost!$B$2:$AH$49,Treecost!$O$2,FALSE)=V41,VLOOKUP($W$8,Treecost!$B$2:$AH$49,Treecost!$P$2,FALSE),0)*IF(V41&gt;='Options and results'!$I$25,'Options and results'!$I$24,1),0))</f>
        <v>0</v>
      </c>
      <c r="BL41" s="889">
        <f>IF($W$8=0,0,IF(V41&lt;='Options and results'!$W$20,IF(AND(V41&gt;VLOOKUP($W$8,Treecost!$B$2:$AH$49,Treecost!$O$2,FALSE),V41&lt;=VLOOKUP($W$8,Treecost!$B$2:$AH$49,Treecost!$R$2,FALSE)),VLOOKUP($W$8,Treecost!$B$2:$AH$49,Treecost!$S$2,FALSE),0)*IF(V41&gt;='Options and results'!$I$25,'Options and results'!$I$24,1),0))</f>
        <v>0</v>
      </c>
      <c r="BM41" s="740">
        <f>IF($W$8=0,0,IF(V41&lt;='Options and results'!$W$20,((IF(VLOOKUP($W$8,Treecost!$B$2:$AH$49,Treecost!$O$2,FALSE)=V41,VLOOKUP($W$8,Treecost!$B$2:$AH$49,Treecost!$Q$2,FALSE),0)+IF(AND(V41&gt;VLOOKUP($W$8,Treecost!$B$2:$AH$49,Treecost!$O$2,FALSE),V41&lt;=VLOOKUP($W$8,Treecost!$B$2:$AH$49,Treecost!$R$2,FALSE)),VLOOKUP($W$8,Treecost!$B$2:$AH$49,Treecost!$T$2,FALSE),0)*IF(1+'Options and results'!$Q$22*(V41-1)&gt;0,1+'Options and results'!$Q$22*(V41-1),0))+(BK41*$AX$16+BL41*$AX$17)*IF(1+'Options and results'!$Q$21*(V41-1)&gt;0,1+'Options and results'!$Q$21*(V41-1),0))*IF(V41&gt;='Options and results'!$I$27,'Options and results'!$I$26,1),0))</f>
        <v>0</v>
      </c>
      <c r="BN41" s="894">
        <f>IF($W$8=0,0,IF(V41&lt;='Options and results'!$W$20,IF(AND(V41&gt;=VLOOKUP($W$8,Treecost!$B$2:$W$49,Treecost!$U$2,FALSE),V41&lt;=VLOOKUP($W$8,Treecost!$B$2:$W$49,Treecost!$V$2,FALSE)),(AB41*VLOOKUP($W$8,Treecost!$B$2:$W$49,Treecost!$W$2,FALSE)/60),0)*IF(V41&gt;='Options and results'!$I$25,'Options and results'!$I$24,1),0))</f>
        <v>0</v>
      </c>
      <c r="BO41" s="740">
        <f>BN41*$AX$18*IF(V41&gt;='Options and results'!$I$27,'Options and results'!$I$26,1)*IF(1+'Options and results'!$Q$21*(V41-1)&gt;0,1+'Options and results'!$Q$21*(V41-1),0)</f>
        <v>0</v>
      </c>
      <c r="BP41" s="894">
        <f>IF(V41&lt;='Options and results'!$W$20,IF(AB41&lt;=0,0,VLOOKUP($W$8,Treecost!$B$6:$AH$49,Treecost!$AC$2,FALSE)+VLOOKUP($W$8,Treecost!$B$6:$AH$49,Treecost!$AD$2,FALSE)+IF(AND(V41&gt;=VLOOKUP($W$8,Treecost!$B$2:$AK$49,Treecost!$AI$2,FALSE),V41&lt;=VLOOKUP($W$8,Treecost!$B$2:$AK$49,Treecost!$AJ$2,FALSE)),(VLOOKUP($W$8,Treecost!$B$2:$AK$49,Treecost!$AK$2,FALSE)),0))*IF(V41&gt;='Options and results'!$I$27,'Options and results'!$I$26,1),0)*IF(1+'Options and results'!$Q$22*(V41-1)&gt;0,1+'Options and results'!$Q$22*(V41-1),0)</f>
        <v>0</v>
      </c>
      <c r="BQ41" s="894">
        <f>IF(V41&lt;='Options and results'!$W$20,IF(AC41&gt;0,VLOOKUP($W$8,Treecost!$B$6:$AH$49,Treecost!$AE$2,FALSE)/60*AC41,0)*IF(V41&gt;='Options and results'!$I$25,'Options and results'!$I$24,1),0)</f>
        <v>0</v>
      </c>
      <c r="BR41" s="740">
        <f>IF(V41&lt;='Options and results'!$W$20,IF(AC41&gt;0,VLOOKUP($W$8,Treecost!$B$6:$AH$49,Treecost!$AF$2,FALSE)/60*AC41,0)*IF(V41&gt;='Options and results'!$I$25,'Options and results'!$I$24,1),0)</f>
        <v>0</v>
      </c>
      <c r="BS41" s="740">
        <f>(BQ41*$AX$20+BR41*$AX$21)*IF(V41&gt;='Options and results'!$I$27,'Options and results'!$I$26,1)*IF(1+'Options and results'!$Q$21*(V41-1)&gt;0,1+'Options and results'!$Q$21*(V41-1),0)</f>
        <v>0</v>
      </c>
      <c r="BT41" s="894">
        <f>IF(V41&lt;='Options and results'!$W$20,IF(AD41&gt;0,(VLOOKUP($W$8,Treecost!$B$6:$AH$49,Treecost!$AG$2,FALSE)/60*AD41)*IF(V41&gt;='Options and results'!$I$25,'Options and results'!$I$24,1),0),0)</f>
        <v>0</v>
      </c>
      <c r="BU41" s="740">
        <f>IF(V41&lt;='Options and results'!$W$20,IF(AD41&gt;0,(VLOOKUP($W$8,Treecost!$B$6:$AH$49,Treecost!$AH$2,FALSE)/60*AD41)*IF(V41&gt;='Options and results'!$I$25,'Options and results'!$I$24,1),0),0)</f>
        <v>0</v>
      </c>
      <c r="BV41" s="740">
        <f>(BT41*$AX$22+BU41*$AX$23)*IF(V41&gt;='Options and results'!$I$27,'Options and results'!$I$26,1)*IF(1+'Options and results'!$Q$21*(V41-1)&gt;0,1+'Options and results'!$Q$21*(V41-1),0)</f>
        <v>0</v>
      </c>
      <c r="BW41" s="1033">
        <f t="shared" si="138"/>
        <v>0</v>
      </c>
      <c r="BX41" s="1027">
        <f t="shared" si="139"/>
        <v>0</v>
      </c>
      <c r="BY41" s="1027">
        <f t="shared" si="140"/>
        <v>0</v>
      </c>
      <c r="BZ41" s="740">
        <f t="shared" si="188"/>
        <v>0</v>
      </c>
      <c r="CA41" s="740">
        <f t="shared" si="141"/>
        <v>0</v>
      </c>
      <c r="CB41" s="894">
        <f>IF($V41&lt;='Options and results'!$W$20,SUM(BX$8:$BX41),0)</f>
        <v>0</v>
      </c>
      <c r="CC41" s="740">
        <f>IF($V41&lt;='Options and results'!$W$20,SUM($BY$8:BY41),0)</f>
        <v>0</v>
      </c>
      <c r="CD41" s="740">
        <f>IF($V41&lt;='Options and results'!$W$20,SUM($BZ$8:BZ41),0)</f>
        <v>0</v>
      </c>
      <c r="CE41" s="740">
        <f>IF(V41&lt;='Options and results'!$W$20,CB41+CC41-CD41,0)</f>
        <v>0</v>
      </c>
      <c r="CF41" s="1381">
        <f t="shared" si="142"/>
        <v>0</v>
      </c>
      <c r="CG41" s="1027">
        <f t="shared" si="143"/>
        <v>0</v>
      </c>
      <c r="CH41" s="1027">
        <f t="shared" si="144"/>
        <v>0</v>
      </c>
      <c r="CI41" s="1189">
        <f>IF(V41&lt;='Options and results'!$W$20,CE41+AO41,0)</f>
        <v>0</v>
      </c>
      <c r="CJ41" s="1023"/>
      <c r="CK41" s="895">
        <f t="shared" si="145"/>
        <v>34</v>
      </c>
      <c r="CL41" s="1011" t="str">
        <f>IF('Options and results'!$C$54="None",0,IF(AND(CK41&gt;='Options and results'!$K$57,CK40&lt;'Options and results'!$W$20),'Options and results'!$K$56,IF(Optimisation!$B$3="No",CONCATENATE('Options and results'!$C$60," ",(HLOOKUP(CONCATENATE('Options and results'!$C$54," ",Agroforestrysystem!$B$12),Agroforestrysystem!$B$11:$IM$74,$CK41+4,FALSE))),Optimisation!AA61)))</f>
        <v xml:space="preserve">UK - Agriculture (BPS: from 2015) </v>
      </c>
      <c r="CM41" s="1012">
        <f>IF(HLOOKUP(CONCATENATE('Options and results'!$C$54," ",Agroforestrysystem!$C$12),Agroforestrysystem!$B$11:$IM$74,$CK41+4,FALSE)="T",(VLOOKUP(CL41,Arablefinance!$Z$6:$AB$105,Arablefinance!$AB$2,FALSE)*CO41+VLOOKUP(CL41,Arablefinance!$Z$6:$AC$105,Arablefinance!$AC$2,FALSE)*CP41)/VLOOKUP(CL41,Arablefinance!$Z$6:$AA$105,Arablefinance!$AA$2,FALSE),0)</f>
        <v>0</v>
      </c>
      <c r="CN41" s="1012">
        <f>IF(CL41=0,0,HLOOKUP(CONCATENATE('Options and results'!$C$54," ",Agroforestrysystem!$D$12),Agroforestrysystem!$B$11:$IM$74,$CK41+4,FALSE))</f>
        <v>0</v>
      </c>
      <c r="CO41" s="1440">
        <f ca="1">IF(CL41=0,0,IF(AND(Optimisation!$B$3="yes",Optimisation!$B$4=1,CK41&gt;Optimisation!$B$9),0,HLOOKUP(CONCATENATE('Options and results'!$C$54," ",Agroforestrysystem!$E$12),Agroforestrysystem!$B$11:$IM$74,$CK41+4,FALSE)*IF(CK41&gt;='Options and results'!$J$19,'Options and results'!$J$18,1)))</f>
        <v>0</v>
      </c>
      <c r="CP41" s="1440">
        <f ca="1">IF(CL41=0,0,IF(AND(Optimisation!$B$3="yes",Optimisation!$B$4=1,CK41&gt;Optimisation!$B$9),0,HLOOKUP(CONCATENATE('Options and results'!$C$54," ",Agroforestrysystem!$F$12),Agroforestrysystem!$B$11:$IM$74,$CK41+4,FALSE)*IF(CK41&gt;='Options and results'!$J$19,'Options and results'!$J$18,1)))</f>
        <v>0</v>
      </c>
      <c r="CQ41" s="1013">
        <f>IF(CN41&lt;=0,0,IF(CK41&lt;='Options and results'!$W$20,IF(CM41&gt;0,VLOOKUP(CL41,Arablefinance!$Z$6:$AE$105,Arablefinance!$AD$2,FALSE)*CM41*CN41,((VLOOKUP(CL41,Arablefinance!$E$6:$H$126,2,FALSE)*CO41+VLOOKUP(CL41,Arablefinance!$E$6:$H$126,3,FALSE)*CP41)*CN41)),0)*IF(CK41&gt;='Options and results'!$J$21,'Options and results'!$J$20,1))*IF(1+'Options and results'!$O$20*(CK41-1)&gt;0,1+'Options and results'!$O$20*(CK41-1),0)</f>
        <v>0</v>
      </c>
      <c r="CR41" s="1441">
        <f>IF(CN41&lt;=0,0,IF(AND(CM41&gt;0,VLOOKUP(CL41,Arablefinance!$Z$6:$AI$105,Arablefinance!$AI$2,FALSE)=2),VLOOKUP(CL41,Arablefinance!$Z$6:$AE$105,Arablefinance!$AE$2,FALSE)*CM41*CN41,IF('Options and results'!$C$62&gt;0,IF(VLOOKUP(CL41,Arablefinance!$E$6:$W$126,Arablefinance!$H$2,FALSE)*(1-Plot!DM41*'Options and results'!$C$62)&gt;0,VLOOKUP(CL41,Arablefinance!$E$6:$W$126,Arablefinance!$H$2,FALSE)*(1-Plot!DM41*'Options and results'!$C$62),0),IF(CK41&lt;='Options and results'!$W$20,(VLOOKUP(CL41,Arablefinance!$E$6:$W$126,Arablefinance!$H$2,FALSE)*IF('Options and results'!$C$61="area",CN41,'Options and results'!$C$61)),0)))*IF(CK41&gt;='Options and results'!$J$23,'Options and results'!$J$22,1))*IF(AND(1+'Options and results'!$O$23*(CK41-1)&gt;0,1+'Options and results'!$O$23*(CK41-1)&gt;'Options and results'!$S$24),1+'Options and results'!$O$23*(CK41-1),'Options and results'!$S$24)</f>
        <v>0</v>
      </c>
      <c r="CS41" s="1441">
        <f t="shared" si="185"/>
        <v>0</v>
      </c>
      <c r="CT41" s="1441">
        <f>IF(CN41&lt;=0,0,IF(CK41&lt;='Options and results'!$W$20,IF(CM41&gt;0,VLOOKUP(CL41,Arablefinance!$Z$6:$AF$105,Arablefinance!$AF$2,FALSE)*CM41*CN41,VLOOKUP(CL41,Arablefinance!$E$6:$X$126,Arablefinance!$R$2,FALSE)*CN41),0)*IF(CK41&gt;='Options and results'!$J$27,'Options and results'!$J$26,1))*IF(1+'Options and results'!$O$22*(CK41-1)&gt;0,1+'Options and results'!$O$22*(CK41-1),0)</f>
        <v>0</v>
      </c>
      <c r="CU41" s="1441">
        <f t="shared" si="186"/>
        <v>0</v>
      </c>
      <c r="CV41" s="1441">
        <f>IF(CN41&lt;=0,0,IF(CK41&lt;='Options and results'!$W$20,IF(CM41&gt;0,VLOOKUP(CL41,Arablefinance!$Z$6:$AG$105,Arablefinance!$AG$2,FALSE)*CM41*CN41,VLOOKUP(CL41,Arablefinance!$E$6:$X$126,Arablefinance!$X$2,FALSE)*CN41),0)*IF(CK41&gt;='Options and results'!$J$27,'Options and results'!$J$26,1))*IF(1+'Options and results'!$O$22*(CK41-1)&gt;0,1+'Options and results'!$O$22*(CK41-1),0)</f>
        <v>0</v>
      </c>
      <c r="CW41" s="1442">
        <f>IF(CN41&lt;=0,0,IF(CK41&lt;='Options and results'!$W$20,'Options and results'!$C$27*IF(CK41&gt;='Options and results'!$J$27,'Options and results'!$J$26,1),0))*IF(1+'Options and results'!$O$21*(CK41-1)&gt;0,1+'Options and results'!$O$21*(CK41-1),0)</f>
        <v>0</v>
      </c>
      <c r="CX41" s="1442">
        <f>IF(CN41&lt;=0,0,IF(CK41&lt;='Options and results'!$W$20,IF(CM41&gt;0,VLOOKUP(CL41,Arablefinance!$Z$6:$AH$105,Arablefinance!$AH$2,FALSE)*CM41*CN41,VLOOKUP(CL41,Arablefinance!$E$6:$W$126,Arablefinance!$V$2,FALSE)*CN41),0)*IF(CK41&gt;='Options and results'!$J$25,'Options and results'!$J$24,1))</f>
        <v>0</v>
      </c>
      <c r="CY41" s="1013">
        <f t="shared" si="148"/>
        <v>0</v>
      </c>
      <c r="CZ41" s="1353">
        <f t="shared" si="149"/>
        <v>0</v>
      </c>
      <c r="DA41" s="1013">
        <f>IF($CK41&lt;='Options and results'!$W$20,SUM($CQ$8:CQ41),0)</f>
        <v>0</v>
      </c>
      <c r="DB41" s="1441">
        <f>IF($CK41&lt;='Options and results'!$W$20,SUM($CR$8:CR41),0)</f>
        <v>0</v>
      </c>
      <c r="DC41" s="1441">
        <f>IF($CK41&lt;='Options and results'!$W$20,SUM($CY$8:CY41),0)</f>
        <v>0</v>
      </c>
      <c r="DD41" s="1189">
        <f>IF(CK41&lt;='Options and results'!$W$20,DA41+DB41-DC41,0)</f>
        <v>0</v>
      </c>
      <c r="DE41" s="401"/>
      <c r="DF41" s="895">
        <f t="shared" si="150"/>
        <v>34</v>
      </c>
      <c r="DG41" s="173"/>
      <c r="DH41" s="1422"/>
      <c r="DI41" s="1427">
        <f>IF(DF41&lt;='Options and results'!$M$61,'Options and results'!$M$60,0)</f>
        <v>0</v>
      </c>
      <c r="DJ41" s="740">
        <f t="shared" si="151"/>
        <v>0</v>
      </c>
      <c r="DK41" s="740">
        <f t="shared" si="152"/>
        <v>0</v>
      </c>
      <c r="DL41" s="1428">
        <f t="shared" si="153"/>
        <v>0</v>
      </c>
      <c r="DM41" s="1429">
        <f>IF($DG$8=0,0,HLOOKUP(CONCATENATE('Options and results'!$C$54," ",Agroforestrysystem!$J$12),Agroforestrysystem!$11:$74,DF41+3,FALSE))/100</f>
        <v>0</v>
      </c>
      <c r="DN41" s="740">
        <f>IF($DG$8=0,0,IF(HLOOKUP(CONCATENATE('Options and results'!$C$54," ",Agroforestrysystem!$H$12),Agroforestrysystem!$11:$74,DF41+4,FALSE)&lt;DL41,HLOOKUP(CONCATENATE('Options and results'!$C$54," ",Agroforestrysystem!$H$12),Agroforestrysystem!$11:$74,DF41+4,FALSE),0))</f>
        <v>0</v>
      </c>
      <c r="DO41" s="1027">
        <f>IF($DG$8=0,0,IF(HLOOKUP(CONCATENATE('Options and results'!$C$54," ",Agroforestrysystem!$H$12),Agroforestrysystem!$11:$74,DF41+4,FALSE)&gt;=DL41,DL41,0))</f>
        <v>0</v>
      </c>
      <c r="DP41" s="1430">
        <f>IF($DG$8=0,0,HLOOKUP(CONCATENATE('Options and results'!$C$54," ",Agroforestrysystem!$I$12),Agroforestrysystem!$11:$74,DF41+4,FALSE))</f>
        <v>0</v>
      </c>
      <c r="DQ41" s="1038"/>
      <c r="DR41" s="1430">
        <f>IF($DG$8=0,0,IF(DF41&gt;'Options and results'!$W$20,0,)+IF(DF41=1,'Options and results'!$M$64)+IF('Options and results'!$M$67="yes",IF(AND(DR40+'Options and results'!$M$65&lt;=$DQ$8,DR40+'Options and results'!$M$65+IF(DF41=1,'Options and results'!$M$64,0)&lt;='Options and results'!$M$66*DP41),DR40+'Options and results'!$M$65,DR40),(HLOOKUP(CONCATENATE('Options and results'!$C$54," ",Agroforestrysystem!$K$12),Agroforestrysystem!$11:$74,DF41+4,FALSE)-IF(DF41=1,'Options and results'!$M$64))))</f>
        <v>0</v>
      </c>
      <c r="DS41" s="1027">
        <f>IF(OR($DG$8=0,DL41=0),0,HLOOKUP(CONCATENATE('Options and results'!$C$54," ",Agroforestrysystem!$L$12),Agroforestrysystem!$11:$74,DF41+4,FALSE)*IF(DF41&gt;='Options and results'!$K$19,'Options and results'!$K$18,1))</f>
        <v>0</v>
      </c>
      <c r="DT41" s="1431">
        <f t="shared" si="154"/>
        <v>0</v>
      </c>
      <c r="DU41" s="889">
        <f t="shared" si="155"/>
        <v>0</v>
      </c>
      <c r="DV41" s="1027">
        <f>IF($DG$8=0,0,(HLOOKUP(CONCATENATE('Options and results'!$C$54," ",Agroforestrysystem!$M$12),Agroforestrysystem!$11:$74,DF41+4,FALSE))*IF(DF41&gt;='Options and results'!$K$19,'Options and results'!$K$18,1))-DW41</f>
        <v>0</v>
      </c>
      <c r="DW41" s="303">
        <f>IF($DG$8=0,0,(HLOOKUP(CONCATENATE('Options and results'!$C$54," ",Agroforestrysystem!$N$12),Agroforestrysystem!$11:$74,DF41+4,FALSE))*IF(DF41&gt;='Options and results'!$K$19,'Options and results'!$K$18,1))</f>
        <v>0</v>
      </c>
      <c r="DX41" s="303">
        <f>IF($DG$8=0,0,HLOOKUP(CONCATENATE('Options and results'!$C$54," ",Agroforestrysystem!$O$12),Agroforestrysystem!$11:$74,DF41+4,FALSE)*IF(DF41&gt;='Options and results'!$K$19,'Options and results'!$K$18,1))</f>
        <v>0</v>
      </c>
      <c r="DY41" s="1192">
        <f>IF(DT41&gt;0,HLOOKUP(DT41,Treevalue!$I$4:$BC$34,'Options and results'!$C$66+1),0)*IF(DF41&gt;='Options and results'!$K$21,'Options and results'!$K$20,1)*IF(1+'Options and results'!$Q$20*(DF41-1)&gt;0,1+'Options and results'!$Q$20*(DF41-1),0)</f>
        <v>0</v>
      </c>
      <c r="DZ41" s="1027">
        <f t="shared" si="156"/>
        <v>0</v>
      </c>
      <c r="EA41" s="1027">
        <f t="shared" si="125"/>
        <v>0</v>
      </c>
      <c r="EB41" s="1027">
        <f>(IF('Options and results'!$C$66&gt;0,IF(DF41&lt;='Options and results'!$W$20,VLOOKUP('Options and results'!$C$66,Treevalue!$A$4:$F$34,5,FALSE),0),0)*DV41)*IF(DF41&gt;='Options and results'!$K$21,'Options and results'!$K$20,1)*IF(1+'Options and results'!$Q$20*(DF41-1)&gt;0,1+'Options and results'!$Q$20*(DF41-1),0)</f>
        <v>0</v>
      </c>
      <c r="EC41" s="740">
        <f>(IF('Options and results'!$C$66&gt;0,IF(DF41&lt;='Options and results'!$W$20,VLOOKUP('Options and results'!$C$66,Treevalue!$A$4:$F$34,5,FALSE),0),0)*DW41)*IF(DF41&gt;='Options and results'!$K$21,'Options and results'!$K$20,1)*IF(1+'Options and results'!$Q$20*(DF41-1)&gt;0,1+'Options and results'!$Q$20*(DF41-1),0)</f>
        <v>0</v>
      </c>
      <c r="ED41" s="889">
        <f>(IF('Options and results'!$C$66&gt;0,IF(DF41&lt;='Options and results'!$W$20,VLOOKUP('Options and results'!$C$66,Treevalue!$A$4:$F$34,6,FALSE),0),0)*DX41)*IF(DF41&gt;='Options and results'!$K$21,'Options and results'!$K$20,1)*IF(1+'Options and results'!$Q$20*(DF41-1)&gt;0,1+'Options and results'!$Q$20*(DF41-1),0)</f>
        <v>0</v>
      </c>
      <c r="EE41" s="740">
        <f>IF(DF41&lt;='Options and results'!$W$20,IF(DL41&lt;=0,0,IF('Options and results'!$C$70="cost",(IF(DF41&lt;='Options and results'!$C$71,FK41*SUM('Options and results'!$C$72:$C$73),0)),IF('Options and results'!$C$68&gt;0,(IF(VLOOKUP('Options and results'!$C$69,Treegrant!$B$6:$L$42,Treegrant!$C$2,FALSE)=DF41,VLOOKUP('Options and results'!$C$69,Treegrant!$B$6:$L$42,Treegrant!$D$2,FALSE),0)+IF(VLOOKUP('Options and results'!$C$69,Treegrant!$B$6:$L$42,Treegrant!$E$2,FALSE)=DF41,VLOOKUP('Options and results'!$C$69,Treegrant!$B$6:$L$42,Treegrant!$F$2,FALSE),0)+IF(VLOOKUP('Options and results'!$C$69,Treegrant!$B$6:$L$42,Treegrant!$G$2,FALSE)=DF41,VLOOKUP('Options and results'!$C$69,Treegrant!$B$6:$L$42,Treegrant!$H$2,FALSE)))*IF('Options and results'!$C$70="area",Unit!C42,'Options and results'!$C$70),0))*IF(DF41&gt;='Options and results'!$K$23,'Options and results'!$K$22,1)),0)*IF(1+'Options and results'!$Q$23*(DF41-1)&gt;0,1+'Options and results'!$Q$23*(DF41-1),0)</f>
        <v>0</v>
      </c>
      <c r="EF41" s="740">
        <f>IF($DG$8=0,0,IF(DF41&lt;='Options and results'!$W$20,IF(DL41&lt;=0,0,IF('Options and results'!$C$68&gt;0,IF(AND(VLOOKUP('Options and results'!$C$69,Treegrant!$B$6:$L$42,Treegrant!$J$2,FALSE)&lt;=DF41,VLOOKUP('Options and results'!$C$69,Treegrant!$B$6:$L$42,Treegrant!$K$2,FALSE)&gt;=DF41),(VLOOKUP('Options and results'!$C$69,Treegrant!$B$6:$L$42,Treegrant!$L$2,FALSE)),0)*IF('Options and results'!$C$74="area",Unit!C42,'Options and results'!$C$74))*IF(DF41&gt;='Options and results'!$K$23,'Options and results'!$K$22,1)),0))*IF(1+'Options and results'!$Q$23*(DF41-1)&gt;0,1+'Options and results'!$Q$23*(DF41-1),0)</f>
        <v>0</v>
      </c>
      <c r="EG41" s="1034">
        <f>IF($DG$8=0,0,IF(DF41&lt;='Options and results'!$W$20,IF(DL41&lt;=0,0,IF('Options and results'!$C$68&gt;0,((IF(AND(VLOOKUP('Options and results'!$C$69,Treegrant!$B$6:$O$42,Treegrant!$M$2,FALSE)&lt;=DF41,VLOOKUP('Options and results'!$C$69,Treegrant!$B$6:$O$42,Treegrant!$N$2,FALSE)&gt;=DF41),(VLOOKUP('Options and results'!$C$69,Treegrant!$B$6:$O$42,Treegrant!$O$2,FALSE)),0)*IF('Options and results'!$C$75="area",Unit!C42,'Options and results'!$C$75))+(IF(AND(VLOOKUP('Options and results'!$C$69,Treegrant!$B$6:$R$42,Treegrant!$P$2,FALSE)&lt;=DF41,VLOOKUP('Options and results'!$C$69,Treegrant!$B$6:$R$42,Treegrant!$Q$2,FALSE)&gt;=DF41),(VLOOKUP('Options and results'!$C$69,Treegrant!$B$6:$R$42,Treegrant!$R$2,FALSE)),0))*IF('Options and results'!$C$76="area",Unit!C42,'Options and results'!$C$76)))*IF(DF41&gt;='Options and results'!$K$23,'Options and results'!$K$22,1)),0))*IF(1+'Options and results'!$Q$23*(DF41-1)&gt;0,1+'Options and results'!$Q$23*(DF41-1),0)</f>
        <v>0</v>
      </c>
      <c r="EH41" s="1041"/>
      <c r="EI41" s="1042"/>
      <c r="EJ41" s="1419">
        <f>IF($DH$8+DK41&lt;1,0,IF(DF41=1,VLOOKUP($DG$8,Treecost!$B$6:$AH$49,Treecost!$E$2,FALSE),0)*IF(DF41&gt;='Options and results'!$K$25,'Options and results'!$K$24,1))</f>
        <v>0</v>
      </c>
      <c r="EK41" s="889">
        <f>IF($DH$8+DK41&lt;1,0,IF(DF41=1,VLOOKUP($DG$8,Treecost!$B$6:$AH$49,Treecost!$F$2,FALSE),0)*IF(DF41&gt;='Options and results'!$K$25,'Options and results'!$K$24,1))</f>
        <v>0</v>
      </c>
      <c r="EL41" s="889">
        <f>IF($DH$8+DK41&lt;1,0,IF(DF41=1,VLOOKUP($DG$8,Treecost!$B$6:$AH$49,Treecost!$G$2,FALSE),0)*IF(DF41&gt;='Options and results'!$K$25,'Options and results'!$K$24,1))</f>
        <v>0</v>
      </c>
      <c r="EM41" s="889">
        <f>IF($DG$8=0,0,IF(DF41&lt;='Options and results'!$W$20,((VLOOKUP($DG$8,Treecost!$B$6:$AH$49,Treecost!$H$2,FALSE)*(DH41+DK41))/60)*IF(DF41&gt;='Options and results'!$K$25,'Options and results'!$K$24,1),0))</f>
        <v>0</v>
      </c>
      <c r="EN41" s="889">
        <f>IF($DG$8=0,0,IF(DF41&lt;='Options and results'!$W$20,(((VLOOKUP($DG$8,Treecost!$B$6:$AH$49,Treecost!$I$2,FALSE))*(DH41+DK41))/60)*IF(DF41&gt;='Options and results'!$K$25,'Options and results'!$K$24,1),0))</f>
        <v>0</v>
      </c>
      <c r="EO41" s="889">
        <f>IF($DG$8=0,0,IF(DF41&lt;='Options and results'!$W$20,(((VLOOKUP($DG$8,Treecost!$B$6:$AH$49,Treecost!$J$2,FALSE))/60)*(DH41+DK41))*IF(DF41&gt;='Options and results'!$K$25,'Options and results'!$K$24,1),0))</f>
        <v>0</v>
      </c>
      <c r="EP41" s="1019">
        <f>IF($DG$8=0,0,IF(DF41&lt;='Options and results'!$W$20,(((VLOOKUP($DG$8,Treecost!$B$6:$AH$49,Treecost!$C$2,FALSE)+VLOOKUP($DG$8,Treecost!$B$6:$AH$49,Treecost!$D$2,FALSE))*(DH41+DK41)*IF(1+'Options and results'!$Q$22*(DF41-1)&gt;0,1+'Options and results'!$Q$22*(DF41-1),0))+(EJ41*$EI$8+EK41*$EI$9+EL41*$EI$10+EM41*$EI$11+EN41*$EI$12+EO41*$EI$13)*IF(1+'Options and results'!$Q$21*(DF41-1)&gt;0,1+'Options and results'!$Q$21*(DF41-1),0))*IF(DF41&gt;='Options and results'!$K$27,'Options and results'!$K$26,1),0))</f>
        <v>0</v>
      </c>
      <c r="EQ41" s="740">
        <f>IF($DG$8=0,0,IF(DF41&lt;='Options and results'!$W$20,IF(AND(VLOOKUP($DG$8,Treecost!$B$6:$AH$49,Treecost!$K$2,FALSE)&lt;=DF41,DF41&lt;=(VLOOKUP($DG$8,Treecost!$B$6:$AH$49,Treecost!$L$2,FALSE))),VLOOKUP($DG$8,Treecost!$B$6:$AH$49,Treecost!$M$2,FALSE)*DL41/60,0)*IF(DF41&gt;='Options and results'!$K$25,'Options and results'!$K$24,1),0))</f>
        <v>0</v>
      </c>
      <c r="ER41" s="1019">
        <f>IF(EQ41&gt;0,(VLOOKUP($DG$8,Treecost!$B$6:$AH$49,Treecost!$N$2,FALSE)*DL41*IF(1+'Options and results'!$Q$22*(DF41-1)&gt;0,1+'Options and results'!$Q$22*(DF41-1),0)+EQ41*$EI$14*IF(1+'Options and results'!$Q$21*(DF41-1)&gt;0,1+'Options and results'!$Q$21*(DF41-1),0)),0)*IF(DF41&gt;='Options and results'!$K$27,'Options and results'!$K$26,1)</f>
        <v>0</v>
      </c>
      <c r="ES41" s="889">
        <f>IF(DF41&lt;='Options and results'!$W$20,IF(AND(DR41-DR40&gt;0,DR41&gt;'Options and results'!$M$64),(DL41-DN41)*(VLOOKUP($DG$8,Treecost!$B$6:$AH$49,Treecost!$Y$2,FALSE)+(VLOOKUP($DG$8,Treecost!$B$6:$AH$49,Treecost!$AA$2,FALSE)-VLOOKUP($DG$8,Treecost!$B$6:$AH$49,Treecost!$Y$2,FALSE))/(VLOOKUP($DG$8,Treecost!$B$6:$AH$49,Treecost!$Z$2,FALSE)-VLOOKUP($DG$8,Treecost!$B$6:$AH$49,Treecost!$X$2,FALSE))*(DR41-VLOOKUP($DG$8,Treecost!$B$6:$AH$49,Treecost!$X$2,FALSE)))/60,0)*IF(DF41&gt;='Options and results'!$K$25,'Options and results'!$K$24,1),0)</f>
        <v>0</v>
      </c>
      <c r="ET41" s="889">
        <f>IF(DF41&lt;='Options and results'!$W$20,IF(ES41&gt;0,VLOOKUP($DG$8,Treecost!$B$6:$AH$49,Treecost!$AB$2,FALSE)/60*DL41,0)*IF(DF41&gt;='Options and results'!$K$25,'Options and results'!$K$24,1),0)*((ES41-(MIN($ES$8:$ES$67)))/((MAX($ES$8:$ES$67))-(MIN($ES$8:$ES$67))))</f>
        <v>0</v>
      </c>
      <c r="EU41" s="740">
        <f>IF(ES41&gt;0,(ES41*$EI$15+ET41*$EI$19)*IF(1+'Options and results'!$Q$21*(DF41-1)&gt;0,1+'Options and results'!$Q$21*(DF41-1),0),0)*IF(DF41&gt;='Options and results'!$K$27,'Options and results'!$K$26,1)</f>
        <v>0</v>
      </c>
      <c r="EV41" s="891">
        <f>IF($DG$8=0,0,IF(DF41&lt;='Options and results'!$W$20,IF(AND(VLOOKUP($DG$8,Treecost!$B$2:$AH$49,Treecost!$O$2,FALSE)=DF41,DF41&lt;=IF(AND(Optimisation!$B$3="Yes",Optimisation!$B$4=1),Optimisation!$B$9)),VLOOKUP($DG$8,Treecost!$B$2:$AH$49,Treecost!$P$2,FALSE)*(1-CN41),0)*IF(DF41&gt;='Options and results'!$K$25,'Options and results'!$K$24,1),0))</f>
        <v>0</v>
      </c>
      <c r="EW41" s="889">
        <f>IF($DG$8=0,0,IF(DF41&lt;='Options and results'!$W$20,IF(AND(DF41&gt;VLOOKUP($DG$8,Treecost!$B$2:$AH$49,Treecost!$O$2,FALSE),DF41&lt;=IF(AND(Optimisation!$B$3="Yes",Optimisation!$B$4=1),Optimisation!$B$9,VLOOKUP($DG$8,Treecost!$B$2:$AH$49,Treecost!$R$2,FALSE))),VLOOKUP($DG$8,Treecost!$B$2:$AH$49,Treecost!$S$2,FALSE)*(1-CN41),0)*IF(DF41&gt;='Options and results'!$K$25,'Options and results'!$K$24,1),0))</f>
        <v>0</v>
      </c>
      <c r="EX41" s="740">
        <f>IF($DG$8=0,0,IF(DF41&lt;='Options and results'!$W$20,(IF(AND(VLOOKUP($DG$8,Treecost!$B$2:$AH$49,Treecost!$O$2,FALSE)=DF41,DF41&lt;=IF(AND(Optimisation!$B$3="Yes",Optimisation!$B$4=1),Optimisation!$B$9)),VLOOKUP($DG$8,Treecost!$B$2:$AH$49,Treecost!$Q$2,FALSE),0)*(1-CN41)+IF(AND(DF41&gt;VLOOKUP($DG$8,Treecost!$B$2:$AH$49,Treecost!$O$2,FALSE),DF41&lt;=IF(AND(Optimisation!$B$3="Yes",Optimisation!$B$4=1),Optimisation!$B$9,VLOOKUP($DG$8,Treecost!$B$2:$AH$49,Treecost!$R$2,FALSE))),VLOOKUP($DG$8,Treecost!$B$2:$AH$49,Treecost!$T$2,FALSE),0)*(1-CN41)+(EV41*$EI$16+EW41*$EI$17))*IF(DF41&gt;='Options and results'!$K$27,'Options and results'!$K$26,1),0))*IF(1+'Options and results'!$Q$21*(DF41-1)&gt;0,1+'Options and results'!$Q$21*(DF41-1),0)</f>
        <v>0</v>
      </c>
      <c r="EY41" s="894">
        <f>IF($DG$8=0,0,IF(DF41&lt;='Options and results'!$W$20,IF(AND(DF41&gt;=VLOOKUP($DG$8,Treecost!$B$2:$W$49,Treecost!$U$2,FALSE),DF41&lt;=VLOOKUP($DG$8,Treecost!$B$2:$W$49,Treecost!$V$2,FALSE)),(DL41*VLOOKUP($DG$8,Treecost!$B$2:$W$49,Treecost!$W$2,FALSE)/60),0)*IF(DF41&gt;='Options and results'!$K$25,'Options and results'!$K$24,1),0))</f>
        <v>0</v>
      </c>
      <c r="EZ41" s="740">
        <f>EY41*$EI$18*IF(DF41&gt;='Options and results'!$K$27,'Options and results'!$K$26,1)*IF(1+'Options and results'!$Q$21*(DF41-1)&gt;0,1+'Options and results'!$Q$21*(DF41-1),0)</f>
        <v>0</v>
      </c>
      <c r="FA41" s="1025">
        <f>IF(DF41&lt;='Options and results'!$W$20,IF(DL41&lt;=0,0,VLOOKUP($DG$8,Treecost!$B$6:$AH$49,Treecost!$AC$2,FALSE)+VLOOKUP($DG$8,Treecost!$B$6:$AH$49,Treecost!$AD$2,FALSE)+IF(AND(DF41&gt;=VLOOKUP($DG$8,Treecost!$B$2:$AK$49,Treecost!$AI$2,FALSE),DF41&lt;=VLOOKUP($DG$8,Treecost!$B$2:$AK$49,Treecost!$AJ$2,FALSE)),VLOOKUP($DG$8,Treecost!$B$2:$AK$49,Treecost!$AK$2,FALSE)*(1-CN41),0))*IF(DF41&gt;='Options and results'!$K$27,'Options and results'!$K$26,1),0)*IF(1+'Options and results'!$Q$22*(DF41-1)&gt;0,1+'Options and results'!$Q$22*(DF41-1),0)</f>
        <v>0</v>
      </c>
      <c r="FB41" s="894">
        <f>IF(DF41&lt;='Options and results'!$W$20,IF(DN41&gt;0,VLOOKUP($DG$8,Treecost!$B$6:$AH$49,Treecost!$AE$2,FALSE)/60*DN41,0)*IF(DF41&gt;='Options and results'!$K$25,'Options and results'!$K$24,1),0)</f>
        <v>0</v>
      </c>
      <c r="FC41" s="740">
        <f>IF(DF41&lt;='Options and results'!$W$20,IF(DN41&gt;0,VLOOKUP($DG$8,Treecost!$B$6:$AH$49,Treecost!$AF$2,FALSE)/60*DN41,0)*IF(DF41&gt;='Options and results'!$K$25,'Options and results'!$K$24,1),0)</f>
        <v>0</v>
      </c>
      <c r="FD41" s="740">
        <f>(FB41*$EI$20+FC41*$EI$21)*IF(DF41&gt;='Options and results'!$K$27,'Options and results'!$K$26,1)*IF(1+'Options and results'!$Q$21*(DF41-1)&gt;0,1+'Options and results'!$Q$21*(DF41-1),0)</f>
        <v>0</v>
      </c>
      <c r="FE41" s="894">
        <f>IF(DF41&lt;='Options and results'!$W$20,IF(DO41&gt;0,(VLOOKUP($DG$8,Treecost!$B$6:$AH$49,Treecost!$AG$2,FALSE)/60*DO41)*IF(DF41&gt;='Options and results'!$K$25,'Options and results'!$K$24,1),0),0)</f>
        <v>0</v>
      </c>
      <c r="FF41" s="740">
        <f>IF(DF41&lt;='Options and results'!$W$20,IF(DO41&gt;0,(VLOOKUP($DG$8,Treecost!$B$6:$AH$49,Treecost!$AH$2,FALSE)/60*DO41)*IF(DF41&gt;='Options and results'!$K$25,'Options and results'!$K$24,1),0),0)</f>
        <v>0</v>
      </c>
      <c r="FG41" s="740">
        <f>(FE41*$EI$22+FF41*$EI$23)*IF(DF41&gt;='Options and results'!$K$27,'Options and results'!$K$26,1)*IF(1+'Options and results'!$Q$21*(DF41-1)&gt;0,1+'Options and results'!$Q$21*(DF41-1),0)</f>
        <v>0</v>
      </c>
      <c r="FH41" s="894">
        <f t="shared" si="157"/>
        <v>0</v>
      </c>
      <c r="FI41" s="1027">
        <f t="shared" si="158"/>
        <v>0</v>
      </c>
      <c r="FJ41" s="1027">
        <f t="shared" si="159"/>
        <v>0</v>
      </c>
      <c r="FK41" s="1027">
        <f t="shared" si="160"/>
        <v>0</v>
      </c>
      <c r="FL41" s="1027">
        <f t="shared" si="184"/>
        <v>0</v>
      </c>
      <c r="FM41" s="1027">
        <f>IF($DF41&lt;='Options and results'!$W$20,SUM(FI$8:$FI41),0)</f>
        <v>0</v>
      </c>
      <c r="FN41" s="1027">
        <f>IF($DF41&lt;='Options and results'!$W$20,SUM($FJ$8:FJ41),0)</f>
        <v>0</v>
      </c>
      <c r="FO41" s="1027">
        <f>IF($DF41&lt;='Options and results'!$W$20,SUM($FK$8:FK41),0)</f>
        <v>0</v>
      </c>
      <c r="FP41" s="1027">
        <f>IF($DF41&lt;='Options and results'!$W$20,FM41+FN41-FO41,0)</f>
        <v>0</v>
      </c>
      <c r="FQ41" s="1027">
        <f t="shared" si="162"/>
        <v>0</v>
      </c>
      <c r="FR41" s="1027">
        <f t="shared" si="163"/>
        <v>0</v>
      </c>
      <c r="FS41" s="1027">
        <f t="shared" si="164"/>
        <v>0</v>
      </c>
      <c r="FT41" s="1189">
        <f>IF(DF41&lt;='Options and results'!$W$20,FP41+DZ41,0)</f>
        <v>0</v>
      </c>
      <c r="FU41" s="401"/>
      <c r="FV41" s="895">
        <f t="shared" si="165"/>
        <v>34</v>
      </c>
      <c r="FW41" s="894">
        <f>G41/(1+'Options and results'!$W$33)^(FV41-1)</f>
        <v>0</v>
      </c>
      <c r="FX41" s="740">
        <f>(AP41+AR41+AS41)/(1+'Options and results'!$W$33)^(FV41-1)</f>
        <v>0</v>
      </c>
      <c r="FY41" s="740">
        <f>CQ41/(1+'Options and results'!$W$33)^(FV41-1)</f>
        <v>0</v>
      </c>
      <c r="FZ41" s="740">
        <f>(EA41+EC41+ED41)/(1+'Options and results'!$W$33)^(FV41-1)</f>
        <v>0</v>
      </c>
      <c r="GA41" s="1019">
        <f t="shared" si="180"/>
        <v>0</v>
      </c>
      <c r="GB41" s="1026">
        <f>(AO41+AQ41)/(1+'Options and results'!$W$33)^(FV41-1)+FX41</f>
        <v>0</v>
      </c>
      <c r="GC41" s="1027">
        <f>IF(FV41&gt;'Options and results'!$W$27,0,GB41-GB40)</f>
        <v>0</v>
      </c>
      <c r="GD41" s="1027">
        <f>(DZ41+EB41)/(1+'Options and results'!$W$33)^(FV41-1)+FZ41</f>
        <v>0</v>
      </c>
      <c r="GE41" s="1379">
        <f>IF(FV41&gt;'Options and results'!$W$27,0,GD41-GD40)</f>
        <v>0</v>
      </c>
      <c r="GF41" s="894">
        <f>IF(FV41&lt;='Options and results'!$W$20,SUM(FW$8:FW41),0)</f>
        <v>0</v>
      </c>
      <c r="GG41" s="740">
        <f>IF(FV41&lt;='Options and results'!$W$20,SUM(FX$8:FX41), 0)</f>
        <v>0</v>
      </c>
      <c r="GH41" s="740">
        <f>IF(FV41&lt;='Options and results'!$W$20,SUM(FY$8:FY41),0)</f>
        <v>0</v>
      </c>
      <c r="GI41" s="740">
        <f>IF(FV41&lt;='Options and results'!$W$20,SUM(FZ$8:FZ41),0)</f>
        <v>0</v>
      </c>
      <c r="GJ41" s="1019">
        <f t="shared" si="166"/>
        <v>0</v>
      </c>
      <c r="GK41" s="894">
        <f>IF(FV41&gt;'Options and results'!$W$27,0,GG41+SUM(GC$8:GC41)-FX41)</f>
        <v>0</v>
      </c>
      <c r="GL41" s="740">
        <f>IF(FV41&lt;='Options and results'!$W$20,SUM(GD$8:GD41),0)</f>
        <v>0</v>
      </c>
      <c r="GM41" s="1034">
        <f t="shared" si="167"/>
        <v>0</v>
      </c>
      <c r="GN41" s="401"/>
      <c r="GO41" s="895">
        <f t="shared" si="168"/>
        <v>34</v>
      </c>
      <c r="GP41" s="894">
        <f>H41/(1+'Options and results'!$W$33)^(GO41-1)</f>
        <v>0</v>
      </c>
      <c r="GQ41" s="740">
        <f>SUM(AT41:AV41)/(1+'Options and results'!$W$33)^(GO41-1)</f>
        <v>0</v>
      </c>
      <c r="GR41" s="740">
        <f>CR41/(1+'Options and results'!$W$33)^(GO41-1)</f>
        <v>0</v>
      </c>
      <c r="GS41" s="740">
        <f>SUM(EE41:EG41)/(1+'Options and results'!$W$33)^(GO41-1)</f>
        <v>0</v>
      </c>
      <c r="GT41" s="1019">
        <f t="shared" si="181"/>
        <v>0</v>
      </c>
      <c r="GU41" s="894">
        <f>IF(GO41&lt;='Options and results'!$W$20,SUM(GP$8:GP41),0)</f>
        <v>0</v>
      </c>
      <c r="GV41" s="740">
        <f>IF(GO41&lt;='Options and results'!$W$20,SUM(GQ$8:GQ41),0)</f>
        <v>0</v>
      </c>
      <c r="GW41" s="740">
        <f>IF(GO41&lt;='Options and results'!$W$20,SUM(GR$8:GR41),0)</f>
        <v>0</v>
      </c>
      <c r="GX41" s="740">
        <f>IF(GO41&lt;='Options and results'!$W$20,SUM(GS$8:GS41),0)</f>
        <v>0</v>
      </c>
      <c r="GY41" s="1034">
        <f>IF(GO41&lt;='Options and results'!$W$20,SUM(GT$8:GT41),0)</f>
        <v>0</v>
      </c>
      <c r="GZ41" s="401"/>
      <c r="HA41" s="895">
        <f t="shared" si="169"/>
        <v>34</v>
      </c>
      <c r="HB41" s="1026">
        <f>(J41+L41+(M41*N41))/(1+'Options and results'!$W$33)^(HA41-1)</f>
        <v>0</v>
      </c>
      <c r="HC41" s="740">
        <f>BZ41/(1+'Options and results'!$W$33)^(HA41-1)</f>
        <v>0</v>
      </c>
      <c r="HD41" s="1027">
        <f>(CT41+CV41+(CW41*CX41))/(1+'Options and results'!$W$33)^(HA41-1)</f>
        <v>0</v>
      </c>
      <c r="HE41" s="740">
        <f>FK41/(1+'Options and results'!$W$33)^(HA41-1)</f>
        <v>0</v>
      </c>
      <c r="HF41" s="1019">
        <f t="shared" si="182"/>
        <v>0</v>
      </c>
      <c r="HG41" s="894">
        <f>IF(HA41&lt;='Options and results'!$W$20,SUM(HB$8:HB41),0)</f>
        <v>0</v>
      </c>
      <c r="HH41" s="740">
        <f>IF(HA41&lt;='Options and results'!$W$20,SUM(HC$8:HC41),0)</f>
        <v>0</v>
      </c>
      <c r="HI41" s="740">
        <f>IF(HA41&lt;='Options and results'!$W$20,SUM(HD$8:HD41),0)</f>
        <v>0</v>
      </c>
      <c r="HJ41" s="740">
        <f>IF(HA41&lt;='Options and results'!$W$20,SUM(HE$8:HE41),0)</f>
        <v>0</v>
      </c>
      <c r="HK41" s="1034">
        <f>IF(HA41&lt;='Options and results'!$W$20,SUM(HF$8:HF41),0)</f>
        <v>0</v>
      </c>
      <c r="HL41" s="405"/>
      <c r="HM41" s="895">
        <f t="shared" ref="HM41:HM67" si="189">HM40+1</f>
        <v>34</v>
      </c>
      <c r="HN41" s="1026">
        <f t="shared" si="171"/>
        <v>0</v>
      </c>
      <c r="HO41" s="1027">
        <f t="shared" si="172"/>
        <v>0</v>
      </c>
      <c r="HP41" s="1027">
        <f t="shared" si="173"/>
        <v>0</v>
      </c>
      <c r="HQ41" s="1027">
        <f t="shared" si="174"/>
        <v>0</v>
      </c>
      <c r="HR41" s="1027">
        <f t="shared" si="175"/>
        <v>0</v>
      </c>
      <c r="HS41" s="1379">
        <f t="shared" si="176"/>
        <v>0</v>
      </c>
      <c r="HT41" s="1026">
        <f>IF($HM41&lt;='Options and results'!$W$20,SUM(HN$8:HN41),0)</f>
        <v>0</v>
      </c>
      <c r="HU41" s="1027">
        <f>IF($HM41&lt;='Options and results'!$W$20,SUM(HO$8:HO41),0)</f>
        <v>0</v>
      </c>
      <c r="HV41" s="1027">
        <f>IF($HM41&lt;='Options and results'!$W$20,SUM(HP$8:HP41),0)</f>
        <v>0</v>
      </c>
      <c r="HW41" s="1027">
        <f>IF($HM41&lt;='Options and results'!$W$20,SUM(HQ$8:HQ41),0)</f>
        <v>0</v>
      </c>
      <c r="HX41" s="1027">
        <f t="shared" si="177"/>
        <v>0</v>
      </c>
      <c r="HY41" s="1027">
        <f>IF($HM41&lt;='Options and results'!$W$20,SUM(HR$8:HR41),0)</f>
        <v>0</v>
      </c>
      <c r="HZ41" s="1027">
        <f>IF($HM41&lt;='Options and results'!$W$20,SUM(HS$8:HS41),0)</f>
        <v>0</v>
      </c>
      <c r="IA41" s="1189">
        <f t="shared" si="178"/>
        <v>0</v>
      </c>
    </row>
    <row r="42" spans="1:235" x14ac:dyDescent="0.25">
      <c r="A42" s="1010">
        <f t="shared" si="126"/>
        <v>35</v>
      </c>
      <c r="B42" s="1011" t="str">
        <f>IF('Options and results'!$C$17="None",0,CONCATENATE('Options and results'!$C$23," ",(HLOOKUP(CONCATENATE('Options and results'!$C$17," ",Arablesystem!$B$11),Arablesystem!$B$10:$ER$72,$A42+3,FALSE))))</f>
        <v xml:space="preserve">UK - Agriculture (BPS: from 2015) </v>
      </c>
      <c r="C42" s="1012">
        <f>IF(HLOOKUP(CONCATENATE('Options and results'!$C$17," ",Arablesystem!$C$11),Arablesystem!$B$10:$ER$72,$A42+3,FALSE)="T",(VLOOKUP(B42,Arablefinance!$Z$6:$AB$105,Arablefinance!$AB$2,FALSE)*E42+VLOOKUP(B42,Arablefinance!$Z$6:$AC$105,Arablefinance!$AC$2,FALSE)*F42)/VLOOKUP(B42,Arablefinance!$Z$6:$AA$105,Arablefinance!$AA$2,FALSE),0)</f>
        <v>0</v>
      </c>
      <c r="D42" s="1012">
        <f>IF(B42=0,0,HLOOKUP(CONCATENATE('Options and results'!$C$17," ",Arablesystem!$D$11),Arablesystem!$B$10:$ER$72,$A42+3,FALSE))</f>
        <v>0</v>
      </c>
      <c r="E42" s="1440">
        <f>IF(B42=0,0,HLOOKUP(CONCATENATE('Options and results'!$C$17," ",Arablesystem!$E$11),Arablesystem!$B$10:$ER$72,$A42+3,FALSE)*IF(A42&gt;='Options and results'!$H$19,'Options and results'!$H$18,1))</f>
        <v>0</v>
      </c>
      <c r="F42" s="1440">
        <f>IF(B42=0,0,HLOOKUP(CONCATENATE('Options and results'!$C$17," ",Arablesystem!$F$11),Arablesystem!$B$10:$ER$72,$A42+3,FALSE)*IF(A42&gt;='Options and results'!$H$19,'Options and results'!$H$18,1))</f>
        <v>0</v>
      </c>
      <c r="G42" s="1013">
        <f>IF(D42&lt;=0,0,IF(A42&lt;='Options and results'!$W$20,IF(C42&gt;0,VLOOKUP(B42,Arablefinance!$Z$6:$AE$105,Arablefinance!$AD$2,FALSE)*C42*D42,((VLOOKUP(B42,Arablefinance!$E$6:$G$126,Arablefinance!$F$2,FALSE)*(E42*D42)+VLOOKUP(B42,Arablefinance!$E$6:$G$126,Arablefinance!$G$2,FALSE)*(F42*D42)))),0)*IF(A42&gt;='Options and results'!$H$21,'Options and results'!$H$20,1))*IF(1+'Options and results'!$O$20*(A42-1)&gt;0,1+'Options and results'!$O$20*(A42-1),0)</f>
        <v>0</v>
      </c>
      <c r="H42" s="1441">
        <f>IF(D42&lt;=0,0,IF(A42&lt;='Options and results'!$W$20,IF(AND(C42&gt;0,VLOOKUP(B42,Arablefinance!$Z$6:$AI$105,Arablefinance!$AI$2,FALSE)=2),VLOOKUP(B42,Arablefinance!$Z$6:$AE$105,Arablefinance!$AE$2,FALSE)*C42*D42,(VLOOKUP(B42,Arablefinance!$E$6:$H$126,Arablefinance!$H$2,FALSE)*D42))*IF(A42&gt;='Options and results'!$H$23,'Options and results'!$H$22,1),0)*IF(AND(1+'Options and results'!$O$23*(A42-1)&gt;0,1+'Options and results'!$O$23*(A42-1)&gt;'Options and results'!$S$24),1+'Options and results'!$O$23*(A42-1),'Options and results'!$S$24))</f>
        <v>0</v>
      </c>
      <c r="I42" s="1441">
        <f t="shared" si="127"/>
        <v>0</v>
      </c>
      <c r="J42" s="1441">
        <f>IF(D42&lt;=0,0,IF(A42&lt;='Options and results'!$W$20,IF(C42&gt;0,VLOOKUP(B42,Arablefinance!$Z$6:$AF$105,Arablefinance!$AF$2,FALSE)*C42*D42,(VLOOKUP(B42,Arablefinance!$E$6:$X$126,Arablefinance!$R$2,FALSE))*D42),0)*IF(A42&gt;='Options and results'!$H$27,'Options and results'!$H$26,1))*IF(1+'Options and results'!$O$22*(A42-1)&gt;0,1+'Options and results'!$O$22*(A42-1),0)</f>
        <v>0</v>
      </c>
      <c r="K42" s="1441">
        <f t="shared" si="128"/>
        <v>0</v>
      </c>
      <c r="L42" s="1441">
        <f>IF(D42&lt;=0,0,IF(A42&lt;='Options and results'!$W$20,IF(C42&gt;0,VLOOKUP(B42,Arablefinance!$Z$6:$AG$105,Arablefinance!$AG$2,FALSE)*C42*D42,VLOOKUP(B42,Arablefinance!$E$6:$X$126,Arablefinance!$X$2,FALSE)*D42),0)*IF(A42&gt;='Options and results'!$H$27,'Options and results'!$H$26,1))*IF(1+'Options and results'!$O$22*(A42-1)&gt;0,1+'Options and results'!$O$22*(A42-1),0)</f>
        <v>0</v>
      </c>
      <c r="M42" s="1442">
        <f>IF(D42&lt;=0,0,IF(A42&lt;='Options and results'!$W$20,'Options and results'!$C$27,0)*IF(A42&gt;='Options and results'!$H$27,'Options and results'!$H$26,1))*IF(1+'Options and results'!$O$21*(A42-1)&gt;0,1+'Options and results'!$O$21*(A42-1),0)</f>
        <v>0</v>
      </c>
      <c r="N42" s="1442">
        <f>IF(D42&lt;=0,0,IF(A42&lt;='Options and results'!$W$20,IF(C42&gt;0,VLOOKUP(B42,Arablefinance!$Z$6:$AH$105,Arablefinance!$AH$2,FALSE)*C42*D42,VLOOKUP(B42,Arablefinance!$E$6:$W$126,Arablefinance!$V$2,FALSE)*D42),0)*IF(A42&gt;='Options and results'!$H$25,'Options and results'!$H$24,1))</f>
        <v>0</v>
      </c>
      <c r="O42" s="1013">
        <f t="shared" si="129"/>
        <v>0</v>
      </c>
      <c r="P42" s="1353">
        <f t="shared" si="130"/>
        <v>0</v>
      </c>
      <c r="Q42" s="1013">
        <f>IF(A42&lt;='Options and results'!$W$20,SUM(G$8:$G42),0)</f>
        <v>0</v>
      </c>
      <c r="R42" s="1441">
        <f>IF($A42&lt;='Options and results'!$W$20,SUM($H$8:H42),0)</f>
        <v>0</v>
      </c>
      <c r="S42" s="1441">
        <f>IF($A42&lt;='Options and results'!$W$20,SUM($O$8:O42),0)</f>
        <v>0</v>
      </c>
      <c r="T42" s="1032">
        <f>IF(A42&lt;='Options and results'!$W$20,Q42+R42-S42,0)</f>
        <v>0</v>
      </c>
      <c r="U42" s="405"/>
      <c r="V42" s="1010">
        <f t="shared" si="131"/>
        <v>35</v>
      </c>
      <c r="W42" s="173"/>
      <c r="X42" s="1036"/>
      <c r="Y42" s="1030">
        <f>IF(V42&lt;='Options and results'!$M$34,'Options and results'!$M$33,0)</f>
        <v>0</v>
      </c>
      <c r="Z42" s="1441">
        <f t="shared" si="132"/>
        <v>0</v>
      </c>
      <c r="AA42" s="1441">
        <f t="shared" si="133"/>
        <v>0</v>
      </c>
      <c r="AB42" s="1428">
        <f t="shared" si="134"/>
        <v>0</v>
      </c>
      <c r="AC42" s="1441">
        <f>IF($W$8=0,0,IF(HLOOKUP(CONCATENATE('Options and results'!$C$32," ",Forestrysystem!$C$8),Forestrysystem!$A$7:$IH$70,V42+4,FALSE)&lt;AB42,HLOOKUP(CONCATENATE('Options and results'!$C$32," ",Forestrysystem!$C$8),Forestrysystem!$A$7:$IH$70,V42+4,FALSE),0))</f>
        <v>0</v>
      </c>
      <c r="AD42" s="1441">
        <f>IF($W$8=0,0,IF(HLOOKUP(CONCATENATE('Options and results'!$C$32," ",Forestrysystem!$C$8),Forestrysystem!$A$7:$IH$70,V42+4,FALSE)&gt;=AB42,AB42,0))</f>
        <v>0</v>
      </c>
      <c r="AE42" s="1440">
        <f>IF($W$8=0,0,HLOOKUP(CONCATENATE('Options and results'!$C$32," ",Forestrysystem!$D$8),Forestrysystem!$A$7:$IH$70,$V42+4,FALSE))</f>
        <v>0</v>
      </c>
      <c r="AF42" s="1037"/>
      <c r="AG42" s="1440">
        <f>IF($W$8=0,0,IF(V42=1,'Options and results'!$M$36,0)+IF('Options and results'!$M$39="yes",IF(AND(AG41+'Options and results'!$M$37&lt;=$AF$8,AG41+'Options and results'!$M$37+IF(V42=1,'Options and results'!$M$36,0)&lt;='Options and results'!$M$38*AE42),AG41+'Options and results'!$M$37,AG41),(HLOOKUP(CONCATENATE('Options and results'!$C$32," ",Forestrysystem!$E$8),Forestrysystem!$A$7:$IH$70,V42+4,FALSE))-IF(V42=1,'Options and results'!$M$36,0)))</f>
        <v>0</v>
      </c>
      <c r="AH42" s="1442">
        <f>IF(OR($W$8=0,AB42&lt;=0),0,(HLOOKUP(CONCATENATE('Options and results'!$C$32," ",Forestrysystem!$F$8),Forestrysystem!$A$7:$IH$70,$V42+4,FALSE)) * IF(V42&gt;='Options and results'!$I$19,'Options and results'!$I$18,1) )</f>
        <v>0</v>
      </c>
      <c r="AI42" s="1452">
        <f t="shared" si="179"/>
        <v>0</v>
      </c>
      <c r="AJ42" s="1442">
        <f t="shared" si="135"/>
        <v>0</v>
      </c>
      <c r="AK42" s="1453">
        <f>IF(OR($W$8=0,AE42&lt;=0),0,(HLOOKUP(CONCATENATE('Options and results'!$C$32," ",Forestrysystem!$G$8),Forestrysystem!$A$7:$IH$70,$V42+4,FALSE)) * IF(Y42&gt;='Options and results'!$I$19,'Options and results'!$I$18,1) )</f>
        <v>0</v>
      </c>
      <c r="AL42" s="1453">
        <f>IF($W$8=0,0,HLOOKUP(CONCATENATE('Options and results'!$C$32," ",Forestrysystem!$H$8),Forestrysystem!$A$7:$IH$70,$V42+4,FALSE)*IF(V42&gt;='Options and results'!$I$19,'Options and results'!$I$18,1))</f>
        <v>0</v>
      </c>
      <c r="AM42" s="1383">
        <f>IF($W$8=0,0,HLOOKUP(CONCATENATE('Options and results'!$C$32," ",Forestrysystem!$I$8),Forestrysystem!$A$7:$IH$70,$V42+4,FALSE)*IF(V42&gt;='Options and results'!$I$19,'Options and results'!$I$18,1))</f>
        <v>0</v>
      </c>
      <c r="AN42" s="1382">
        <f>IF(AI42&gt;0,HLOOKUP(AI42,Treevalue!$I$4:$BC$34,'Options and results'!$C$39+1),0)*IF(V42&gt;='Options and results'!$I$21,'Options and results'!$I$20,1)*IF(1+'Options and results'!$Q$20*(V42-1)&gt;0,1+'Options and results'!$Q$20*(V42-1),0)</f>
        <v>0</v>
      </c>
      <c r="AO42" s="1454">
        <f t="shared" si="136"/>
        <v>0</v>
      </c>
      <c r="AP42" s="1454">
        <f t="shared" si="187"/>
        <v>0</v>
      </c>
      <c r="AQ42" s="1454">
        <f>(IF('Options and results'!$C$39&gt;0,IF(V42&lt;='Options and results'!$W$20,VLOOKUP('Options and results'!$C$39,Treevalue!$A$4:$F$34,5,FALSE),0),0)*AK42)*IF(V42&gt;='Options and results'!$I$21,'Options and results'!$I$20,1)*IF(1+'Options and results'!$Q$20*(V42-1)&gt;0,1+'Options and results'!$Q$20*(V42-1),0)-AR42</f>
        <v>0</v>
      </c>
      <c r="AR42" s="1441">
        <f>(IF('Options and results'!$C$39&gt;0,IF(V42&lt;='Options and results'!$W$20,VLOOKUP('Options and results'!$C$39,Treevalue!$A$4:$F$34,5,FALSE),0),0)*AL42)*IF(V42&gt;='Options and results'!$I$21,'Options and results'!$I$20,1)*IF(1+'Options and results'!$Q$20*(V42-1)&gt;0,1+'Options and results'!$Q$20*(V42-1),0)</f>
        <v>0</v>
      </c>
      <c r="AS42" s="1441">
        <f>(IF('Options and results'!$C$39&gt;0,IF(V42&lt;='Options and results'!$W$20,VLOOKUP('Options and results'!$C$39,Treevalue!$A$4:$F$34,6,FALSE),0),0)*AM42)*IF(V42&gt;='Options and results'!$I$21,'Options and results'!$I$20,1)*IF(1+'Options and results'!$Q$20*(V42-1)&gt;0,1+'Options and results'!$Q$20*(V42-1),0)</f>
        <v>0</v>
      </c>
      <c r="AT42" s="1441">
        <f>IF(V42&lt;='Options and results'!$W$20,(IF(AB42&lt;=0,0,IF('Options and results'!$C$43="cost",(IF(V42&lt;='Options and results'!$C$44,BZ42*SUM('Options and results'!$C$45:$C$46),0)),IF('Options and results'!$C$41&gt;0,(IF(VLOOKUP('Options and results'!$C$42,Treegrant!$B$6:$L$42,Treegrant!$C$2,FALSE)=V42,VLOOKUP('Options and results'!$C$42,Treegrant!$B$6:$L$42,Treegrant!$D$2,FALSE),0)+IF(VLOOKUP('Options and results'!$C$42,Treegrant!$B$6:$L$42,Treegrant!$E$2,FALSE)=V42,VLOOKUP('Options and results'!$C$42,Treegrant!$B$6:$L$42,Treegrant!$F$2,FALSE),0)+IF(VLOOKUP('Options and results'!$C$42,Treegrant!$B$6:$L$42,Treegrant!$G$2,FALSE)=V42,VLOOKUP('Options and results'!$C$42,Treegrant!$B$6:$L$42,Treegrant!$H$2,FALSE)))*IF('Options and results'!$C$43="area",1,'Options and results'!$C$43),0)))*IF(V42&gt;='Options and results'!$I$23,'Options and results'!$I$22,1)),0)*IF(1+'Options and results'!$Q$23*(V42-1)&gt;0,1+'Options and results'!$Q$23*(V42-1),0)</f>
        <v>0</v>
      </c>
      <c r="AU42" s="1441">
        <f>IF($W$8=0,0,IF(V42&lt;='Options and results'!$W$20,IF(AB42&lt;=0,0,IF('Options and results'!$C$41&gt;0,IF(AND(VLOOKUP('Options and results'!$C$42,Treegrant!$B$6:$L$42,Treegrant!$J$2,FALSE)&lt;=V42,VLOOKUP('Options and results'!$C$42,Treegrant!$B$6:$L$42,Treegrant!$K$2,FALSE)&gt;=V42),(VLOOKUP('Options and results'!$C$42,Treegrant!$B$6:$L$42,Treegrant!$L$2,FALSE)),0)*IF('Options and results'!$C$47="full",1,'Options and results'!$C$47))*IF(V42&gt;='Options and results'!$I$23,'Options and results'!$I$22,1)),0))*IF(1+'Options and results'!$Q$23*(V42-1)&gt;0,1+'Options and results'!$Q$23*(V42-1),0)</f>
        <v>0</v>
      </c>
      <c r="AV42" s="1032">
        <f>IF($W$8=0,0,IF(V42&lt;='Options and results'!$W$20,IF(AB42&lt;=0,0,(IF('Options and results'!$C$41&gt;0,(IF(AND(VLOOKUP('Options and results'!$C$42,Treegrant!$B$6:$O$42,Treegrant!$M$2,FALSE)&lt;=V42,VLOOKUP('Options and results'!$C$42,Treegrant!$B$6:$O$42,Treegrant!$N$2,FALSE)&gt;=V42),(VLOOKUP('Options and results'!$C$42,Treegrant!$B$6:$O$42,Treegrant!$O$2,FALSE)),0)*IF('Options and results'!$C$48="full",1,'Options and results'!$C$48))+(IF(AND(VLOOKUP('Options and results'!$C$42,Treegrant!$B$6:$R$42,Treegrant!$P$2,FALSE)&lt;=V42,VLOOKUP('Options and results'!$C$42,Treegrant!$B$6:$R$42,Treegrant!$Q$2,FALSE)&gt;=V42),(VLOOKUP('Options and results'!$C$42,Treegrant!$B$6:$R$42,Treegrant!$R$2,FALSE)),0))*IF('Options and results'!$C$49="full",1,'Options and results'!$C$49)))*IF(V42&gt;='Options and results'!$I$23,'Options and results'!$I$22,1)),0))*IF(1+'Options and results'!$Q$23*(V42-1)&gt;0,1+'Options and results'!$Q$23*(V42-1),0)</f>
        <v>0</v>
      </c>
      <c r="AW42" s="1041"/>
      <c r="AX42" s="1042"/>
      <c r="AY42" s="1419">
        <f>IF($W$8=0,0,IF(V42=1,VLOOKUP($W$8,Treecost!$B$6:$AH$49,Treecost!$E$2,FALSE),0)*IF(V42&gt;='Options and results'!$I$25,'Options and results'!$I$24,1))</f>
        <v>0</v>
      </c>
      <c r="AZ42" s="889">
        <f>IF($W$8=0,0,IF(V42=1,VLOOKUP($W$8,Treecost!$B$6:$AH$49,Treecost!$F$2,FALSE),0)*IF(V42&gt;='Options and results'!$I$25,'Options and results'!$I$24,1))</f>
        <v>0</v>
      </c>
      <c r="BA42" s="889">
        <f>IF($W$8=0,0,IF(V42=1,VLOOKUP($W$8,Treecost!$B$6:$AH$49,Treecost!$G$2,FALSE),0)*IF(V42&gt;='Options and results'!$I$25,'Options and results'!$I$24,1))</f>
        <v>0</v>
      </c>
      <c r="BB42" s="889">
        <f>IF($W$8=0,0,IF(V42&lt;='Options and results'!$W$20,((VLOOKUP($W$8,Treecost!$B$6:$AH$49,Treecost!$H$2,FALSE)*(X42+AA42))/60)*IF(V42&gt;='Options and results'!$I$25,'Options and results'!$I$24,1),0))</f>
        <v>0</v>
      </c>
      <c r="BC42" s="889">
        <f>IF($W$8=0,0,IF(V42&lt;='Options and results'!$W$20,(((VLOOKUP($W$8,Treecost!$B$6:$AH$49,Treecost!$I$2,FALSE))*(X42+AA42))/60)*IF(V42&gt;='Options and results'!$I$25,'Options and results'!$I$24,1),0))</f>
        <v>0</v>
      </c>
      <c r="BD42" s="889">
        <f>IF($W$8=0,0,IF(V42&lt;='Options and results'!$W$20,(((VLOOKUP($W$8,Treecost!$B$6:$AH$49,Treecost!$J$2,FALSE))/60)*(X42+AA42))*IF(V42&gt;='Options and results'!$I$25,'Options and results'!$I$24,1),0))</f>
        <v>0</v>
      </c>
      <c r="BE42" s="1019">
        <f>IF($W$8=0,0,IF(V42&lt;='Options and results'!$W$20,(((VLOOKUP($W$8,Treecost!$B$6:$AH$49,Treecost!$C$2,FALSE)+VLOOKUP($W$8,Treecost!$B$6:$AH$49,Treecost!$D$2,FALSE))*(X42+AA42)*IF(1+'Options and results'!$Q$22*(V42-1)&gt;0,1+'Options and results'!$Q$22*(V42-1),0))+((AY42*$AX$8+AZ42*$AX$9+BA42*$AX$10+BB42*$AX$11+BC42*$AX$12+BD42*$AX$13)*IF(1+'Options and results'!$Q$21*(V42-1)&gt;0,1+'Options and results'!$Q$21*(V42-1),0)))*IF(V42&gt;='Options and results'!$I$27,'Options and results'!$I$26,1),0))</f>
        <v>0</v>
      </c>
      <c r="BF42" s="889">
        <f>IF($W$8=0,0,IF(V42&lt;='Options and results'!$W$20,IF(AND(VLOOKUP($W$8,Treecost!$B$6:$AH$49,Treecost!$K$2,FALSE)&lt;=V42,V42&lt;=(VLOOKUP($W$8,Treecost!$B$6:$AH$49,Treecost!$L$2,FALSE))),VLOOKUP($W$8,Treecost!$B$6:$AH$49,Treecost!$M$2,FALSE)*AB42/60,0)*IF(V42&gt;='Options and results'!$I$25,'Options and results'!$I$24,1),0))</f>
        <v>0</v>
      </c>
      <c r="BG42" s="1019">
        <f>IF(BF42&gt;0,(VLOOKUP($W$8,Treecost!$B$6:$AH$49,Treecost!$N$2,FALSE)*AB42*IF(1+'Options and results'!$Q$22*(V42-1)&gt;0,1+'Options and results'!$Q$22*(V42-1),0)+BF42*$AX$14*IF(1+'Options and results'!$Q$21*(V42-1)&gt;0,1+'Options and results'!$Q$21*(V42-1),0)),0)*IF(V42&gt;='Options and results'!$I$27,'Options and results'!$I$26,1)</f>
        <v>0</v>
      </c>
      <c r="BH42" s="889">
        <f>IF(V42&lt;='Options and results'!$W$20,IF(AND(AG42-AG41&gt;0,AG42&gt;'Options and results'!$M$36),(AB42-AC42)*(VLOOKUP($W$8,Treecost!$B$6:$AH$49,Treecost!$Y$2,FALSE)+(VLOOKUP($W$8,Treecost!$B$6:$AH$49,Treecost!$AA$2,FALSE)-VLOOKUP($W$8,Treecost!$B$6:$AH$49,Treecost!$Y$2,FALSE))/(VLOOKUP($W$8,Treecost!$B$6:$AH$49,Treecost!$Z$2,FALSE)-VLOOKUP($W$8,Treecost!$B$6:$AH$49,Treecost!$X$2,FALSE))*(AG42-VLOOKUP($W$8,Treecost!$B$6:$AH$49,Treecost!$X$2,FALSE)))/60,0)*IF(V42&gt;='Options and results'!$I$25,'Options and results'!$I$24,1),0)</f>
        <v>0</v>
      </c>
      <c r="BI42" s="303">
        <f>IF(V42&lt;='Options and results'!$W$20,IF(BH42&gt;0,VLOOKUP($W$8,Treecost!$B$6:$AH$49,Treecost!$AB$2,FALSE)/60*AB42,0)*IF(V42&gt;='Options and results'!$I$25,'Options and results'!$I$24,1),0)*((BH42-(MIN($BH$8:$BH$67)))/((MAX($BH$8:$BH$67))-(MIN($BH$8:$BH$67))))</f>
        <v>0</v>
      </c>
      <c r="BJ42" s="740">
        <f>IF(BH42&gt;0,(BH42*$AX$15+BI42*$AX$19)*IF(1+'Options and results'!$Q$21*(V42-1)&gt;0,1+'Options and results'!$Q$21*(V42-1),0),0)*IF(V42&gt;='Options and results'!$I$27,'Options and results'!$I$26,1)</f>
        <v>0</v>
      </c>
      <c r="BK42" s="891">
        <f>IF($W$8=0,0,IF(V42&lt;='Options and results'!$W$20,IF(VLOOKUP($W$8,Treecost!$B$2:$AH$49,Treecost!$O$2,FALSE)=V42,VLOOKUP($W$8,Treecost!$B$2:$AH$49,Treecost!$P$2,FALSE),0)*IF(V42&gt;='Options and results'!$I$25,'Options and results'!$I$24,1),0))</f>
        <v>0</v>
      </c>
      <c r="BL42" s="889">
        <f>IF($W$8=0,0,IF(V42&lt;='Options and results'!$W$20,IF(AND(V42&gt;VLOOKUP($W$8,Treecost!$B$2:$AH$49,Treecost!$O$2,FALSE),V42&lt;=VLOOKUP($W$8,Treecost!$B$2:$AH$49,Treecost!$R$2,FALSE)),VLOOKUP($W$8,Treecost!$B$2:$AH$49,Treecost!$S$2,FALSE),0)*IF(V42&gt;='Options and results'!$I$25,'Options and results'!$I$24,1),0))</f>
        <v>0</v>
      </c>
      <c r="BM42" s="740">
        <f>IF($W$8=0,0,IF(V42&lt;='Options and results'!$W$20,((IF(VLOOKUP($W$8,Treecost!$B$2:$AH$49,Treecost!$O$2,FALSE)=V42,VLOOKUP($W$8,Treecost!$B$2:$AH$49,Treecost!$Q$2,FALSE),0)+IF(AND(V42&gt;VLOOKUP($W$8,Treecost!$B$2:$AH$49,Treecost!$O$2,FALSE),V42&lt;=VLOOKUP($W$8,Treecost!$B$2:$AH$49,Treecost!$R$2,FALSE)),VLOOKUP($W$8,Treecost!$B$2:$AH$49,Treecost!$T$2,FALSE),0)*IF(1+'Options and results'!$Q$22*(V42-1)&gt;0,1+'Options and results'!$Q$22*(V42-1),0))+(BK42*$AX$16+BL42*$AX$17)*IF(1+'Options and results'!$Q$21*(V42-1)&gt;0,1+'Options and results'!$Q$21*(V42-1),0))*IF(V42&gt;='Options and results'!$I$27,'Options and results'!$I$26,1),0))</f>
        <v>0</v>
      </c>
      <c r="BN42" s="894">
        <f>IF($W$8=0,0,IF(V42&lt;='Options and results'!$W$20,IF(AND(V42&gt;=VLOOKUP($W$8,Treecost!$B$2:$W$49,Treecost!$U$2,FALSE),V42&lt;=VLOOKUP($W$8,Treecost!$B$2:$W$49,Treecost!$V$2,FALSE)),(AB42*VLOOKUP($W$8,Treecost!$B$2:$W$49,Treecost!$W$2,FALSE)/60),0)*IF(V42&gt;='Options and results'!$I$25,'Options and results'!$I$24,1),0))</f>
        <v>0</v>
      </c>
      <c r="BO42" s="740">
        <f>BN42*$AX$18*IF(V42&gt;='Options and results'!$I$27,'Options and results'!$I$26,1)*IF(1+'Options and results'!$Q$21*(V42-1)&gt;0,1+'Options and results'!$Q$21*(V42-1),0)</f>
        <v>0</v>
      </c>
      <c r="BP42" s="894">
        <f>IF(V42&lt;='Options and results'!$W$20,IF(AB42&lt;=0,0,VLOOKUP($W$8,Treecost!$B$6:$AH$49,Treecost!$AC$2,FALSE)+VLOOKUP($W$8,Treecost!$B$6:$AH$49,Treecost!$AD$2,FALSE)+IF(AND(V42&gt;=VLOOKUP($W$8,Treecost!$B$2:$AK$49,Treecost!$AI$2,FALSE),V42&lt;=VLOOKUP($W$8,Treecost!$B$2:$AK$49,Treecost!$AJ$2,FALSE)),(VLOOKUP($W$8,Treecost!$B$2:$AK$49,Treecost!$AK$2,FALSE)),0))*IF(V42&gt;='Options and results'!$I$27,'Options and results'!$I$26,1),0)*IF(1+'Options and results'!$Q$22*(V42-1)&gt;0,1+'Options and results'!$Q$22*(V42-1),0)</f>
        <v>0</v>
      </c>
      <c r="BQ42" s="894">
        <f>IF(V42&lt;='Options and results'!$W$20,IF(AC42&gt;0,VLOOKUP($W$8,Treecost!$B$6:$AH$49,Treecost!$AE$2,FALSE)/60*AC42,0)*IF(V42&gt;='Options and results'!$I$25,'Options and results'!$I$24,1),0)</f>
        <v>0</v>
      </c>
      <c r="BR42" s="740">
        <f>IF(V42&lt;='Options and results'!$W$20,IF(AC42&gt;0,VLOOKUP($W$8,Treecost!$B$6:$AH$49,Treecost!$AF$2,FALSE)/60*AC42,0)*IF(V42&gt;='Options and results'!$I$25,'Options and results'!$I$24,1),0)</f>
        <v>0</v>
      </c>
      <c r="BS42" s="740">
        <f>(BQ42*$AX$20+BR42*$AX$21)*IF(V42&gt;='Options and results'!$I$27,'Options and results'!$I$26,1)*IF(1+'Options and results'!$Q$21*(V42-1)&gt;0,1+'Options and results'!$Q$21*(V42-1),0)</f>
        <v>0</v>
      </c>
      <c r="BT42" s="894">
        <f>IF(V42&lt;='Options and results'!$W$20,IF(AD42&gt;0,(VLOOKUP($W$8,Treecost!$B$6:$AH$49,Treecost!$AG$2,FALSE)/60*AD42)*IF(V42&gt;='Options and results'!$I$25,'Options and results'!$I$24,1),0),0)</f>
        <v>0</v>
      </c>
      <c r="BU42" s="740">
        <f>IF(V42&lt;='Options and results'!$W$20,IF(AD42&gt;0,(VLOOKUP($W$8,Treecost!$B$6:$AH$49,Treecost!$AH$2,FALSE)/60*AD42)*IF(V42&gt;='Options and results'!$I$25,'Options and results'!$I$24,1),0),0)</f>
        <v>0</v>
      </c>
      <c r="BV42" s="740">
        <f>(BT42*$AX$22+BU42*$AX$23)*IF(V42&gt;='Options and results'!$I$27,'Options and results'!$I$26,1)*IF(1+'Options and results'!$Q$21*(V42-1)&gt;0,1+'Options and results'!$Q$21*(V42-1),0)</f>
        <v>0</v>
      </c>
      <c r="BW42" s="1033">
        <f t="shared" si="138"/>
        <v>0</v>
      </c>
      <c r="BX42" s="1027">
        <f t="shared" si="139"/>
        <v>0</v>
      </c>
      <c r="BY42" s="1027">
        <f t="shared" si="140"/>
        <v>0</v>
      </c>
      <c r="BZ42" s="740">
        <f t="shared" si="188"/>
        <v>0</v>
      </c>
      <c r="CA42" s="740">
        <f t="shared" si="141"/>
        <v>0</v>
      </c>
      <c r="CB42" s="894">
        <f>IF($V42&lt;='Options and results'!$W$20,SUM(BX$8:$BX42),0)</f>
        <v>0</v>
      </c>
      <c r="CC42" s="740">
        <f>IF($V42&lt;='Options and results'!$W$20,SUM($BY$8:BY42),0)</f>
        <v>0</v>
      </c>
      <c r="CD42" s="740">
        <f>IF($V42&lt;='Options and results'!$W$20,SUM($BZ$8:BZ42),0)</f>
        <v>0</v>
      </c>
      <c r="CE42" s="740">
        <f>IF(V42&lt;='Options and results'!$W$20,CB42+CC42-CD42,0)</f>
        <v>0</v>
      </c>
      <c r="CF42" s="1381">
        <f t="shared" si="142"/>
        <v>0</v>
      </c>
      <c r="CG42" s="1027">
        <f t="shared" si="143"/>
        <v>0</v>
      </c>
      <c r="CH42" s="1027">
        <f t="shared" si="144"/>
        <v>0</v>
      </c>
      <c r="CI42" s="1189">
        <f>IF(V42&lt;='Options and results'!$W$20,CE42+AO42,0)</f>
        <v>0</v>
      </c>
      <c r="CJ42" s="1023"/>
      <c r="CK42" s="895">
        <f t="shared" si="145"/>
        <v>35</v>
      </c>
      <c r="CL42" s="1011" t="str">
        <f>IF('Options and results'!$C$54="None",0,IF(AND(CK42&gt;='Options and results'!$K$57,CK41&lt;'Options and results'!$W$20),'Options and results'!$K$56,IF(Optimisation!$B$3="No",CONCATENATE('Options and results'!$C$60," ",(HLOOKUP(CONCATENATE('Options and results'!$C$54," ",Agroforestrysystem!$B$12),Agroforestrysystem!$B$11:$IM$74,$CK42+4,FALSE))),Optimisation!AA62)))</f>
        <v xml:space="preserve">UK - Agriculture (BPS: from 2015) </v>
      </c>
      <c r="CM42" s="1012">
        <f>IF(HLOOKUP(CONCATENATE('Options and results'!$C$54," ",Agroforestrysystem!$C$12),Agroforestrysystem!$B$11:$IM$74,$CK42+4,FALSE)="T",(VLOOKUP(CL42,Arablefinance!$Z$6:$AB$105,Arablefinance!$AB$2,FALSE)*CO42+VLOOKUP(CL42,Arablefinance!$Z$6:$AC$105,Arablefinance!$AC$2,FALSE)*CP42)/VLOOKUP(CL42,Arablefinance!$Z$6:$AA$105,Arablefinance!$AA$2,FALSE),0)</f>
        <v>0</v>
      </c>
      <c r="CN42" s="1012">
        <f>IF(CL42=0,0,HLOOKUP(CONCATENATE('Options and results'!$C$54," ",Agroforestrysystem!$D$12),Agroforestrysystem!$B$11:$IM$74,$CK42+4,FALSE))</f>
        <v>0</v>
      </c>
      <c r="CO42" s="1440">
        <f ca="1">IF(CL42=0,0,IF(AND(Optimisation!$B$3="yes",Optimisation!$B$4=1,CK42&gt;Optimisation!$B$9),0,HLOOKUP(CONCATENATE('Options and results'!$C$54," ",Agroforestrysystem!$E$12),Agroforestrysystem!$B$11:$IM$74,$CK42+4,FALSE)*IF(CK42&gt;='Options and results'!$J$19,'Options and results'!$J$18,1)))</f>
        <v>0</v>
      </c>
      <c r="CP42" s="1440">
        <f ca="1">IF(CL42=0,0,IF(AND(Optimisation!$B$3="yes",Optimisation!$B$4=1,CK42&gt;Optimisation!$B$9),0,HLOOKUP(CONCATENATE('Options and results'!$C$54," ",Agroforestrysystem!$F$12),Agroforestrysystem!$B$11:$IM$74,$CK42+4,FALSE)*IF(CK42&gt;='Options and results'!$J$19,'Options and results'!$J$18,1)))</f>
        <v>0</v>
      </c>
      <c r="CQ42" s="1013">
        <f>IF(CN42&lt;=0,0,IF(CK42&lt;='Options and results'!$W$20,IF(CM42&gt;0,VLOOKUP(CL42,Arablefinance!$Z$6:$AE$105,Arablefinance!$AD$2,FALSE)*CM42*CN42,((VLOOKUP(CL42,Arablefinance!$E$6:$H$126,2,FALSE)*CO42+VLOOKUP(CL42,Arablefinance!$E$6:$H$126,3,FALSE)*CP42)*CN42)),0)*IF(CK42&gt;='Options and results'!$J$21,'Options and results'!$J$20,1))*IF(1+'Options and results'!$O$20*(CK42-1)&gt;0,1+'Options and results'!$O$20*(CK42-1),0)</f>
        <v>0</v>
      </c>
      <c r="CR42" s="1441">
        <f>IF(CN42&lt;=0,0,IF(AND(CM42&gt;0,VLOOKUP(CL42,Arablefinance!$Z$6:$AI$105,Arablefinance!$AI$2,FALSE)=2),VLOOKUP(CL42,Arablefinance!$Z$6:$AE$105,Arablefinance!$AE$2,FALSE)*CM42*CN42,IF('Options and results'!$C$62&gt;0,IF(VLOOKUP(CL42,Arablefinance!$E$6:$W$126,Arablefinance!$H$2,FALSE)*(1-Plot!DM42*'Options and results'!$C$62)&gt;0,VLOOKUP(CL42,Arablefinance!$E$6:$W$126,Arablefinance!$H$2,FALSE)*(1-Plot!DM42*'Options and results'!$C$62),0),IF(CK42&lt;='Options and results'!$W$20,(VLOOKUP(CL42,Arablefinance!$E$6:$W$126,Arablefinance!$H$2,FALSE)*IF('Options and results'!$C$61="area",CN42,'Options and results'!$C$61)),0)))*IF(CK42&gt;='Options and results'!$J$23,'Options and results'!$J$22,1))*IF(AND(1+'Options and results'!$O$23*(CK42-1)&gt;0,1+'Options and results'!$O$23*(CK42-1)&gt;'Options and results'!$S$24),1+'Options and results'!$O$23*(CK42-1),'Options and results'!$S$24)</f>
        <v>0</v>
      </c>
      <c r="CS42" s="1441">
        <f t="shared" si="185"/>
        <v>0</v>
      </c>
      <c r="CT42" s="1441">
        <f>IF(CN42&lt;=0,0,IF(CK42&lt;='Options and results'!$W$20,IF(CM42&gt;0,VLOOKUP(CL42,Arablefinance!$Z$6:$AF$105,Arablefinance!$AF$2,FALSE)*CM42*CN42,VLOOKUP(CL42,Arablefinance!$E$6:$X$126,Arablefinance!$R$2,FALSE)*CN42),0)*IF(CK42&gt;='Options and results'!$J$27,'Options and results'!$J$26,1))*IF(1+'Options and results'!$O$22*(CK42-1)&gt;0,1+'Options and results'!$O$22*(CK42-1),0)</f>
        <v>0</v>
      </c>
      <c r="CU42" s="1441">
        <f t="shared" si="186"/>
        <v>0</v>
      </c>
      <c r="CV42" s="1441">
        <f>IF(CN42&lt;=0,0,IF(CK42&lt;='Options and results'!$W$20,IF(CM42&gt;0,VLOOKUP(CL42,Arablefinance!$Z$6:$AG$105,Arablefinance!$AG$2,FALSE)*CM42*CN42,VLOOKUP(CL42,Arablefinance!$E$6:$X$126,Arablefinance!$X$2,FALSE)*CN42),0)*IF(CK42&gt;='Options and results'!$J$27,'Options and results'!$J$26,1))*IF(1+'Options and results'!$O$22*(CK42-1)&gt;0,1+'Options and results'!$O$22*(CK42-1),0)</f>
        <v>0</v>
      </c>
      <c r="CW42" s="1442">
        <f>IF(CN42&lt;=0,0,IF(CK42&lt;='Options and results'!$W$20,'Options and results'!$C$27*IF(CK42&gt;='Options and results'!$J$27,'Options and results'!$J$26,1),0))*IF(1+'Options and results'!$O$21*(CK42-1)&gt;0,1+'Options and results'!$O$21*(CK42-1),0)</f>
        <v>0</v>
      </c>
      <c r="CX42" s="1442">
        <f>IF(CN42&lt;=0,0,IF(CK42&lt;='Options and results'!$W$20,IF(CM42&gt;0,VLOOKUP(CL42,Arablefinance!$Z$6:$AH$105,Arablefinance!$AH$2,FALSE)*CM42*CN42,VLOOKUP(CL42,Arablefinance!$E$6:$W$126,Arablefinance!$V$2,FALSE)*CN42),0)*IF(CK42&gt;='Options and results'!$J$25,'Options and results'!$J$24,1))</f>
        <v>0</v>
      </c>
      <c r="CY42" s="1013">
        <f t="shared" si="148"/>
        <v>0</v>
      </c>
      <c r="CZ42" s="1353">
        <f t="shared" si="149"/>
        <v>0</v>
      </c>
      <c r="DA42" s="1013">
        <f>IF($CK42&lt;='Options and results'!$W$20,SUM($CQ$8:CQ42),0)</f>
        <v>0</v>
      </c>
      <c r="DB42" s="1441">
        <f>IF($CK42&lt;='Options and results'!$W$20,SUM($CR$8:CR42),0)</f>
        <v>0</v>
      </c>
      <c r="DC42" s="1441">
        <f>IF($CK42&lt;='Options and results'!$W$20,SUM($CY$8:CY42),0)</f>
        <v>0</v>
      </c>
      <c r="DD42" s="1189">
        <f>IF(CK42&lt;='Options and results'!$W$20,DA42+DB42-DC42,0)</f>
        <v>0</v>
      </c>
      <c r="DE42" s="401"/>
      <c r="DF42" s="895">
        <f t="shared" si="150"/>
        <v>35</v>
      </c>
      <c r="DG42" s="173"/>
      <c r="DH42" s="1422"/>
      <c r="DI42" s="1427">
        <f>IF(DF42&lt;='Options and results'!$M$61,'Options and results'!$M$60,0)</f>
        <v>0</v>
      </c>
      <c r="DJ42" s="740">
        <f t="shared" si="151"/>
        <v>0</v>
      </c>
      <c r="DK42" s="740">
        <f t="shared" si="152"/>
        <v>0</v>
      </c>
      <c r="DL42" s="1428">
        <f t="shared" si="153"/>
        <v>0</v>
      </c>
      <c r="DM42" s="1429">
        <f>IF($DG$8=0,0,HLOOKUP(CONCATENATE('Options and results'!$C$54," ",Agroforestrysystem!$J$12),Agroforestrysystem!$11:$74,DF42+3,FALSE))/100</f>
        <v>0</v>
      </c>
      <c r="DN42" s="740">
        <f>IF($DG$8=0,0,IF(HLOOKUP(CONCATENATE('Options and results'!$C$54," ",Agroforestrysystem!$H$12),Agroforestrysystem!$11:$74,DF42+4,FALSE)&lt;DL42,HLOOKUP(CONCATENATE('Options and results'!$C$54," ",Agroforestrysystem!$H$12),Agroforestrysystem!$11:$74,DF42+4,FALSE),0))</f>
        <v>0</v>
      </c>
      <c r="DO42" s="1027">
        <f>IF($DG$8=0,0,IF(HLOOKUP(CONCATENATE('Options and results'!$C$54," ",Agroforestrysystem!$H$12),Agroforestrysystem!$11:$74,DF42+4,FALSE)&gt;=DL42,DL42,0))</f>
        <v>0</v>
      </c>
      <c r="DP42" s="1430">
        <f>IF($DG$8=0,0,HLOOKUP(CONCATENATE('Options and results'!$C$54," ",Agroforestrysystem!$I$12),Agroforestrysystem!$11:$74,DF42+4,FALSE))</f>
        <v>0</v>
      </c>
      <c r="DQ42" s="1038"/>
      <c r="DR42" s="1430">
        <f>IF($DG$8=0,0,IF(DF42&gt;'Options and results'!$W$20,0,)+IF(DF42=1,'Options and results'!$M$64)+IF('Options and results'!$M$67="yes",IF(AND(DR41+'Options and results'!$M$65&lt;=$DQ$8,DR41+'Options and results'!$M$65+IF(DF42=1,'Options and results'!$M$64,0)&lt;='Options and results'!$M$66*DP42),DR41+'Options and results'!$M$65,DR41),(HLOOKUP(CONCATENATE('Options and results'!$C$54," ",Agroforestrysystem!$K$12),Agroforestrysystem!$11:$74,DF42+4,FALSE)-IF(DF42=1,'Options and results'!$M$64))))</f>
        <v>0</v>
      </c>
      <c r="DS42" s="1027">
        <f>IF(OR($DG$8=0,DL42=0),0,HLOOKUP(CONCATENATE('Options and results'!$C$54," ",Agroforestrysystem!$L$12),Agroforestrysystem!$11:$74,DF42+4,FALSE)*IF(DF42&gt;='Options and results'!$K$19,'Options and results'!$K$18,1))</f>
        <v>0</v>
      </c>
      <c r="DT42" s="1431">
        <f t="shared" si="154"/>
        <v>0</v>
      </c>
      <c r="DU42" s="889">
        <f t="shared" si="155"/>
        <v>0</v>
      </c>
      <c r="DV42" s="1027">
        <f>IF($DG$8=0,0,(HLOOKUP(CONCATENATE('Options and results'!$C$54," ",Agroforestrysystem!$M$12),Agroforestrysystem!$11:$74,DF42+4,FALSE))*IF(DF42&gt;='Options and results'!$K$19,'Options and results'!$K$18,1))-DW42</f>
        <v>0</v>
      </c>
      <c r="DW42" s="303">
        <f>IF($DG$8=0,0,(HLOOKUP(CONCATENATE('Options and results'!$C$54," ",Agroforestrysystem!$N$12),Agroforestrysystem!$11:$74,DF42+4,FALSE))*IF(DF42&gt;='Options and results'!$K$19,'Options and results'!$K$18,1))</f>
        <v>0</v>
      </c>
      <c r="DX42" s="303">
        <f>IF($DG$8=0,0,HLOOKUP(CONCATENATE('Options and results'!$C$54," ",Agroforestrysystem!$O$12),Agroforestrysystem!$11:$74,DF42+4,FALSE)*IF(DF42&gt;='Options and results'!$K$19,'Options and results'!$K$18,1))</f>
        <v>0</v>
      </c>
      <c r="DY42" s="1192">
        <f>IF(DT42&gt;0,HLOOKUP(DT42,Treevalue!$I$4:$BC$34,'Options and results'!$C$66+1),0)*IF(DF42&gt;='Options and results'!$K$21,'Options and results'!$K$20,1)*IF(1+'Options and results'!$Q$20*(DF42-1)&gt;0,1+'Options and results'!$Q$20*(DF42-1),0)</f>
        <v>0</v>
      </c>
      <c r="DZ42" s="1027">
        <f t="shared" si="156"/>
        <v>0</v>
      </c>
      <c r="EA42" s="1027">
        <f t="shared" si="125"/>
        <v>0</v>
      </c>
      <c r="EB42" s="1027">
        <f>(IF('Options and results'!$C$66&gt;0,IF(DF42&lt;='Options and results'!$W$20,VLOOKUP('Options and results'!$C$66,Treevalue!$A$4:$F$34,5,FALSE),0),0)*DV42)*IF(DF42&gt;='Options and results'!$K$21,'Options and results'!$K$20,1)*IF(1+'Options and results'!$Q$20*(DF42-1)&gt;0,1+'Options and results'!$Q$20*(DF42-1),0)</f>
        <v>0</v>
      </c>
      <c r="EC42" s="740">
        <f>(IF('Options and results'!$C$66&gt;0,IF(DF42&lt;='Options and results'!$W$20,VLOOKUP('Options and results'!$C$66,Treevalue!$A$4:$F$34,5,FALSE),0),0)*DW42)*IF(DF42&gt;='Options and results'!$K$21,'Options and results'!$K$20,1)*IF(1+'Options and results'!$Q$20*(DF42-1)&gt;0,1+'Options and results'!$Q$20*(DF42-1),0)</f>
        <v>0</v>
      </c>
      <c r="ED42" s="889">
        <f>(IF('Options and results'!$C$66&gt;0,IF(DF42&lt;='Options and results'!$W$20,VLOOKUP('Options and results'!$C$66,Treevalue!$A$4:$F$34,6,FALSE),0),0)*DX42)*IF(DF42&gt;='Options and results'!$K$21,'Options and results'!$K$20,1)*IF(1+'Options and results'!$Q$20*(DF42-1)&gt;0,1+'Options and results'!$Q$20*(DF42-1),0)</f>
        <v>0</v>
      </c>
      <c r="EE42" s="740">
        <f>IF(DF42&lt;='Options and results'!$W$20,IF(DL42&lt;=0,0,IF('Options and results'!$C$70="cost",(IF(DF42&lt;='Options and results'!$C$71,FK42*SUM('Options and results'!$C$72:$C$73),0)),IF('Options and results'!$C$68&gt;0,(IF(VLOOKUP('Options and results'!$C$69,Treegrant!$B$6:$L$42,Treegrant!$C$2,FALSE)=DF42,VLOOKUP('Options and results'!$C$69,Treegrant!$B$6:$L$42,Treegrant!$D$2,FALSE),0)+IF(VLOOKUP('Options and results'!$C$69,Treegrant!$B$6:$L$42,Treegrant!$E$2,FALSE)=DF42,VLOOKUP('Options and results'!$C$69,Treegrant!$B$6:$L$42,Treegrant!$F$2,FALSE),0)+IF(VLOOKUP('Options and results'!$C$69,Treegrant!$B$6:$L$42,Treegrant!$G$2,FALSE)=DF42,VLOOKUP('Options and results'!$C$69,Treegrant!$B$6:$L$42,Treegrant!$H$2,FALSE)))*IF('Options and results'!$C$70="area",Unit!C43,'Options and results'!$C$70),0))*IF(DF42&gt;='Options and results'!$K$23,'Options and results'!$K$22,1)),0)*IF(1+'Options and results'!$Q$23*(DF42-1)&gt;0,1+'Options and results'!$Q$23*(DF42-1),0)</f>
        <v>0</v>
      </c>
      <c r="EF42" s="740">
        <f>IF($DG$8=0,0,IF(DF42&lt;='Options and results'!$W$20,IF(DL42&lt;=0,0,IF('Options and results'!$C$68&gt;0,IF(AND(VLOOKUP('Options and results'!$C$69,Treegrant!$B$6:$L$42,Treegrant!$J$2,FALSE)&lt;=DF42,VLOOKUP('Options and results'!$C$69,Treegrant!$B$6:$L$42,Treegrant!$K$2,FALSE)&gt;=DF42),(VLOOKUP('Options and results'!$C$69,Treegrant!$B$6:$L$42,Treegrant!$L$2,FALSE)),0)*IF('Options and results'!$C$74="area",Unit!C43,'Options and results'!$C$74))*IF(DF42&gt;='Options and results'!$K$23,'Options and results'!$K$22,1)),0))*IF(1+'Options and results'!$Q$23*(DF42-1)&gt;0,1+'Options and results'!$Q$23*(DF42-1),0)</f>
        <v>0</v>
      </c>
      <c r="EG42" s="1034">
        <f>IF($DG$8=0,0,IF(DF42&lt;='Options and results'!$W$20,IF(DL42&lt;=0,0,IF('Options and results'!$C$68&gt;0,((IF(AND(VLOOKUP('Options and results'!$C$69,Treegrant!$B$6:$O$42,Treegrant!$M$2,FALSE)&lt;=DF42,VLOOKUP('Options and results'!$C$69,Treegrant!$B$6:$O$42,Treegrant!$N$2,FALSE)&gt;=DF42),(VLOOKUP('Options and results'!$C$69,Treegrant!$B$6:$O$42,Treegrant!$O$2,FALSE)),0)*IF('Options and results'!$C$75="area",Unit!C43,'Options and results'!$C$75))+(IF(AND(VLOOKUP('Options and results'!$C$69,Treegrant!$B$6:$R$42,Treegrant!$P$2,FALSE)&lt;=DF42,VLOOKUP('Options and results'!$C$69,Treegrant!$B$6:$R$42,Treegrant!$Q$2,FALSE)&gt;=DF42),(VLOOKUP('Options and results'!$C$69,Treegrant!$B$6:$R$42,Treegrant!$R$2,FALSE)),0))*IF('Options and results'!$C$76="area",Unit!C43,'Options and results'!$C$76)))*IF(DF42&gt;='Options and results'!$K$23,'Options and results'!$K$22,1)),0))*IF(1+'Options and results'!$Q$23*(DF42-1)&gt;0,1+'Options and results'!$Q$23*(DF42-1),0)</f>
        <v>0</v>
      </c>
      <c r="EH42" s="1041"/>
      <c r="EI42" s="1042"/>
      <c r="EJ42" s="1419">
        <f>IF($DH$8+DK42&lt;1,0,IF(DF42=1,VLOOKUP($DG$8,Treecost!$B$6:$AH$49,Treecost!$E$2,FALSE),0)*IF(DF42&gt;='Options and results'!$K$25,'Options and results'!$K$24,1))</f>
        <v>0</v>
      </c>
      <c r="EK42" s="889">
        <f>IF($DH$8+DK42&lt;1,0,IF(DF42=1,VLOOKUP($DG$8,Treecost!$B$6:$AH$49,Treecost!$F$2,FALSE),0)*IF(DF42&gt;='Options and results'!$K$25,'Options and results'!$K$24,1))</f>
        <v>0</v>
      </c>
      <c r="EL42" s="889">
        <f>IF($DH$8+DK42&lt;1,0,IF(DF42=1,VLOOKUP($DG$8,Treecost!$B$6:$AH$49,Treecost!$G$2,FALSE),0)*IF(DF42&gt;='Options and results'!$K$25,'Options and results'!$K$24,1))</f>
        <v>0</v>
      </c>
      <c r="EM42" s="889">
        <f>IF($DG$8=0,0,IF(DF42&lt;='Options and results'!$W$20,((VLOOKUP($DG$8,Treecost!$B$6:$AH$49,Treecost!$H$2,FALSE)*(DH42+DK42))/60)*IF(DF42&gt;='Options and results'!$K$25,'Options and results'!$K$24,1),0))</f>
        <v>0</v>
      </c>
      <c r="EN42" s="889">
        <f>IF($DG$8=0,0,IF(DF42&lt;='Options and results'!$W$20,(((VLOOKUP($DG$8,Treecost!$B$6:$AH$49,Treecost!$I$2,FALSE))*(DH42+DK42))/60)*IF(DF42&gt;='Options and results'!$K$25,'Options and results'!$K$24,1),0))</f>
        <v>0</v>
      </c>
      <c r="EO42" s="889">
        <f>IF($DG$8=0,0,IF(DF42&lt;='Options and results'!$W$20,(((VLOOKUP($DG$8,Treecost!$B$6:$AH$49,Treecost!$J$2,FALSE))/60)*(DH42+DK42))*IF(DF42&gt;='Options and results'!$K$25,'Options and results'!$K$24,1),0))</f>
        <v>0</v>
      </c>
      <c r="EP42" s="1019">
        <f>IF($DG$8=0,0,IF(DF42&lt;='Options and results'!$W$20,(((VLOOKUP($DG$8,Treecost!$B$6:$AH$49,Treecost!$C$2,FALSE)+VLOOKUP($DG$8,Treecost!$B$6:$AH$49,Treecost!$D$2,FALSE))*(DH42+DK42)*IF(1+'Options and results'!$Q$22*(DF42-1)&gt;0,1+'Options and results'!$Q$22*(DF42-1),0))+(EJ42*$EI$8+EK42*$EI$9+EL42*$EI$10+EM42*$EI$11+EN42*$EI$12+EO42*$EI$13)*IF(1+'Options and results'!$Q$21*(DF42-1)&gt;0,1+'Options and results'!$Q$21*(DF42-1),0))*IF(DF42&gt;='Options and results'!$K$27,'Options and results'!$K$26,1),0))</f>
        <v>0</v>
      </c>
      <c r="EQ42" s="740">
        <f>IF($DG$8=0,0,IF(DF42&lt;='Options and results'!$W$20,IF(AND(VLOOKUP($DG$8,Treecost!$B$6:$AH$49,Treecost!$K$2,FALSE)&lt;=DF42,DF42&lt;=(VLOOKUP($DG$8,Treecost!$B$6:$AH$49,Treecost!$L$2,FALSE))),VLOOKUP($DG$8,Treecost!$B$6:$AH$49,Treecost!$M$2,FALSE)*DL42/60,0)*IF(DF42&gt;='Options and results'!$K$25,'Options and results'!$K$24,1),0))</f>
        <v>0</v>
      </c>
      <c r="ER42" s="1019">
        <f>IF(EQ42&gt;0,(VLOOKUP($DG$8,Treecost!$B$6:$AH$49,Treecost!$N$2,FALSE)*DL42*IF(1+'Options and results'!$Q$22*(DF42-1)&gt;0,1+'Options and results'!$Q$22*(DF42-1),0)+EQ42*$EI$14*IF(1+'Options and results'!$Q$21*(DF42-1)&gt;0,1+'Options and results'!$Q$21*(DF42-1),0)),0)*IF(DF42&gt;='Options and results'!$K$27,'Options and results'!$K$26,1)</f>
        <v>0</v>
      </c>
      <c r="ES42" s="889">
        <f>IF(DF42&lt;='Options and results'!$W$20,IF(AND(DR42-DR41&gt;0,DR42&gt;'Options and results'!$M$64),(DL42-DN42)*(VLOOKUP($DG$8,Treecost!$B$6:$AH$49,Treecost!$Y$2,FALSE)+(VLOOKUP($DG$8,Treecost!$B$6:$AH$49,Treecost!$AA$2,FALSE)-VLOOKUP($DG$8,Treecost!$B$6:$AH$49,Treecost!$Y$2,FALSE))/(VLOOKUP($DG$8,Treecost!$B$6:$AH$49,Treecost!$Z$2,FALSE)-VLOOKUP($DG$8,Treecost!$B$6:$AH$49,Treecost!$X$2,FALSE))*(DR42-VLOOKUP($DG$8,Treecost!$B$6:$AH$49,Treecost!$X$2,FALSE)))/60,0)*IF(DF42&gt;='Options and results'!$K$25,'Options and results'!$K$24,1),0)</f>
        <v>0</v>
      </c>
      <c r="ET42" s="889">
        <f>IF(DF42&lt;='Options and results'!$W$20,IF(ES42&gt;0,VLOOKUP($DG$8,Treecost!$B$6:$AH$49,Treecost!$AB$2,FALSE)/60*DL42,0)*IF(DF42&gt;='Options and results'!$K$25,'Options and results'!$K$24,1),0)*((ES42-(MIN($ES$8:$ES$67)))/((MAX($ES$8:$ES$67))-(MIN($ES$8:$ES$67))))</f>
        <v>0</v>
      </c>
      <c r="EU42" s="740">
        <f>IF(ES42&gt;0,(ES42*$EI$15+ET42*$EI$19)*IF(1+'Options and results'!$Q$21*(DF42-1)&gt;0,1+'Options and results'!$Q$21*(DF42-1),0),0)*IF(DF42&gt;='Options and results'!$K$27,'Options and results'!$K$26,1)</f>
        <v>0</v>
      </c>
      <c r="EV42" s="891">
        <f>IF($DG$8=0,0,IF(DF42&lt;='Options and results'!$W$20,IF(AND(VLOOKUP($DG$8,Treecost!$B$2:$AH$49,Treecost!$O$2,FALSE)=DF42,DF42&lt;=IF(AND(Optimisation!$B$3="Yes",Optimisation!$B$4=1),Optimisation!$B$9)),VLOOKUP($DG$8,Treecost!$B$2:$AH$49,Treecost!$P$2,FALSE)*(1-CN42),0)*IF(DF42&gt;='Options and results'!$K$25,'Options and results'!$K$24,1),0))</f>
        <v>0</v>
      </c>
      <c r="EW42" s="889">
        <f>IF($DG$8=0,0,IF(DF42&lt;='Options and results'!$W$20,IF(AND(DF42&gt;VLOOKUP($DG$8,Treecost!$B$2:$AH$49,Treecost!$O$2,FALSE),DF42&lt;=IF(AND(Optimisation!$B$3="Yes",Optimisation!$B$4=1),Optimisation!$B$9,VLOOKUP($DG$8,Treecost!$B$2:$AH$49,Treecost!$R$2,FALSE))),VLOOKUP($DG$8,Treecost!$B$2:$AH$49,Treecost!$S$2,FALSE)*(1-CN42),0)*IF(DF42&gt;='Options and results'!$K$25,'Options and results'!$K$24,1),0))</f>
        <v>0</v>
      </c>
      <c r="EX42" s="740">
        <f>IF($DG$8=0,0,IF(DF42&lt;='Options and results'!$W$20,(IF(AND(VLOOKUP($DG$8,Treecost!$B$2:$AH$49,Treecost!$O$2,FALSE)=DF42,DF42&lt;=IF(AND(Optimisation!$B$3="Yes",Optimisation!$B$4=1),Optimisation!$B$9)),VLOOKUP($DG$8,Treecost!$B$2:$AH$49,Treecost!$Q$2,FALSE),0)*(1-CN42)+IF(AND(DF42&gt;VLOOKUP($DG$8,Treecost!$B$2:$AH$49,Treecost!$O$2,FALSE),DF42&lt;=IF(AND(Optimisation!$B$3="Yes",Optimisation!$B$4=1),Optimisation!$B$9,VLOOKUP($DG$8,Treecost!$B$2:$AH$49,Treecost!$R$2,FALSE))),VLOOKUP($DG$8,Treecost!$B$2:$AH$49,Treecost!$T$2,FALSE),0)*(1-CN42)+(EV42*$EI$16+EW42*$EI$17))*IF(DF42&gt;='Options and results'!$K$27,'Options and results'!$K$26,1),0))*IF(1+'Options and results'!$Q$21*(DF42-1)&gt;0,1+'Options and results'!$Q$21*(DF42-1),0)</f>
        <v>0</v>
      </c>
      <c r="EY42" s="894">
        <f>IF($DG$8=0,0,IF(DF42&lt;='Options and results'!$W$20,IF(AND(DF42&gt;=VLOOKUP($DG$8,Treecost!$B$2:$W$49,Treecost!$U$2,FALSE),DF42&lt;=VLOOKUP($DG$8,Treecost!$B$2:$W$49,Treecost!$V$2,FALSE)),(DL42*VLOOKUP($DG$8,Treecost!$B$2:$W$49,Treecost!$W$2,FALSE)/60),0)*IF(DF42&gt;='Options and results'!$K$25,'Options and results'!$K$24,1),0))</f>
        <v>0</v>
      </c>
      <c r="EZ42" s="740">
        <f>EY42*$EI$18*IF(DF42&gt;='Options and results'!$K$27,'Options and results'!$K$26,1)*IF(1+'Options and results'!$Q$21*(DF42-1)&gt;0,1+'Options and results'!$Q$21*(DF42-1),0)</f>
        <v>0</v>
      </c>
      <c r="FA42" s="1025">
        <f>IF(DF42&lt;='Options and results'!$W$20,IF(DL42&lt;=0,0,VLOOKUP($DG$8,Treecost!$B$6:$AH$49,Treecost!$AC$2,FALSE)+VLOOKUP($DG$8,Treecost!$B$6:$AH$49,Treecost!$AD$2,FALSE)+IF(AND(DF42&gt;=VLOOKUP($DG$8,Treecost!$B$2:$AK$49,Treecost!$AI$2,FALSE),DF42&lt;=VLOOKUP($DG$8,Treecost!$B$2:$AK$49,Treecost!$AJ$2,FALSE)),VLOOKUP($DG$8,Treecost!$B$2:$AK$49,Treecost!$AK$2,FALSE)*(1-CN42),0))*IF(DF42&gt;='Options and results'!$K$27,'Options and results'!$K$26,1),0)*IF(1+'Options and results'!$Q$22*(DF42-1)&gt;0,1+'Options and results'!$Q$22*(DF42-1),0)</f>
        <v>0</v>
      </c>
      <c r="FB42" s="894">
        <f>IF(DF42&lt;='Options and results'!$W$20,IF(DN42&gt;0,VLOOKUP($DG$8,Treecost!$B$6:$AH$49,Treecost!$AE$2,FALSE)/60*DN42,0)*IF(DF42&gt;='Options and results'!$K$25,'Options and results'!$K$24,1),0)</f>
        <v>0</v>
      </c>
      <c r="FC42" s="740">
        <f>IF(DF42&lt;='Options and results'!$W$20,IF(DN42&gt;0,VLOOKUP($DG$8,Treecost!$B$6:$AH$49,Treecost!$AF$2,FALSE)/60*DN42,0)*IF(DF42&gt;='Options and results'!$K$25,'Options and results'!$K$24,1),0)</f>
        <v>0</v>
      </c>
      <c r="FD42" s="740">
        <f>(FB42*$EI$20+FC42*$EI$21)*IF(DF42&gt;='Options and results'!$K$27,'Options and results'!$K$26,1)*IF(1+'Options and results'!$Q$21*(DF42-1)&gt;0,1+'Options and results'!$Q$21*(DF42-1),0)</f>
        <v>0</v>
      </c>
      <c r="FE42" s="894">
        <f>IF(DF42&lt;='Options and results'!$W$20,IF(DO42&gt;0,(VLOOKUP($DG$8,Treecost!$B$6:$AH$49,Treecost!$AG$2,FALSE)/60*DO42)*IF(DF42&gt;='Options and results'!$K$25,'Options and results'!$K$24,1),0),0)</f>
        <v>0</v>
      </c>
      <c r="FF42" s="740">
        <f>IF(DF42&lt;='Options and results'!$W$20,IF(DO42&gt;0,(VLOOKUP($DG$8,Treecost!$B$6:$AH$49,Treecost!$AH$2,FALSE)/60*DO42)*IF(DF42&gt;='Options and results'!$K$25,'Options and results'!$K$24,1),0),0)</f>
        <v>0</v>
      </c>
      <c r="FG42" s="740">
        <f>(FE42*$EI$22+FF42*$EI$23)*IF(DF42&gt;='Options and results'!$K$27,'Options and results'!$K$26,1)*IF(1+'Options and results'!$Q$21*(DF42-1)&gt;0,1+'Options and results'!$Q$21*(DF42-1),0)</f>
        <v>0</v>
      </c>
      <c r="FH42" s="894">
        <f t="shared" si="157"/>
        <v>0</v>
      </c>
      <c r="FI42" s="1027">
        <f t="shared" si="158"/>
        <v>0</v>
      </c>
      <c r="FJ42" s="1027">
        <f t="shared" si="159"/>
        <v>0</v>
      </c>
      <c r="FK42" s="1027">
        <f t="shared" si="160"/>
        <v>0</v>
      </c>
      <c r="FL42" s="1027">
        <f t="shared" si="184"/>
        <v>0</v>
      </c>
      <c r="FM42" s="1027">
        <f>IF($DF42&lt;='Options and results'!$W$20,SUM(FI$8:$FI42),0)</f>
        <v>0</v>
      </c>
      <c r="FN42" s="1027">
        <f>IF($DF42&lt;='Options and results'!$W$20,SUM($FJ$8:FJ42),0)</f>
        <v>0</v>
      </c>
      <c r="FO42" s="1027">
        <f>IF($DF42&lt;='Options and results'!$W$20,SUM($FK$8:FK42),0)</f>
        <v>0</v>
      </c>
      <c r="FP42" s="1027">
        <f>IF($DF42&lt;='Options and results'!$W$20,FM42+FN42-FO42,0)</f>
        <v>0</v>
      </c>
      <c r="FQ42" s="1027">
        <f t="shared" si="162"/>
        <v>0</v>
      </c>
      <c r="FR42" s="1027">
        <f t="shared" si="163"/>
        <v>0</v>
      </c>
      <c r="FS42" s="1027">
        <f t="shared" si="164"/>
        <v>0</v>
      </c>
      <c r="FT42" s="1189">
        <f>IF(DF42&lt;='Options and results'!$W$20,FP42+DZ42,0)</f>
        <v>0</v>
      </c>
      <c r="FU42" s="401"/>
      <c r="FV42" s="895">
        <f t="shared" si="165"/>
        <v>35</v>
      </c>
      <c r="FW42" s="894">
        <f>G42/(1+'Options and results'!$W$33)^(FV42-1)</f>
        <v>0</v>
      </c>
      <c r="FX42" s="740">
        <f>(AP42+AR42+AS42)/(1+'Options and results'!$W$33)^(FV42-1)</f>
        <v>0</v>
      </c>
      <c r="FY42" s="740">
        <f>CQ42/(1+'Options and results'!$W$33)^(FV42-1)</f>
        <v>0</v>
      </c>
      <c r="FZ42" s="740">
        <f>(EA42+EC42+ED42)/(1+'Options and results'!$W$33)^(FV42-1)</f>
        <v>0</v>
      </c>
      <c r="GA42" s="1019">
        <f t="shared" si="180"/>
        <v>0</v>
      </c>
      <c r="GB42" s="1026">
        <f>(AO42+AQ42)/(1+'Options and results'!$W$33)^(FV42-1)+FX42</f>
        <v>0</v>
      </c>
      <c r="GC42" s="1027">
        <f>IF(FV42&gt;'Options and results'!$W$27,0,GB42-GB41)</f>
        <v>0</v>
      </c>
      <c r="GD42" s="1027">
        <f>(DZ42+EB42)/(1+'Options and results'!$W$33)^(FV42-1)+FZ42</f>
        <v>0</v>
      </c>
      <c r="GE42" s="1379">
        <f>IF(FV42&gt;'Options and results'!$W$27,0,GD42-GD41)</f>
        <v>0</v>
      </c>
      <c r="GF42" s="894">
        <f>IF(FV42&lt;='Options and results'!$W$20,SUM(FW$8:FW42),0)</f>
        <v>0</v>
      </c>
      <c r="GG42" s="740">
        <f>IF(FV42&lt;='Options and results'!$W$20,SUM(FX$8:FX42), 0)</f>
        <v>0</v>
      </c>
      <c r="GH42" s="740">
        <f>IF(FV42&lt;='Options and results'!$W$20,SUM(FY$8:FY42),0)</f>
        <v>0</v>
      </c>
      <c r="GI42" s="740">
        <f>IF(FV42&lt;='Options and results'!$W$20,SUM(FZ$8:FZ42),0)</f>
        <v>0</v>
      </c>
      <c r="GJ42" s="1019">
        <f t="shared" si="166"/>
        <v>0</v>
      </c>
      <c r="GK42" s="894">
        <f>IF(FV42&gt;'Options and results'!$W$27,0,GG42+SUM(GC$8:GC42)-FX42)</f>
        <v>0</v>
      </c>
      <c r="GL42" s="740">
        <f>IF(FV42&lt;='Options and results'!$W$20,SUM(GD$8:GD42),0)</f>
        <v>0</v>
      </c>
      <c r="GM42" s="1034">
        <f t="shared" si="167"/>
        <v>0</v>
      </c>
      <c r="GN42" s="401"/>
      <c r="GO42" s="895">
        <f t="shared" si="168"/>
        <v>35</v>
      </c>
      <c r="GP42" s="894">
        <f>H42/(1+'Options and results'!$W$33)^(GO42-1)</f>
        <v>0</v>
      </c>
      <c r="GQ42" s="740">
        <f>SUM(AT42:AV42)/(1+'Options and results'!$W$33)^(GO42-1)</f>
        <v>0</v>
      </c>
      <c r="GR42" s="740">
        <f>CR42/(1+'Options and results'!$W$33)^(GO42-1)</f>
        <v>0</v>
      </c>
      <c r="GS42" s="740">
        <f>SUM(EE42:EG42)/(1+'Options and results'!$W$33)^(GO42-1)</f>
        <v>0</v>
      </c>
      <c r="GT42" s="1019">
        <f t="shared" si="181"/>
        <v>0</v>
      </c>
      <c r="GU42" s="894">
        <f>IF(GO42&lt;='Options and results'!$W$20,SUM(GP$8:GP42),0)</f>
        <v>0</v>
      </c>
      <c r="GV42" s="740">
        <f>IF(GO42&lt;='Options and results'!$W$20,SUM(GQ$8:GQ42),0)</f>
        <v>0</v>
      </c>
      <c r="GW42" s="740">
        <f>IF(GO42&lt;='Options and results'!$W$20,SUM(GR$8:GR42),0)</f>
        <v>0</v>
      </c>
      <c r="GX42" s="740">
        <f>IF(GO42&lt;='Options and results'!$W$20,SUM(GS$8:GS42),0)</f>
        <v>0</v>
      </c>
      <c r="GY42" s="1034">
        <f>IF(GO42&lt;='Options and results'!$W$20,SUM(GT$8:GT42),0)</f>
        <v>0</v>
      </c>
      <c r="GZ42" s="401"/>
      <c r="HA42" s="895">
        <f t="shared" si="169"/>
        <v>35</v>
      </c>
      <c r="HB42" s="1026">
        <f>(J42+L42+(M42*N42))/(1+'Options and results'!$W$33)^(HA42-1)</f>
        <v>0</v>
      </c>
      <c r="HC42" s="740">
        <f>BZ42/(1+'Options and results'!$W$33)^(HA42-1)</f>
        <v>0</v>
      </c>
      <c r="HD42" s="1027">
        <f>(CT42+CV42+(CW42*CX42))/(1+'Options and results'!$W$33)^(HA42-1)</f>
        <v>0</v>
      </c>
      <c r="HE42" s="740">
        <f>FK42/(1+'Options and results'!$W$33)^(HA42-1)</f>
        <v>0</v>
      </c>
      <c r="HF42" s="1019">
        <f t="shared" si="182"/>
        <v>0</v>
      </c>
      <c r="HG42" s="894">
        <f>IF(HA42&lt;='Options and results'!$W$20,SUM(HB$8:HB42),0)</f>
        <v>0</v>
      </c>
      <c r="HH42" s="740">
        <f>IF(HA42&lt;='Options and results'!$W$20,SUM(HC$8:HC42),0)</f>
        <v>0</v>
      </c>
      <c r="HI42" s="740">
        <f>IF(HA42&lt;='Options and results'!$W$20,SUM(HD$8:HD42),0)</f>
        <v>0</v>
      </c>
      <c r="HJ42" s="740">
        <f>IF(HA42&lt;='Options and results'!$W$20,SUM(HE$8:HE42),0)</f>
        <v>0</v>
      </c>
      <c r="HK42" s="1034">
        <f>IF(HA42&lt;='Options and results'!$W$20,SUM(HF$8:HF42),0)</f>
        <v>0</v>
      </c>
      <c r="HL42" s="405"/>
      <c r="HM42" s="895">
        <f t="shared" si="189"/>
        <v>35</v>
      </c>
      <c r="HN42" s="1026">
        <f t="shared" si="171"/>
        <v>0</v>
      </c>
      <c r="HO42" s="1027">
        <f t="shared" si="172"/>
        <v>0</v>
      </c>
      <c r="HP42" s="1027">
        <f t="shared" si="173"/>
        <v>0</v>
      </c>
      <c r="HQ42" s="1027">
        <f t="shared" si="174"/>
        <v>0</v>
      </c>
      <c r="HR42" s="1027">
        <f t="shared" si="175"/>
        <v>0</v>
      </c>
      <c r="HS42" s="1379">
        <f t="shared" si="176"/>
        <v>0</v>
      </c>
      <c r="HT42" s="1026">
        <f>IF($HM42&lt;='Options and results'!$W$20,SUM(HN$8:HN42),0)</f>
        <v>0</v>
      </c>
      <c r="HU42" s="1027">
        <f>IF($HM42&lt;='Options and results'!$W$20,SUM(HO$8:HO42),0)</f>
        <v>0</v>
      </c>
      <c r="HV42" s="1027">
        <f>IF($HM42&lt;='Options and results'!$W$20,SUM(HP$8:HP42),0)</f>
        <v>0</v>
      </c>
      <c r="HW42" s="1027">
        <f>IF($HM42&lt;='Options and results'!$W$20,SUM(HQ$8:HQ42),0)</f>
        <v>0</v>
      </c>
      <c r="HX42" s="1027">
        <f t="shared" si="177"/>
        <v>0</v>
      </c>
      <c r="HY42" s="1027">
        <f>IF($HM42&lt;='Options and results'!$W$20,SUM(HR$8:HR42),0)</f>
        <v>0</v>
      </c>
      <c r="HZ42" s="1027">
        <f>IF($HM42&lt;='Options and results'!$W$20,SUM(HS$8:HS42),0)</f>
        <v>0</v>
      </c>
      <c r="IA42" s="1189">
        <f t="shared" si="178"/>
        <v>0</v>
      </c>
    </row>
    <row r="43" spans="1:235" x14ac:dyDescent="0.25">
      <c r="A43" s="1010">
        <f t="shared" si="126"/>
        <v>36</v>
      </c>
      <c r="B43" s="1011" t="str">
        <f>IF('Options and results'!$C$17="None",0,CONCATENATE('Options and results'!$C$23," ",(HLOOKUP(CONCATENATE('Options and results'!$C$17," ",Arablesystem!$B$11),Arablesystem!$B$10:$ER$72,$A43+3,FALSE))))</f>
        <v xml:space="preserve">UK - Agriculture (BPS: from 2015) </v>
      </c>
      <c r="C43" s="1012">
        <f>IF(HLOOKUP(CONCATENATE('Options and results'!$C$17," ",Arablesystem!$C$11),Arablesystem!$B$10:$ER$72,$A43+3,FALSE)="T",(VLOOKUP(B43,Arablefinance!$Z$6:$AB$105,Arablefinance!$AB$2,FALSE)*E43+VLOOKUP(B43,Arablefinance!$Z$6:$AC$105,Arablefinance!$AC$2,FALSE)*F43)/VLOOKUP(B43,Arablefinance!$Z$6:$AA$105,Arablefinance!$AA$2,FALSE),0)</f>
        <v>0</v>
      </c>
      <c r="D43" s="1012">
        <f>IF(B43=0,0,HLOOKUP(CONCATENATE('Options and results'!$C$17," ",Arablesystem!$D$11),Arablesystem!$B$10:$ER$72,$A43+3,FALSE))</f>
        <v>0</v>
      </c>
      <c r="E43" s="1440">
        <f>IF(B43=0,0,HLOOKUP(CONCATENATE('Options and results'!$C$17," ",Arablesystem!$E$11),Arablesystem!$B$10:$ER$72,$A43+3,FALSE)*IF(A43&gt;='Options and results'!$H$19,'Options and results'!$H$18,1))</f>
        <v>0</v>
      </c>
      <c r="F43" s="1440">
        <f>IF(B43=0,0,HLOOKUP(CONCATENATE('Options and results'!$C$17," ",Arablesystem!$F$11),Arablesystem!$B$10:$ER$72,$A43+3,FALSE)*IF(A43&gt;='Options and results'!$H$19,'Options and results'!$H$18,1))</f>
        <v>0</v>
      </c>
      <c r="G43" s="1013">
        <f>IF(D43&lt;=0,0,IF(A43&lt;='Options and results'!$W$20,IF(C43&gt;0,VLOOKUP(B43,Arablefinance!$Z$6:$AE$105,Arablefinance!$AD$2,FALSE)*C43*D43,((VLOOKUP(B43,Arablefinance!$E$6:$G$126,Arablefinance!$F$2,FALSE)*(E43*D43)+VLOOKUP(B43,Arablefinance!$E$6:$G$126,Arablefinance!$G$2,FALSE)*(F43*D43)))),0)*IF(A43&gt;='Options and results'!$H$21,'Options and results'!$H$20,1))*IF(1+'Options and results'!$O$20*(A43-1)&gt;0,1+'Options and results'!$O$20*(A43-1),0)</f>
        <v>0</v>
      </c>
      <c r="H43" s="1441">
        <f>IF(D43&lt;=0,0,IF(A43&lt;='Options and results'!$W$20,IF(AND(C43&gt;0,VLOOKUP(B43,Arablefinance!$Z$6:$AI$105,Arablefinance!$AI$2,FALSE)=2),VLOOKUP(B43,Arablefinance!$Z$6:$AE$105,Arablefinance!$AE$2,FALSE)*C43*D43,(VLOOKUP(B43,Arablefinance!$E$6:$H$126,Arablefinance!$H$2,FALSE)*D43))*IF(A43&gt;='Options and results'!$H$23,'Options and results'!$H$22,1),0)*IF(AND(1+'Options and results'!$O$23*(A43-1)&gt;0,1+'Options and results'!$O$23*(A43-1)&gt;'Options and results'!$S$24),1+'Options and results'!$O$23*(A43-1),'Options and results'!$S$24))</f>
        <v>0</v>
      </c>
      <c r="I43" s="1441">
        <f t="shared" si="127"/>
        <v>0</v>
      </c>
      <c r="J43" s="1441">
        <f>IF(D43&lt;=0,0,IF(A43&lt;='Options and results'!$W$20,IF(C43&gt;0,VLOOKUP(B43,Arablefinance!$Z$6:$AF$105,Arablefinance!$AF$2,FALSE)*C43*D43,(VLOOKUP(B43,Arablefinance!$E$6:$X$126,Arablefinance!$R$2,FALSE))*D43),0)*IF(A43&gt;='Options and results'!$H$27,'Options and results'!$H$26,1))*IF(1+'Options and results'!$O$22*(A43-1)&gt;0,1+'Options and results'!$O$22*(A43-1),0)</f>
        <v>0</v>
      </c>
      <c r="K43" s="1441">
        <f t="shared" si="128"/>
        <v>0</v>
      </c>
      <c r="L43" s="1441">
        <f>IF(D43&lt;=0,0,IF(A43&lt;='Options and results'!$W$20,IF(C43&gt;0,VLOOKUP(B43,Arablefinance!$Z$6:$AG$105,Arablefinance!$AG$2,FALSE)*C43*D43,VLOOKUP(B43,Arablefinance!$E$6:$X$126,Arablefinance!$X$2,FALSE)*D43),0)*IF(A43&gt;='Options and results'!$H$27,'Options and results'!$H$26,1))*IF(1+'Options and results'!$O$22*(A43-1)&gt;0,1+'Options and results'!$O$22*(A43-1),0)</f>
        <v>0</v>
      </c>
      <c r="M43" s="1442">
        <f>IF(D43&lt;=0,0,IF(A43&lt;='Options and results'!$W$20,'Options and results'!$C$27,0)*IF(A43&gt;='Options and results'!$H$27,'Options and results'!$H$26,1))*IF(1+'Options and results'!$O$21*(A43-1)&gt;0,1+'Options and results'!$O$21*(A43-1),0)</f>
        <v>0</v>
      </c>
      <c r="N43" s="1442">
        <f>IF(D43&lt;=0,0,IF(A43&lt;='Options and results'!$W$20,IF(C43&gt;0,VLOOKUP(B43,Arablefinance!$Z$6:$AH$105,Arablefinance!$AH$2,FALSE)*C43*D43,VLOOKUP(B43,Arablefinance!$E$6:$W$126,Arablefinance!$V$2,FALSE)*D43),0)*IF(A43&gt;='Options and results'!$H$25,'Options and results'!$H$24,1))</f>
        <v>0</v>
      </c>
      <c r="O43" s="1013">
        <f t="shared" si="129"/>
        <v>0</v>
      </c>
      <c r="P43" s="1353">
        <f t="shared" si="130"/>
        <v>0</v>
      </c>
      <c r="Q43" s="1013">
        <f>IF(A43&lt;='Options and results'!$W$20,SUM(G$8:$G43),0)</f>
        <v>0</v>
      </c>
      <c r="R43" s="1441">
        <f>IF($A43&lt;='Options and results'!$W$20,SUM($H$8:H43),0)</f>
        <v>0</v>
      </c>
      <c r="S43" s="1441">
        <f>IF($A43&lt;='Options and results'!$W$20,SUM($O$8:O43),0)</f>
        <v>0</v>
      </c>
      <c r="T43" s="1032">
        <f>IF(A43&lt;='Options and results'!$W$20,Q43+R43-S43,0)</f>
        <v>0</v>
      </c>
      <c r="U43" s="405"/>
      <c r="V43" s="1010">
        <f t="shared" si="131"/>
        <v>36</v>
      </c>
      <c r="W43" s="173"/>
      <c r="X43" s="1036"/>
      <c r="Y43" s="1030">
        <f>IF(V43&lt;='Options and results'!$M$34,'Options and results'!$M$33,0)</f>
        <v>0</v>
      </c>
      <c r="Z43" s="1441">
        <f t="shared" si="132"/>
        <v>0</v>
      </c>
      <c r="AA43" s="1441">
        <f t="shared" si="133"/>
        <v>0</v>
      </c>
      <c r="AB43" s="1428">
        <f t="shared" si="134"/>
        <v>0</v>
      </c>
      <c r="AC43" s="1441">
        <f>IF($W$8=0,0,IF(HLOOKUP(CONCATENATE('Options and results'!$C$32," ",Forestrysystem!$C$8),Forestrysystem!$A$7:$IH$70,V43+4,FALSE)&lt;AB43,HLOOKUP(CONCATENATE('Options and results'!$C$32," ",Forestrysystem!$C$8),Forestrysystem!$A$7:$IH$70,V43+4,FALSE),0))</f>
        <v>0</v>
      </c>
      <c r="AD43" s="1441">
        <f>IF($W$8=0,0,IF(HLOOKUP(CONCATENATE('Options and results'!$C$32," ",Forestrysystem!$C$8),Forestrysystem!$A$7:$IH$70,V43+4,FALSE)&gt;=AB43,AB43,0))</f>
        <v>0</v>
      </c>
      <c r="AE43" s="1440">
        <f>IF($W$8=0,0,HLOOKUP(CONCATENATE('Options and results'!$C$32," ",Forestrysystem!$D$8),Forestrysystem!$A$7:$IH$70,$V43+4,FALSE))</f>
        <v>0</v>
      </c>
      <c r="AF43" s="1037"/>
      <c r="AG43" s="1440">
        <f>IF($W$8=0,0,IF(V43=1,'Options and results'!$M$36,0)+IF('Options and results'!$M$39="yes",IF(AND(AG42+'Options and results'!$M$37&lt;=$AF$8,AG42+'Options and results'!$M$37+IF(V43=1,'Options and results'!$M$36,0)&lt;='Options and results'!$M$38*AE43),AG42+'Options and results'!$M$37,AG42),(HLOOKUP(CONCATENATE('Options and results'!$C$32," ",Forestrysystem!$E$8),Forestrysystem!$A$7:$IH$70,V43+4,FALSE))-IF(V43=1,'Options and results'!$M$36,0)))</f>
        <v>0</v>
      </c>
      <c r="AH43" s="1442">
        <f>IF(OR($W$8=0,AB43&lt;=0),0,(HLOOKUP(CONCATENATE('Options and results'!$C$32," ",Forestrysystem!$F$8),Forestrysystem!$A$7:$IH$70,$V43+4,FALSE)) * IF(V43&gt;='Options and results'!$I$19,'Options and results'!$I$18,1) )</f>
        <v>0</v>
      </c>
      <c r="AI43" s="1452">
        <f t="shared" si="179"/>
        <v>0</v>
      </c>
      <c r="AJ43" s="1442">
        <f t="shared" si="135"/>
        <v>0</v>
      </c>
      <c r="AK43" s="1453">
        <f>IF(OR($W$8=0,AE43&lt;=0),0,(HLOOKUP(CONCATENATE('Options and results'!$C$32," ",Forestrysystem!$G$8),Forestrysystem!$A$7:$IH$70,$V43+4,FALSE)) * IF(Y43&gt;='Options and results'!$I$19,'Options and results'!$I$18,1) )</f>
        <v>0</v>
      </c>
      <c r="AL43" s="1453">
        <f>IF($W$8=0,0,HLOOKUP(CONCATENATE('Options and results'!$C$32," ",Forestrysystem!$H$8),Forestrysystem!$A$7:$IH$70,$V43+4,FALSE)*IF(V43&gt;='Options and results'!$I$19,'Options and results'!$I$18,1))</f>
        <v>0</v>
      </c>
      <c r="AM43" s="1383">
        <f>IF($W$8=0,0,HLOOKUP(CONCATENATE('Options and results'!$C$32," ",Forestrysystem!$I$8),Forestrysystem!$A$7:$IH$70,$V43+4,FALSE)*IF(V43&gt;='Options and results'!$I$19,'Options and results'!$I$18,1))</f>
        <v>0</v>
      </c>
      <c r="AN43" s="1382">
        <f>IF(AI43&gt;0,HLOOKUP(AI43,Treevalue!$I$4:$BC$34,'Options and results'!$C$39+1),0)*IF(V43&gt;='Options and results'!$I$21,'Options and results'!$I$20,1)*IF(1+'Options and results'!$Q$20*(V43-1)&gt;0,1+'Options and results'!$Q$20*(V43-1),0)</f>
        <v>0</v>
      </c>
      <c r="AO43" s="1454">
        <f t="shared" si="136"/>
        <v>0</v>
      </c>
      <c r="AP43" s="1454">
        <f t="shared" si="187"/>
        <v>0</v>
      </c>
      <c r="AQ43" s="1454">
        <f>(IF('Options and results'!$C$39&gt;0,IF(V43&lt;='Options and results'!$W$20,VLOOKUP('Options and results'!$C$39,Treevalue!$A$4:$F$34,5,FALSE),0),0)*AK43)*IF(V43&gt;='Options and results'!$I$21,'Options and results'!$I$20,1)*IF(1+'Options and results'!$Q$20*(V43-1)&gt;0,1+'Options and results'!$Q$20*(V43-1),0)-AR43</f>
        <v>0</v>
      </c>
      <c r="AR43" s="1441">
        <f>(IF('Options and results'!$C$39&gt;0,IF(V43&lt;='Options and results'!$W$20,VLOOKUP('Options and results'!$C$39,Treevalue!$A$4:$F$34,5,FALSE),0),0)*AL43)*IF(V43&gt;='Options and results'!$I$21,'Options and results'!$I$20,1)*IF(1+'Options and results'!$Q$20*(V43-1)&gt;0,1+'Options and results'!$Q$20*(V43-1),0)</f>
        <v>0</v>
      </c>
      <c r="AS43" s="1441">
        <f>(IF('Options and results'!$C$39&gt;0,IF(V43&lt;='Options and results'!$W$20,VLOOKUP('Options and results'!$C$39,Treevalue!$A$4:$F$34,6,FALSE),0),0)*AM43)*IF(V43&gt;='Options and results'!$I$21,'Options and results'!$I$20,1)*IF(1+'Options and results'!$Q$20*(V43-1)&gt;0,1+'Options and results'!$Q$20*(V43-1),0)</f>
        <v>0</v>
      </c>
      <c r="AT43" s="1441">
        <f>IF(V43&lt;='Options and results'!$W$20,(IF(AB43&lt;=0,0,IF('Options and results'!$C$43="cost",(IF(V43&lt;='Options and results'!$C$44,BZ43*SUM('Options and results'!$C$45:$C$46),0)),IF('Options and results'!$C$41&gt;0,(IF(VLOOKUP('Options and results'!$C$42,Treegrant!$B$6:$L$42,Treegrant!$C$2,FALSE)=V43,VLOOKUP('Options and results'!$C$42,Treegrant!$B$6:$L$42,Treegrant!$D$2,FALSE),0)+IF(VLOOKUP('Options and results'!$C$42,Treegrant!$B$6:$L$42,Treegrant!$E$2,FALSE)=V43,VLOOKUP('Options and results'!$C$42,Treegrant!$B$6:$L$42,Treegrant!$F$2,FALSE),0)+IF(VLOOKUP('Options and results'!$C$42,Treegrant!$B$6:$L$42,Treegrant!$G$2,FALSE)=V43,VLOOKUP('Options and results'!$C$42,Treegrant!$B$6:$L$42,Treegrant!$H$2,FALSE)))*IF('Options and results'!$C$43="area",1,'Options and results'!$C$43),0)))*IF(V43&gt;='Options and results'!$I$23,'Options and results'!$I$22,1)),0)*IF(1+'Options and results'!$Q$23*(V43-1)&gt;0,1+'Options and results'!$Q$23*(V43-1),0)</f>
        <v>0</v>
      </c>
      <c r="AU43" s="1441">
        <f>IF($W$8=0,0,IF(V43&lt;='Options and results'!$W$20,IF(AB43&lt;=0,0,IF('Options and results'!$C$41&gt;0,IF(AND(VLOOKUP('Options and results'!$C$42,Treegrant!$B$6:$L$42,Treegrant!$J$2,FALSE)&lt;=V43,VLOOKUP('Options and results'!$C$42,Treegrant!$B$6:$L$42,Treegrant!$K$2,FALSE)&gt;=V43),(VLOOKUP('Options and results'!$C$42,Treegrant!$B$6:$L$42,Treegrant!$L$2,FALSE)),0)*IF('Options and results'!$C$47="full",1,'Options and results'!$C$47))*IF(V43&gt;='Options and results'!$I$23,'Options and results'!$I$22,1)),0))*IF(1+'Options and results'!$Q$23*(V43-1)&gt;0,1+'Options and results'!$Q$23*(V43-1),0)</f>
        <v>0</v>
      </c>
      <c r="AV43" s="1032">
        <f>IF($W$8=0,0,IF(V43&lt;='Options and results'!$W$20,IF(AB43&lt;=0,0,(IF('Options and results'!$C$41&gt;0,(IF(AND(VLOOKUP('Options and results'!$C$42,Treegrant!$B$6:$O$42,Treegrant!$M$2,FALSE)&lt;=V43,VLOOKUP('Options and results'!$C$42,Treegrant!$B$6:$O$42,Treegrant!$N$2,FALSE)&gt;=V43),(VLOOKUP('Options and results'!$C$42,Treegrant!$B$6:$O$42,Treegrant!$O$2,FALSE)),0)*IF('Options and results'!$C$48="full",1,'Options and results'!$C$48))+(IF(AND(VLOOKUP('Options and results'!$C$42,Treegrant!$B$6:$R$42,Treegrant!$P$2,FALSE)&lt;=V43,VLOOKUP('Options and results'!$C$42,Treegrant!$B$6:$R$42,Treegrant!$Q$2,FALSE)&gt;=V43),(VLOOKUP('Options and results'!$C$42,Treegrant!$B$6:$R$42,Treegrant!$R$2,FALSE)),0))*IF('Options and results'!$C$49="full",1,'Options and results'!$C$49)))*IF(V43&gt;='Options and results'!$I$23,'Options and results'!$I$22,1)),0))*IF(1+'Options and results'!$Q$23*(V43-1)&gt;0,1+'Options and results'!$Q$23*(V43-1),0)</f>
        <v>0</v>
      </c>
      <c r="AW43" s="1041"/>
      <c r="AX43" s="1042"/>
      <c r="AY43" s="1419">
        <f>IF($W$8=0,0,IF(V43=1,VLOOKUP($W$8,Treecost!$B$6:$AH$49,Treecost!$E$2,FALSE),0)*IF(V43&gt;='Options and results'!$I$25,'Options and results'!$I$24,1))</f>
        <v>0</v>
      </c>
      <c r="AZ43" s="889">
        <f>IF($W$8=0,0,IF(V43=1,VLOOKUP($W$8,Treecost!$B$6:$AH$49,Treecost!$F$2,FALSE),0)*IF(V43&gt;='Options and results'!$I$25,'Options and results'!$I$24,1))</f>
        <v>0</v>
      </c>
      <c r="BA43" s="889">
        <f>IF($W$8=0,0,IF(V43=1,VLOOKUP($W$8,Treecost!$B$6:$AH$49,Treecost!$G$2,FALSE),0)*IF(V43&gt;='Options and results'!$I$25,'Options and results'!$I$24,1))</f>
        <v>0</v>
      </c>
      <c r="BB43" s="889">
        <f>IF($W$8=0,0,IF(V43&lt;='Options and results'!$W$20,((VLOOKUP($W$8,Treecost!$B$6:$AH$49,Treecost!$H$2,FALSE)*(X43+AA43))/60)*IF(V43&gt;='Options and results'!$I$25,'Options and results'!$I$24,1),0))</f>
        <v>0</v>
      </c>
      <c r="BC43" s="889">
        <f>IF($W$8=0,0,IF(V43&lt;='Options and results'!$W$20,(((VLOOKUP($W$8,Treecost!$B$6:$AH$49,Treecost!$I$2,FALSE))*(X43+AA43))/60)*IF(V43&gt;='Options and results'!$I$25,'Options and results'!$I$24,1),0))</f>
        <v>0</v>
      </c>
      <c r="BD43" s="889">
        <f>IF($W$8=0,0,IF(V43&lt;='Options and results'!$W$20,(((VLOOKUP($W$8,Treecost!$B$6:$AH$49,Treecost!$J$2,FALSE))/60)*(X43+AA43))*IF(V43&gt;='Options and results'!$I$25,'Options and results'!$I$24,1),0))</f>
        <v>0</v>
      </c>
      <c r="BE43" s="1019">
        <f>IF($W$8=0,0,IF(V43&lt;='Options and results'!$W$20,(((VLOOKUP($W$8,Treecost!$B$6:$AH$49,Treecost!$C$2,FALSE)+VLOOKUP($W$8,Treecost!$B$6:$AH$49,Treecost!$D$2,FALSE))*(X43+AA43)*IF(1+'Options and results'!$Q$22*(V43-1)&gt;0,1+'Options and results'!$Q$22*(V43-1),0))+((AY43*$AX$8+AZ43*$AX$9+BA43*$AX$10+BB43*$AX$11+BC43*$AX$12+BD43*$AX$13)*IF(1+'Options and results'!$Q$21*(V43-1)&gt;0,1+'Options and results'!$Q$21*(V43-1),0)))*IF(V43&gt;='Options and results'!$I$27,'Options and results'!$I$26,1),0))</f>
        <v>0</v>
      </c>
      <c r="BF43" s="889">
        <f>IF($W$8=0,0,IF(V43&lt;='Options and results'!$W$20,IF(AND(VLOOKUP($W$8,Treecost!$B$6:$AH$49,Treecost!$K$2,FALSE)&lt;=V43,V43&lt;=(VLOOKUP($W$8,Treecost!$B$6:$AH$49,Treecost!$L$2,FALSE))),VLOOKUP($W$8,Treecost!$B$6:$AH$49,Treecost!$M$2,FALSE)*AB43/60,0)*IF(V43&gt;='Options and results'!$I$25,'Options and results'!$I$24,1),0))</f>
        <v>0</v>
      </c>
      <c r="BG43" s="1019">
        <f>IF(BF43&gt;0,(VLOOKUP($W$8,Treecost!$B$6:$AH$49,Treecost!$N$2,FALSE)*AB43*IF(1+'Options and results'!$Q$22*(V43-1)&gt;0,1+'Options and results'!$Q$22*(V43-1),0)+BF43*$AX$14*IF(1+'Options and results'!$Q$21*(V43-1)&gt;0,1+'Options and results'!$Q$21*(V43-1),0)),0)*IF(V43&gt;='Options and results'!$I$27,'Options and results'!$I$26,1)</f>
        <v>0</v>
      </c>
      <c r="BH43" s="889">
        <f>IF(V43&lt;='Options and results'!$W$20,IF(AND(AG43-AG42&gt;0,AG43&gt;'Options and results'!$M$36),(AB43-AC43)*(VLOOKUP($W$8,Treecost!$B$6:$AH$49,Treecost!$Y$2,FALSE)+(VLOOKUP($W$8,Treecost!$B$6:$AH$49,Treecost!$AA$2,FALSE)-VLOOKUP($W$8,Treecost!$B$6:$AH$49,Treecost!$Y$2,FALSE))/(VLOOKUP($W$8,Treecost!$B$6:$AH$49,Treecost!$Z$2,FALSE)-VLOOKUP($W$8,Treecost!$B$6:$AH$49,Treecost!$X$2,FALSE))*(AG43-VLOOKUP($W$8,Treecost!$B$6:$AH$49,Treecost!$X$2,FALSE)))/60,0)*IF(V43&gt;='Options and results'!$I$25,'Options and results'!$I$24,1),0)</f>
        <v>0</v>
      </c>
      <c r="BI43" s="303">
        <f>IF(V43&lt;='Options and results'!$W$20,IF(BH43&gt;0,VLOOKUP($W$8,Treecost!$B$6:$AH$49,Treecost!$AB$2,FALSE)/60*AB43,0)*IF(V43&gt;='Options and results'!$I$25,'Options and results'!$I$24,1),0)*((BH43-(MIN($BH$8:$BH$67)))/((MAX($BH$8:$BH$67))-(MIN($BH$8:$BH$67))))</f>
        <v>0</v>
      </c>
      <c r="BJ43" s="740">
        <f>IF(BH43&gt;0,(BH43*$AX$15+BI43*$AX$19)*IF(1+'Options and results'!$Q$21*(V43-1)&gt;0,1+'Options and results'!$Q$21*(V43-1),0),0)*IF(V43&gt;='Options and results'!$I$27,'Options and results'!$I$26,1)</f>
        <v>0</v>
      </c>
      <c r="BK43" s="891">
        <f>IF($W$8=0,0,IF(V43&lt;='Options and results'!$W$20,IF(VLOOKUP($W$8,Treecost!$B$2:$AH$49,Treecost!$O$2,FALSE)=V43,VLOOKUP($W$8,Treecost!$B$2:$AH$49,Treecost!$P$2,FALSE),0)*IF(V43&gt;='Options and results'!$I$25,'Options and results'!$I$24,1),0))</f>
        <v>0</v>
      </c>
      <c r="BL43" s="889">
        <f>IF($W$8=0,0,IF(V43&lt;='Options and results'!$W$20,IF(AND(V43&gt;VLOOKUP($W$8,Treecost!$B$2:$AH$49,Treecost!$O$2,FALSE),V43&lt;=VLOOKUP($W$8,Treecost!$B$2:$AH$49,Treecost!$R$2,FALSE)),VLOOKUP($W$8,Treecost!$B$2:$AH$49,Treecost!$S$2,FALSE),0)*IF(V43&gt;='Options and results'!$I$25,'Options and results'!$I$24,1),0))</f>
        <v>0</v>
      </c>
      <c r="BM43" s="740">
        <f>IF($W$8=0,0,IF(V43&lt;='Options and results'!$W$20,((IF(VLOOKUP($W$8,Treecost!$B$2:$AH$49,Treecost!$O$2,FALSE)=V43,VLOOKUP($W$8,Treecost!$B$2:$AH$49,Treecost!$Q$2,FALSE),0)+IF(AND(V43&gt;VLOOKUP($W$8,Treecost!$B$2:$AH$49,Treecost!$O$2,FALSE),V43&lt;=VLOOKUP($W$8,Treecost!$B$2:$AH$49,Treecost!$R$2,FALSE)),VLOOKUP($W$8,Treecost!$B$2:$AH$49,Treecost!$T$2,FALSE),0)*IF(1+'Options and results'!$Q$22*(V43-1)&gt;0,1+'Options and results'!$Q$22*(V43-1),0))+(BK43*$AX$16+BL43*$AX$17)*IF(1+'Options and results'!$Q$21*(V43-1)&gt;0,1+'Options and results'!$Q$21*(V43-1),0))*IF(V43&gt;='Options and results'!$I$27,'Options and results'!$I$26,1),0))</f>
        <v>0</v>
      </c>
      <c r="BN43" s="894">
        <f>IF($W$8=0,0,IF(V43&lt;='Options and results'!$W$20,IF(AND(V43&gt;=VLOOKUP($W$8,Treecost!$B$2:$W$49,Treecost!$U$2,FALSE),V43&lt;=VLOOKUP($W$8,Treecost!$B$2:$W$49,Treecost!$V$2,FALSE)),(AB43*VLOOKUP($W$8,Treecost!$B$2:$W$49,Treecost!$W$2,FALSE)/60),0)*IF(V43&gt;='Options and results'!$I$25,'Options and results'!$I$24,1),0))</f>
        <v>0</v>
      </c>
      <c r="BO43" s="740">
        <f>BN43*$AX$18*IF(V43&gt;='Options and results'!$I$27,'Options and results'!$I$26,1)*IF(1+'Options and results'!$Q$21*(V43-1)&gt;0,1+'Options and results'!$Q$21*(V43-1),0)</f>
        <v>0</v>
      </c>
      <c r="BP43" s="894">
        <f>IF(V43&lt;='Options and results'!$W$20,IF(AB43&lt;=0,0,VLOOKUP($W$8,Treecost!$B$6:$AH$49,Treecost!$AC$2,FALSE)+VLOOKUP($W$8,Treecost!$B$6:$AH$49,Treecost!$AD$2,FALSE)+IF(AND(V43&gt;=VLOOKUP($W$8,Treecost!$B$2:$AK$49,Treecost!$AI$2,FALSE),V43&lt;=VLOOKUP($W$8,Treecost!$B$2:$AK$49,Treecost!$AJ$2,FALSE)),(VLOOKUP($W$8,Treecost!$B$2:$AK$49,Treecost!$AK$2,FALSE)),0))*IF(V43&gt;='Options and results'!$I$27,'Options and results'!$I$26,1),0)*IF(1+'Options and results'!$Q$22*(V43-1)&gt;0,1+'Options and results'!$Q$22*(V43-1),0)</f>
        <v>0</v>
      </c>
      <c r="BQ43" s="894">
        <f>IF(V43&lt;='Options and results'!$W$20,IF(AC43&gt;0,VLOOKUP($W$8,Treecost!$B$6:$AH$49,Treecost!$AE$2,FALSE)/60*AC43,0)*IF(V43&gt;='Options and results'!$I$25,'Options and results'!$I$24,1),0)</f>
        <v>0</v>
      </c>
      <c r="BR43" s="740">
        <f>IF(V43&lt;='Options and results'!$W$20,IF(AC43&gt;0,VLOOKUP($W$8,Treecost!$B$6:$AH$49,Treecost!$AF$2,FALSE)/60*AC43,0)*IF(V43&gt;='Options and results'!$I$25,'Options and results'!$I$24,1),0)</f>
        <v>0</v>
      </c>
      <c r="BS43" s="740">
        <f>(BQ43*$AX$20+BR43*$AX$21)*IF(V43&gt;='Options and results'!$I$27,'Options and results'!$I$26,1)*IF(1+'Options and results'!$Q$21*(V43-1)&gt;0,1+'Options and results'!$Q$21*(V43-1),0)</f>
        <v>0</v>
      </c>
      <c r="BT43" s="894">
        <f>IF(V43&lt;='Options and results'!$W$20,IF(AD43&gt;0,(VLOOKUP($W$8,Treecost!$B$6:$AH$49,Treecost!$AG$2,FALSE)/60*AD43)*IF(V43&gt;='Options and results'!$I$25,'Options and results'!$I$24,1),0),0)</f>
        <v>0</v>
      </c>
      <c r="BU43" s="740">
        <f>IF(V43&lt;='Options and results'!$W$20,IF(AD43&gt;0,(VLOOKUP($W$8,Treecost!$B$6:$AH$49,Treecost!$AH$2,FALSE)/60*AD43)*IF(V43&gt;='Options and results'!$I$25,'Options and results'!$I$24,1),0),0)</f>
        <v>0</v>
      </c>
      <c r="BV43" s="740">
        <f>(BT43*$AX$22+BU43*$AX$23)*IF(V43&gt;='Options and results'!$I$27,'Options and results'!$I$26,1)*IF(1+'Options and results'!$Q$21*(V43-1)&gt;0,1+'Options and results'!$Q$21*(V43-1),0)</f>
        <v>0</v>
      </c>
      <c r="BW43" s="1033">
        <f t="shared" si="138"/>
        <v>0</v>
      </c>
      <c r="BX43" s="1027">
        <f t="shared" si="139"/>
        <v>0</v>
      </c>
      <c r="BY43" s="1027">
        <f t="shared" si="140"/>
        <v>0</v>
      </c>
      <c r="BZ43" s="740">
        <f t="shared" si="188"/>
        <v>0</v>
      </c>
      <c r="CA43" s="740">
        <f t="shared" si="141"/>
        <v>0</v>
      </c>
      <c r="CB43" s="894">
        <f>IF($V43&lt;='Options and results'!$W$20,SUM(BX$8:$BX43),0)</f>
        <v>0</v>
      </c>
      <c r="CC43" s="740">
        <f>IF($V43&lt;='Options and results'!$W$20,SUM($BY$8:BY43),0)</f>
        <v>0</v>
      </c>
      <c r="CD43" s="740">
        <f>IF($V43&lt;='Options and results'!$W$20,SUM($BZ$8:BZ43),0)</f>
        <v>0</v>
      </c>
      <c r="CE43" s="740">
        <f>IF(V43&lt;='Options and results'!$W$20,CB43+CC43-CD43,0)</f>
        <v>0</v>
      </c>
      <c r="CF43" s="1381">
        <f t="shared" si="142"/>
        <v>0</v>
      </c>
      <c r="CG43" s="1027">
        <f t="shared" si="143"/>
        <v>0</v>
      </c>
      <c r="CH43" s="1027">
        <f t="shared" si="144"/>
        <v>0</v>
      </c>
      <c r="CI43" s="1189">
        <f>IF(V43&lt;='Options and results'!$W$20,CE43+AO43,0)</f>
        <v>0</v>
      </c>
      <c r="CJ43" s="1023"/>
      <c r="CK43" s="895">
        <f t="shared" si="145"/>
        <v>36</v>
      </c>
      <c r="CL43" s="1011" t="str">
        <f>IF('Options and results'!$C$54="None",0,IF(AND(CK43&gt;='Options and results'!$K$57,CK42&lt;'Options and results'!$W$20),'Options and results'!$K$56,IF(Optimisation!$B$3="No",CONCATENATE('Options and results'!$C$60," ",(HLOOKUP(CONCATENATE('Options and results'!$C$54," ",Agroforestrysystem!$B$12),Agroforestrysystem!$B$11:$IM$74,$CK43+4,FALSE))),Optimisation!AA63)))</f>
        <v xml:space="preserve">UK - Agriculture (BPS: from 2015) </v>
      </c>
      <c r="CM43" s="1012">
        <f>IF(HLOOKUP(CONCATENATE('Options and results'!$C$54," ",Agroforestrysystem!$C$12),Agroforestrysystem!$B$11:$IM$74,$CK43+4,FALSE)="T",(VLOOKUP(CL43,Arablefinance!$Z$6:$AB$105,Arablefinance!$AB$2,FALSE)*CO43+VLOOKUP(CL43,Arablefinance!$Z$6:$AC$105,Arablefinance!$AC$2,FALSE)*CP43)/VLOOKUP(CL43,Arablefinance!$Z$6:$AA$105,Arablefinance!$AA$2,FALSE),0)</f>
        <v>0</v>
      </c>
      <c r="CN43" s="1012">
        <f>IF(CL43=0,0,HLOOKUP(CONCATENATE('Options and results'!$C$54," ",Agroforestrysystem!$D$12),Agroforestrysystem!$B$11:$IM$74,$CK43+4,FALSE))</f>
        <v>0</v>
      </c>
      <c r="CO43" s="1440">
        <f ca="1">IF(CL43=0,0,IF(AND(Optimisation!$B$3="yes",Optimisation!$B$4=1,CK43&gt;Optimisation!$B$9),0,HLOOKUP(CONCATENATE('Options and results'!$C$54," ",Agroforestrysystem!$E$12),Agroforestrysystem!$B$11:$IM$74,$CK43+4,FALSE)*IF(CK43&gt;='Options and results'!$J$19,'Options and results'!$J$18,1)))</f>
        <v>0</v>
      </c>
      <c r="CP43" s="1440">
        <f ca="1">IF(CL43=0,0,IF(AND(Optimisation!$B$3="yes",Optimisation!$B$4=1,CK43&gt;Optimisation!$B$9),0,HLOOKUP(CONCATENATE('Options and results'!$C$54," ",Agroforestrysystem!$F$12),Agroforestrysystem!$B$11:$IM$74,$CK43+4,FALSE)*IF(CK43&gt;='Options and results'!$J$19,'Options and results'!$J$18,1)))</f>
        <v>0</v>
      </c>
      <c r="CQ43" s="1013">
        <f>IF(CN43&lt;=0,0,IF(CK43&lt;='Options and results'!$W$20,IF(CM43&gt;0,VLOOKUP(CL43,Arablefinance!$Z$6:$AE$105,Arablefinance!$AD$2,FALSE)*CM43*CN43,((VLOOKUP(CL43,Arablefinance!$E$6:$H$126,2,FALSE)*CO43+VLOOKUP(CL43,Arablefinance!$E$6:$H$126,3,FALSE)*CP43)*CN43)),0)*IF(CK43&gt;='Options and results'!$J$21,'Options and results'!$J$20,1))*IF(1+'Options and results'!$O$20*(CK43-1)&gt;0,1+'Options and results'!$O$20*(CK43-1),0)</f>
        <v>0</v>
      </c>
      <c r="CR43" s="1441">
        <f>IF(CN43&lt;=0,0,IF(AND(CM43&gt;0,VLOOKUP(CL43,Arablefinance!$Z$6:$AI$105,Arablefinance!$AI$2,FALSE)=2),VLOOKUP(CL43,Arablefinance!$Z$6:$AE$105,Arablefinance!$AE$2,FALSE)*CM43*CN43,IF('Options and results'!$C$62&gt;0,IF(VLOOKUP(CL43,Arablefinance!$E$6:$W$126,Arablefinance!$H$2,FALSE)*(1-Plot!DM43*'Options and results'!$C$62)&gt;0,VLOOKUP(CL43,Arablefinance!$E$6:$W$126,Arablefinance!$H$2,FALSE)*(1-Plot!DM43*'Options and results'!$C$62),0),IF(CK43&lt;='Options and results'!$W$20,(VLOOKUP(CL43,Arablefinance!$E$6:$W$126,Arablefinance!$H$2,FALSE)*IF('Options and results'!$C$61="area",CN43,'Options and results'!$C$61)),0)))*IF(CK43&gt;='Options and results'!$J$23,'Options and results'!$J$22,1))*IF(AND(1+'Options and results'!$O$23*(CK43-1)&gt;0,1+'Options and results'!$O$23*(CK43-1)&gt;'Options and results'!$S$24),1+'Options and results'!$O$23*(CK43-1),'Options and results'!$S$24)</f>
        <v>0</v>
      </c>
      <c r="CS43" s="1441">
        <f t="shared" si="185"/>
        <v>0</v>
      </c>
      <c r="CT43" s="1441">
        <f>IF(CN43&lt;=0,0,IF(CK43&lt;='Options and results'!$W$20,IF(CM43&gt;0,VLOOKUP(CL43,Arablefinance!$Z$6:$AF$105,Arablefinance!$AF$2,FALSE)*CM43*CN43,VLOOKUP(CL43,Arablefinance!$E$6:$X$126,Arablefinance!$R$2,FALSE)*CN43),0)*IF(CK43&gt;='Options and results'!$J$27,'Options and results'!$J$26,1))*IF(1+'Options and results'!$O$22*(CK43-1)&gt;0,1+'Options and results'!$O$22*(CK43-1),0)</f>
        <v>0</v>
      </c>
      <c r="CU43" s="1441">
        <f t="shared" si="186"/>
        <v>0</v>
      </c>
      <c r="CV43" s="1441">
        <f>IF(CN43&lt;=0,0,IF(CK43&lt;='Options and results'!$W$20,IF(CM43&gt;0,VLOOKUP(CL43,Arablefinance!$Z$6:$AG$105,Arablefinance!$AG$2,FALSE)*CM43*CN43,VLOOKUP(CL43,Arablefinance!$E$6:$X$126,Arablefinance!$X$2,FALSE)*CN43),0)*IF(CK43&gt;='Options and results'!$J$27,'Options and results'!$J$26,1))*IF(1+'Options and results'!$O$22*(CK43-1)&gt;0,1+'Options and results'!$O$22*(CK43-1),0)</f>
        <v>0</v>
      </c>
      <c r="CW43" s="1442">
        <f>IF(CN43&lt;=0,0,IF(CK43&lt;='Options and results'!$W$20,'Options and results'!$C$27*IF(CK43&gt;='Options and results'!$J$27,'Options and results'!$J$26,1),0))*IF(1+'Options and results'!$O$21*(CK43-1)&gt;0,1+'Options and results'!$O$21*(CK43-1),0)</f>
        <v>0</v>
      </c>
      <c r="CX43" s="1442">
        <f>IF(CN43&lt;=0,0,IF(CK43&lt;='Options and results'!$W$20,IF(CM43&gt;0,VLOOKUP(CL43,Arablefinance!$Z$6:$AH$105,Arablefinance!$AH$2,FALSE)*CM43*CN43,VLOOKUP(CL43,Arablefinance!$E$6:$W$126,Arablefinance!$V$2,FALSE)*CN43),0)*IF(CK43&gt;='Options and results'!$J$25,'Options and results'!$J$24,1))</f>
        <v>0</v>
      </c>
      <c r="CY43" s="1013">
        <f t="shared" si="148"/>
        <v>0</v>
      </c>
      <c r="CZ43" s="1353">
        <f t="shared" si="149"/>
        <v>0</v>
      </c>
      <c r="DA43" s="1013">
        <f>IF($CK43&lt;='Options and results'!$W$20,SUM($CQ$8:CQ43),0)</f>
        <v>0</v>
      </c>
      <c r="DB43" s="1441">
        <f>IF($CK43&lt;='Options and results'!$W$20,SUM($CR$8:CR43),0)</f>
        <v>0</v>
      </c>
      <c r="DC43" s="1441">
        <f>IF($CK43&lt;='Options and results'!$W$20,SUM($CY$8:CY43),0)</f>
        <v>0</v>
      </c>
      <c r="DD43" s="1189">
        <f>IF(CK43&lt;='Options and results'!$W$20,DA43+DB43-DC43,0)</f>
        <v>0</v>
      </c>
      <c r="DE43" s="401"/>
      <c r="DF43" s="895">
        <f t="shared" si="150"/>
        <v>36</v>
      </c>
      <c r="DG43" s="173"/>
      <c r="DH43" s="1422"/>
      <c r="DI43" s="1427">
        <f>IF(DF43&lt;='Options and results'!$M$61,'Options and results'!$M$60,0)</f>
        <v>0</v>
      </c>
      <c r="DJ43" s="740">
        <f t="shared" si="151"/>
        <v>0</v>
      </c>
      <c r="DK43" s="740">
        <f t="shared" si="152"/>
        <v>0</v>
      </c>
      <c r="DL43" s="1428">
        <f t="shared" si="153"/>
        <v>0</v>
      </c>
      <c r="DM43" s="1429">
        <f>IF($DG$8=0,0,HLOOKUP(CONCATENATE('Options and results'!$C$54," ",Agroforestrysystem!$J$12),Agroforestrysystem!$11:$74,DF43+3,FALSE))/100</f>
        <v>0</v>
      </c>
      <c r="DN43" s="740">
        <f>IF($DG$8=0,0,IF(HLOOKUP(CONCATENATE('Options and results'!$C$54," ",Agroforestrysystem!$H$12),Agroforestrysystem!$11:$74,DF43+4,FALSE)&lt;DL43,HLOOKUP(CONCATENATE('Options and results'!$C$54," ",Agroforestrysystem!$H$12),Agroforestrysystem!$11:$74,DF43+4,FALSE),0))</f>
        <v>0</v>
      </c>
      <c r="DO43" s="1027">
        <f>IF($DG$8=0,0,IF(HLOOKUP(CONCATENATE('Options and results'!$C$54," ",Agroforestrysystem!$H$12),Agroforestrysystem!$11:$74,DF43+4,FALSE)&gt;=DL43,DL43,0))</f>
        <v>0</v>
      </c>
      <c r="DP43" s="1430">
        <f>IF($DG$8=0,0,HLOOKUP(CONCATENATE('Options and results'!$C$54," ",Agroforestrysystem!$I$12),Agroforestrysystem!$11:$74,DF43+4,FALSE))</f>
        <v>0</v>
      </c>
      <c r="DQ43" s="1038"/>
      <c r="DR43" s="1430">
        <f>IF($DG$8=0,0,IF(DF43&gt;'Options and results'!$W$20,0,)+IF(DF43=1,'Options and results'!$M$64)+IF('Options and results'!$M$67="yes",IF(AND(DR42+'Options and results'!$M$65&lt;=$DQ$8,DR42+'Options and results'!$M$65+IF(DF43=1,'Options and results'!$M$64,0)&lt;='Options and results'!$M$66*DP43),DR42+'Options and results'!$M$65,DR42),(HLOOKUP(CONCATENATE('Options and results'!$C$54," ",Agroforestrysystem!$K$12),Agroforestrysystem!$11:$74,DF43+4,FALSE)-IF(DF43=1,'Options and results'!$M$64))))</f>
        <v>0</v>
      </c>
      <c r="DS43" s="1027">
        <f>IF(OR($DG$8=0,DL43=0),0,HLOOKUP(CONCATENATE('Options and results'!$C$54," ",Agroforestrysystem!$L$12),Agroforestrysystem!$11:$74,DF43+4,FALSE)*IF(DF43&gt;='Options and results'!$K$19,'Options and results'!$K$18,1))</f>
        <v>0</v>
      </c>
      <c r="DT43" s="1431">
        <f t="shared" si="154"/>
        <v>0</v>
      </c>
      <c r="DU43" s="889">
        <f t="shared" si="155"/>
        <v>0</v>
      </c>
      <c r="DV43" s="1027">
        <f>IF($DG$8=0,0,(HLOOKUP(CONCATENATE('Options and results'!$C$54," ",Agroforestrysystem!$M$12),Agroforestrysystem!$11:$74,DF43+4,FALSE))*IF(DF43&gt;='Options and results'!$K$19,'Options and results'!$K$18,1))-DW43</f>
        <v>0</v>
      </c>
      <c r="DW43" s="303">
        <f>IF($DG$8=0,0,(HLOOKUP(CONCATENATE('Options and results'!$C$54," ",Agroforestrysystem!$N$12),Agroforestrysystem!$11:$74,DF43+4,FALSE))*IF(DF43&gt;='Options and results'!$K$19,'Options and results'!$K$18,1))</f>
        <v>0</v>
      </c>
      <c r="DX43" s="303">
        <f>IF($DG$8=0,0,HLOOKUP(CONCATENATE('Options and results'!$C$54," ",Agroforestrysystem!$O$12),Agroforestrysystem!$11:$74,DF43+4,FALSE)*IF(DF43&gt;='Options and results'!$K$19,'Options and results'!$K$18,1))</f>
        <v>0</v>
      </c>
      <c r="DY43" s="1192">
        <f>IF(DT43&gt;0,HLOOKUP(DT43,Treevalue!$I$4:$BC$34,'Options and results'!$C$66+1),0)*IF(DF43&gt;='Options and results'!$K$21,'Options and results'!$K$20,1)*IF(1+'Options and results'!$Q$20*(DF43-1)&gt;0,1+'Options and results'!$Q$20*(DF43-1),0)</f>
        <v>0</v>
      </c>
      <c r="DZ43" s="1027">
        <f t="shared" si="156"/>
        <v>0</v>
      </c>
      <c r="EA43" s="1027">
        <f t="shared" si="125"/>
        <v>0</v>
      </c>
      <c r="EB43" s="1027">
        <f>(IF('Options and results'!$C$66&gt;0,IF(DF43&lt;='Options and results'!$W$20,VLOOKUP('Options and results'!$C$66,Treevalue!$A$4:$F$34,5,FALSE),0),0)*DV43)*IF(DF43&gt;='Options and results'!$K$21,'Options and results'!$K$20,1)*IF(1+'Options and results'!$Q$20*(DF43-1)&gt;0,1+'Options and results'!$Q$20*(DF43-1),0)</f>
        <v>0</v>
      </c>
      <c r="EC43" s="740">
        <f>(IF('Options and results'!$C$66&gt;0,IF(DF43&lt;='Options and results'!$W$20,VLOOKUP('Options and results'!$C$66,Treevalue!$A$4:$F$34,5,FALSE),0),0)*DW43)*IF(DF43&gt;='Options and results'!$K$21,'Options and results'!$K$20,1)*IF(1+'Options and results'!$Q$20*(DF43-1)&gt;0,1+'Options and results'!$Q$20*(DF43-1),0)</f>
        <v>0</v>
      </c>
      <c r="ED43" s="889">
        <f>(IF('Options and results'!$C$66&gt;0,IF(DF43&lt;='Options and results'!$W$20,VLOOKUP('Options and results'!$C$66,Treevalue!$A$4:$F$34,6,FALSE),0),0)*DX43)*IF(DF43&gt;='Options and results'!$K$21,'Options and results'!$K$20,1)*IF(1+'Options and results'!$Q$20*(DF43-1)&gt;0,1+'Options and results'!$Q$20*(DF43-1),0)</f>
        <v>0</v>
      </c>
      <c r="EE43" s="740">
        <f>IF(DF43&lt;='Options and results'!$W$20,IF(DL43&lt;=0,0,IF('Options and results'!$C$70="cost",(IF(DF43&lt;='Options and results'!$C$71,FK43*SUM('Options and results'!$C$72:$C$73),0)),IF('Options and results'!$C$68&gt;0,(IF(VLOOKUP('Options and results'!$C$69,Treegrant!$B$6:$L$42,Treegrant!$C$2,FALSE)=DF43,VLOOKUP('Options and results'!$C$69,Treegrant!$B$6:$L$42,Treegrant!$D$2,FALSE),0)+IF(VLOOKUP('Options and results'!$C$69,Treegrant!$B$6:$L$42,Treegrant!$E$2,FALSE)=DF43,VLOOKUP('Options and results'!$C$69,Treegrant!$B$6:$L$42,Treegrant!$F$2,FALSE),0)+IF(VLOOKUP('Options and results'!$C$69,Treegrant!$B$6:$L$42,Treegrant!$G$2,FALSE)=DF43,VLOOKUP('Options and results'!$C$69,Treegrant!$B$6:$L$42,Treegrant!$H$2,FALSE)))*IF('Options and results'!$C$70="area",Unit!C44,'Options and results'!$C$70),0))*IF(DF43&gt;='Options and results'!$K$23,'Options and results'!$K$22,1)),0)*IF(1+'Options and results'!$Q$23*(DF43-1)&gt;0,1+'Options and results'!$Q$23*(DF43-1),0)</f>
        <v>0</v>
      </c>
      <c r="EF43" s="740">
        <f>IF($DG$8=0,0,IF(DF43&lt;='Options and results'!$W$20,IF(DL43&lt;=0,0,IF('Options and results'!$C$68&gt;0,IF(AND(VLOOKUP('Options and results'!$C$69,Treegrant!$B$6:$L$42,Treegrant!$J$2,FALSE)&lt;=DF43,VLOOKUP('Options and results'!$C$69,Treegrant!$B$6:$L$42,Treegrant!$K$2,FALSE)&gt;=DF43),(VLOOKUP('Options and results'!$C$69,Treegrant!$B$6:$L$42,Treegrant!$L$2,FALSE)),0)*IF('Options and results'!$C$74="area",Unit!C44,'Options and results'!$C$74))*IF(DF43&gt;='Options and results'!$K$23,'Options and results'!$K$22,1)),0))*IF(1+'Options and results'!$Q$23*(DF43-1)&gt;0,1+'Options and results'!$Q$23*(DF43-1),0)</f>
        <v>0</v>
      </c>
      <c r="EG43" s="1034">
        <f>IF($DG$8=0,0,IF(DF43&lt;='Options and results'!$W$20,IF(DL43&lt;=0,0,IF('Options and results'!$C$68&gt;0,((IF(AND(VLOOKUP('Options and results'!$C$69,Treegrant!$B$6:$O$42,Treegrant!$M$2,FALSE)&lt;=DF43,VLOOKUP('Options and results'!$C$69,Treegrant!$B$6:$O$42,Treegrant!$N$2,FALSE)&gt;=DF43),(VLOOKUP('Options and results'!$C$69,Treegrant!$B$6:$O$42,Treegrant!$O$2,FALSE)),0)*IF('Options and results'!$C$75="area",Unit!C44,'Options and results'!$C$75))+(IF(AND(VLOOKUP('Options and results'!$C$69,Treegrant!$B$6:$R$42,Treegrant!$P$2,FALSE)&lt;=DF43,VLOOKUP('Options and results'!$C$69,Treegrant!$B$6:$R$42,Treegrant!$Q$2,FALSE)&gt;=DF43),(VLOOKUP('Options and results'!$C$69,Treegrant!$B$6:$R$42,Treegrant!$R$2,FALSE)),0))*IF('Options and results'!$C$76="area",Unit!C44,'Options and results'!$C$76)))*IF(DF43&gt;='Options and results'!$K$23,'Options and results'!$K$22,1)),0))*IF(1+'Options and results'!$Q$23*(DF43-1)&gt;0,1+'Options and results'!$Q$23*(DF43-1),0)</f>
        <v>0</v>
      </c>
      <c r="EH43" s="1041"/>
      <c r="EI43" s="1042"/>
      <c r="EJ43" s="1419">
        <f>IF($DH$8+DK43&lt;1,0,IF(DF43=1,VLOOKUP($DG$8,Treecost!$B$6:$AH$49,Treecost!$E$2,FALSE),0)*IF(DF43&gt;='Options and results'!$K$25,'Options and results'!$K$24,1))</f>
        <v>0</v>
      </c>
      <c r="EK43" s="889">
        <f>IF($DH$8+DK43&lt;1,0,IF(DF43=1,VLOOKUP($DG$8,Treecost!$B$6:$AH$49,Treecost!$F$2,FALSE),0)*IF(DF43&gt;='Options and results'!$K$25,'Options and results'!$K$24,1))</f>
        <v>0</v>
      </c>
      <c r="EL43" s="889">
        <f>IF($DH$8+DK43&lt;1,0,IF(DF43=1,VLOOKUP($DG$8,Treecost!$B$6:$AH$49,Treecost!$G$2,FALSE),0)*IF(DF43&gt;='Options and results'!$K$25,'Options and results'!$K$24,1))</f>
        <v>0</v>
      </c>
      <c r="EM43" s="889">
        <f>IF($DG$8=0,0,IF(DF43&lt;='Options and results'!$W$20,((VLOOKUP($DG$8,Treecost!$B$6:$AH$49,Treecost!$H$2,FALSE)*(DH43+DK43))/60)*IF(DF43&gt;='Options and results'!$K$25,'Options and results'!$K$24,1),0))</f>
        <v>0</v>
      </c>
      <c r="EN43" s="889">
        <f>IF($DG$8=0,0,IF(DF43&lt;='Options and results'!$W$20,(((VLOOKUP($DG$8,Treecost!$B$6:$AH$49,Treecost!$I$2,FALSE))*(DH43+DK43))/60)*IF(DF43&gt;='Options and results'!$K$25,'Options and results'!$K$24,1),0))</f>
        <v>0</v>
      </c>
      <c r="EO43" s="889">
        <f>IF($DG$8=0,0,IF(DF43&lt;='Options and results'!$W$20,(((VLOOKUP($DG$8,Treecost!$B$6:$AH$49,Treecost!$J$2,FALSE))/60)*(DH43+DK43))*IF(DF43&gt;='Options and results'!$K$25,'Options and results'!$K$24,1),0))</f>
        <v>0</v>
      </c>
      <c r="EP43" s="1019">
        <f>IF($DG$8=0,0,IF(DF43&lt;='Options and results'!$W$20,(((VLOOKUP($DG$8,Treecost!$B$6:$AH$49,Treecost!$C$2,FALSE)+VLOOKUP($DG$8,Treecost!$B$6:$AH$49,Treecost!$D$2,FALSE))*(DH43+DK43)*IF(1+'Options and results'!$Q$22*(DF43-1)&gt;0,1+'Options and results'!$Q$22*(DF43-1),0))+(EJ43*$EI$8+EK43*$EI$9+EL43*$EI$10+EM43*$EI$11+EN43*$EI$12+EO43*$EI$13)*IF(1+'Options and results'!$Q$21*(DF43-1)&gt;0,1+'Options and results'!$Q$21*(DF43-1),0))*IF(DF43&gt;='Options and results'!$K$27,'Options and results'!$K$26,1),0))</f>
        <v>0</v>
      </c>
      <c r="EQ43" s="740">
        <f>IF($DG$8=0,0,IF(DF43&lt;='Options and results'!$W$20,IF(AND(VLOOKUP($DG$8,Treecost!$B$6:$AH$49,Treecost!$K$2,FALSE)&lt;=DF43,DF43&lt;=(VLOOKUP($DG$8,Treecost!$B$6:$AH$49,Treecost!$L$2,FALSE))),VLOOKUP($DG$8,Treecost!$B$6:$AH$49,Treecost!$M$2,FALSE)*DL43/60,0)*IF(DF43&gt;='Options and results'!$K$25,'Options and results'!$K$24,1),0))</f>
        <v>0</v>
      </c>
      <c r="ER43" s="1019">
        <f>IF(EQ43&gt;0,(VLOOKUP($DG$8,Treecost!$B$6:$AH$49,Treecost!$N$2,FALSE)*DL43*IF(1+'Options and results'!$Q$22*(DF43-1)&gt;0,1+'Options and results'!$Q$22*(DF43-1),0)+EQ43*$EI$14*IF(1+'Options and results'!$Q$21*(DF43-1)&gt;0,1+'Options and results'!$Q$21*(DF43-1),0)),0)*IF(DF43&gt;='Options and results'!$K$27,'Options and results'!$K$26,1)</f>
        <v>0</v>
      </c>
      <c r="ES43" s="889">
        <f>IF(DF43&lt;='Options and results'!$W$20,IF(AND(DR43-DR42&gt;0,DR43&gt;'Options and results'!$M$64),(DL43-DN43)*(VLOOKUP($DG$8,Treecost!$B$6:$AH$49,Treecost!$Y$2,FALSE)+(VLOOKUP($DG$8,Treecost!$B$6:$AH$49,Treecost!$AA$2,FALSE)-VLOOKUP($DG$8,Treecost!$B$6:$AH$49,Treecost!$Y$2,FALSE))/(VLOOKUP($DG$8,Treecost!$B$6:$AH$49,Treecost!$Z$2,FALSE)-VLOOKUP($DG$8,Treecost!$B$6:$AH$49,Treecost!$X$2,FALSE))*(DR43-VLOOKUP($DG$8,Treecost!$B$6:$AH$49,Treecost!$X$2,FALSE)))/60,0)*IF(DF43&gt;='Options and results'!$K$25,'Options and results'!$K$24,1),0)</f>
        <v>0</v>
      </c>
      <c r="ET43" s="889">
        <f>IF(DF43&lt;='Options and results'!$W$20,IF(ES43&gt;0,VLOOKUP($DG$8,Treecost!$B$6:$AH$49,Treecost!$AB$2,FALSE)/60*DL43,0)*IF(DF43&gt;='Options and results'!$K$25,'Options and results'!$K$24,1),0)*((ES43-(MIN($ES$8:$ES$67)))/((MAX($ES$8:$ES$67))-(MIN($ES$8:$ES$67))))</f>
        <v>0</v>
      </c>
      <c r="EU43" s="740">
        <f>IF(ES43&gt;0,(ES43*$EI$15+ET43*$EI$19)*IF(1+'Options and results'!$Q$21*(DF43-1)&gt;0,1+'Options and results'!$Q$21*(DF43-1),0),0)*IF(DF43&gt;='Options and results'!$K$27,'Options and results'!$K$26,1)</f>
        <v>0</v>
      </c>
      <c r="EV43" s="891">
        <f>IF($DG$8=0,0,IF(DF43&lt;='Options and results'!$W$20,IF(AND(VLOOKUP($DG$8,Treecost!$B$2:$AH$49,Treecost!$O$2,FALSE)=DF43,DF43&lt;=IF(AND(Optimisation!$B$3="Yes",Optimisation!$B$4=1),Optimisation!$B$9)),VLOOKUP($DG$8,Treecost!$B$2:$AH$49,Treecost!$P$2,FALSE)*(1-CN43),0)*IF(DF43&gt;='Options and results'!$K$25,'Options and results'!$K$24,1),0))</f>
        <v>0</v>
      </c>
      <c r="EW43" s="889">
        <f>IF($DG$8=0,0,IF(DF43&lt;='Options and results'!$W$20,IF(AND(DF43&gt;VLOOKUP($DG$8,Treecost!$B$2:$AH$49,Treecost!$O$2,FALSE),DF43&lt;=IF(AND(Optimisation!$B$3="Yes",Optimisation!$B$4=1),Optimisation!$B$9,VLOOKUP($DG$8,Treecost!$B$2:$AH$49,Treecost!$R$2,FALSE))),VLOOKUP($DG$8,Treecost!$B$2:$AH$49,Treecost!$S$2,FALSE)*(1-CN43),0)*IF(DF43&gt;='Options and results'!$K$25,'Options and results'!$K$24,1),0))</f>
        <v>0</v>
      </c>
      <c r="EX43" s="740">
        <f>IF($DG$8=0,0,IF(DF43&lt;='Options and results'!$W$20,(IF(AND(VLOOKUP($DG$8,Treecost!$B$2:$AH$49,Treecost!$O$2,FALSE)=DF43,DF43&lt;=IF(AND(Optimisation!$B$3="Yes",Optimisation!$B$4=1),Optimisation!$B$9)),VLOOKUP($DG$8,Treecost!$B$2:$AH$49,Treecost!$Q$2,FALSE),0)*(1-CN43)+IF(AND(DF43&gt;VLOOKUP($DG$8,Treecost!$B$2:$AH$49,Treecost!$O$2,FALSE),DF43&lt;=IF(AND(Optimisation!$B$3="Yes",Optimisation!$B$4=1),Optimisation!$B$9,VLOOKUP($DG$8,Treecost!$B$2:$AH$49,Treecost!$R$2,FALSE))),VLOOKUP($DG$8,Treecost!$B$2:$AH$49,Treecost!$T$2,FALSE),0)*(1-CN43)+(EV43*$EI$16+EW43*$EI$17))*IF(DF43&gt;='Options and results'!$K$27,'Options and results'!$K$26,1),0))*IF(1+'Options and results'!$Q$21*(DF43-1)&gt;0,1+'Options and results'!$Q$21*(DF43-1),0)</f>
        <v>0</v>
      </c>
      <c r="EY43" s="894">
        <f>IF($DG$8=0,0,IF(DF43&lt;='Options and results'!$W$20,IF(AND(DF43&gt;=VLOOKUP($DG$8,Treecost!$B$2:$W$49,Treecost!$U$2,FALSE),DF43&lt;=VLOOKUP($DG$8,Treecost!$B$2:$W$49,Treecost!$V$2,FALSE)),(DL43*VLOOKUP($DG$8,Treecost!$B$2:$W$49,Treecost!$W$2,FALSE)/60),0)*IF(DF43&gt;='Options and results'!$K$25,'Options and results'!$K$24,1),0))</f>
        <v>0</v>
      </c>
      <c r="EZ43" s="740">
        <f>EY43*$EI$18*IF(DF43&gt;='Options and results'!$K$27,'Options and results'!$K$26,1)*IF(1+'Options and results'!$Q$21*(DF43-1)&gt;0,1+'Options and results'!$Q$21*(DF43-1),0)</f>
        <v>0</v>
      </c>
      <c r="FA43" s="1025">
        <f>IF(DF43&lt;='Options and results'!$W$20,IF(DL43&lt;=0,0,VLOOKUP($DG$8,Treecost!$B$6:$AH$49,Treecost!$AC$2,FALSE)+VLOOKUP($DG$8,Treecost!$B$6:$AH$49,Treecost!$AD$2,FALSE)+IF(AND(DF43&gt;=VLOOKUP($DG$8,Treecost!$B$2:$AK$49,Treecost!$AI$2,FALSE),DF43&lt;=VLOOKUP($DG$8,Treecost!$B$2:$AK$49,Treecost!$AJ$2,FALSE)),VLOOKUP($DG$8,Treecost!$B$2:$AK$49,Treecost!$AK$2,FALSE)*(1-CN43),0))*IF(DF43&gt;='Options and results'!$K$27,'Options and results'!$K$26,1),0)*IF(1+'Options and results'!$Q$22*(DF43-1)&gt;0,1+'Options and results'!$Q$22*(DF43-1),0)</f>
        <v>0</v>
      </c>
      <c r="FB43" s="894">
        <f>IF(DF43&lt;='Options and results'!$W$20,IF(DN43&gt;0,VLOOKUP($DG$8,Treecost!$B$6:$AH$49,Treecost!$AE$2,FALSE)/60*DN43,0)*IF(DF43&gt;='Options and results'!$K$25,'Options and results'!$K$24,1),0)</f>
        <v>0</v>
      </c>
      <c r="FC43" s="740">
        <f>IF(DF43&lt;='Options and results'!$W$20,IF(DN43&gt;0,VLOOKUP($DG$8,Treecost!$B$6:$AH$49,Treecost!$AF$2,FALSE)/60*DN43,0)*IF(DF43&gt;='Options and results'!$K$25,'Options and results'!$K$24,1),0)</f>
        <v>0</v>
      </c>
      <c r="FD43" s="740">
        <f>(FB43*$EI$20+FC43*$EI$21)*IF(DF43&gt;='Options and results'!$K$27,'Options and results'!$K$26,1)*IF(1+'Options and results'!$Q$21*(DF43-1)&gt;0,1+'Options and results'!$Q$21*(DF43-1),0)</f>
        <v>0</v>
      </c>
      <c r="FE43" s="894">
        <f>IF(DF43&lt;='Options and results'!$W$20,IF(DO43&gt;0,(VLOOKUP($DG$8,Treecost!$B$6:$AH$49,Treecost!$AG$2,FALSE)/60*DO43)*IF(DF43&gt;='Options and results'!$K$25,'Options and results'!$K$24,1),0),0)</f>
        <v>0</v>
      </c>
      <c r="FF43" s="740">
        <f>IF(DF43&lt;='Options and results'!$W$20,IF(DO43&gt;0,(VLOOKUP($DG$8,Treecost!$B$6:$AH$49,Treecost!$AH$2,FALSE)/60*DO43)*IF(DF43&gt;='Options and results'!$K$25,'Options and results'!$K$24,1),0),0)</f>
        <v>0</v>
      </c>
      <c r="FG43" s="740">
        <f>(FE43*$EI$22+FF43*$EI$23)*IF(DF43&gt;='Options and results'!$K$27,'Options and results'!$K$26,1)*IF(1+'Options and results'!$Q$21*(DF43-1)&gt;0,1+'Options and results'!$Q$21*(DF43-1),0)</f>
        <v>0</v>
      </c>
      <c r="FH43" s="894">
        <f t="shared" si="157"/>
        <v>0</v>
      </c>
      <c r="FI43" s="1027">
        <f t="shared" si="158"/>
        <v>0</v>
      </c>
      <c r="FJ43" s="1027">
        <f t="shared" si="159"/>
        <v>0</v>
      </c>
      <c r="FK43" s="1027">
        <f t="shared" si="160"/>
        <v>0</v>
      </c>
      <c r="FL43" s="1027">
        <f t="shared" si="184"/>
        <v>0</v>
      </c>
      <c r="FM43" s="1027">
        <f>IF($DF43&lt;='Options and results'!$W$20,SUM(FI$8:$FI43),0)</f>
        <v>0</v>
      </c>
      <c r="FN43" s="1027">
        <f>IF($DF43&lt;='Options and results'!$W$20,SUM($FJ$8:FJ43),0)</f>
        <v>0</v>
      </c>
      <c r="FO43" s="1027">
        <f>IF($DF43&lt;='Options and results'!$W$20,SUM($FK$8:FK43),0)</f>
        <v>0</v>
      </c>
      <c r="FP43" s="1027">
        <f>IF($DF43&lt;='Options and results'!$W$20,FM43+FN43-FO43,0)</f>
        <v>0</v>
      </c>
      <c r="FQ43" s="1027">
        <f t="shared" si="162"/>
        <v>0</v>
      </c>
      <c r="FR43" s="1027">
        <f t="shared" si="163"/>
        <v>0</v>
      </c>
      <c r="FS43" s="1027">
        <f t="shared" si="164"/>
        <v>0</v>
      </c>
      <c r="FT43" s="1189">
        <f>IF(DF43&lt;='Options and results'!$W$20,FP43+DZ43,0)</f>
        <v>0</v>
      </c>
      <c r="FU43" s="401"/>
      <c r="FV43" s="895">
        <f t="shared" si="165"/>
        <v>36</v>
      </c>
      <c r="FW43" s="894">
        <f>G43/(1+'Options and results'!$W$33)^(FV43-1)</f>
        <v>0</v>
      </c>
      <c r="FX43" s="740">
        <f>(AP43+AR43+AS43)/(1+'Options and results'!$W$33)^(FV43-1)</f>
        <v>0</v>
      </c>
      <c r="FY43" s="740">
        <f>CQ43/(1+'Options and results'!$W$33)^(FV43-1)</f>
        <v>0</v>
      </c>
      <c r="FZ43" s="740">
        <f>(EA43+EC43+ED43)/(1+'Options and results'!$W$33)^(FV43-1)</f>
        <v>0</v>
      </c>
      <c r="GA43" s="1019">
        <f t="shared" si="180"/>
        <v>0</v>
      </c>
      <c r="GB43" s="1026">
        <f>(AO43+AQ43)/(1+'Options and results'!$W$33)^(FV43-1)+FX43</f>
        <v>0</v>
      </c>
      <c r="GC43" s="1027">
        <f>IF(FV43&gt;'Options and results'!$W$27,0,GB43-GB42)</f>
        <v>0</v>
      </c>
      <c r="GD43" s="1027">
        <f>(DZ43+EB43)/(1+'Options and results'!$W$33)^(FV43-1)+FZ43</f>
        <v>0</v>
      </c>
      <c r="GE43" s="1379">
        <f>IF(FV43&gt;'Options and results'!$W$27,0,GD43-GD42)</f>
        <v>0</v>
      </c>
      <c r="GF43" s="894">
        <f>IF(FV43&lt;='Options and results'!$W$20,SUM(FW$8:FW43),0)</f>
        <v>0</v>
      </c>
      <c r="GG43" s="740">
        <f>IF(FV43&lt;='Options and results'!$W$20,SUM(FX$8:FX43), 0)</f>
        <v>0</v>
      </c>
      <c r="GH43" s="740">
        <f>IF(FV43&lt;='Options and results'!$W$20,SUM(FY$8:FY43),0)</f>
        <v>0</v>
      </c>
      <c r="GI43" s="740">
        <f>IF(FV43&lt;='Options and results'!$W$20,SUM(FZ$8:FZ43),0)</f>
        <v>0</v>
      </c>
      <c r="GJ43" s="1019">
        <f t="shared" si="166"/>
        <v>0</v>
      </c>
      <c r="GK43" s="894">
        <f>IF(FV43&gt;'Options and results'!$W$27,0,GG43+SUM(GC$8:GC43)-FX43)</f>
        <v>0</v>
      </c>
      <c r="GL43" s="740">
        <f>IF(FV43&lt;='Options and results'!$W$20,SUM(GD$8:GD43),0)</f>
        <v>0</v>
      </c>
      <c r="GM43" s="1034">
        <f t="shared" si="167"/>
        <v>0</v>
      </c>
      <c r="GN43" s="401"/>
      <c r="GO43" s="895">
        <f t="shared" si="168"/>
        <v>36</v>
      </c>
      <c r="GP43" s="894">
        <f>H43/(1+'Options and results'!$W$33)^(GO43-1)</f>
        <v>0</v>
      </c>
      <c r="GQ43" s="740">
        <f>SUM(AT43:AV43)/(1+'Options and results'!$W$33)^(GO43-1)</f>
        <v>0</v>
      </c>
      <c r="GR43" s="740">
        <f>CR43/(1+'Options and results'!$W$33)^(GO43-1)</f>
        <v>0</v>
      </c>
      <c r="GS43" s="740">
        <f>SUM(EE43:EG43)/(1+'Options and results'!$W$33)^(GO43-1)</f>
        <v>0</v>
      </c>
      <c r="GT43" s="1019">
        <f t="shared" si="181"/>
        <v>0</v>
      </c>
      <c r="GU43" s="894">
        <f>IF(GO43&lt;='Options and results'!$W$20,SUM(GP$8:GP43),0)</f>
        <v>0</v>
      </c>
      <c r="GV43" s="740">
        <f>IF(GO43&lt;='Options and results'!$W$20,SUM(GQ$8:GQ43),0)</f>
        <v>0</v>
      </c>
      <c r="GW43" s="740">
        <f>IF(GO43&lt;='Options and results'!$W$20,SUM(GR$8:GR43),0)</f>
        <v>0</v>
      </c>
      <c r="GX43" s="740">
        <f>IF(GO43&lt;='Options and results'!$W$20,SUM(GS$8:GS43),0)</f>
        <v>0</v>
      </c>
      <c r="GY43" s="1034">
        <f>IF(GO43&lt;='Options and results'!$W$20,SUM(GT$8:GT43),0)</f>
        <v>0</v>
      </c>
      <c r="GZ43" s="401"/>
      <c r="HA43" s="895">
        <f t="shared" si="169"/>
        <v>36</v>
      </c>
      <c r="HB43" s="1026">
        <f>(J43+L43+(M43*N43))/(1+'Options and results'!$W$33)^(HA43-1)</f>
        <v>0</v>
      </c>
      <c r="HC43" s="740">
        <f>BZ43/(1+'Options and results'!$W$33)^(HA43-1)</f>
        <v>0</v>
      </c>
      <c r="HD43" s="1027">
        <f>(CT43+CV43+(CW43*CX43))/(1+'Options and results'!$W$33)^(HA43-1)</f>
        <v>0</v>
      </c>
      <c r="HE43" s="740">
        <f>FK43/(1+'Options and results'!$W$33)^(HA43-1)</f>
        <v>0</v>
      </c>
      <c r="HF43" s="1019">
        <f t="shared" si="182"/>
        <v>0</v>
      </c>
      <c r="HG43" s="894">
        <f>IF(HA43&lt;='Options and results'!$W$20,SUM(HB$8:HB43),0)</f>
        <v>0</v>
      </c>
      <c r="HH43" s="740">
        <f>IF(HA43&lt;='Options and results'!$W$20,SUM(HC$8:HC43),0)</f>
        <v>0</v>
      </c>
      <c r="HI43" s="740">
        <f>IF(HA43&lt;='Options and results'!$W$20,SUM(HD$8:HD43),0)</f>
        <v>0</v>
      </c>
      <c r="HJ43" s="740">
        <f>IF(HA43&lt;='Options and results'!$W$20,SUM(HE$8:HE43),0)</f>
        <v>0</v>
      </c>
      <c r="HK43" s="1034">
        <f>IF(HA43&lt;='Options and results'!$W$20,SUM(HF$8:HF43),0)</f>
        <v>0</v>
      </c>
      <c r="HL43" s="405"/>
      <c r="HM43" s="895">
        <f t="shared" si="189"/>
        <v>36</v>
      </c>
      <c r="HN43" s="1026">
        <f t="shared" si="171"/>
        <v>0</v>
      </c>
      <c r="HO43" s="1027">
        <f t="shared" si="172"/>
        <v>0</v>
      </c>
      <c r="HP43" s="1027">
        <f t="shared" si="173"/>
        <v>0</v>
      </c>
      <c r="HQ43" s="1027">
        <f t="shared" si="174"/>
        <v>0</v>
      </c>
      <c r="HR43" s="1027">
        <f t="shared" si="175"/>
        <v>0</v>
      </c>
      <c r="HS43" s="1379">
        <f t="shared" si="176"/>
        <v>0</v>
      </c>
      <c r="HT43" s="1026">
        <f>IF($HM43&lt;='Options and results'!$W$20,SUM(HN$8:HN43),0)</f>
        <v>0</v>
      </c>
      <c r="HU43" s="1027">
        <f>IF($HM43&lt;='Options and results'!$W$20,SUM(HO$8:HO43),0)</f>
        <v>0</v>
      </c>
      <c r="HV43" s="1027">
        <f>IF($HM43&lt;='Options and results'!$W$20,SUM(HP$8:HP43),0)</f>
        <v>0</v>
      </c>
      <c r="HW43" s="1027">
        <f>IF($HM43&lt;='Options and results'!$W$20,SUM(HQ$8:HQ43),0)</f>
        <v>0</v>
      </c>
      <c r="HX43" s="1027">
        <f t="shared" si="177"/>
        <v>0</v>
      </c>
      <c r="HY43" s="1027">
        <f>IF($HM43&lt;='Options and results'!$W$20,SUM(HR$8:HR43),0)</f>
        <v>0</v>
      </c>
      <c r="HZ43" s="1027">
        <f>IF($HM43&lt;='Options and results'!$W$20,SUM(HS$8:HS43),0)</f>
        <v>0</v>
      </c>
      <c r="IA43" s="1189">
        <f t="shared" si="178"/>
        <v>0</v>
      </c>
    </row>
    <row r="44" spans="1:235" x14ac:dyDescent="0.25">
      <c r="A44" s="1010">
        <f t="shared" si="126"/>
        <v>37</v>
      </c>
      <c r="B44" s="1011" t="str">
        <f>IF('Options and results'!$C$17="None",0,CONCATENATE('Options and results'!$C$23," ",(HLOOKUP(CONCATENATE('Options and results'!$C$17," ",Arablesystem!$B$11),Arablesystem!$B$10:$ER$72,$A44+3,FALSE))))</f>
        <v xml:space="preserve">UK - Agriculture (BPS: from 2015) </v>
      </c>
      <c r="C44" s="1012">
        <f>IF(HLOOKUP(CONCATENATE('Options and results'!$C$17," ",Arablesystem!$C$11),Arablesystem!$B$10:$ER$72,$A44+3,FALSE)="T",(VLOOKUP(B44,Arablefinance!$Z$6:$AB$105,Arablefinance!$AB$2,FALSE)*E44+VLOOKUP(B44,Arablefinance!$Z$6:$AC$105,Arablefinance!$AC$2,FALSE)*F44)/VLOOKUP(B44,Arablefinance!$Z$6:$AA$105,Arablefinance!$AA$2,FALSE),0)</f>
        <v>0</v>
      </c>
      <c r="D44" s="1012">
        <f>IF(B44=0,0,HLOOKUP(CONCATENATE('Options and results'!$C$17," ",Arablesystem!$D$11),Arablesystem!$B$10:$ER$72,$A44+3,FALSE))</f>
        <v>0</v>
      </c>
      <c r="E44" s="1440">
        <f>IF(B44=0,0,HLOOKUP(CONCATENATE('Options and results'!$C$17," ",Arablesystem!$E$11),Arablesystem!$B$10:$ER$72,$A44+3,FALSE)*IF(A44&gt;='Options and results'!$H$19,'Options and results'!$H$18,1))</f>
        <v>0</v>
      </c>
      <c r="F44" s="1440">
        <f>IF(B44=0,0,HLOOKUP(CONCATENATE('Options and results'!$C$17," ",Arablesystem!$F$11),Arablesystem!$B$10:$ER$72,$A44+3,FALSE)*IF(A44&gt;='Options and results'!$H$19,'Options and results'!$H$18,1))</f>
        <v>0</v>
      </c>
      <c r="G44" s="1013">
        <f>IF(D44&lt;=0,0,IF(A44&lt;='Options and results'!$W$20,IF(C44&gt;0,VLOOKUP(B44,Arablefinance!$Z$6:$AE$105,Arablefinance!$AD$2,FALSE)*C44*D44,((VLOOKUP(B44,Arablefinance!$E$6:$G$126,Arablefinance!$F$2,FALSE)*(E44*D44)+VLOOKUP(B44,Arablefinance!$E$6:$G$126,Arablefinance!$G$2,FALSE)*(F44*D44)))),0)*IF(A44&gt;='Options and results'!$H$21,'Options and results'!$H$20,1))*IF(1+'Options and results'!$O$20*(A44-1)&gt;0,1+'Options and results'!$O$20*(A44-1),0)</f>
        <v>0</v>
      </c>
      <c r="H44" s="1441">
        <f>IF(D44&lt;=0,0,IF(A44&lt;='Options and results'!$W$20,IF(AND(C44&gt;0,VLOOKUP(B44,Arablefinance!$Z$6:$AI$105,Arablefinance!$AI$2,FALSE)=2),VLOOKUP(B44,Arablefinance!$Z$6:$AE$105,Arablefinance!$AE$2,FALSE)*C44*D44,(VLOOKUP(B44,Arablefinance!$E$6:$H$126,Arablefinance!$H$2,FALSE)*D44))*IF(A44&gt;='Options and results'!$H$23,'Options and results'!$H$22,1),0)*IF(AND(1+'Options and results'!$O$23*(A44-1)&gt;0,1+'Options and results'!$O$23*(A44-1)&gt;'Options and results'!$S$24),1+'Options and results'!$O$23*(A44-1),'Options and results'!$S$24))</f>
        <v>0</v>
      </c>
      <c r="I44" s="1441">
        <f t="shared" si="127"/>
        <v>0</v>
      </c>
      <c r="J44" s="1441">
        <f>IF(D44&lt;=0,0,IF(A44&lt;='Options and results'!$W$20,IF(C44&gt;0,VLOOKUP(B44,Arablefinance!$Z$6:$AF$105,Arablefinance!$AF$2,FALSE)*C44*D44,(VLOOKUP(B44,Arablefinance!$E$6:$X$126,Arablefinance!$R$2,FALSE))*D44),0)*IF(A44&gt;='Options and results'!$H$27,'Options and results'!$H$26,1))*IF(1+'Options and results'!$O$22*(A44-1)&gt;0,1+'Options and results'!$O$22*(A44-1),0)</f>
        <v>0</v>
      </c>
      <c r="K44" s="1441">
        <f t="shared" si="128"/>
        <v>0</v>
      </c>
      <c r="L44" s="1441">
        <f>IF(D44&lt;=0,0,IF(A44&lt;='Options and results'!$W$20,IF(C44&gt;0,VLOOKUP(B44,Arablefinance!$Z$6:$AG$105,Arablefinance!$AG$2,FALSE)*C44*D44,VLOOKUP(B44,Arablefinance!$E$6:$X$126,Arablefinance!$X$2,FALSE)*D44),0)*IF(A44&gt;='Options and results'!$H$27,'Options and results'!$H$26,1))*IF(1+'Options and results'!$O$22*(A44-1)&gt;0,1+'Options and results'!$O$22*(A44-1),0)</f>
        <v>0</v>
      </c>
      <c r="M44" s="1442">
        <f>IF(D44&lt;=0,0,IF(A44&lt;='Options and results'!$W$20,'Options and results'!$C$27,0)*IF(A44&gt;='Options and results'!$H$27,'Options and results'!$H$26,1))*IF(1+'Options and results'!$O$21*(A44-1)&gt;0,1+'Options and results'!$O$21*(A44-1),0)</f>
        <v>0</v>
      </c>
      <c r="N44" s="1442">
        <f>IF(D44&lt;=0,0,IF(A44&lt;='Options and results'!$W$20,IF(C44&gt;0,VLOOKUP(B44,Arablefinance!$Z$6:$AH$105,Arablefinance!$AH$2,FALSE)*C44*D44,VLOOKUP(B44,Arablefinance!$E$6:$W$126,Arablefinance!$V$2,FALSE)*D44),0)*IF(A44&gt;='Options and results'!$H$25,'Options and results'!$H$24,1))</f>
        <v>0</v>
      </c>
      <c r="O44" s="1013">
        <f t="shared" si="129"/>
        <v>0</v>
      </c>
      <c r="P44" s="1353">
        <f t="shared" si="130"/>
        <v>0</v>
      </c>
      <c r="Q44" s="1013">
        <f>IF(A44&lt;='Options and results'!$W$20,SUM(G$8:$G44),0)</f>
        <v>0</v>
      </c>
      <c r="R44" s="1441">
        <f>IF($A44&lt;='Options and results'!$W$20,SUM($H$8:H44),0)</f>
        <v>0</v>
      </c>
      <c r="S44" s="1441">
        <f>IF($A44&lt;='Options and results'!$W$20,SUM($O$8:O44),0)</f>
        <v>0</v>
      </c>
      <c r="T44" s="1032">
        <f>IF(A44&lt;='Options and results'!$W$20,Q44+R44-S44,0)</f>
        <v>0</v>
      </c>
      <c r="U44" s="405"/>
      <c r="V44" s="1010">
        <f t="shared" si="131"/>
        <v>37</v>
      </c>
      <c r="W44" s="173"/>
      <c r="X44" s="1036"/>
      <c r="Y44" s="1030">
        <f>IF(V44&lt;='Options and results'!$M$34,'Options and results'!$M$33,0)</f>
        <v>0</v>
      </c>
      <c r="Z44" s="1441">
        <f t="shared" si="132"/>
        <v>0</v>
      </c>
      <c r="AA44" s="1441">
        <f t="shared" si="133"/>
        <v>0</v>
      </c>
      <c r="AB44" s="1428">
        <f t="shared" si="134"/>
        <v>0</v>
      </c>
      <c r="AC44" s="1441">
        <f>IF($W$8=0,0,IF(HLOOKUP(CONCATENATE('Options and results'!$C$32," ",Forestrysystem!$C$8),Forestrysystem!$A$7:$IH$70,V44+4,FALSE)&lt;AB44,HLOOKUP(CONCATENATE('Options and results'!$C$32," ",Forestrysystem!$C$8),Forestrysystem!$A$7:$IH$70,V44+4,FALSE),0))</f>
        <v>0</v>
      </c>
      <c r="AD44" s="1441">
        <f>IF($W$8=0,0,IF(HLOOKUP(CONCATENATE('Options and results'!$C$32," ",Forestrysystem!$C$8),Forestrysystem!$A$7:$IH$70,V44+4,FALSE)&gt;=AB44,AB44,0))</f>
        <v>0</v>
      </c>
      <c r="AE44" s="1440">
        <f>IF($W$8=0,0,HLOOKUP(CONCATENATE('Options and results'!$C$32," ",Forestrysystem!$D$8),Forestrysystem!$A$7:$IH$70,$V44+4,FALSE))</f>
        <v>0</v>
      </c>
      <c r="AF44" s="1037"/>
      <c r="AG44" s="1440">
        <f>IF($W$8=0,0,IF(V44=1,'Options and results'!$M$36,0)+IF('Options and results'!$M$39="yes",IF(AND(AG43+'Options and results'!$M$37&lt;=$AF$8,AG43+'Options and results'!$M$37+IF(V44=1,'Options and results'!$M$36,0)&lt;='Options and results'!$M$38*AE44),AG43+'Options and results'!$M$37,AG43),(HLOOKUP(CONCATENATE('Options and results'!$C$32," ",Forestrysystem!$E$8),Forestrysystem!$A$7:$IH$70,V44+4,FALSE))-IF(V44=1,'Options and results'!$M$36,0)))</f>
        <v>0</v>
      </c>
      <c r="AH44" s="1442">
        <f>IF(OR($W$8=0,AB44&lt;=0),0,(HLOOKUP(CONCATENATE('Options and results'!$C$32," ",Forestrysystem!$F$8),Forestrysystem!$A$7:$IH$70,$V44+4,FALSE)) * IF(V44&gt;='Options and results'!$I$19,'Options and results'!$I$18,1) )</f>
        <v>0</v>
      </c>
      <c r="AI44" s="1452">
        <f t="shared" si="179"/>
        <v>0</v>
      </c>
      <c r="AJ44" s="1442">
        <f t="shared" si="135"/>
        <v>0</v>
      </c>
      <c r="AK44" s="1453">
        <f>IF(OR($W$8=0,AE44&lt;=0),0,(HLOOKUP(CONCATENATE('Options and results'!$C$32," ",Forestrysystem!$G$8),Forestrysystem!$A$7:$IH$70,$V44+4,FALSE)) * IF(Y44&gt;='Options and results'!$I$19,'Options and results'!$I$18,1) )</f>
        <v>0</v>
      </c>
      <c r="AL44" s="1453">
        <f>IF($W$8=0,0,HLOOKUP(CONCATENATE('Options and results'!$C$32," ",Forestrysystem!$H$8),Forestrysystem!$A$7:$IH$70,$V44+4,FALSE)*IF(V44&gt;='Options and results'!$I$19,'Options and results'!$I$18,1))</f>
        <v>0</v>
      </c>
      <c r="AM44" s="1383">
        <f>IF($W$8=0,0,HLOOKUP(CONCATENATE('Options and results'!$C$32," ",Forestrysystem!$I$8),Forestrysystem!$A$7:$IH$70,$V44+4,FALSE)*IF(V44&gt;='Options and results'!$I$19,'Options and results'!$I$18,1))</f>
        <v>0</v>
      </c>
      <c r="AN44" s="1382">
        <f>IF(AI44&gt;0,HLOOKUP(AI44,Treevalue!$I$4:$BC$34,'Options and results'!$C$39+1),0)*IF(V44&gt;='Options and results'!$I$21,'Options and results'!$I$20,1)*IF(1+'Options and results'!$Q$20*(V44-1)&gt;0,1+'Options and results'!$Q$20*(V44-1),0)</f>
        <v>0</v>
      </c>
      <c r="AO44" s="1454">
        <f t="shared" si="136"/>
        <v>0</v>
      </c>
      <c r="AP44" s="1454">
        <f t="shared" si="187"/>
        <v>0</v>
      </c>
      <c r="AQ44" s="1454">
        <f>(IF('Options and results'!$C$39&gt;0,IF(V44&lt;='Options and results'!$W$20,VLOOKUP('Options and results'!$C$39,Treevalue!$A$4:$F$34,5,FALSE),0),0)*AK44)*IF(V44&gt;='Options and results'!$I$21,'Options and results'!$I$20,1)*IF(1+'Options and results'!$Q$20*(V44-1)&gt;0,1+'Options and results'!$Q$20*(V44-1),0)-AR44</f>
        <v>0</v>
      </c>
      <c r="AR44" s="1441">
        <f>(IF('Options and results'!$C$39&gt;0,IF(V44&lt;='Options and results'!$W$20,VLOOKUP('Options and results'!$C$39,Treevalue!$A$4:$F$34,5,FALSE),0),0)*AL44)*IF(V44&gt;='Options and results'!$I$21,'Options and results'!$I$20,1)*IF(1+'Options and results'!$Q$20*(V44-1)&gt;0,1+'Options and results'!$Q$20*(V44-1),0)</f>
        <v>0</v>
      </c>
      <c r="AS44" s="1441">
        <f>(IF('Options and results'!$C$39&gt;0,IF(V44&lt;='Options and results'!$W$20,VLOOKUP('Options and results'!$C$39,Treevalue!$A$4:$F$34,6,FALSE),0),0)*AM44)*IF(V44&gt;='Options and results'!$I$21,'Options and results'!$I$20,1)*IF(1+'Options and results'!$Q$20*(V44-1)&gt;0,1+'Options and results'!$Q$20*(V44-1),0)</f>
        <v>0</v>
      </c>
      <c r="AT44" s="1441">
        <f>IF(V44&lt;='Options and results'!$W$20,(IF(AB44&lt;=0,0,IF('Options and results'!$C$43="cost",(IF(V44&lt;='Options and results'!$C$44,BZ44*SUM('Options and results'!$C$45:$C$46),0)),IF('Options and results'!$C$41&gt;0,(IF(VLOOKUP('Options and results'!$C$42,Treegrant!$B$6:$L$42,Treegrant!$C$2,FALSE)=V44,VLOOKUP('Options and results'!$C$42,Treegrant!$B$6:$L$42,Treegrant!$D$2,FALSE),0)+IF(VLOOKUP('Options and results'!$C$42,Treegrant!$B$6:$L$42,Treegrant!$E$2,FALSE)=V44,VLOOKUP('Options and results'!$C$42,Treegrant!$B$6:$L$42,Treegrant!$F$2,FALSE),0)+IF(VLOOKUP('Options and results'!$C$42,Treegrant!$B$6:$L$42,Treegrant!$G$2,FALSE)=V44,VLOOKUP('Options and results'!$C$42,Treegrant!$B$6:$L$42,Treegrant!$H$2,FALSE)))*IF('Options and results'!$C$43="area",1,'Options and results'!$C$43),0)))*IF(V44&gt;='Options and results'!$I$23,'Options and results'!$I$22,1)),0)*IF(1+'Options and results'!$Q$23*(V44-1)&gt;0,1+'Options and results'!$Q$23*(V44-1),0)</f>
        <v>0</v>
      </c>
      <c r="AU44" s="1441">
        <f>IF($W$8=0,0,IF(V44&lt;='Options and results'!$W$20,IF(AB44&lt;=0,0,IF('Options and results'!$C$41&gt;0,IF(AND(VLOOKUP('Options and results'!$C$42,Treegrant!$B$6:$L$42,Treegrant!$J$2,FALSE)&lt;=V44,VLOOKUP('Options and results'!$C$42,Treegrant!$B$6:$L$42,Treegrant!$K$2,FALSE)&gt;=V44),(VLOOKUP('Options and results'!$C$42,Treegrant!$B$6:$L$42,Treegrant!$L$2,FALSE)),0)*IF('Options and results'!$C$47="full",1,'Options and results'!$C$47))*IF(V44&gt;='Options and results'!$I$23,'Options and results'!$I$22,1)),0))*IF(1+'Options and results'!$Q$23*(V44-1)&gt;0,1+'Options and results'!$Q$23*(V44-1),0)</f>
        <v>0</v>
      </c>
      <c r="AV44" s="1032">
        <f>IF($W$8=0,0,IF(V44&lt;='Options and results'!$W$20,IF(AB44&lt;=0,0,(IF('Options and results'!$C$41&gt;0,(IF(AND(VLOOKUP('Options and results'!$C$42,Treegrant!$B$6:$O$42,Treegrant!$M$2,FALSE)&lt;=V44,VLOOKUP('Options and results'!$C$42,Treegrant!$B$6:$O$42,Treegrant!$N$2,FALSE)&gt;=V44),(VLOOKUP('Options and results'!$C$42,Treegrant!$B$6:$O$42,Treegrant!$O$2,FALSE)),0)*IF('Options and results'!$C$48="full",1,'Options and results'!$C$48))+(IF(AND(VLOOKUP('Options and results'!$C$42,Treegrant!$B$6:$R$42,Treegrant!$P$2,FALSE)&lt;=V44,VLOOKUP('Options and results'!$C$42,Treegrant!$B$6:$R$42,Treegrant!$Q$2,FALSE)&gt;=V44),(VLOOKUP('Options and results'!$C$42,Treegrant!$B$6:$R$42,Treegrant!$R$2,FALSE)),0))*IF('Options and results'!$C$49="full",1,'Options and results'!$C$49)))*IF(V44&gt;='Options and results'!$I$23,'Options and results'!$I$22,1)),0))*IF(1+'Options and results'!$Q$23*(V44-1)&gt;0,1+'Options and results'!$Q$23*(V44-1),0)</f>
        <v>0</v>
      </c>
      <c r="AW44" s="1041"/>
      <c r="AX44" s="1042"/>
      <c r="AY44" s="1419">
        <f>IF($W$8=0,0,IF(V44=1,VLOOKUP($W$8,Treecost!$B$6:$AH$49,Treecost!$E$2,FALSE),0)*IF(V44&gt;='Options and results'!$I$25,'Options and results'!$I$24,1))</f>
        <v>0</v>
      </c>
      <c r="AZ44" s="889">
        <f>IF($W$8=0,0,IF(V44=1,VLOOKUP($W$8,Treecost!$B$6:$AH$49,Treecost!$F$2,FALSE),0)*IF(V44&gt;='Options and results'!$I$25,'Options and results'!$I$24,1))</f>
        <v>0</v>
      </c>
      <c r="BA44" s="889">
        <f>IF($W$8=0,0,IF(V44=1,VLOOKUP($W$8,Treecost!$B$6:$AH$49,Treecost!$G$2,FALSE),0)*IF(V44&gt;='Options and results'!$I$25,'Options and results'!$I$24,1))</f>
        <v>0</v>
      </c>
      <c r="BB44" s="889">
        <f>IF($W$8=0,0,IF(V44&lt;='Options and results'!$W$20,((VLOOKUP($W$8,Treecost!$B$6:$AH$49,Treecost!$H$2,FALSE)*(X44+AA44))/60)*IF(V44&gt;='Options and results'!$I$25,'Options and results'!$I$24,1),0))</f>
        <v>0</v>
      </c>
      <c r="BC44" s="889">
        <f>IF($W$8=0,0,IF(V44&lt;='Options and results'!$W$20,(((VLOOKUP($W$8,Treecost!$B$6:$AH$49,Treecost!$I$2,FALSE))*(X44+AA44))/60)*IF(V44&gt;='Options and results'!$I$25,'Options and results'!$I$24,1),0))</f>
        <v>0</v>
      </c>
      <c r="BD44" s="889">
        <f>IF($W$8=0,0,IF(V44&lt;='Options and results'!$W$20,(((VLOOKUP($W$8,Treecost!$B$6:$AH$49,Treecost!$J$2,FALSE))/60)*(X44+AA44))*IF(V44&gt;='Options and results'!$I$25,'Options and results'!$I$24,1),0))</f>
        <v>0</v>
      </c>
      <c r="BE44" s="1019">
        <f>IF($W$8=0,0,IF(V44&lt;='Options and results'!$W$20,(((VLOOKUP($W$8,Treecost!$B$6:$AH$49,Treecost!$C$2,FALSE)+VLOOKUP($W$8,Treecost!$B$6:$AH$49,Treecost!$D$2,FALSE))*(X44+AA44)*IF(1+'Options and results'!$Q$22*(V44-1)&gt;0,1+'Options and results'!$Q$22*(V44-1),0))+((AY44*$AX$8+AZ44*$AX$9+BA44*$AX$10+BB44*$AX$11+BC44*$AX$12+BD44*$AX$13)*IF(1+'Options and results'!$Q$21*(V44-1)&gt;0,1+'Options and results'!$Q$21*(V44-1),0)))*IF(V44&gt;='Options and results'!$I$27,'Options and results'!$I$26,1),0))</f>
        <v>0</v>
      </c>
      <c r="BF44" s="889">
        <f>IF($W$8=0,0,IF(V44&lt;='Options and results'!$W$20,IF(AND(VLOOKUP($W$8,Treecost!$B$6:$AH$49,Treecost!$K$2,FALSE)&lt;=V44,V44&lt;=(VLOOKUP($W$8,Treecost!$B$6:$AH$49,Treecost!$L$2,FALSE))),VLOOKUP($W$8,Treecost!$B$6:$AH$49,Treecost!$M$2,FALSE)*AB44/60,0)*IF(V44&gt;='Options and results'!$I$25,'Options and results'!$I$24,1),0))</f>
        <v>0</v>
      </c>
      <c r="BG44" s="1019">
        <f>IF(BF44&gt;0,(VLOOKUP($W$8,Treecost!$B$6:$AH$49,Treecost!$N$2,FALSE)*AB44*IF(1+'Options and results'!$Q$22*(V44-1)&gt;0,1+'Options and results'!$Q$22*(V44-1),0)+BF44*$AX$14*IF(1+'Options and results'!$Q$21*(V44-1)&gt;0,1+'Options and results'!$Q$21*(V44-1),0)),0)*IF(V44&gt;='Options and results'!$I$27,'Options and results'!$I$26,1)</f>
        <v>0</v>
      </c>
      <c r="BH44" s="889">
        <f>IF(V44&lt;='Options and results'!$W$20,IF(AND(AG44-AG43&gt;0,AG44&gt;'Options and results'!$M$36),(AB44-AC44)*(VLOOKUP($W$8,Treecost!$B$6:$AH$49,Treecost!$Y$2,FALSE)+(VLOOKUP($W$8,Treecost!$B$6:$AH$49,Treecost!$AA$2,FALSE)-VLOOKUP($W$8,Treecost!$B$6:$AH$49,Treecost!$Y$2,FALSE))/(VLOOKUP($W$8,Treecost!$B$6:$AH$49,Treecost!$Z$2,FALSE)-VLOOKUP($W$8,Treecost!$B$6:$AH$49,Treecost!$X$2,FALSE))*(AG44-VLOOKUP($W$8,Treecost!$B$6:$AH$49,Treecost!$X$2,FALSE)))/60,0)*IF(V44&gt;='Options and results'!$I$25,'Options and results'!$I$24,1),0)</f>
        <v>0</v>
      </c>
      <c r="BI44" s="303">
        <f>IF(V44&lt;='Options and results'!$W$20,IF(BH44&gt;0,VLOOKUP($W$8,Treecost!$B$6:$AH$49,Treecost!$AB$2,FALSE)/60*AB44,0)*IF(V44&gt;='Options and results'!$I$25,'Options and results'!$I$24,1),0)*((BH44-(MIN($BH$8:$BH$67)))/((MAX($BH$8:$BH$67))-(MIN($BH$8:$BH$67))))</f>
        <v>0</v>
      </c>
      <c r="BJ44" s="740">
        <f>IF(BH44&gt;0,(BH44*$AX$15+BI44*$AX$19)*IF(1+'Options and results'!$Q$21*(V44-1)&gt;0,1+'Options and results'!$Q$21*(V44-1),0),0)*IF(V44&gt;='Options and results'!$I$27,'Options and results'!$I$26,1)</f>
        <v>0</v>
      </c>
      <c r="BK44" s="891">
        <f>IF($W$8=0,0,IF(V44&lt;='Options and results'!$W$20,IF(VLOOKUP($W$8,Treecost!$B$2:$AH$49,Treecost!$O$2,FALSE)=V44,VLOOKUP($W$8,Treecost!$B$2:$AH$49,Treecost!$P$2,FALSE),0)*IF(V44&gt;='Options and results'!$I$25,'Options and results'!$I$24,1),0))</f>
        <v>0</v>
      </c>
      <c r="BL44" s="889">
        <f>IF($W$8=0,0,IF(V44&lt;='Options and results'!$W$20,IF(AND(V44&gt;VLOOKUP($W$8,Treecost!$B$2:$AH$49,Treecost!$O$2,FALSE),V44&lt;=VLOOKUP($W$8,Treecost!$B$2:$AH$49,Treecost!$R$2,FALSE)),VLOOKUP($W$8,Treecost!$B$2:$AH$49,Treecost!$S$2,FALSE),0)*IF(V44&gt;='Options and results'!$I$25,'Options and results'!$I$24,1),0))</f>
        <v>0</v>
      </c>
      <c r="BM44" s="740">
        <f>IF($W$8=0,0,IF(V44&lt;='Options and results'!$W$20,((IF(VLOOKUP($W$8,Treecost!$B$2:$AH$49,Treecost!$O$2,FALSE)=V44,VLOOKUP($W$8,Treecost!$B$2:$AH$49,Treecost!$Q$2,FALSE),0)+IF(AND(V44&gt;VLOOKUP($W$8,Treecost!$B$2:$AH$49,Treecost!$O$2,FALSE),V44&lt;=VLOOKUP($W$8,Treecost!$B$2:$AH$49,Treecost!$R$2,FALSE)),VLOOKUP($W$8,Treecost!$B$2:$AH$49,Treecost!$T$2,FALSE),0)*IF(1+'Options and results'!$Q$22*(V44-1)&gt;0,1+'Options and results'!$Q$22*(V44-1),0))+(BK44*$AX$16+BL44*$AX$17)*IF(1+'Options and results'!$Q$21*(V44-1)&gt;0,1+'Options and results'!$Q$21*(V44-1),0))*IF(V44&gt;='Options and results'!$I$27,'Options and results'!$I$26,1),0))</f>
        <v>0</v>
      </c>
      <c r="BN44" s="894">
        <f>IF($W$8=0,0,IF(V44&lt;='Options and results'!$W$20,IF(AND(V44&gt;=VLOOKUP($W$8,Treecost!$B$2:$W$49,Treecost!$U$2,FALSE),V44&lt;=VLOOKUP($W$8,Treecost!$B$2:$W$49,Treecost!$V$2,FALSE)),(AB44*VLOOKUP($W$8,Treecost!$B$2:$W$49,Treecost!$W$2,FALSE)/60),0)*IF(V44&gt;='Options and results'!$I$25,'Options and results'!$I$24,1),0))</f>
        <v>0</v>
      </c>
      <c r="BO44" s="740">
        <f>BN44*$AX$18*IF(V44&gt;='Options and results'!$I$27,'Options and results'!$I$26,1)*IF(1+'Options and results'!$Q$21*(V44-1)&gt;0,1+'Options and results'!$Q$21*(V44-1),0)</f>
        <v>0</v>
      </c>
      <c r="BP44" s="894">
        <f>IF(V44&lt;='Options and results'!$W$20,IF(AB44&lt;=0,0,VLOOKUP($W$8,Treecost!$B$6:$AH$49,Treecost!$AC$2,FALSE)+VLOOKUP($W$8,Treecost!$B$6:$AH$49,Treecost!$AD$2,FALSE)+IF(AND(V44&gt;=VLOOKUP($W$8,Treecost!$B$2:$AK$49,Treecost!$AI$2,FALSE),V44&lt;=VLOOKUP($W$8,Treecost!$B$2:$AK$49,Treecost!$AJ$2,FALSE)),(VLOOKUP($W$8,Treecost!$B$2:$AK$49,Treecost!$AK$2,FALSE)),0))*IF(V44&gt;='Options and results'!$I$27,'Options and results'!$I$26,1),0)*IF(1+'Options and results'!$Q$22*(V44-1)&gt;0,1+'Options and results'!$Q$22*(V44-1),0)</f>
        <v>0</v>
      </c>
      <c r="BQ44" s="894">
        <f>IF(V44&lt;='Options and results'!$W$20,IF(AC44&gt;0,VLOOKUP($W$8,Treecost!$B$6:$AH$49,Treecost!$AE$2,FALSE)/60*AC44,0)*IF(V44&gt;='Options and results'!$I$25,'Options and results'!$I$24,1),0)</f>
        <v>0</v>
      </c>
      <c r="BR44" s="740">
        <f>IF(V44&lt;='Options and results'!$W$20,IF(AC44&gt;0,VLOOKUP($W$8,Treecost!$B$6:$AH$49,Treecost!$AF$2,FALSE)/60*AC44,0)*IF(V44&gt;='Options and results'!$I$25,'Options and results'!$I$24,1),0)</f>
        <v>0</v>
      </c>
      <c r="BS44" s="740">
        <f>(BQ44*$AX$20+BR44*$AX$21)*IF(V44&gt;='Options and results'!$I$27,'Options and results'!$I$26,1)*IF(1+'Options and results'!$Q$21*(V44-1)&gt;0,1+'Options and results'!$Q$21*(V44-1),0)</f>
        <v>0</v>
      </c>
      <c r="BT44" s="894">
        <f>IF(V44&lt;='Options and results'!$W$20,IF(AD44&gt;0,(VLOOKUP($W$8,Treecost!$B$6:$AH$49,Treecost!$AG$2,FALSE)/60*AD44)*IF(V44&gt;='Options and results'!$I$25,'Options and results'!$I$24,1),0),0)</f>
        <v>0</v>
      </c>
      <c r="BU44" s="740">
        <f>IF(V44&lt;='Options and results'!$W$20,IF(AD44&gt;0,(VLOOKUP($W$8,Treecost!$B$6:$AH$49,Treecost!$AH$2,FALSE)/60*AD44)*IF(V44&gt;='Options and results'!$I$25,'Options and results'!$I$24,1),0),0)</f>
        <v>0</v>
      </c>
      <c r="BV44" s="740">
        <f>(BT44*$AX$22+BU44*$AX$23)*IF(V44&gt;='Options and results'!$I$27,'Options and results'!$I$26,1)*IF(1+'Options and results'!$Q$21*(V44-1)&gt;0,1+'Options and results'!$Q$21*(V44-1),0)</f>
        <v>0</v>
      </c>
      <c r="BW44" s="1033">
        <f t="shared" si="138"/>
        <v>0</v>
      </c>
      <c r="BX44" s="1027">
        <f t="shared" si="139"/>
        <v>0</v>
      </c>
      <c r="BY44" s="1027">
        <f t="shared" si="140"/>
        <v>0</v>
      </c>
      <c r="BZ44" s="740">
        <f t="shared" si="188"/>
        <v>0</v>
      </c>
      <c r="CA44" s="740">
        <f t="shared" si="141"/>
        <v>0</v>
      </c>
      <c r="CB44" s="894">
        <f>IF($V44&lt;='Options and results'!$W$20,SUM(BX$8:$BX44),0)</f>
        <v>0</v>
      </c>
      <c r="CC44" s="740">
        <f>IF($V44&lt;='Options and results'!$W$20,SUM($BY$8:BY44),0)</f>
        <v>0</v>
      </c>
      <c r="CD44" s="740">
        <f>IF($V44&lt;='Options and results'!$W$20,SUM($BZ$8:BZ44),0)</f>
        <v>0</v>
      </c>
      <c r="CE44" s="740">
        <f>IF(V44&lt;='Options and results'!$W$20,CB44+CC44-CD44,0)</f>
        <v>0</v>
      </c>
      <c r="CF44" s="1381">
        <f t="shared" si="142"/>
        <v>0</v>
      </c>
      <c r="CG44" s="1027">
        <f t="shared" si="143"/>
        <v>0</v>
      </c>
      <c r="CH44" s="1027">
        <f t="shared" si="144"/>
        <v>0</v>
      </c>
      <c r="CI44" s="1189">
        <f>IF(V44&lt;='Options and results'!$W$20,CE44+AO44,0)</f>
        <v>0</v>
      </c>
      <c r="CJ44" s="1023"/>
      <c r="CK44" s="895">
        <f t="shared" si="145"/>
        <v>37</v>
      </c>
      <c r="CL44" s="1011" t="str">
        <f>IF('Options and results'!$C$54="None",0,IF(AND(CK44&gt;='Options and results'!$K$57,CK43&lt;'Options and results'!$W$20),'Options and results'!$K$56,IF(Optimisation!$B$3="No",CONCATENATE('Options and results'!$C$60," ",(HLOOKUP(CONCATENATE('Options and results'!$C$54," ",Agroforestrysystem!$B$12),Agroforestrysystem!$B$11:$IM$74,$CK44+4,FALSE))),Optimisation!AA64)))</f>
        <v xml:space="preserve">UK - Agriculture (BPS: from 2015) </v>
      </c>
      <c r="CM44" s="1012">
        <f>IF(HLOOKUP(CONCATENATE('Options and results'!$C$54," ",Agroforestrysystem!$C$12),Agroforestrysystem!$B$11:$IM$74,$CK44+4,FALSE)="T",(VLOOKUP(CL44,Arablefinance!$Z$6:$AB$105,Arablefinance!$AB$2,FALSE)*CO44+VLOOKUP(CL44,Arablefinance!$Z$6:$AC$105,Arablefinance!$AC$2,FALSE)*CP44)/VLOOKUP(CL44,Arablefinance!$Z$6:$AA$105,Arablefinance!$AA$2,FALSE),0)</f>
        <v>0</v>
      </c>
      <c r="CN44" s="1012">
        <f>IF(CL44=0,0,HLOOKUP(CONCATENATE('Options and results'!$C$54," ",Agroforestrysystem!$D$12),Agroforestrysystem!$B$11:$IM$74,$CK44+4,FALSE))</f>
        <v>0</v>
      </c>
      <c r="CO44" s="1440">
        <f ca="1">IF(CL44=0,0,IF(AND(Optimisation!$B$3="yes",Optimisation!$B$4=1,CK44&gt;Optimisation!$B$9),0,HLOOKUP(CONCATENATE('Options and results'!$C$54," ",Agroforestrysystem!$E$12),Agroforestrysystem!$B$11:$IM$74,$CK44+4,FALSE)*IF(CK44&gt;='Options and results'!$J$19,'Options and results'!$J$18,1)))</f>
        <v>0</v>
      </c>
      <c r="CP44" s="1440">
        <f ca="1">IF(CL44=0,0,IF(AND(Optimisation!$B$3="yes",Optimisation!$B$4=1,CK44&gt;Optimisation!$B$9),0,HLOOKUP(CONCATENATE('Options and results'!$C$54," ",Agroforestrysystem!$F$12),Agroforestrysystem!$B$11:$IM$74,$CK44+4,FALSE)*IF(CK44&gt;='Options and results'!$J$19,'Options and results'!$J$18,1)))</f>
        <v>0</v>
      </c>
      <c r="CQ44" s="1013">
        <f>IF(CN44&lt;=0,0,IF(CK44&lt;='Options and results'!$W$20,IF(CM44&gt;0,VLOOKUP(CL44,Arablefinance!$Z$6:$AE$105,Arablefinance!$AD$2,FALSE)*CM44*CN44,((VLOOKUP(CL44,Arablefinance!$E$6:$H$126,2,FALSE)*CO44+VLOOKUP(CL44,Arablefinance!$E$6:$H$126,3,FALSE)*CP44)*CN44)),0)*IF(CK44&gt;='Options and results'!$J$21,'Options and results'!$J$20,1))*IF(1+'Options and results'!$O$20*(CK44-1)&gt;0,1+'Options and results'!$O$20*(CK44-1),0)</f>
        <v>0</v>
      </c>
      <c r="CR44" s="1441">
        <f>IF(CN44&lt;=0,0,IF(AND(CM44&gt;0,VLOOKUP(CL44,Arablefinance!$Z$6:$AI$105,Arablefinance!$AI$2,FALSE)=2),VLOOKUP(CL44,Arablefinance!$Z$6:$AE$105,Arablefinance!$AE$2,FALSE)*CM44*CN44,IF('Options and results'!$C$62&gt;0,IF(VLOOKUP(CL44,Arablefinance!$E$6:$W$126,Arablefinance!$H$2,FALSE)*(1-Plot!DM44*'Options and results'!$C$62)&gt;0,VLOOKUP(CL44,Arablefinance!$E$6:$W$126,Arablefinance!$H$2,FALSE)*(1-Plot!DM44*'Options and results'!$C$62),0),IF(CK44&lt;='Options and results'!$W$20,(VLOOKUP(CL44,Arablefinance!$E$6:$W$126,Arablefinance!$H$2,FALSE)*IF('Options and results'!$C$61="area",CN44,'Options and results'!$C$61)),0)))*IF(CK44&gt;='Options and results'!$J$23,'Options and results'!$J$22,1))*IF(AND(1+'Options and results'!$O$23*(CK44-1)&gt;0,1+'Options and results'!$O$23*(CK44-1)&gt;'Options and results'!$S$24),1+'Options and results'!$O$23*(CK44-1),'Options and results'!$S$24)</f>
        <v>0</v>
      </c>
      <c r="CS44" s="1441">
        <f t="shared" si="185"/>
        <v>0</v>
      </c>
      <c r="CT44" s="1441">
        <f>IF(CN44&lt;=0,0,IF(CK44&lt;='Options and results'!$W$20,IF(CM44&gt;0,VLOOKUP(CL44,Arablefinance!$Z$6:$AF$105,Arablefinance!$AF$2,FALSE)*CM44*CN44,VLOOKUP(CL44,Arablefinance!$E$6:$X$126,Arablefinance!$R$2,FALSE)*CN44),0)*IF(CK44&gt;='Options and results'!$J$27,'Options and results'!$J$26,1))*IF(1+'Options and results'!$O$22*(CK44-1)&gt;0,1+'Options and results'!$O$22*(CK44-1),0)</f>
        <v>0</v>
      </c>
      <c r="CU44" s="1441">
        <f t="shared" si="186"/>
        <v>0</v>
      </c>
      <c r="CV44" s="1441">
        <f>IF(CN44&lt;=0,0,IF(CK44&lt;='Options and results'!$W$20,IF(CM44&gt;0,VLOOKUP(CL44,Arablefinance!$Z$6:$AG$105,Arablefinance!$AG$2,FALSE)*CM44*CN44,VLOOKUP(CL44,Arablefinance!$E$6:$X$126,Arablefinance!$X$2,FALSE)*CN44),0)*IF(CK44&gt;='Options and results'!$J$27,'Options and results'!$J$26,1))*IF(1+'Options and results'!$O$22*(CK44-1)&gt;0,1+'Options and results'!$O$22*(CK44-1),0)</f>
        <v>0</v>
      </c>
      <c r="CW44" s="1442">
        <f>IF(CN44&lt;=0,0,IF(CK44&lt;='Options and results'!$W$20,'Options and results'!$C$27*IF(CK44&gt;='Options and results'!$J$27,'Options and results'!$J$26,1),0))*IF(1+'Options and results'!$O$21*(CK44-1)&gt;0,1+'Options and results'!$O$21*(CK44-1),0)</f>
        <v>0</v>
      </c>
      <c r="CX44" s="1442">
        <f>IF(CN44&lt;=0,0,IF(CK44&lt;='Options and results'!$W$20,IF(CM44&gt;0,VLOOKUP(CL44,Arablefinance!$Z$6:$AH$105,Arablefinance!$AH$2,FALSE)*CM44*CN44,VLOOKUP(CL44,Arablefinance!$E$6:$W$126,Arablefinance!$V$2,FALSE)*CN44),0)*IF(CK44&gt;='Options and results'!$J$25,'Options and results'!$J$24,1))</f>
        <v>0</v>
      </c>
      <c r="CY44" s="1013">
        <f t="shared" si="148"/>
        <v>0</v>
      </c>
      <c r="CZ44" s="1353">
        <f t="shared" si="149"/>
        <v>0</v>
      </c>
      <c r="DA44" s="1013">
        <f>IF($CK44&lt;='Options and results'!$W$20,SUM($CQ$8:CQ44),0)</f>
        <v>0</v>
      </c>
      <c r="DB44" s="1441">
        <f>IF($CK44&lt;='Options and results'!$W$20,SUM($CR$8:CR44),0)</f>
        <v>0</v>
      </c>
      <c r="DC44" s="1441">
        <f>IF($CK44&lt;='Options and results'!$W$20,SUM($CY$8:CY44),0)</f>
        <v>0</v>
      </c>
      <c r="DD44" s="1189">
        <f>IF(CK44&lt;='Options and results'!$W$20,DA44+DB44-DC44,0)</f>
        <v>0</v>
      </c>
      <c r="DE44" s="401"/>
      <c r="DF44" s="895">
        <f t="shared" si="150"/>
        <v>37</v>
      </c>
      <c r="DG44" s="173"/>
      <c r="DH44" s="1422"/>
      <c r="DI44" s="1427">
        <f>IF(DF44&lt;='Options and results'!$M$61,'Options and results'!$M$60,0)</f>
        <v>0</v>
      </c>
      <c r="DJ44" s="740">
        <f t="shared" si="151"/>
        <v>0</v>
      </c>
      <c r="DK44" s="740">
        <f t="shared" si="152"/>
        <v>0</v>
      </c>
      <c r="DL44" s="1428">
        <f t="shared" si="153"/>
        <v>0</v>
      </c>
      <c r="DM44" s="1429">
        <f>IF($DG$8=0,0,HLOOKUP(CONCATENATE('Options and results'!$C$54," ",Agroforestrysystem!$J$12),Agroforestrysystem!$11:$74,DF44+3,FALSE))/100</f>
        <v>0</v>
      </c>
      <c r="DN44" s="740">
        <f>IF($DG$8=0,0,IF(HLOOKUP(CONCATENATE('Options and results'!$C$54," ",Agroforestrysystem!$H$12),Agroforestrysystem!$11:$74,DF44+4,FALSE)&lt;DL44,HLOOKUP(CONCATENATE('Options and results'!$C$54," ",Agroforestrysystem!$H$12),Agroforestrysystem!$11:$74,DF44+4,FALSE),0))</f>
        <v>0</v>
      </c>
      <c r="DO44" s="1027">
        <f>IF($DG$8=0,0,IF(HLOOKUP(CONCATENATE('Options and results'!$C$54," ",Agroforestrysystem!$H$12),Agroforestrysystem!$11:$74,DF44+4,FALSE)&gt;=DL44,DL44,0))</f>
        <v>0</v>
      </c>
      <c r="DP44" s="1430">
        <f>IF($DG$8=0,0,HLOOKUP(CONCATENATE('Options and results'!$C$54," ",Agroforestrysystem!$I$12),Agroforestrysystem!$11:$74,DF44+4,FALSE))</f>
        <v>0</v>
      </c>
      <c r="DQ44" s="1038"/>
      <c r="DR44" s="1430">
        <f>IF($DG$8=0,0,IF(DF44&gt;'Options and results'!$W$20,0,)+IF(DF44=1,'Options and results'!$M$64)+IF('Options and results'!$M$67="yes",IF(AND(DR43+'Options and results'!$M$65&lt;=$DQ$8,DR43+'Options and results'!$M$65+IF(DF44=1,'Options and results'!$M$64,0)&lt;='Options and results'!$M$66*DP44),DR43+'Options and results'!$M$65,DR43),(HLOOKUP(CONCATENATE('Options and results'!$C$54," ",Agroforestrysystem!$K$12),Agroforestrysystem!$11:$74,DF44+4,FALSE)-IF(DF44=1,'Options and results'!$M$64))))</f>
        <v>0</v>
      </c>
      <c r="DS44" s="1027">
        <f>IF(OR($DG$8=0,DL44=0),0,HLOOKUP(CONCATENATE('Options and results'!$C$54," ",Agroforestrysystem!$L$12),Agroforestrysystem!$11:$74,DF44+4,FALSE)*IF(DF44&gt;='Options and results'!$K$19,'Options and results'!$K$18,1))</f>
        <v>0</v>
      </c>
      <c r="DT44" s="1431">
        <f t="shared" si="154"/>
        <v>0</v>
      </c>
      <c r="DU44" s="889">
        <f t="shared" si="155"/>
        <v>0</v>
      </c>
      <c r="DV44" s="1027">
        <f>IF($DG$8=0,0,(HLOOKUP(CONCATENATE('Options and results'!$C$54," ",Agroforestrysystem!$M$12),Agroforestrysystem!$11:$74,DF44+4,FALSE))*IF(DF44&gt;='Options and results'!$K$19,'Options and results'!$K$18,1))-DW44</f>
        <v>0</v>
      </c>
      <c r="DW44" s="303">
        <f>IF($DG$8=0,0,(HLOOKUP(CONCATENATE('Options and results'!$C$54," ",Agroforestrysystem!$N$12),Agroforestrysystem!$11:$74,DF44+4,FALSE))*IF(DF44&gt;='Options and results'!$K$19,'Options and results'!$K$18,1))</f>
        <v>0</v>
      </c>
      <c r="DX44" s="303">
        <f>IF($DG$8=0,0,HLOOKUP(CONCATENATE('Options and results'!$C$54," ",Agroforestrysystem!$O$12),Agroforestrysystem!$11:$74,DF44+4,FALSE)*IF(DF44&gt;='Options and results'!$K$19,'Options and results'!$K$18,1))</f>
        <v>0</v>
      </c>
      <c r="DY44" s="1192">
        <f>IF(DT44&gt;0,HLOOKUP(DT44,Treevalue!$I$4:$BC$34,'Options and results'!$C$66+1),0)*IF(DF44&gt;='Options and results'!$K$21,'Options and results'!$K$20,1)*IF(1+'Options and results'!$Q$20*(DF44-1)&gt;0,1+'Options and results'!$Q$20*(DF44-1),0)</f>
        <v>0</v>
      </c>
      <c r="DZ44" s="1027">
        <f t="shared" si="156"/>
        <v>0</v>
      </c>
      <c r="EA44" s="1027">
        <f t="shared" si="125"/>
        <v>0</v>
      </c>
      <c r="EB44" s="1027">
        <f>(IF('Options and results'!$C$66&gt;0,IF(DF44&lt;='Options and results'!$W$20,VLOOKUP('Options and results'!$C$66,Treevalue!$A$4:$F$34,5,FALSE),0),0)*DV44)*IF(DF44&gt;='Options and results'!$K$21,'Options and results'!$K$20,1)*IF(1+'Options and results'!$Q$20*(DF44-1)&gt;0,1+'Options and results'!$Q$20*(DF44-1),0)</f>
        <v>0</v>
      </c>
      <c r="EC44" s="740">
        <f>(IF('Options and results'!$C$66&gt;0,IF(DF44&lt;='Options and results'!$W$20,VLOOKUP('Options and results'!$C$66,Treevalue!$A$4:$F$34,5,FALSE),0),0)*DW44)*IF(DF44&gt;='Options and results'!$K$21,'Options and results'!$K$20,1)*IF(1+'Options and results'!$Q$20*(DF44-1)&gt;0,1+'Options and results'!$Q$20*(DF44-1),0)</f>
        <v>0</v>
      </c>
      <c r="ED44" s="889">
        <f>(IF('Options and results'!$C$66&gt;0,IF(DF44&lt;='Options and results'!$W$20,VLOOKUP('Options and results'!$C$66,Treevalue!$A$4:$F$34,6,FALSE),0),0)*DX44)*IF(DF44&gt;='Options and results'!$K$21,'Options and results'!$K$20,1)*IF(1+'Options and results'!$Q$20*(DF44-1)&gt;0,1+'Options and results'!$Q$20*(DF44-1),0)</f>
        <v>0</v>
      </c>
      <c r="EE44" s="740">
        <f>IF(DF44&lt;='Options and results'!$W$20,IF(DL44&lt;=0,0,IF('Options and results'!$C$70="cost",(IF(DF44&lt;='Options and results'!$C$71,FK44*SUM('Options and results'!$C$72:$C$73),0)),IF('Options and results'!$C$68&gt;0,(IF(VLOOKUP('Options and results'!$C$69,Treegrant!$B$6:$L$42,Treegrant!$C$2,FALSE)=DF44,VLOOKUP('Options and results'!$C$69,Treegrant!$B$6:$L$42,Treegrant!$D$2,FALSE),0)+IF(VLOOKUP('Options and results'!$C$69,Treegrant!$B$6:$L$42,Treegrant!$E$2,FALSE)=DF44,VLOOKUP('Options and results'!$C$69,Treegrant!$B$6:$L$42,Treegrant!$F$2,FALSE),0)+IF(VLOOKUP('Options and results'!$C$69,Treegrant!$B$6:$L$42,Treegrant!$G$2,FALSE)=DF44,VLOOKUP('Options and results'!$C$69,Treegrant!$B$6:$L$42,Treegrant!$H$2,FALSE)))*IF('Options and results'!$C$70="area",Unit!C45,'Options and results'!$C$70),0))*IF(DF44&gt;='Options and results'!$K$23,'Options and results'!$K$22,1)),0)*IF(1+'Options and results'!$Q$23*(DF44-1)&gt;0,1+'Options and results'!$Q$23*(DF44-1),0)</f>
        <v>0</v>
      </c>
      <c r="EF44" s="740">
        <f>IF($DG$8=0,0,IF(DF44&lt;='Options and results'!$W$20,IF(DL44&lt;=0,0,IF('Options and results'!$C$68&gt;0,IF(AND(VLOOKUP('Options and results'!$C$69,Treegrant!$B$6:$L$42,Treegrant!$J$2,FALSE)&lt;=DF44,VLOOKUP('Options and results'!$C$69,Treegrant!$B$6:$L$42,Treegrant!$K$2,FALSE)&gt;=DF44),(VLOOKUP('Options and results'!$C$69,Treegrant!$B$6:$L$42,Treegrant!$L$2,FALSE)),0)*IF('Options and results'!$C$74="area",Unit!C45,'Options and results'!$C$74))*IF(DF44&gt;='Options and results'!$K$23,'Options and results'!$K$22,1)),0))*IF(1+'Options and results'!$Q$23*(DF44-1)&gt;0,1+'Options and results'!$Q$23*(DF44-1),0)</f>
        <v>0</v>
      </c>
      <c r="EG44" s="1034">
        <f>IF($DG$8=0,0,IF(DF44&lt;='Options and results'!$W$20,IF(DL44&lt;=0,0,IF('Options and results'!$C$68&gt;0,((IF(AND(VLOOKUP('Options and results'!$C$69,Treegrant!$B$6:$O$42,Treegrant!$M$2,FALSE)&lt;=DF44,VLOOKUP('Options and results'!$C$69,Treegrant!$B$6:$O$42,Treegrant!$N$2,FALSE)&gt;=DF44),(VLOOKUP('Options and results'!$C$69,Treegrant!$B$6:$O$42,Treegrant!$O$2,FALSE)),0)*IF('Options and results'!$C$75="area",Unit!C45,'Options and results'!$C$75))+(IF(AND(VLOOKUP('Options and results'!$C$69,Treegrant!$B$6:$R$42,Treegrant!$P$2,FALSE)&lt;=DF44,VLOOKUP('Options and results'!$C$69,Treegrant!$B$6:$R$42,Treegrant!$Q$2,FALSE)&gt;=DF44),(VLOOKUP('Options and results'!$C$69,Treegrant!$B$6:$R$42,Treegrant!$R$2,FALSE)),0))*IF('Options and results'!$C$76="area",Unit!C45,'Options and results'!$C$76)))*IF(DF44&gt;='Options and results'!$K$23,'Options and results'!$K$22,1)),0))*IF(1+'Options and results'!$Q$23*(DF44-1)&gt;0,1+'Options and results'!$Q$23*(DF44-1),0)</f>
        <v>0</v>
      </c>
      <c r="EH44" s="1041"/>
      <c r="EI44" s="1042"/>
      <c r="EJ44" s="1419">
        <f>IF($DH$8+DK44&lt;1,0,IF(DF44=1,VLOOKUP($DG$8,Treecost!$B$6:$AH$49,Treecost!$E$2,FALSE),0)*IF(DF44&gt;='Options and results'!$K$25,'Options and results'!$K$24,1))</f>
        <v>0</v>
      </c>
      <c r="EK44" s="889">
        <f>IF($DH$8+DK44&lt;1,0,IF(DF44=1,VLOOKUP($DG$8,Treecost!$B$6:$AH$49,Treecost!$F$2,FALSE),0)*IF(DF44&gt;='Options and results'!$K$25,'Options and results'!$K$24,1))</f>
        <v>0</v>
      </c>
      <c r="EL44" s="889">
        <f>IF($DH$8+DK44&lt;1,0,IF(DF44=1,VLOOKUP($DG$8,Treecost!$B$6:$AH$49,Treecost!$G$2,FALSE),0)*IF(DF44&gt;='Options and results'!$K$25,'Options and results'!$K$24,1))</f>
        <v>0</v>
      </c>
      <c r="EM44" s="889">
        <f>IF($DG$8=0,0,IF(DF44&lt;='Options and results'!$W$20,((VLOOKUP($DG$8,Treecost!$B$6:$AH$49,Treecost!$H$2,FALSE)*(DH44+DK44))/60)*IF(DF44&gt;='Options and results'!$K$25,'Options and results'!$K$24,1),0))</f>
        <v>0</v>
      </c>
      <c r="EN44" s="889">
        <f>IF($DG$8=0,0,IF(DF44&lt;='Options and results'!$W$20,(((VLOOKUP($DG$8,Treecost!$B$6:$AH$49,Treecost!$I$2,FALSE))*(DH44+DK44))/60)*IF(DF44&gt;='Options and results'!$K$25,'Options and results'!$K$24,1),0))</f>
        <v>0</v>
      </c>
      <c r="EO44" s="889">
        <f>IF($DG$8=0,0,IF(DF44&lt;='Options and results'!$W$20,(((VLOOKUP($DG$8,Treecost!$B$6:$AH$49,Treecost!$J$2,FALSE))/60)*(DH44+DK44))*IF(DF44&gt;='Options and results'!$K$25,'Options and results'!$K$24,1),0))</f>
        <v>0</v>
      </c>
      <c r="EP44" s="1019">
        <f>IF($DG$8=0,0,IF(DF44&lt;='Options and results'!$W$20,(((VLOOKUP($DG$8,Treecost!$B$6:$AH$49,Treecost!$C$2,FALSE)+VLOOKUP($DG$8,Treecost!$B$6:$AH$49,Treecost!$D$2,FALSE))*(DH44+DK44)*IF(1+'Options and results'!$Q$22*(DF44-1)&gt;0,1+'Options and results'!$Q$22*(DF44-1),0))+(EJ44*$EI$8+EK44*$EI$9+EL44*$EI$10+EM44*$EI$11+EN44*$EI$12+EO44*$EI$13)*IF(1+'Options and results'!$Q$21*(DF44-1)&gt;0,1+'Options and results'!$Q$21*(DF44-1),0))*IF(DF44&gt;='Options and results'!$K$27,'Options and results'!$K$26,1),0))</f>
        <v>0</v>
      </c>
      <c r="EQ44" s="740">
        <f>IF($DG$8=0,0,IF(DF44&lt;='Options and results'!$W$20,IF(AND(VLOOKUP($DG$8,Treecost!$B$6:$AH$49,Treecost!$K$2,FALSE)&lt;=DF44,DF44&lt;=(VLOOKUP($DG$8,Treecost!$B$6:$AH$49,Treecost!$L$2,FALSE))),VLOOKUP($DG$8,Treecost!$B$6:$AH$49,Treecost!$M$2,FALSE)*DL44/60,0)*IF(DF44&gt;='Options and results'!$K$25,'Options and results'!$K$24,1),0))</f>
        <v>0</v>
      </c>
      <c r="ER44" s="1019">
        <f>IF(EQ44&gt;0,(VLOOKUP($DG$8,Treecost!$B$6:$AH$49,Treecost!$N$2,FALSE)*DL44*IF(1+'Options and results'!$Q$22*(DF44-1)&gt;0,1+'Options and results'!$Q$22*(DF44-1),0)+EQ44*$EI$14*IF(1+'Options and results'!$Q$21*(DF44-1)&gt;0,1+'Options and results'!$Q$21*(DF44-1),0)),0)*IF(DF44&gt;='Options and results'!$K$27,'Options and results'!$K$26,1)</f>
        <v>0</v>
      </c>
      <c r="ES44" s="889">
        <f>IF(DF44&lt;='Options and results'!$W$20,IF(AND(DR44-DR43&gt;0,DR44&gt;'Options and results'!$M$64),(DL44-DN44)*(VLOOKUP($DG$8,Treecost!$B$6:$AH$49,Treecost!$Y$2,FALSE)+(VLOOKUP($DG$8,Treecost!$B$6:$AH$49,Treecost!$AA$2,FALSE)-VLOOKUP($DG$8,Treecost!$B$6:$AH$49,Treecost!$Y$2,FALSE))/(VLOOKUP($DG$8,Treecost!$B$6:$AH$49,Treecost!$Z$2,FALSE)-VLOOKUP($DG$8,Treecost!$B$6:$AH$49,Treecost!$X$2,FALSE))*(DR44-VLOOKUP($DG$8,Treecost!$B$6:$AH$49,Treecost!$X$2,FALSE)))/60,0)*IF(DF44&gt;='Options and results'!$K$25,'Options and results'!$K$24,1),0)</f>
        <v>0</v>
      </c>
      <c r="ET44" s="889">
        <f>IF(DF44&lt;='Options and results'!$W$20,IF(ES44&gt;0,VLOOKUP($DG$8,Treecost!$B$6:$AH$49,Treecost!$AB$2,FALSE)/60*DL44,0)*IF(DF44&gt;='Options and results'!$K$25,'Options and results'!$K$24,1),0)*((ES44-(MIN($ES$8:$ES$67)))/((MAX($ES$8:$ES$67))-(MIN($ES$8:$ES$67))))</f>
        <v>0</v>
      </c>
      <c r="EU44" s="740">
        <f>IF(ES44&gt;0,(ES44*$EI$15+ET44*$EI$19)*IF(1+'Options and results'!$Q$21*(DF44-1)&gt;0,1+'Options and results'!$Q$21*(DF44-1),0),0)*IF(DF44&gt;='Options and results'!$K$27,'Options and results'!$K$26,1)</f>
        <v>0</v>
      </c>
      <c r="EV44" s="891">
        <f>IF($DG$8=0,0,IF(DF44&lt;='Options and results'!$W$20,IF(AND(VLOOKUP($DG$8,Treecost!$B$2:$AH$49,Treecost!$O$2,FALSE)=DF44,DF44&lt;=IF(AND(Optimisation!$B$3="Yes",Optimisation!$B$4=1),Optimisation!$B$9)),VLOOKUP($DG$8,Treecost!$B$2:$AH$49,Treecost!$P$2,FALSE)*(1-CN44),0)*IF(DF44&gt;='Options and results'!$K$25,'Options and results'!$K$24,1),0))</f>
        <v>0</v>
      </c>
      <c r="EW44" s="889">
        <f>IF($DG$8=0,0,IF(DF44&lt;='Options and results'!$W$20,IF(AND(DF44&gt;VLOOKUP($DG$8,Treecost!$B$2:$AH$49,Treecost!$O$2,FALSE),DF44&lt;=IF(AND(Optimisation!$B$3="Yes",Optimisation!$B$4=1),Optimisation!$B$9,VLOOKUP($DG$8,Treecost!$B$2:$AH$49,Treecost!$R$2,FALSE))),VLOOKUP($DG$8,Treecost!$B$2:$AH$49,Treecost!$S$2,FALSE)*(1-CN44),0)*IF(DF44&gt;='Options and results'!$K$25,'Options and results'!$K$24,1),0))</f>
        <v>0</v>
      </c>
      <c r="EX44" s="740">
        <f>IF($DG$8=0,0,IF(DF44&lt;='Options and results'!$W$20,(IF(AND(VLOOKUP($DG$8,Treecost!$B$2:$AH$49,Treecost!$O$2,FALSE)=DF44,DF44&lt;=IF(AND(Optimisation!$B$3="Yes",Optimisation!$B$4=1),Optimisation!$B$9)),VLOOKUP($DG$8,Treecost!$B$2:$AH$49,Treecost!$Q$2,FALSE),0)*(1-CN44)+IF(AND(DF44&gt;VLOOKUP($DG$8,Treecost!$B$2:$AH$49,Treecost!$O$2,FALSE),DF44&lt;=IF(AND(Optimisation!$B$3="Yes",Optimisation!$B$4=1),Optimisation!$B$9,VLOOKUP($DG$8,Treecost!$B$2:$AH$49,Treecost!$R$2,FALSE))),VLOOKUP($DG$8,Treecost!$B$2:$AH$49,Treecost!$T$2,FALSE),0)*(1-CN44)+(EV44*$EI$16+EW44*$EI$17))*IF(DF44&gt;='Options and results'!$K$27,'Options and results'!$K$26,1),0))*IF(1+'Options and results'!$Q$21*(DF44-1)&gt;0,1+'Options and results'!$Q$21*(DF44-1),0)</f>
        <v>0</v>
      </c>
      <c r="EY44" s="894">
        <f>IF($DG$8=0,0,IF(DF44&lt;='Options and results'!$W$20,IF(AND(DF44&gt;=VLOOKUP($DG$8,Treecost!$B$2:$W$49,Treecost!$U$2,FALSE),DF44&lt;=VLOOKUP($DG$8,Treecost!$B$2:$W$49,Treecost!$V$2,FALSE)),(DL44*VLOOKUP($DG$8,Treecost!$B$2:$W$49,Treecost!$W$2,FALSE)/60),0)*IF(DF44&gt;='Options and results'!$K$25,'Options and results'!$K$24,1),0))</f>
        <v>0</v>
      </c>
      <c r="EZ44" s="740">
        <f>EY44*$EI$18*IF(DF44&gt;='Options and results'!$K$27,'Options and results'!$K$26,1)*IF(1+'Options and results'!$Q$21*(DF44-1)&gt;0,1+'Options and results'!$Q$21*(DF44-1),0)</f>
        <v>0</v>
      </c>
      <c r="FA44" s="1025">
        <f>IF(DF44&lt;='Options and results'!$W$20,IF(DL44&lt;=0,0,VLOOKUP($DG$8,Treecost!$B$6:$AH$49,Treecost!$AC$2,FALSE)+VLOOKUP($DG$8,Treecost!$B$6:$AH$49,Treecost!$AD$2,FALSE)+IF(AND(DF44&gt;=VLOOKUP($DG$8,Treecost!$B$2:$AK$49,Treecost!$AI$2,FALSE),DF44&lt;=VLOOKUP($DG$8,Treecost!$B$2:$AK$49,Treecost!$AJ$2,FALSE)),VLOOKUP($DG$8,Treecost!$B$2:$AK$49,Treecost!$AK$2,FALSE)*(1-CN44),0))*IF(DF44&gt;='Options and results'!$K$27,'Options and results'!$K$26,1),0)*IF(1+'Options and results'!$Q$22*(DF44-1)&gt;0,1+'Options and results'!$Q$22*(DF44-1),0)</f>
        <v>0</v>
      </c>
      <c r="FB44" s="894">
        <f>IF(DF44&lt;='Options and results'!$W$20,IF(DN44&gt;0,VLOOKUP($DG$8,Treecost!$B$6:$AH$49,Treecost!$AE$2,FALSE)/60*DN44,0)*IF(DF44&gt;='Options and results'!$K$25,'Options and results'!$K$24,1),0)</f>
        <v>0</v>
      </c>
      <c r="FC44" s="740">
        <f>IF(DF44&lt;='Options and results'!$W$20,IF(DN44&gt;0,VLOOKUP($DG$8,Treecost!$B$6:$AH$49,Treecost!$AF$2,FALSE)/60*DN44,0)*IF(DF44&gt;='Options and results'!$K$25,'Options and results'!$K$24,1),0)</f>
        <v>0</v>
      </c>
      <c r="FD44" s="740">
        <f>(FB44*$EI$20+FC44*$EI$21)*IF(DF44&gt;='Options and results'!$K$27,'Options and results'!$K$26,1)*IF(1+'Options and results'!$Q$21*(DF44-1)&gt;0,1+'Options and results'!$Q$21*(DF44-1),0)</f>
        <v>0</v>
      </c>
      <c r="FE44" s="894">
        <f>IF(DF44&lt;='Options and results'!$W$20,IF(DO44&gt;0,(VLOOKUP($DG$8,Treecost!$B$6:$AH$49,Treecost!$AG$2,FALSE)/60*DO44)*IF(DF44&gt;='Options and results'!$K$25,'Options and results'!$K$24,1),0),0)</f>
        <v>0</v>
      </c>
      <c r="FF44" s="740">
        <f>IF(DF44&lt;='Options and results'!$W$20,IF(DO44&gt;0,(VLOOKUP($DG$8,Treecost!$B$6:$AH$49,Treecost!$AH$2,FALSE)/60*DO44)*IF(DF44&gt;='Options and results'!$K$25,'Options and results'!$K$24,1),0),0)</f>
        <v>0</v>
      </c>
      <c r="FG44" s="740">
        <f>(FE44*$EI$22+FF44*$EI$23)*IF(DF44&gt;='Options and results'!$K$27,'Options and results'!$K$26,1)*IF(1+'Options and results'!$Q$21*(DF44-1)&gt;0,1+'Options and results'!$Q$21*(DF44-1),0)</f>
        <v>0</v>
      </c>
      <c r="FH44" s="894">
        <f t="shared" si="157"/>
        <v>0</v>
      </c>
      <c r="FI44" s="1027">
        <f t="shared" si="158"/>
        <v>0</v>
      </c>
      <c r="FJ44" s="1027">
        <f t="shared" si="159"/>
        <v>0</v>
      </c>
      <c r="FK44" s="1027">
        <f t="shared" si="160"/>
        <v>0</v>
      </c>
      <c r="FL44" s="1027">
        <f t="shared" si="184"/>
        <v>0</v>
      </c>
      <c r="FM44" s="1027">
        <f>IF($DF44&lt;='Options and results'!$W$20,SUM(FI$8:$FI44),0)</f>
        <v>0</v>
      </c>
      <c r="FN44" s="1027">
        <f>IF($DF44&lt;='Options and results'!$W$20,SUM($FJ$8:FJ44),0)</f>
        <v>0</v>
      </c>
      <c r="FO44" s="1027">
        <f>IF($DF44&lt;='Options and results'!$W$20,SUM($FK$8:FK44),0)</f>
        <v>0</v>
      </c>
      <c r="FP44" s="1027">
        <f>IF($DF44&lt;='Options and results'!$W$20,FM44+FN44-FO44,0)</f>
        <v>0</v>
      </c>
      <c r="FQ44" s="1027">
        <f t="shared" si="162"/>
        <v>0</v>
      </c>
      <c r="FR44" s="1027">
        <f t="shared" si="163"/>
        <v>0</v>
      </c>
      <c r="FS44" s="1027">
        <f t="shared" si="164"/>
        <v>0</v>
      </c>
      <c r="FT44" s="1189">
        <f>IF(DF44&lt;='Options and results'!$W$20,FP44+DZ44,0)</f>
        <v>0</v>
      </c>
      <c r="FU44" s="401"/>
      <c r="FV44" s="895">
        <f t="shared" si="165"/>
        <v>37</v>
      </c>
      <c r="FW44" s="894">
        <f>G44/(1+'Options and results'!$W$33)^(FV44-1)</f>
        <v>0</v>
      </c>
      <c r="FX44" s="740">
        <f>(AP44+AR44+AS44)/(1+'Options and results'!$W$33)^(FV44-1)</f>
        <v>0</v>
      </c>
      <c r="FY44" s="740">
        <f>CQ44/(1+'Options and results'!$W$33)^(FV44-1)</f>
        <v>0</v>
      </c>
      <c r="FZ44" s="740">
        <f>(EA44+EC44+ED44)/(1+'Options and results'!$W$33)^(FV44-1)</f>
        <v>0</v>
      </c>
      <c r="GA44" s="1019">
        <f t="shared" si="180"/>
        <v>0</v>
      </c>
      <c r="GB44" s="1026">
        <f>(AO44+AQ44)/(1+'Options and results'!$W$33)^(FV44-1)+FX44</f>
        <v>0</v>
      </c>
      <c r="GC44" s="1027">
        <f>IF(FV44&gt;'Options and results'!$W$27,0,GB44-GB43)</f>
        <v>0</v>
      </c>
      <c r="GD44" s="1027">
        <f>(DZ44+EB44)/(1+'Options and results'!$W$33)^(FV44-1)+FZ44</f>
        <v>0</v>
      </c>
      <c r="GE44" s="1379">
        <f>IF(FV44&gt;'Options and results'!$W$27,0,GD44-GD43)</f>
        <v>0</v>
      </c>
      <c r="GF44" s="894">
        <f>IF(FV44&lt;='Options and results'!$W$20,SUM(FW$8:FW44),0)</f>
        <v>0</v>
      </c>
      <c r="GG44" s="740">
        <f>IF(FV44&lt;='Options and results'!$W$20,SUM(FX$8:FX44), 0)</f>
        <v>0</v>
      </c>
      <c r="GH44" s="740">
        <f>IF(FV44&lt;='Options and results'!$W$20,SUM(FY$8:FY44),0)</f>
        <v>0</v>
      </c>
      <c r="GI44" s="740">
        <f>IF(FV44&lt;='Options and results'!$W$20,SUM(FZ$8:FZ44),0)</f>
        <v>0</v>
      </c>
      <c r="GJ44" s="1019">
        <f t="shared" si="166"/>
        <v>0</v>
      </c>
      <c r="GK44" s="894">
        <f>IF(FV44&gt;'Options and results'!$W$27,0,GG44+SUM(GC$8:GC44)-FX44)</f>
        <v>0</v>
      </c>
      <c r="GL44" s="740">
        <f>IF(FV44&lt;='Options and results'!$W$20,SUM(GD$8:GD44),0)</f>
        <v>0</v>
      </c>
      <c r="GM44" s="1034">
        <f t="shared" si="167"/>
        <v>0</v>
      </c>
      <c r="GN44" s="401"/>
      <c r="GO44" s="895">
        <f t="shared" si="168"/>
        <v>37</v>
      </c>
      <c r="GP44" s="894">
        <f>H44/(1+'Options and results'!$W$33)^(GO44-1)</f>
        <v>0</v>
      </c>
      <c r="GQ44" s="740">
        <f>SUM(AT44:AV44)/(1+'Options and results'!$W$33)^(GO44-1)</f>
        <v>0</v>
      </c>
      <c r="GR44" s="740">
        <f>CR44/(1+'Options and results'!$W$33)^(GO44-1)</f>
        <v>0</v>
      </c>
      <c r="GS44" s="740">
        <f>SUM(EE44:EG44)/(1+'Options and results'!$W$33)^(GO44-1)</f>
        <v>0</v>
      </c>
      <c r="GT44" s="1019">
        <f t="shared" si="181"/>
        <v>0</v>
      </c>
      <c r="GU44" s="894">
        <f>IF(GO44&lt;='Options and results'!$W$20,SUM(GP$8:GP44),0)</f>
        <v>0</v>
      </c>
      <c r="GV44" s="740">
        <f>IF(GO44&lt;='Options and results'!$W$20,SUM(GQ$8:GQ44),0)</f>
        <v>0</v>
      </c>
      <c r="GW44" s="740">
        <f>IF(GO44&lt;='Options and results'!$W$20,SUM(GR$8:GR44),0)</f>
        <v>0</v>
      </c>
      <c r="GX44" s="740">
        <f>IF(GO44&lt;='Options and results'!$W$20,SUM(GS$8:GS44),0)</f>
        <v>0</v>
      </c>
      <c r="GY44" s="1034">
        <f>IF(GO44&lt;='Options and results'!$W$20,SUM(GT$8:GT44),0)</f>
        <v>0</v>
      </c>
      <c r="GZ44" s="401"/>
      <c r="HA44" s="895">
        <f t="shared" si="169"/>
        <v>37</v>
      </c>
      <c r="HB44" s="1026">
        <f>(J44+L44+(M44*N44))/(1+'Options and results'!$W$33)^(HA44-1)</f>
        <v>0</v>
      </c>
      <c r="HC44" s="740">
        <f>BZ44/(1+'Options and results'!$W$33)^(HA44-1)</f>
        <v>0</v>
      </c>
      <c r="HD44" s="1027">
        <f>(CT44+CV44+(CW44*CX44))/(1+'Options and results'!$W$33)^(HA44-1)</f>
        <v>0</v>
      </c>
      <c r="HE44" s="740">
        <f>FK44/(1+'Options and results'!$W$33)^(HA44-1)</f>
        <v>0</v>
      </c>
      <c r="HF44" s="1019">
        <f t="shared" si="182"/>
        <v>0</v>
      </c>
      <c r="HG44" s="894">
        <f>IF(HA44&lt;='Options and results'!$W$20,SUM(HB$8:HB44),0)</f>
        <v>0</v>
      </c>
      <c r="HH44" s="740">
        <f>IF(HA44&lt;='Options and results'!$W$20,SUM(HC$8:HC44),0)</f>
        <v>0</v>
      </c>
      <c r="HI44" s="740">
        <f>IF(HA44&lt;='Options and results'!$W$20,SUM(HD$8:HD44),0)</f>
        <v>0</v>
      </c>
      <c r="HJ44" s="740">
        <f>IF(HA44&lt;='Options and results'!$W$20,SUM(HE$8:HE44),0)</f>
        <v>0</v>
      </c>
      <c r="HK44" s="1034">
        <f>IF(HA44&lt;='Options and results'!$W$20,SUM(HF$8:HF44),0)</f>
        <v>0</v>
      </c>
      <c r="HL44" s="405"/>
      <c r="HM44" s="895">
        <f t="shared" si="189"/>
        <v>37</v>
      </c>
      <c r="HN44" s="1026">
        <f t="shared" si="171"/>
        <v>0</v>
      </c>
      <c r="HO44" s="1027">
        <f t="shared" si="172"/>
        <v>0</v>
      </c>
      <c r="HP44" s="1027">
        <f t="shared" si="173"/>
        <v>0</v>
      </c>
      <c r="HQ44" s="1027">
        <f t="shared" si="174"/>
        <v>0</v>
      </c>
      <c r="HR44" s="1027">
        <f t="shared" si="175"/>
        <v>0</v>
      </c>
      <c r="HS44" s="1379">
        <f t="shared" si="176"/>
        <v>0</v>
      </c>
      <c r="HT44" s="1026">
        <f>IF($HM44&lt;='Options and results'!$W$20,SUM(HN$8:HN44),0)</f>
        <v>0</v>
      </c>
      <c r="HU44" s="1027">
        <f>IF($HM44&lt;='Options and results'!$W$20,SUM(HO$8:HO44),0)</f>
        <v>0</v>
      </c>
      <c r="HV44" s="1027">
        <f>IF($HM44&lt;='Options and results'!$W$20,SUM(HP$8:HP44),0)</f>
        <v>0</v>
      </c>
      <c r="HW44" s="1027">
        <f>IF($HM44&lt;='Options and results'!$W$20,SUM(HQ$8:HQ44),0)</f>
        <v>0</v>
      </c>
      <c r="HX44" s="1027">
        <f t="shared" si="177"/>
        <v>0</v>
      </c>
      <c r="HY44" s="1027">
        <f>IF($HM44&lt;='Options and results'!$W$20,SUM(HR$8:HR44),0)</f>
        <v>0</v>
      </c>
      <c r="HZ44" s="1027">
        <f>IF($HM44&lt;='Options and results'!$W$20,SUM(HS$8:HS44),0)</f>
        <v>0</v>
      </c>
      <c r="IA44" s="1189">
        <f t="shared" si="178"/>
        <v>0</v>
      </c>
    </row>
    <row r="45" spans="1:235" x14ac:dyDescent="0.25">
      <c r="A45" s="1010">
        <f t="shared" si="126"/>
        <v>38</v>
      </c>
      <c r="B45" s="1011" t="str">
        <f>IF('Options and results'!$C$17="None",0,CONCATENATE('Options and results'!$C$23," ",(HLOOKUP(CONCATENATE('Options and results'!$C$17," ",Arablesystem!$B$11),Arablesystem!$B$10:$ER$72,$A45+3,FALSE))))</f>
        <v xml:space="preserve">UK - Agriculture (BPS: from 2015) </v>
      </c>
      <c r="C45" s="1012">
        <f>IF(HLOOKUP(CONCATENATE('Options and results'!$C$17," ",Arablesystem!$C$11),Arablesystem!$B$10:$ER$72,$A45+3,FALSE)="T",(VLOOKUP(B45,Arablefinance!$Z$6:$AB$105,Arablefinance!$AB$2,FALSE)*E45+VLOOKUP(B45,Arablefinance!$Z$6:$AC$105,Arablefinance!$AC$2,FALSE)*F45)/VLOOKUP(B45,Arablefinance!$Z$6:$AA$105,Arablefinance!$AA$2,FALSE),0)</f>
        <v>0</v>
      </c>
      <c r="D45" s="1012">
        <f>IF(B45=0,0,HLOOKUP(CONCATENATE('Options and results'!$C$17," ",Arablesystem!$D$11),Arablesystem!$B$10:$ER$72,$A45+3,FALSE))</f>
        <v>0</v>
      </c>
      <c r="E45" s="1440">
        <f>IF(B45=0,0,HLOOKUP(CONCATENATE('Options and results'!$C$17," ",Arablesystem!$E$11),Arablesystem!$B$10:$ER$72,$A45+3,FALSE)*IF(A45&gt;='Options and results'!$H$19,'Options and results'!$H$18,1))</f>
        <v>0</v>
      </c>
      <c r="F45" s="1440">
        <f>IF(B45=0,0,HLOOKUP(CONCATENATE('Options and results'!$C$17," ",Arablesystem!$F$11),Arablesystem!$B$10:$ER$72,$A45+3,FALSE)*IF(A45&gt;='Options and results'!$H$19,'Options and results'!$H$18,1))</f>
        <v>0</v>
      </c>
      <c r="G45" s="1013">
        <f>IF(D45&lt;=0,0,IF(A45&lt;='Options and results'!$W$20,IF(C45&gt;0,VLOOKUP(B45,Arablefinance!$Z$6:$AE$105,Arablefinance!$AD$2,FALSE)*C45*D45,((VLOOKUP(B45,Arablefinance!$E$6:$G$126,Arablefinance!$F$2,FALSE)*(E45*D45)+VLOOKUP(B45,Arablefinance!$E$6:$G$126,Arablefinance!$G$2,FALSE)*(F45*D45)))),0)*IF(A45&gt;='Options and results'!$H$21,'Options and results'!$H$20,1))*IF(1+'Options and results'!$O$20*(A45-1)&gt;0,1+'Options and results'!$O$20*(A45-1),0)</f>
        <v>0</v>
      </c>
      <c r="H45" s="1441">
        <f>IF(D45&lt;=0,0,IF(A45&lt;='Options and results'!$W$20,IF(AND(C45&gt;0,VLOOKUP(B45,Arablefinance!$Z$6:$AI$105,Arablefinance!$AI$2,FALSE)=2),VLOOKUP(B45,Arablefinance!$Z$6:$AE$105,Arablefinance!$AE$2,FALSE)*C45*D45,(VLOOKUP(B45,Arablefinance!$E$6:$H$126,Arablefinance!$H$2,FALSE)*D45))*IF(A45&gt;='Options and results'!$H$23,'Options and results'!$H$22,1),0)*IF(AND(1+'Options and results'!$O$23*(A45-1)&gt;0,1+'Options and results'!$O$23*(A45-1)&gt;'Options and results'!$S$24),1+'Options and results'!$O$23*(A45-1),'Options and results'!$S$24))</f>
        <v>0</v>
      </c>
      <c r="I45" s="1441">
        <f t="shared" si="127"/>
        <v>0</v>
      </c>
      <c r="J45" s="1441">
        <f>IF(D45&lt;=0,0,IF(A45&lt;='Options and results'!$W$20,IF(C45&gt;0,VLOOKUP(B45,Arablefinance!$Z$6:$AF$105,Arablefinance!$AF$2,FALSE)*C45*D45,(VLOOKUP(B45,Arablefinance!$E$6:$X$126,Arablefinance!$R$2,FALSE))*D45),0)*IF(A45&gt;='Options and results'!$H$27,'Options and results'!$H$26,1))*IF(1+'Options and results'!$O$22*(A45-1)&gt;0,1+'Options and results'!$O$22*(A45-1),0)</f>
        <v>0</v>
      </c>
      <c r="K45" s="1441">
        <f t="shared" si="128"/>
        <v>0</v>
      </c>
      <c r="L45" s="1441">
        <f>IF(D45&lt;=0,0,IF(A45&lt;='Options and results'!$W$20,IF(C45&gt;0,VLOOKUP(B45,Arablefinance!$Z$6:$AG$105,Arablefinance!$AG$2,FALSE)*C45*D45,VLOOKUP(B45,Arablefinance!$E$6:$X$126,Arablefinance!$X$2,FALSE)*D45),0)*IF(A45&gt;='Options and results'!$H$27,'Options and results'!$H$26,1))*IF(1+'Options and results'!$O$22*(A45-1)&gt;0,1+'Options and results'!$O$22*(A45-1),0)</f>
        <v>0</v>
      </c>
      <c r="M45" s="1442">
        <f>IF(D45&lt;=0,0,IF(A45&lt;='Options and results'!$W$20,'Options and results'!$C$27,0)*IF(A45&gt;='Options and results'!$H$27,'Options and results'!$H$26,1))*IF(1+'Options and results'!$O$21*(A45-1)&gt;0,1+'Options and results'!$O$21*(A45-1),0)</f>
        <v>0</v>
      </c>
      <c r="N45" s="1442">
        <f>IF(D45&lt;=0,0,IF(A45&lt;='Options and results'!$W$20,IF(C45&gt;0,VLOOKUP(B45,Arablefinance!$Z$6:$AH$105,Arablefinance!$AH$2,FALSE)*C45*D45,VLOOKUP(B45,Arablefinance!$E$6:$W$126,Arablefinance!$V$2,FALSE)*D45),0)*IF(A45&gt;='Options and results'!$H$25,'Options and results'!$H$24,1))</f>
        <v>0</v>
      </c>
      <c r="O45" s="1013">
        <f t="shared" si="129"/>
        <v>0</v>
      </c>
      <c r="P45" s="1353">
        <f t="shared" si="130"/>
        <v>0</v>
      </c>
      <c r="Q45" s="1013">
        <f>IF(A45&lt;='Options and results'!$W$20,SUM(G$8:$G45),0)</f>
        <v>0</v>
      </c>
      <c r="R45" s="1441">
        <f>IF($A45&lt;='Options and results'!$W$20,SUM($H$8:H45),0)</f>
        <v>0</v>
      </c>
      <c r="S45" s="1441">
        <f>IF($A45&lt;='Options and results'!$W$20,SUM($O$8:O45),0)</f>
        <v>0</v>
      </c>
      <c r="T45" s="1032">
        <f>IF(A45&lt;='Options and results'!$W$20,Q45+R45-S45,0)</f>
        <v>0</v>
      </c>
      <c r="U45" s="405"/>
      <c r="V45" s="1010">
        <f t="shared" si="131"/>
        <v>38</v>
      </c>
      <c r="W45" s="173"/>
      <c r="X45" s="1036"/>
      <c r="Y45" s="1030">
        <f>IF(V45&lt;='Options and results'!$M$34,'Options and results'!$M$33,0)</f>
        <v>0</v>
      </c>
      <c r="Z45" s="1441">
        <f t="shared" si="132"/>
        <v>0</v>
      </c>
      <c r="AA45" s="1441">
        <f t="shared" si="133"/>
        <v>0</v>
      </c>
      <c r="AB45" s="1428">
        <f t="shared" si="134"/>
        <v>0</v>
      </c>
      <c r="AC45" s="1441">
        <f>IF($W$8=0,0,IF(HLOOKUP(CONCATENATE('Options and results'!$C$32," ",Forestrysystem!$C$8),Forestrysystem!$A$7:$IH$70,V45+4,FALSE)&lt;AB45,HLOOKUP(CONCATENATE('Options and results'!$C$32," ",Forestrysystem!$C$8),Forestrysystem!$A$7:$IH$70,V45+4,FALSE),0))</f>
        <v>0</v>
      </c>
      <c r="AD45" s="1441">
        <f>IF($W$8=0,0,IF(HLOOKUP(CONCATENATE('Options and results'!$C$32," ",Forestrysystem!$C$8),Forestrysystem!$A$7:$IH$70,V45+4,FALSE)&gt;=AB45,AB45,0))</f>
        <v>0</v>
      </c>
      <c r="AE45" s="1440">
        <f>IF($W$8=0,0,HLOOKUP(CONCATENATE('Options and results'!$C$32," ",Forestrysystem!$D$8),Forestrysystem!$A$7:$IH$70,$V45+4,FALSE))</f>
        <v>0</v>
      </c>
      <c r="AF45" s="1037"/>
      <c r="AG45" s="1440">
        <f>IF($W$8=0,0,IF(V45=1,'Options and results'!$M$36,0)+IF('Options and results'!$M$39="yes",IF(AND(AG44+'Options and results'!$M$37&lt;=$AF$8,AG44+'Options and results'!$M$37+IF(V45=1,'Options and results'!$M$36,0)&lt;='Options and results'!$M$38*AE45),AG44+'Options and results'!$M$37,AG44),(HLOOKUP(CONCATENATE('Options and results'!$C$32," ",Forestrysystem!$E$8),Forestrysystem!$A$7:$IH$70,V45+4,FALSE))-IF(V45=1,'Options and results'!$M$36,0)))</f>
        <v>0</v>
      </c>
      <c r="AH45" s="1442">
        <f>IF(OR($W$8=0,AB45&lt;=0),0,(HLOOKUP(CONCATENATE('Options and results'!$C$32," ",Forestrysystem!$F$8),Forestrysystem!$A$7:$IH$70,$V45+4,FALSE)) * IF(V45&gt;='Options and results'!$I$19,'Options and results'!$I$18,1) )</f>
        <v>0</v>
      </c>
      <c r="AI45" s="1452">
        <f t="shared" si="179"/>
        <v>0</v>
      </c>
      <c r="AJ45" s="1442">
        <f t="shared" si="135"/>
        <v>0</v>
      </c>
      <c r="AK45" s="1453">
        <f>IF(OR($W$8=0,AE45&lt;=0),0,(HLOOKUP(CONCATENATE('Options and results'!$C$32," ",Forestrysystem!$G$8),Forestrysystem!$A$7:$IH$70,$V45+4,FALSE)) * IF(Y45&gt;='Options and results'!$I$19,'Options and results'!$I$18,1) )</f>
        <v>0</v>
      </c>
      <c r="AL45" s="1453">
        <f>IF($W$8=0,0,HLOOKUP(CONCATENATE('Options and results'!$C$32," ",Forestrysystem!$H$8),Forestrysystem!$A$7:$IH$70,$V45+4,FALSE)*IF(V45&gt;='Options and results'!$I$19,'Options and results'!$I$18,1))</f>
        <v>0</v>
      </c>
      <c r="AM45" s="1383">
        <f>IF($W$8=0,0,HLOOKUP(CONCATENATE('Options and results'!$C$32," ",Forestrysystem!$I$8),Forestrysystem!$A$7:$IH$70,$V45+4,FALSE)*IF(V45&gt;='Options and results'!$I$19,'Options and results'!$I$18,1))</f>
        <v>0</v>
      </c>
      <c r="AN45" s="1382">
        <f>IF(AI45&gt;0,HLOOKUP(AI45,Treevalue!$I$4:$BC$34,'Options and results'!$C$39+1),0)*IF(V45&gt;='Options and results'!$I$21,'Options and results'!$I$20,1)*IF(1+'Options and results'!$Q$20*(V45-1)&gt;0,1+'Options and results'!$Q$20*(V45-1),0)</f>
        <v>0</v>
      </c>
      <c r="AO45" s="1454">
        <f t="shared" si="136"/>
        <v>0</v>
      </c>
      <c r="AP45" s="1454">
        <f t="shared" si="187"/>
        <v>0</v>
      </c>
      <c r="AQ45" s="1454">
        <f>(IF('Options and results'!$C$39&gt;0,IF(V45&lt;='Options and results'!$W$20,VLOOKUP('Options and results'!$C$39,Treevalue!$A$4:$F$34,5,FALSE),0),0)*AK45)*IF(V45&gt;='Options and results'!$I$21,'Options and results'!$I$20,1)*IF(1+'Options and results'!$Q$20*(V45-1)&gt;0,1+'Options and results'!$Q$20*(V45-1),0)-AR45</f>
        <v>0</v>
      </c>
      <c r="AR45" s="1441">
        <f>(IF('Options and results'!$C$39&gt;0,IF(V45&lt;='Options and results'!$W$20,VLOOKUP('Options and results'!$C$39,Treevalue!$A$4:$F$34,5,FALSE),0),0)*AL45)*IF(V45&gt;='Options and results'!$I$21,'Options and results'!$I$20,1)*IF(1+'Options and results'!$Q$20*(V45-1)&gt;0,1+'Options and results'!$Q$20*(V45-1),0)</f>
        <v>0</v>
      </c>
      <c r="AS45" s="1441">
        <f>(IF('Options and results'!$C$39&gt;0,IF(V45&lt;='Options and results'!$W$20,VLOOKUP('Options and results'!$C$39,Treevalue!$A$4:$F$34,6,FALSE),0),0)*AM45)*IF(V45&gt;='Options and results'!$I$21,'Options and results'!$I$20,1)*IF(1+'Options and results'!$Q$20*(V45-1)&gt;0,1+'Options and results'!$Q$20*(V45-1),0)</f>
        <v>0</v>
      </c>
      <c r="AT45" s="1441">
        <f>IF(V45&lt;='Options and results'!$W$20,(IF(AB45&lt;=0,0,IF('Options and results'!$C$43="cost",(IF(V45&lt;='Options and results'!$C$44,BZ45*SUM('Options and results'!$C$45:$C$46),0)),IF('Options and results'!$C$41&gt;0,(IF(VLOOKUP('Options and results'!$C$42,Treegrant!$B$6:$L$42,Treegrant!$C$2,FALSE)=V45,VLOOKUP('Options and results'!$C$42,Treegrant!$B$6:$L$42,Treegrant!$D$2,FALSE),0)+IF(VLOOKUP('Options and results'!$C$42,Treegrant!$B$6:$L$42,Treegrant!$E$2,FALSE)=V45,VLOOKUP('Options and results'!$C$42,Treegrant!$B$6:$L$42,Treegrant!$F$2,FALSE),0)+IF(VLOOKUP('Options and results'!$C$42,Treegrant!$B$6:$L$42,Treegrant!$G$2,FALSE)=V45,VLOOKUP('Options and results'!$C$42,Treegrant!$B$6:$L$42,Treegrant!$H$2,FALSE)))*IF('Options and results'!$C$43="area",1,'Options and results'!$C$43),0)))*IF(V45&gt;='Options and results'!$I$23,'Options and results'!$I$22,1)),0)*IF(1+'Options and results'!$Q$23*(V45-1)&gt;0,1+'Options and results'!$Q$23*(V45-1),0)</f>
        <v>0</v>
      </c>
      <c r="AU45" s="1441">
        <f>IF($W$8=0,0,IF(V45&lt;='Options and results'!$W$20,IF(AB45&lt;=0,0,IF('Options and results'!$C$41&gt;0,IF(AND(VLOOKUP('Options and results'!$C$42,Treegrant!$B$6:$L$42,Treegrant!$J$2,FALSE)&lt;=V45,VLOOKUP('Options and results'!$C$42,Treegrant!$B$6:$L$42,Treegrant!$K$2,FALSE)&gt;=V45),(VLOOKUP('Options and results'!$C$42,Treegrant!$B$6:$L$42,Treegrant!$L$2,FALSE)),0)*IF('Options and results'!$C$47="full",1,'Options and results'!$C$47))*IF(V45&gt;='Options and results'!$I$23,'Options and results'!$I$22,1)),0))*IF(1+'Options and results'!$Q$23*(V45-1)&gt;0,1+'Options and results'!$Q$23*(V45-1),0)</f>
        <v>0</v>
      </c>
      <c r="AV45" s="1032">
        <f>IF($W$8=0,0,IF(V45&lt;='Options and results'!$W$20,IF(AB45&lt;=0,0,(IF('Options and results'!$C$41&gt;0,(IF(AND(VLOOKUP('Options and results'!$C$42,Treegrant!$B$6:$O$42,Treegrant!$M$2,FALSE)&lt;=V45,VLOOKUP('Options and results'!$C$42,Treegrant!$B$6:$O$42,Treegrant!$N$2,FALSE)&gt;=V45),(VLOOKUP('Options and results'!$C$42,Treegrant!$B$6:$O$42,Treegrant!$O$2,FALSE)),0)*IF('Options and results'!$C$48="full",1,'Options and results'!$C$48))+(IF(AND(VLOOKUP('Options and results'!$C$42,Treegrant!$B$6:$R$42,Treegrant!$P$2,FALSE)&lt;=V45,VLOOKUP('Options and results'!$C$42,Treegrant!$B$6:$R$42,Treegrant!$Q$2,FALSE)&gt;=V45),(VLOOKUP('Options and results'!$C$42,Treegrant!$B$6:$R$42,Treegrant!$R$2,FALSE)),0))*IF('Options and results'!$C$49="full",1,'Options and results'!$C$49)))*IF(V45&gt;='Options and results'!$I$23,'Options and results'!$I$22,1)),0))*IF(1+'Options and results'!$Q$23*(V45-1)&gt;0,1+'Options and results'!$Q$23*(V45-1),0)</f>
        <v>0</v>
      </c>
      <c r="AW45" s="1041"/>
      <c r="AX45" s="1042"/>
      <c r="AY45" s="1419">
        <f>IF($W$8=0,0,IF(V45=1,VLOOKUP($W$8,Treecost!$B$6:$AH$49,Treecost!$E$2,FALSE),0)*IF(V45&gt;='Options and results'!$I$25,'Options and results'!$I$24,1))</f>
        <v>0</v>
      </c>
      <c r="AZ45" s="889">
        <f>IF($W$8=0,0,IF(V45=1,VLOOKUP($W$8,Treecost!$B$6:$AH$49,Treecost!$F$2,FALSE),0)*IF(V45&gt;='Options and results'!$I$25,'Options and results'!$I$24,1))</f>
        <v>0</v>
      </c>
      <c r="BA45" s="889">
        <f>IF($W$8=0,0,IF(V45=1,VLOOKUP($W$8,Treecost!$B$6:$AH$49,Treecost!$G$2,FALSE),0)*IF(V45&gt;='Options and results'!$I$25,'Options and results'!$I$24,1))</f>
        <v>0</v>
      </c>
      <c r="BB45" s="889">
        <f>IF($W$8=0,0,IF(V45&lt;='Options and results'!$W$20,((VLOOKUP($W$8,Treecost!$B$6:$AH$49,Treecost!$H$2,FALSE)*(X45+AA45))/60)*IF(V45&gt;='Options and results'!$I$25,'Options and results'!$I$24,1),0))</f>
        <v>0</v>
      </c>
      <c r="BC45" s="889">
        <f>IF($W$8=0,0,IF(V45&lt;='Options and results'!$W$20,(((VLOOKUP($W$8,Treecost!$B$6:$AH$49,Treecost!$I$2,FALSE))*(X45+AA45))/60)*IF(V45&gt;='Options and results'!$I$25,'Options and results'!$I$24,1),0))</f>
        <v>0</v>
      </c>
      <c r="BD45" s="889">
        <f>IF($W$8=0,0,IF(V45&lt;='Options and results'!$W$20,(((VLOOKUP($W$8,Treecost!$B$6:$AH$49,Treecost!$J$2,FALSE))/60)*(X45+AA45))*IF(V45&gt;='Options and results'!$I$25,'Options and results'!$I$24,1),0))</f>
        <v>0</v>
      </c>
      <c r="BE45" s="1019">
        <f>IF($W$8=0,0,IF(V45&lt;='Options and results'!$W$20,(((VLOOKUP($W$8,Treecost!$B$6:$AH$49,Treecost!$C$2,FALSE)+VLOOKUP($W$8,Treecost!$B$6:$AH$49,Treecost!$D$2,FALSE))*(X45+AA45)*IF(1+'Options and results'!$Q$22*(V45-1)&gt;0,1+'Options and results'!$Q$22*(V45-1),0))+((AY45*$AX$8+AZ45*$AX$9+BA45*$AX$10+BB45*$AX$11+BC45*$AX$12+BD45*$AX$13)*IF(1+'Options and results'!$Q$21*(V45-1)&gt;0,1+'Options and results'!$Q$21*(V45-1),0)))*IF(V45&gt;='Options and results'!$I$27,'Options and results'!$I$26,1),0))</f>
        <v>0</v>
      </c>
      <c r="BF45" s="889">
        <f>IF($W$8=0,0,IF(V45&lt;='Options and results'!$W$20,IF(AND(VLOOKUP($W$8,Treecost!$B$6:$AH$49,Treecost!$K$2,FALSE)&lt;=V45,V45&lt;=(VLOOKUP($W$8,Treecost!$B$6:$AH$49,Treecost!$L$2,FALSE))),VLOOKUP($W$8,Treecost!$B$6:$AH$49,Treecost!$M$2,FALSE)*AB45/60,0)*IF(V45&gt;='Options and results'!$I$25,'Options and results'!$I$24,1),0))</f>
        <v>0</v>
      </c>
      <c r="BG45" s="1019">
        <f>IF(BF45&gt;0,(VLOOKUP($W$8,Treecost!$B$6:$AH$49,Treecost!$N$2,FALSE)*AB45*IF(1+'Options and results'!$Q$22*(V45-1)&gt;0,1+'Options and results'!$Q$22*(V45-1),0)+BF45*$AX$14*IF(1+'Options and results'!$Q$21*(V45-1)&gt;0,1+'Options and results'!$Q$21*(V45-1),0)),0)*IF(V45&gt;='Options and results'!$I$27,'Options and results'!$I$26,1)</f>
        <v>0</v>
      </c>
      <c r="BH45" s="889">
        <f>IF(V45&lt;='Options and results'!$W$20,IF(AND(AG45-AG44&gt;0,AG45&gt;'Options and results'!$M$36),(AB45-AC45)*(VLOOKUP($W$8,Treecost!$B$6:$AH$49,Treecost!$Y$2,FALSE)+(VLOOKUP($W$8,Treecost!$B$6:$AH$49,Treecost!$AA$2,FALSE)-VLOOKUP($W$8,Treecost!$B$6:$AH$49,Treecost!$Y$2,FALSE))/(VLOOKUP($W$8,Treecost!$B$6:$AH$49,Treecost!$Z$2,FALSE)-VLOOKUP($W$8,Treecost!$B$6:$AH$49,Treecost!$X$2,FALSE))*(AG45-VLOOKUP($W$8,Treecost!$B$6:$AH$49,Treecost!$X$2,FALSE)))/60,0)*IF(V45&gt;='Options and results'!$I$25,'Options and results'!$I$24,1),0)</f>
        <v>0</v>
      </c>
      <c r="BI45" s="303">
        <f>IF(V45&lt;='Options and results'!$W$20,IF(BH45&gt;0,VLOOKUP($W$8,Treecost!$B$6:$AH$49,Treecost!$AB$2,FALSE)/60*AB45,0)*IF(V45&gt;='Options and results'!$I$25,'Options and results'!$I$24,1),0)*((BH45-(MIN($BH$8:$BH$67)))/((MAX($BH$8:$BH$67))-(MIN($BH$8:$BH$67))))</f>
        <v>0</v>
      </c>
      <c r="BJ45" s="740">
        <f>IF(BH45&gt;0,(BH45*$AX$15+BI45*$AX$19)*IF(1+'Options and results'!$Q$21*(V45-1)&gt;0,1+'Options and results'!$Q$21*(V45-1),0),0)*IF(V45&gt;='Options and results'!$I$27,'Options and results'!$I$26,1)</f>
        <v>0</v>
      </c>
      <c r="BK45" s="891">
        <f>IF($W$8=0,0,IF(V45&lt;='Options and results'!$W$20,IF(VLOOKUP($W$8,Treecost!$B$2:$AH$49,Treecost!$O$2,FALSE)=V45,VLOOKUP($W$8,Treecost!$B$2:$AH$49,Treecost!$P$2,FALSE),0)*IF(V45&gt;='Options and results'!$I$25,'Options and results'!$I$24,1),0))</f>
        <v>0</v>
      </c>
      <c r="BL45" s="889">
        <f>IF($W$8=0,0,IF(V45&lt;='Options and results'!$W$20,IF(AND(V45&gt;VLOOKUP($W$8,Treecost!$B$2:$AH$49,Treecost!$O$2,FALSE),V45&lt;=VLOOKUP($W$8,Treecost!$B$2:$AH$49,Treecost!$R$2,FALSE)),VLOOKUP($W$8,Treecost!$B$2:$AH$49,Treecost!$S$2,FALSE),0)*IF(V45&gt;='Options and results'!$I$25,'Options and results'!$I$24,1),0))</f>
        <v>0</v>
      </c>
      <c r="BM45" s="740">
        <f>IF($W$8=0,0,IF(V45&lt;='Options and results'!$W$20,((IF(VLOOKUP($W$8,Treecost!$B$2:$AH$49,Treecost!$O$2,FALSE)=V45,VLOOKUP($W$8,Treecost!$B$2:$AH$49,Treecost!$Q$2,FALSE),0)+IF(AND(V45&gt;VLOOKUP($W$8,Treecost!$B$2:$AH$49,Treecost!$O$2,FALSE),V45&lt;=VLOOKUP($W$8,Treecost!$B$2:$AH$49,Treecost!$R$2,FALSE)),VLOOKUP($W$8,Treecost!$B$2:$AH$49,Treecost!$T$2,FALSE),0)*IF(1+'Options and results'!$Q$22*(V45-1)&gt;0,1+'Options and results'!$Q$22*(V45-1),0))+(BK45*$AX$16+BL45*$AX$17)*IF(1+'Options and results'!$Q$21*(V45-1)&gt;0,1+'Options and results'!$Q$21*(V45-1),0))*IF(V45&gt;='Options and results'!$I$27,'Options and results'!$I$26,1),0))</f>
        <v>0</v>
      </c>
      <c r="BN45" s="894">
        <f>IF($W$8=0,0,IF(V45&lt;='Options and results'!$W$20,IF(AND(V45&gt;=VLOOKUP($W$8,Treecost!$B$2:$W$49,Treecost!$U$2,FALSE),V45&lt;=VLOOKUP($W$8,Treecost!$B$2:$W$49,Treecost!$V$2,FALSE)),(AB45*VLOOKUP($W$8,Treecost!$B$2:$W$49,Treecost!$W$2,FALSE)/60),0)*IF(V45&gt;='Options and results'!$I$25,'Options and results'!$I$24,1),0))</f>
        <v>0</v>
      </c>
      <c r="BO45" s="740">
        <f>BN45*$AX$18*IF(V45&gt;='Options and results'!$I$27,'Options and results'!$I$26,1)*IF(1+'Options and results'!$Q$21*(V45-1)&gt;0,1+'Options and results'!$Q$21*(V45-1),0)</f>
        <v>0</v>
      </c>
      <c r="BP45" s="894">
        <f>IF(V45&lt;='Options and results'!$W$20,IF(AB45&lt;=0,0,VLOOKUP($W$8,Treecost!$B$6:$AH$49,Treecost!$AC$2,FALSE)+VLOOKUP($W$8,Treecost!$B$6:$AH$49,Treecost!$AD$2,FALSE)+IF(AND(V45&gt;=VLOOKUP($W$8,Treecost!$B$2:$AK$49,Treecost!$AI$2,FALSE),V45&lt;=VLOOKUP($W$8,Treecost!$B$2:$AK$49,Treecost!$AJ$2,FALSE)),(VLOOKUP($W$8,Treecost!$B$2:$AK$49,Treecost!$AK$2,FALSE)),0))*IF(V45&gt;='Options and results'!$I$27,'Options and results'!$I$26,1),0)*IF(1+'Options and results'!$Q$22*(V45-1)&gt;0,1+'Options and results'!$Q$22*(V45-1),0)</f>
        <v>0</v>
      </c>
      <c r="BQ45" s="894">
        <f>IF(V45&lt;='Options and results'!$W$20,IF(AC45&gt;0,VLOOKUP($W$8,Treecost!$B$6:$AH$49,Treecost!$AE$2,FALSE)/60*AC45,0)*IF(V45&gt;='Options and results'!$I$25,'Options and results'!$I$24,1),0)</f>
        <v>0</v>
      </c>
      <c r="BR45" s="740">
        <f>IF(V45&lt;='Options and results'!$W$20,IF(AC45&gt;0,VLOOKUP($W$8,Treecost!$B$6:$AH$49,Treecost!$AF$2,FALSE)/60*AC45,0)*IF(V45&gt;='Options and results'!$I$25,'Options and results'!$I$24,1),0)</f>
        <v>0</v>
      </c>
      <c r="BS45" s="740">
        <f>(BQ45*$AX$20+BR45*$AX$21)*IF(V45&gt;='Options and results'!$I$27,'Options and results'!$I$26,1)*IF(1+'Options and results'!$Q$21*(V45-1)&gt;0,1+'Options and results'!$Q$21*(V45-1),0)</f>
        <v>0</v>
      </c>
      <c r="BT45" s="894">
        <f>IF(V45&lt;='Options and results'!$W$20,IF(AD45&gt;0,(VLOOKUP($W$8,Treecost!$B$6:$AH$49,Treecost!$AG$2,FALSE)/60*AD45)*IF(V45&gt;='Options and results'!$I$25,'Options and results'!$I$24,1),0),0)</f>
        <v>0</v>
      </c>
      <c r="BU45" s="740">
        <f>IF(V45&lt;='Options and results'!$W$20,IF(AD45&gt;0,(VLOOKUP($W$8,Treecost!$B$6:$AH$49,Treecost!$AH$2,FALSE)/60*AD45)*IF(V45&gt;='Options and results'!$I$25,'Options and results'!$I$24,1),0),0)</f>
        <v>0</v>
      </c>
      <c r="BV45" s="740">
        <f>(BT45*$AX$22+BU45*$AX$23)*IF(V45&gt;='Options and results'!$I$27,'Options and results'!$I$26,1)*IF(1+'Options and results'!$Q$21*(V45-1)&gt;0,1+'Options and results'!$Q$21*(V45-1),0)</f>
        <v>0</v>
      </c>
      <c r="BW45" s="1033">
        <f t="shared" si="138"/>
        <v>0</v>
      </c>
      <c r="BX45" s="1027">
        <f t="shared" si="139"/>
        <v>0</v>
      </c>
      <c r="BY45" s="1027">
        <f t="shared" si="140"/>
        <v>0</v>
      </c>
      <c r="BZ45" s="740">
        <f t="shared" si="188"/>
        <v>0</v>
      </c>
      <c r="CA45" s="740">
        <f t="shared" si="141"/>
        <v>0</v>
      </c>
      <c r="CB45" s="894">
        <f>IF($V45&lt;='Options and results'!$W$20,SUM(BX$8:$BX45),0)</f>
        <v>0</v>
      </c>
      <c r="CC45" s="740">
        <f>IF($V45&lt;='Options and results'!$W$20,SUM($BY$8:BY45),0)</f>
        <v>0</v>
      </c>
      <c r="CD45" s="740">
        <f>IF($V45&lt;='Options and results'!$W$20,SUM($BZ$8:BZ45),0)</f>
        <v>0</v>
      </c>
      <c r="CE45" s="740">
        <f>IF(V45&lt;='Options and results'!$W$20,CB45+CC45-CD45,0)</f>
        <v>0</v>
      </c>
      <c r="CF45" s="1381">
        <f t="shared" si="142"/>
        <v>0</v>
      </c>
      <c r="CG45" s="1027">
        <f t="shared" si="143"/>
        <v>0</v>
      </c>
      <c r="CH45" s="1027">
        <f t="shared" si="144"/>
        <v>0</v>
      </c>
      <c r="CI45" s="1189">
        <f>IF(V45&lt;='Options and results'!$W$20,CE45+AO45,0)</f>
        <v>0</v>
      </c>
      <c r="CJ45" s="1023"/>
      <c r="CK45" s="895">
        <f t="shared" si="145"/>
        <v>38</v>
      </c>
      <c r="CL45" s="1011" t="str">
        <f>IF('Options and results'!$C$54="None",0,IF(AND(CK45&gt;='Options and results'!$K$57,CK44&lt;'Options and results'!$W$20),'Options and results'!$K$56,IF(Optimisation!$B$3="No",CONCATENATE('Options and results'!$C$60," ",(HLOOKUP(CONCATENATE('Options and results'!$C$54," ",Agroforestrysystem!$B$12),Agroforestrysystem!$B$11:$IM$74,$CK45+4,FALSE))),Optimisation!AA65)))</f>
        <v xml:space="preserve">UK - Agriculture (BPS: from 2015) </v>
      </c>
      <c r="CM45" s="1012">
        <f>IF(HLOOKUP(CONCATENATE('Options and results'!$C$54," ",Agroforestrysystem!$C$12),Agroforestrysystem!$B$11:$IM$74,$CK45+4,FALSE)="T",(VLOOKUP(CL45,Arablefinance!$Z$6:$AB$105,Arablefinance!$AB$2,FALSE)*CO45+VLOOKUP(CL45,Arablefinance!$Z$6:$AC$105,Arablefinance!$AC$2,FALSE)*CP45)/VLOOKUP(CL45,Arablefinance!$Z$6:$AA$105,Arablefinance!$AA$2,FALSE),0)</f>
        <v>0</v>
      </c>
      <c r="CN45" s="1012">
        <f>IF(CL45=0,0,HLOOKUP(CONCATENATE('Options and results'!$C$54," ",Agroforestrysystem!$D$12),Agroforestrysystem!$B$11:$IM$74,$CK45+4,FALSE))</f>
        <v>0</v>
      </c>
      <c r="CO45" s="1440">
        <f ca="1">IF(CL45=0,0,IF(AND(Optimisation!$B$3="yes",Optimisation!$B$4=1,CK45&gt;Optimisation!$B$9),0,HLOOKUP(CONCATENATE('Options and results'!$C$54," ",Agroforestrysystem!$E$12),Agroforestrysystem!$B$11:$IM$74,$CK45+4,FALSE)*IF(CK45&gt;='Options and results'!$J$19,'Options and results'!$J$18,1)))</f>
        <v>0</v>
      </c>
      <c r="CP45" s="1440">
        <f ca="1">IF(CL45=0,0,IF(AND(Optimisation!$B$3="yes",Optimisation!$B$4=1,CK45&gt;Optimisation!$B$9),0,HLOOKUP(CONCATENATE('Options and results'!$C$54," ",Agroforestrysystem!$F$12),Agroforestrysystem!$B$11:$IM$74,$CK45+4,FALSE)*IF(CK45&gt;='Options and results'!$J$19,'Options and results'!$J$18,1)))</f>
        <v>0</v>
      </c>
      <c r="CQ45" s="1013">
        <f>IF(CN45&lt;=0,0,IF(CK45&lt;='Options and results'!$W$20,IF(CM45&gt;0,VLOOKUP(CL45,Arablefinance!$Z$6:$AE$105,Arablefinance!$AD$2,FALSE)*CM45*CN45,((VLOOKUP(CL45,Arablefinance!$E$6:$H$126,2,FALSE)*CO45+VLOOKUP(CL45,Arablefinance!$E$6:$H$126,3,FALSE)*CP45)*CN45)),0)*IF(CK45&gt;='Options and results'!$J$21,'Options and results'!$J$20,1))*IF(1+'Options and results'!$O$20*(CK45-1)&gt;0,1+'Options and results'!$O$20*(CK45-1),0)</f>
        <v>0</v>
      </c>
      <c r="CR45" s="1441">
        <f>IF(CN45&lt;=0,0,IF(AND(CM45&gt;0,VLOOKUP(CL45,Arablefinance!$Z$6:$AI$105,Arablefinance!$AI$2,FALSE)=2),VLOOKUP(CL45,Arablefinance!$Z$6:$AE$105,Arablefinance!$AE$2,FALSE)*CM45*CN45,IF('Options and results'!$C$62&gt;0,IF(VLOOKUP(CL45,Arablefinance!$E$6:$W$126,Arablefinance!$H$2,FALSE)*(1-Plot!DM45*'Options and results'!$C$62)&gt;0,VLOOKUP(CL45,Arablefinance!$E$6:$W$126,Arablefinance!$H$2,FALSE)*(1-Plot!DM45*'Options and results'!$C$62),0),IF(CK45&lt;='Options and results'!$W$20,(VLOOKUP(CL45,Arablefinance!$E$6:$W$126,Arablefinance!$H$2,FALSE)*IF('Options and results'!$C$61="area",CN45,'Options and results'!$C$61)),0)))*IF(CK45&gt;='Options and results'!$J$23,'Options and results'!$J$22,1))*IF(AND(1+'Options and results'!$O$23*(CK45-1)&gt;0,1+'Options and results'!$O$23*(CK45-1)&gt;'Options and results'!$S$24),1+'Options and results'!$O$23*(CK45-1),'Options and results'!$S$24)</f>
        <v>0</v>
      </c>
      <c r="CS45" s="1441">
        <f t="shared" si="185"/>
        <v>0</v>
      </c>
      <c r="CT45" s="1441">
        <f>IF(CN45&lt;=0,0,IF(CK45&lt;='Options and results'!$W$20,IF(CM45&gt;0,VLOOKUP(CL45,Arablefinance!$Z$6:$AF$105,Arablefinance!$AF$2,FALSE)*CM45*CN45,VLOOKUP(CL45,Arablefinance!$E$6:$X$126,Arablefinance!$R$2,FALSE)*CN45),0)*IF(CK45&gt;='Options and results'!$J$27,'Options and results'!$J$26,1))*IF(1+'Options and results'!$O$22*(CK45-1)&gt;0,1+'Options and results'!$O$22*(CK45-1),0)</f>
        <v>0</v>
      </c>
      <c r="CU45" s="1441">
        <f t="shared" si="186"/>
        <v>0</v>
      </c>
      <c r="CV45" s="1441">
        <f>IF(CN45&lt;=0,0,IF(CK45&lt;='Options and results'!$W$20,IF(CM45&gt;0,VLOOKUP(CL45,Arablefinance!$Z$6:$AG$105,Arablefinance!$AG$2,FALSE)*CM45*CN45,VLOOKUP(CL45,Arablefinance!$E$6:$X$126,Arablefinance!$X$2,FALSE)*CN45),0)*IF(CK45&gt;='Options and results'!$J$27,'Options and results'!$J$26,1))*IF(1+'Options and results'!$O$22*(CK45-1)&gt;0,1+'Options and results'!$O$22*(CK45-1),0)</f>
        <v>0</v>
      </c>
      <c r="CW45" s="1442">
        <f>IF(CN45&lt;=0,0,IF(CK45&lt;='Options and results'!$W$20,'Options and results'!$C$27*IF(CK45&gt;='Options and results'!$J$27,'Options and results'!$J$26,1),0))*IF(1+'Options and results'!$O$21*(CK45-1)&gt;0,1+'Options and results'!$O$21*(CK45-1),0)</f>
        <v>0</v>
      </c>
      <c r="CX45" s="1442">
        <f>IF(CN45&lt;=0,0,IF(CK45&lt;='Options and results'!$W$20,IF(CM45&gt;0,VLOOKUP(CL45,Arablefinance!$Z$6:$AH$105,Arablefinance!$AH$2,FALSE)*CM45*CN45,VLOOKUP(CL45,Arablefinance!$E$6:$W$126,Arablefinance!$V$2,FALSE)*CN45),0)*IF(CK45&gt;='Options and results'!$J$25,'Options and results'!$J$24,1))</f>
        <v>0</v>
      </c>
      <c r="CY45" s="1013">
        <f t="shared" si="148"/>
        <v>0</v>
      </c>
      <c r="CZ45" s="1353">
        <f t="shared" si="149"/>
        <v>0</v>
      </c>
      <c r="DA45" s="1013">
        <f>IF($CK45&lt;='Options and results'!$W$20,SUM($CQ$8:CQ45),0)</f>
        <v>0</v>
      </c>
      <c r="DB45" s="1441">
        <f>IF($CK45&lt;='Options and results'!$W$20,SUM($CR$8:CR45),0)</f>
        <v>0</v>
      </c>
      <c r="DC45" s="1441">
        <f>IF($CK45&lt;='Options and results'!$W$20,SUM($CY$8:CY45),0)</f>
        <v>0</v>
      </c>
      <c r="DD45" s="1189">
        <f>IF(CK45&lt;='Options and results'!$W$20,DA45+DB45-DC45,0)</f>
        <v>0</v>
      </c>
      <c r="DE45" s="401"/>
      <c r="DF45" s="895">
        <f t="shared" si="150"/>
        <v>38</v>
      </c>
      <c r="DG45" s="173"/>
      <c r="DH45" s="1422"/>
      <c r="DI45" s="1427">
        <f>IF(DF45&lt;='Options and results'!$M$61,'Options and results'!$M$60,0)</f>
        <v>0</v>
      </c>
      <c r="DJ45" s="740">
        <f t="shared" si="151"/>
        <v>0</v>
      </c>
      <c r="DK45" s="740">
        <f t="shared" si="152"/>
        <v>0</v>
      </c>
      <c r="DL45" s="1428">
        <f t="shared" si="153"/>
        <v>0</v>
      </c>
      <c r="DM45" s="1429">
        <f>IF($DG$8=0,0,HLOOKUP(CONCATENATE('Options and results'!$C$54," ",Agroforestrysystem!$J$12),Agroforestrysystem!$11:$74,DF45+3,FALSE))/100</f>
        <v>0</v>
      </c>
      <c r="DN45" s="740">
        <f>IF($DG$8=0,0,IF(HLOOKUP(CONCATENATE('Options and results'!$C$54," ",Agroforestrysystem!$H$12),Agroforestrysystem!$11:$74,DF45+4,FALSE)&lt;DL45,HLOOKUP(CONCATENATE('Options and results'!$C$54," ",Agroforestrysystem!$H$12),Agroforestrysystem!$11:$74,DF45+4,FALSE),0))</f>
        <v>0</v>
      </c>
      <c r="DO45" s="1027">
        <f>IF($DG$8=0,0,IF(HLOOKUP(CONCATENATE('Options and results'!$C$54," ",Agroforestrysystem!$H$12),Agroforestrysystem!$11:$74,DF45+4,FALSE)&gt;=DL45,DL45,0))</f>
        <v>0</v>
      </c>
      <c r="DP45" s="1430">
        <f>IF($DG$8=0,0,HLOOKUP(CONCATENATE('Options and results'!$C$54," ",Agroforestrysystem!$I$12),Agroforestrysystem!$11:$74,DF45+4,FALSE))</f>
        <v>0</v>
      </c>
      <c r="DQ45" s="1038"/>
      <c r="DR45" s="1430">
        <f>IF($DG$8=0,0,IF(DF45&gt;'Options and results'!$W$20,0,)+IF(DF45=1,'Options and results'!$M$64)+IF('Options and results'!$M$67="yes",IF(AND(DR44+'Options and results'!$M$65&lt;=$DQ$8,DR44+'Options and results'!$M$65+IF(DF45=1,'Options and results'!$M$64,0)&lt;='Options and results'!$M$66*DP45),DR44+'Options and results'!$M$65,DR44),(HLOOKUP(CONCATENATE('Options and results'!$C$54," ",Agroforestrysystem!$K$12),Agroforestrysystem!$11:$74,DF45+4,FALSE)-IF(DF45=1,'Options and results'!$M$64))))</f>
        <v>0</v>
      </c>
      <c r="DS45" s="1027">
        <f>IF(OR($DG$8=0,DL45=0),0,HLOOKUP(CONCATENATE('Options and results'!$C$54," ",Agroforestrysystem!$L$12),Agroforestrysystem!$11:$74,DF45+4,FALSE)*IF(DF45&gt;='Options and results'!$K$19,'Options and results'!$K$18,1))</f>
        <v>0</v>
      </c>
      <c r="DT45" s="1431">
        <f t="shared" si="154"/>
        <v>0</v>
      </c>
      <c r="DU45" s="889">
        <f t="shared" si="155"/>
        <v>0</v>
      </c>
      <c r="DV45" s="1027">
        <f>IF($DG$8=0,0,(HLOOKUP(CONCATENATE('Options and results'!$C$54," ",Agroforestrysystem!$M$12),Agroforestrysystem!$11:$74,DF45+4,FALSE))*IF(DF45&gt;='Options and results'!$K$19,'Options and results'!$K$18,1))-DW45</f>
        <v>0</v>
      </c>
      <c r="DW45" s="303">
        <f>IF($DG$8=0,0,(HLOOKUP(CONCATENATE('Options and results'!$C$54," ",Agroforestrysystem!$N$12),Agroforestrysystem!$11:$74,DF45+4,FALSE))*IF(DF45&gt;='Options and results'!$K$19,'Options and results'!$K$18,1))</f>
        <v>0</v>
      </c>
      <c r="DX45" s="303">
        <f>IF($DG$8=0,0,HLOOKUP(CONCATENATE('Options and results'!$C$54," ",Agroforestrysystem!$O$12),Agroforestrysystem!$11:$74,DF45+4,FALSE)*IF(DF45&gt;='Options and results'!$K$19,'Options and results'!$K$18,1))</f>
        <v>0</v>
      </c>
      <c r="DY45" s="1192">
        <f>IF(DT45&gt;0,HLOOKUP(DT45,Treevalue!$I$4:$BC$34,'Options and results'!$C$66+1),0)*IF(DF45&gt;='Options and results'!$K$21,'Options and results'!$K$20,1)*IF(1+'Options and results'!$Q$20*(DF45-1)&gt;0,1+'Options and results'!$Q$20*(DF45-1),0)</f>
        <v>0</v>
      </c>
      <c r="DZ45" s="1027">
        <f t="shared" si="156"/>
        <v>0</v>
      </c>
      <c r="EA45" s="1027">
        <f t="shared" si="125"/>
        <v>0</v>
      </c>
      <c r="EB45" s="1027">
        <f>(IF('Options and results'!$C$66&gt;0,IF(DF45&lt;='Options and results'!$W$20,VLOOKUP('Options and results'!$C$66,Treevalue!$A$4:$F$34,5,FALSE),0),0)*DV45)*IF(DF45&gt;='Options and results'!$K$21,'Options and results'!$K$20,1)*IF(1+'Options and results'!$Q$20*(DF45-1)&gt;0,1+'Options and results'!$Q$20*(DF45-1),0)</f>
        <v>0</v>
      </c>
      <c r="EC45" s="740">
        <f>(IF('Options and results'!$C$66&gt;0,IF(DF45&lt;='Options and results'!$W$20,VLOOKUP('Options and results'!$C$66,Treevalue!$A$4:$F$34,5,FALSE),0),0)*DW45)*IF(DF45&gt;='Options and results'!$K$21,'Options and results'!$K$20,1)*IF(1+'Options and results'!$Q$20*(DF45-1)&gt;0,1+'Options and results'!$Q$20*(DF45-1),0)</f>
        <v>0</v>
      </c>
      <c r="ED45" s="889">
        <f>(IF('Options and results'!$C$66&gt;0,IF(DF45&lt;='Options and results'!$W$20,VLOOKUP('Options and results'!$C$66,Treevalue!$A$4:$F$34,6,FALSE),0),0)*DX45)*IF(DF45&gt;='Options and results'!$K$21,'Options and results'!$K$20,1)*IF(1+'Options and results'!$Q$20*(DF45-1)&gt;0,1+'Options and results'!$Q$20*(DF45-1),0)</f>
        <v>0</v>
      </c>
      <c r="EE45" s="740">
        <f>IF(DF45&lt;='Options and results'!$W$20,IF(DL45&lt;=0,0,IF('Options and results'!$C$70="cost",(IF(DF45&lt;='Options and results'!$C$71,FK45*SUM('Options and results'!$C$72:$C$73),0)),IF('Options and results'!$C$68&gt;0,(IF(VLOOKUP('Options and results'!$C$69,Treegrant!$B$6:$L$42,Treegrant!$C$2,FALSE)=DF45,VLOOKUP('Options and results'!$C$69,Treegrant!$B$6:$L$42,Treegrant!$D$2,FALSE),0)+IF(VLOOKUP('Options and results'!$C$69,Treegrant!$B$6:$L$42,Treegrant!$E$2,FALSE)=DF45,VLOOKUP('Options and results'!$C$69,Treegrant!$B$6:$L$42,Treegrant!$F$2,FALSE),0)+IF(VLOOKUP('Options and results'!$C$69,Treegrant!$B$6:$L$42,Treegrant!$G$2,FALSE)=DF45,VLOOKUP('Options and results'!$C$69,Treegrant!$B$6:$L$42,Treegrant!$H$2,FALSE)))*IF('Options and results'!$C$70="area",Unit!C46,'Options and results'!$C$70),0))*IF(DF45&gt;='Options and results'!$K$23,'Options and results'!$K$22,1)),0)*IF(1+'Options and results'!$Q$23*(DF45-1)&gt;0,1+'Options and results'!$Q$23*(DF45-1),0)</f>
        <v>0</v>
      </c>
      <c r="EF45" s="740">
        <f>IF($DG$8=0,0,IF(DF45&lt;='Options and results'!$W$20,IF(DL45&lt;=0,0,IF('Options and results'!$C$68&gt;0,IF(AND(VLOOKUP('Options and results'!$C$69,Treegrant!$B$6:$L$42,Treegrant!$J$2,FALSE)&lt;=DF45,VLOOKUP('Options and results'!$C$69,Treegrant!$B$6:$L$42,Treegrant!$K$2,FALSE)&gt;=DF45),(VLOOKUP('Options and results'!$C$69,Treegrant!$B$6:$L$42,Treegrant!$L$2,FALSE)),0)*IF('Options and results'!$C$74="area",Unit!C46,'Options and results'!$C$74))*IF(DF45&gt;='Options and results'!$K$23,'Options and results'!$K$22,1)),0))*IF(1+'Options and results'!$Q$23*(DF45-1)&gt;0,1+'Options and results'!$Q$23*(DF45-1),0)</f>
        <v>0</v>
      </c>
      <c r="EG45" s="1034">
        <f>IF($DG$8=0,0,IF(DF45&lt;='Options and results'!$W$20,IF(DL45&lt;=0,0,IF('Options and results'!$C$68&gt;0,((IF(AND(VLOOKUP('Options and results'!$C$69,Treegrant!$B$6:$O$42,Treegrant!$M$2,FALSE)&lt;=DF45,VLOOKUP('Options and results'!$C$69,Treegrant!$B$6:$O$42,Treegrant!$N$2,FALSE)&gt;=DF45),(VLOOKUP('Options and results'!$C$69,Treegrant!$B$6:$O$42,Treegrant!$O$2,FALSE)),0)*IF('Options and results'!$C$75="area",Unit!C46,'Options and results'!$C$75))+(IF(AND(VLOOKUP('Options and results'!$C$69,Treegrant!$B$6:$R$42,Treegrant!$P$2,FALSE)&lt;=DF45,VLOOKUP('Options and results'!$C$69,Treegrant!$B$6:$R$42,Treegrant!$Q$2,FALSE)&gt;=DF45),(VLOOKUP('Options and results'!$C$69,Treegrant!$B$6:$R$42,Treegrant!$R$2,FALSE)),0))*IF('Options and results'!$C$76="area",Unit!C46,'Options and results'!$C$76)))*IF(DF45&gt;='Options and results'!$K$23,'Options and results'!$K$22,1)),0))*IF(1+'Options and results'!$Q$23*(DF45-1)&gt;0,1+'Options and results'!$Q$23*(DF45-1),0)</f>
        <v>0</v>
      </c>
      <c r="EH45" s="1041"/>
      <c r="EI45" s="1042"/>
      <c r="EJ45" s="1419">
        <f>IF($DH$8+DK45&lt;1,0,IF(DF45=1,VLOOKUP($DG$8,Treecost!$B$6:$AH$49,Treecost!$E$2,FALSE),0)*IF(DF45&gt;='Options and results'!$K$25,'Options and results'!$K$24,1))</f>
        <v>0</v>
      </c>
      <c r="EK45" s="889">
        <f>IF($DH$8+DK45&lt;1,0,IF(DF45=1,VLOOKUP($DG$8,Treecost!$B$6:$AH$49,Treecost!$F$2,FALSE),0)*IF(DF45&gt;='Options and results'!$K$25,'Options and results'!$K$24,1))</f>
        <v>0</v>
      </c>
      <c r="EL45" s="889">
        <f>IF($DH$8+DK45&lt;1,0,IF(DF45=1,VLOOKUP($DG$8,Treecost!$B$6:$AH$49,Treecost!$G$2,FALSE),0)*IF(DF45&gt;='Options and results'!$K$25,'Options and results'!$K$24,1))</f>
        <v>0</v>
      </c>
      <c r="EM45" s="889">
        <f>IF($DG$8=0,0,IF(DF45&lt;='Options and results'!$W$20,((VLOOKUP($DG$8,Treecost!$B$6:$AH$49,Treecost!$H$2,FALSE)*(DH45+DK45))/60)*IF(DF45&gt;='Options and results'!$K$25,'Options and results'!$K$24,1),0))</f>
        <v>0</v>
      </c>
      <c r="EN45" s="889">
        <f>IF($DG$8=0,0,IF(DF45&lt;='Options and results'!$W$20,(((VLOOKUP($DG$8,Treecost!$B$6:$AH$49,Treecost!$I$2,FALSE))*(DH45+DK45))/60)*IF(DF45&gt;='Options and results'!$K$25,'Options and results'!$K$24,1),0))</f>
        <v>0</v>
      </c>
      <c r="EO45" s="889">
        <f>IF($DG$8=0,0,IF(DF45&lt;='Options and results'!$W$20,(((VLOOKUP($DG$8,Treecost!$B$6:$AH$49,Treecost!$J$2,FALSE))/60)*(DH45+DK45))*IF(DF45&gt;='Options and results'!$K$25,'Options and results'!$K$24,1),0))</f>
        <v>0</v>
      </c>
      <c r="EP45" s="1019">
        <f>IF($DG$8=0,0,IF(DF45&lt;='Options and results'!$W$20,(((VLOOKUP($DG$8,Treecost!$B$6:$AH$49,Treecost!$C$2,FALSE)+VLOOKUP($DG$8,Treecost!$B$6:$AH$49,Treecost!$D$2,FALSE))*(DH45+DK45)*IF(1+'Options and results'!$Q$22*(DF45-1)&gt;0,1+'Options and results'!$Q$22*(DF45-1),0))+(EJ45*$EI$8+EK45*$EI$9+EL45*$EI$10+EM45*$EI$11+EN45*$EI$12+EO45*$EI$13)*IF(1+'Options and results'!$Q$21*(DF45-1)&gt;0,1+'Options and results'!$Q$21*(DF45-1),0))*IF(DF45&gt;='Options and results'!$K$27,'Options and results'!$K$26,1),0))</f>
        <v>0</v>
      </c>
      <c r="EQ45" s="740">
        <f>IF($DG$8=0,0,IF(DF45&lt;='Options and results'!$W$20,IF(AND(VLOOKUP($DG$8,Treecost!$B$6:$AH$49,Treecost!$K$2,FALSE)&lt;=DF45,DF45&lt;=(VLOOKUP($DG$8,Treecost!$B$6:$AH$49,Treecost!$L$2,FALSE))),VLOOKUP($DG$8,Treecost!$B$6:$AH$49,Treecost!$M$2,FALSE)*DL45/60,0)*IF(DF45&gt;='Options and results'!$K$25,'Options and results'!$K$24,1),0))</f>
        <v>0</v>
      </c>
      <c r="ER45" s="1019">
        <f>IF(EQ45&gt;0,(VLOOKUP($DG$8,Treecost!$B$6:$AH$49,Treecost!$N$2,FALSE)*DL45*IF(1+'Options and results'!$Q$22*(DF45-1)&gt;0,1+'Options and results'!$Q$22*(DF45-1),0)+EQ45*$EI$14*IF(1+'Options and results'!$Q$21*(DF45-1)&gt;0,1+'Options and results'!$Q$21*(DF45-1),0)),0)*IF(DF45&gt;='Options and results'!$K$27,'Options and results'!$K$26,1)</f>
        <v>0</v>
      </c>
      <c r="ES45" s="889">
        <f>IF(DF45&lt;='Options and results'!$W$20,IF(AND(DR45-DR44&gt;0,DR45&gt;'Options and results'!$M$64),(DL45-DN45)*(VLOOKUP($DG$8,Treecost!$B$6:$AH$49,Treecost!$Y$2,FALSE)+(VLOOKUP($DG$8,Treecost!$B$6:$AH$49,Treecost!$AA$2,FALSE)-VLOOKUP($DG$8,Treecost!$B$6:$AH$49,Treecost!$Y$2,FALSE))/(VLOOKUP($DG$8,Treecost!$B$6:$AH$49,Treecost!$Z$2,FALSE)-VLOOKUP($DG$8,Treecost!$B$6:$AH$49,Treecost!$X$2,FALSE))*(DR45-VLOOKUP($DG$8,Treecost!$B$6:$AH$49,Treecost!$X$2,FALSE)))/60,0)*IF(DF45&gt;='Options and results'!$K$25,'Options and results'!$K$24,1),0)</f>
        <v>0</v>
      </c>
      <c r="ET45" s="889">
        <f>IF(DF45&lt;='Options and results'!$W$20,IF(ES45&gt;0,VLOOKUP($DG$8,Treecost!$B$6:$AH$49,Treecost!$AB$2,FALSE)/60*DL45,0)*IF(DF45&gt;='Options and results'!$K$25,'Options and results'!$K$24,1),0)*((ES45-(MIN($ES$8:$ES$67)))/((MAX($ES$8:$ES$67))-(MIN($ES$8:$ES$67))))</f>
        <v>0</v>
      </c>
      <c r="EU45" s="740">
        <f>IF(ES45&gt;0,(ES45*$EI$15+ET45*$EI$19)*IF(1+'Options and results'!$Q$21*(DF45-1)&gt;0,1+'Options and results'!$Q$21*(DF45-1),0),0)*IF(DF45&gt;='Options and results'!$K$27,'Options and results'!$K$26,1)</f>
        <v>0</v>
      </c>
      <c r="EV45" s="891">
        <f>IF($DG$8=0,0,IF(DF45&lt;='Options and results'!$W$20,IF(AND(VLOOKUP($DG$8,Treecost!$B$2:$AH$49,Treecost!$O$2,FALSE)=DF45,DF45&lt;=IF(AND(Optimisation!$B$3="Yes",Optimisation!$B$4=1),Optimisation!$B$9)),VLOOKUP($DG$8,Treecost!$B$2:$AH$49,Treecost!$P$2,FALSE)*(1-CN45),0)*IF(DF45&gt;='Options and results'!$K$25,'Options and results'!$K$24,1),0))</f>
        <v>0</v>
      </c>
      <c r="EW45" s="889">
        <f>IF($DG$8=0,0,IF(DF45&lt;='Options and results'!$W$20,IF(AND(DF45&gt;VLOOKUP($DG$8,Treecost!$B$2:$AH$49,Treecost!$O$2,FALSE),DF45&lt;=IF(AND(Optimisation!$B$3="Yes",Optimisation!$B$4=1),Optimisation!$B$9,VLOOKUP($DG$8,Treecost!$B$2:$AH$49,Treecost!$R$2,FALSE))),VLOOKUP($DG$8,Treecost!$B$2:$AH$49,Treecost!$S$2,FALSE)*(1-CN45),0)*IF(DF45&gt;='Options and results'!$K$25,'Options and results'!$K$24,1),0))</f>
        <v>0</v>
      </c>
      <c r="EX45" s="740">
        <f>IF($DG$8=0,0,IF(DF45&lt;='Options and results'!$W$20,(IF(AND(VLOOKUP($DG$8,Treecost!$B$2:$AH$49,Treecost!$O$2,FALSE)=DF45,DF45&lt;=IF(AND(Optimisation!$B$3="Yes",Optimisation!$B$4=1),Optimisation!$B$9)),VLOOKUP($DG$8,Treecost!$B$2:$AH$49,Treecost!$Q$2,FALSE),0)*(1-CN45)+IF(AND(DF45&gt;VLOOKUP($DG$8,Treecost!$B$2:$AH$49,Treecost!$O$2,FALSE),DF45&lt;=IF(AND(Optimisation!$B$3="Yes",Optimisation!$B$4=1),Optimisation!$B$9,VLOOKUP($DG$8,Treecost!$B$2:$AH$49,Treecost!$R$2,FALSE))),VLOOKUP($DG$8,Treecost!$B$2:$AH$49,Treecost!$T$2,FALSE),0)*(1-CN45)+(EV45*$EI$16+EW45*$EI$17))*IF(DF45&gt;='Options and results'!$K$27,'Options and results'!$K$26,1),0))*IF(1+'Options and results'!$Q$21*(DF45-1)&gt;0,1+'Options and results'!$Q$21*(DF45-1),0)</f>
        <v>0</v>
      </c>
      <c r="EY45" s="894">
        <f>IF($DG$8=0,0,IF(DF45&lt;='Options and results'!$W$20,IF(AND(DF45&gt;=VLOOKUP($DG$8,Treecost!$B$2:$W$49,Treecost!$U$2,FALSE),DF45&lt;=VLOOKUP($DG$8,Treecost!$B$2:$W$49,Treecost!$V$2,FALSE)),(DL45*VLOOKUP($DG$8,Treecost!$B$2:$W$49,Treecost!$W$2,FALSE)/60),0)*IF(DF45&gt;='Options and results'!$K$25,'Options and results'!$K$24,1),0))</f>
        <v>0</v>
      </c>
      <c r="EZ45" s="740">
        <f>EY45*$EI$18*IF(DF45&gt;='Options and results'!$K$27,'Options and results'!$K$26,1)*IF(1+'Options and results'!$Q$21*(DF45-1)&gt;0,1+'Options and results'!$Q$21*(DF45-1),0)</f>
        <v>0</v>
      </c>
      <c r="FA45" s="1025">
        <f>IF(DF45&lt;='Options and results'!$W$20,IF(DL45&lt;=0,0,VLOOKUP($DG$8,Treecost!$B$6:$AH$49,Treecost!$AC$2,FALSE)+VLOOKUP($DG$8,Treecost!$B$6:$AH$49,Treecost!$AD$2,FALSE)+IF(AND(DF45&gt;=VLOOKUP($DG$8,Treecost!$B$2:$AK$49,Treecost!$AI$2,FALSE),DF45&lt;=VLOOKUP($DG$8,Treecost!$B$2:$AK$49,Treecost!$AJ$2,FALSE)),VLOOKUP($DG$8,Treecost!$B$2:$AK$49,Treecost!$AK$2,FALSE)*(1-CN45),0))*IF(DF45&gt;='Options and results'!$K$27,'Options and results'!$K$26,1),0)*IF(1+'Options and results'!$Q$22*(DF45-1)&gt;0,1+'Options and results'!$Q$22*(DF45-1),0)</f>
        <v>0</v>
      </c>
      <c r="FB45" s="894">
        <f>IF(DF45&lt;='Options and results'!$W$20,IF(DN45&gt;0,VLOOKUP($DG$8,Treecost!$B$6:$AH$49,Treecost!$AE$2,FALSE)/60*DN45,0)*IF(DF45&gt;='Options and results'!$K$25,'Options and results'!$K$24,1),0)</f>
        <v>0</v>
      </c>
      <c r="FC45" s="740">
        <f>IF(DF45&lt;='Options and results'!$W$20,IF(DN45&gt;0,VLOOKUP($DG$8,Treecost!$B$6:$AH$49,Treecost!$AF$2,FALSE)/60*DN45,0)*IF(DF45&gt;='Options and results'!$K$25,'Options and results'!$K$24,1),0)</f>
        <v>0</v>
      </c>
      <c r="FD45" s="740">
        <f>(FB45*$EI$20+FC45*$EI$21)*IF(DF45&gt;='Options and results'!$K$27,'Options and results'!$K$26,1)*IF(1+'Options and results'!$Q$21*(DF45-1)&gt;0,1+'Options and results'!$Q$21*(DF45-1),0)</f>
        <v>0</v>
      </c>
      <c r="FE45" s="894">
        <f>IF(DF45&lt;='Options and results'!$W$20,IF(DO45&gt;0,(VLOOKUP($DG$8,Treecost!$B$6:$AH$49,Treecost!$AG$2,FALSE)/60*DO45)*IF(DF45&gt;='Options and results'!$K$25,'Options and results'!$K$24,1),0),0)</f>
        <v>0</v>
      </c>
      <c r="FF45" s="740">
        <f>IF(DF45&lt;='Options and results'!$W$20,IF(DO45&gt;0,(VLOOKUP($DG$8,Treecost!$B$6:$AH$49,Treecost!$AH$2,FALSE)/60*DO45)*IF(DF45&gt;='Options and results'!$K$25,'Options and results'!$K$24,1),0),0)</f>
        <v>0</v>
      </c>
      <c r="FG45" s="740">
        <f>(FE45*$EI$22+FF45*$EI$23)*IF(DF45&gt;='Options and results'!$K$27,'Options and results'!$K$26,1)*IF(1+'Options and results'!$Q$21*(DF45-1)&gt;0,1+'Options and results'!$Q$21*(DF45-1),0)</f>
        <v>0</v>
      </c>
      <c r="FH45" s="894">
        <f t="shared" si="157"/>
        <v>0</v>
      </c>
      <c r="FI45" s="1027">
        <f t="shared" si="158"/>
        <v>0</v>
      </c>
      <c r="FJ45" s="1027">
        <f t="shared" si="159"/>
        <v>0</v>
      </c>
      <c r="FK45" s="1027">
        <f t="shared" si="160"/>
        <v>0</v>
      </c>
      <c r="FL45" s="1027">
        <f t="shared" ref="FL45:FL62" si="190">FI45-FK45</f>
        <v>0</v>
      </c>
      <c r="FM45" s="1027">
        <f>IF($DF45&lt;='Options and results'!$W$20,SUM(FI$8:$FI45),0)</f>
        <v>0</v>
      </c>
      <c r="FN45" s="1027">
        <f>IF($DF45&lt;='Options and results'!$W$20,SUM($FJ$8:FJ45),0)</f>
        <v>0</v>
      </c>
      <c r="FO45" s="1027">
        <f>IF($DF45&lt;='Options and results'!$W$20,SUM($FK$8:FK45),0)</f>
        <v>0</v>
      </c>
      <c r="FP45" s="1027">
        <f>IF($DF45&lt;='Options and results'!$W$20,FM45+FN45-FO45,0)</f>
        <v>0</v>
      </c>
      <c r="FQ45" s="1027">
        <f t="shared" si="162"/>
        <v>0</v>
      </c>
      <c r="FR45" s="1027">
        <f t="shared" si="163"/>
        <v>0</v>
      </c>
      <c r="FS45" s="1027">
        <f t="shared" si="164"/>
        <v>0</v>
      </c>
      <c r="FT45" s="1189">
        <f>IF(DF45&lt;='Options and results'!$W$20,FP45+DZ45,0)</f>
        <v>0</v>
      </c>
      <c r="FU45" s="401"/>
      <c r="FV45" s="895">
        <f t="shared" si="165"/>
        <v>38</v>
      </c>
      <c r="FW45" s="894">
        <f>G45/(1+'Options and results'!$W$33)^(FV45-1)</f>
        <v>0</v>
      </c>
      <c r="FX45" s="740">
        <f>(AP45+AR45+AS45)/(1+'Options and results'!$W$33)^(FV45-1)</f>
        <v>0</v>
      </c>
      <c r="FY45" s="740">
        <f>CQ45/(1+'Options and results'!$W$33)^(FV45-1)</f>
        <v>0</v>
      </c>
      <c r="FZ45" s="740">
        <f>(EA45+EC45+ED45)/(1+'Options and results'!$W$33)^(FV45-1)</f>
        <v>0</v>
      </c>
      <c r="GA45" s="1019">
        <f t="shared" si="180"/>
        <v>0</v>
      </c>
      <c r="GB45" s="1026">
        <f>(AO45+AQ45)/(1+'Options and results'!$W$33)^(FV45-1)+FX45</f>
        <v>0</v>
      </c>
      <c r="GC45" s="1027">
        <f>IF(FV45&gt;'Options and results'!$W$27,0,GB45-GB44)</f>
        <v>0</v>
      </c>
      <c r="GD45" s="1027">
        <f>(DZ45+EB45)/(1+'Options and results'!$W$33)^(FV45-1)+FZ45</f>
        <v>0</v>
      </c>
      <c r="GE45" s="1379">
        <f>IF(FV45&gt;'Options and results'!$W$27,0,GD45-GD44)</f>
        <v>0</v>
      </c>
      <c r="GF45" s="894">
        <f>IF(FV45&lt;='Options and results'!$W$20,SUM(FW$8:FW45),0)</f>
        <v>0</v>
      </c>
      <c r="GG45" s="740">
        <f>IF(FV45&lt;='Options and results'!$W$20,SUM(FX$8:FX45), 0)</f>
        <v>0</v>
      </c>
      <c r="GH45" s="740">
        <f>IF(FV45&lt;='Options and results'!$W$20,SUM(FY$8:FY45),0)</f>
        <v>0</v>
      </c>
      <c r="GI45" s="740">
        <f>IF(FV45&lt;='Options and results'!$W$20,SUM(FZ$8:FZ45),0)</f>
        <v>0</v>
      </c>
      <c r="GJ45" s="1019">
        <f t="shared" si="166"/>
        <v>0</v>
      </c>
      <c r="GK45" s="894">
        <f>IF(FV45&gt;'Options and results'!$W$27,0,GG45+SUM(GC$8:GC45)-FX45)</f>
        <v>0</v>
      </c>
      <c r="GL45" s="740">
        <f>IF(FV45&lt;='Options and results'!$W$20,SUM(GD$8:GD45),0)</f>
        <v>0</v>
      </c>
      <c r="GM45" s="1034">
        <f t="shared" si="167"/>
        <v>0</v>
      </c>
      <c r="GN45" s="401"/>
      <c r="GO45" s="895">
        <f t="shared" si="168"/>
        <v>38</v>
      </c>
      <c r="GP45" s="894">
        <f>H45/(1+'Options and results'!$W$33)^(GO45-1)</f>
        <v>0</v>
      </c>
      <c r="GQ45" s="740">
        <f>SUM(AT45:AV45)/(1+'Options and results'!$W$33)^(GO45-1)</f>
        <v>0</v>
      </c>
      <c r="GR45" s="740">
        <f>CR45/(1+'Options and results'!$W$33)^(GO45-1)</f>
        <v>0</v>
      </c>
      <c r="GS45" s="740">
        <f>SUM(EE45:EG45)/(1+'Options and results'!$W$33)^(GO45-1)</f>
        <v>0</v>
      </c>
      <c r="GT45" s="1019">
        <f t="shared" si="181"/>
        <v>0</v>
      </c>
      <c r="GU45" s="894">
        <f>IF(GO45&lt;='Options and results'!$W$20,SUM(GP$8:GP45),0)</f>
        <v>0</v>
      </c>
      <c r="GV45" s="740">
        <f>IF(GO45&lt;='Options and results'!$W$20,SUM(GQ$8:GQ45),0)</f>
        <v>0</v>
      </c>
      <c r="GW45" s="740">
        <f>IF(GO45&lt;='Options and results'!$W$20,SUM(GR$8:GR45),0)</f>
        <v>0</v>
      </c>
      <c r="GX45" s="740">
        <f>IF(GO45&lt;='Options and results'!$W$20,SUM(GS$8:GS45),0)</f>
        <v>0</v>
      </c>
      <c r="GY45" s="1034">
        <f>IF(GO45&lt;='Options and results'!$W$20,SUM(GT$8:GT45),0)</f>
        <v>0</v>
      </c>
      <c r="GZ45" s="401"/>
      <c r="HA45" s="895">
        <f t="shared" si="169"/>
        <v>38</v>
      </c>
      <c r="HB45" s="1026">
        <f>(J45+L45+(M45*N45))/(1+'Options and results'!$W$33)^(HA45-1)</f>
        <v>0</v>
      </c>
      <c r="HC45" s="740">
        <f>BZ45/(1+'Options and results'!$W$33)^(HA45-1)</f>
        <v>0</v>
      </c>
      <c r="HD45" s="1027">
        <f>(CT45+CV45+(CW45*CX45))/(1+'Options and results'!$W$33)^(HA45-1)</f>
        <v>0</v>
      </c>
      <c r="HE45" s="740">
        <f>FK45/(1+'Options and results'!$W$33)^(HA45-1)</f>
        <v>0</v>
      </c>
      <c r="HF45" s="1019">
        <f t="shared" si="182"/>
        <v>0</v>
      </c>
      <c r="HG45" s="894">
        <f>IF(HA45&lt;='Options and results'!$W$20,SUM(HB$8:HB45),0)</f>
        <v>0</v>
      </c>
      <c r="HH45" s="740">
        <f>IF(HA45&lt;='Options and results'!$W$20,SUM(HC$8:HC45),0)</f>
        <v>0</v>
      </c>
      <c r="HI45" s="740">
        <f>IF(HA45&lt;='Options and results'!$W$20,SUM(HD$8:HD45),0)</f>
        <v>0</v>
      </c>
      <c r="HJ45" s="740">
        <f>IF(HA45&lt;='Options and results'!$W$20,SUM(HE$8:HE45),0)</f>
        <v>0</v>
      </c>
      <c r="HK45" s="1034">
        <f>IF(HA45&lt;='Options and results'!$W$20,SUM(HF$8:HF45),0)</f>
        <v>0</v>
      </c>
      <c r="HL45" s="405"/>
      <c r="HM45" s="895">
        <f t="shared" si="189"/>
        <v>38</v>
      </c>
      <c r="HN45" s="1026">
        <f t="shared" si="171"/>
        <v>0</v>
      </c>
      <c r="HO45" s="1027">
        <f t="shared" si="172"/>
        <v>0</v>
      </c>
      <c r="HP45" s="1027">
        <f t="shared" si="173"/>
        <v>0</v>
      </c>
      <c r="HQ45" s="1027">
        <f t="shared" si="174"/>
        <v>0</v>
      </c>
      <c r="HR45" s="1027">
        <f t="shared" si="175"/>
        <v>0</v>
      </c>
      <c r="HS45" s="1379">
        <f t="shared" si="176"/>
        <v>0</v>
      </c>
      <c r="HT45" s="1026">
        <f>IF($HM45&lt;='Options and results'!$W$20,SUM(HN$8:HN45),0)</f>
        <v>0</v>
      </c>
      <c r="HU45" s="1027">
        <f>IF($HM45&lt;='Options and results'!$W$20,SUM(HO$8:HO45),0)</f>
        <v>0</v>
      </c>
      <c r="HV45" s="1027">
        <f>IF($HM45&lt;='Options and results'!$W$20,SUM(HP$8:HP45),0)</f>
        <v>0</v>
      </c>
      <c r="HW45" s="1027">
        <f>IF($HM45&lt;='Options and results'!$W$20,SUM(HQ$8:HQ45),0)</f>
        <v>0</v>
      </c>
      <c r="HX45" s="1027">
        <f t="shared" si="177"/>
        <v>0</v>
      </c>
      <c r="HY45" s="1027">
        <f>IF($HM45&lt;='Options and results'!$W$20,SUM(HR$8:HR45),0)</f>
        <v>0</v>
      </c>
      <c r="HZ45" s="1027">
        <f>IF($HM45&lt;='Options and results'!$W$20,SUM(HS$8:HS45),0)</f>
        <v>0</v>
      </c>
      <c r="IA45" s="1189">
        <f t="shared" si="178"/>
        <v>0</v>
      </c>
    </row>
    <row r="46" spans="1:235" x14ac:dyDescent="0.25">
      <c r="A46" s="1010">
        <f t="shared" si="126"/>
        <v>39</v>
      </c>
      <c r="B46" s="1011" t="str">
        <f>IF('Options and results'!$C$17="None",0,CONCATENATE('Options and results'!$C$23," ",(HLOOKUP(CONCATENATE('Options and results'!$C$17," ",Arablesystem!$B$11),Arablesystem!$B$10:$ER$72,$A46+3,FALSE))))</f>
        <v xml:space="preserve">UK - Agriculture (BPS: from 2015) </v>
      </c>
      <c r="C46" s="1012">
        <f>IF(HLOOKUP(CONCATENATE('Options and results'!$C$17," ",Arablesystem!$C$11),Arablesystem!$B$10:$ER$72,$A46+3,FALSE)="T",(VLOOKUP(B46,Arablefinance!$Z$6:$AB$105,Arablefinance!$AB$2,FALSE)*E46+VLOOKUP(B46,Arablefinance!$Z$6:$AC$105,Arablefinance!$AC$2,FALSE)*F46)/VLOOKUP(B46,Arablefinance!$Z$6:$AA$105,Arablefinance!$AA$2,FALSE),0)</f>
        <v>0</v>
      </c>
      <c r="D46" s="1012">
        <f>IF(B46=0,0,HLOOKUP(CONCATENATE('Options and results'!$C$17," ",Arablesystem!$D$11),Arablesystem!$B$10:$ER$72,$A46+3,FALSE))</f>
        <v>0</v>
      </c>
      <c r="E46" s="1440">
        <f>IF(B46=0,0,HLOOKUP(CONCATENATE('Options and results'!$C$17," ",Arablesystem!$E$11),Arablesystem!$B$10:$ER$72,$A46+3,FALSE)*IF(A46&gt;='Options and results'!$H$19,'Options and results'!$H$18,1))</f>
        <v>0</v>
      </c>
      <c r="F46" s="1440">
        <f>IF(B46=0,0,HLOOKUP(CONCATENATE('Options and results'!$C$17," ",Arablesystem!$F$11),Arablesystem!$B$10:$ER$72,$A46+3,FALSE)*IF(A46&gt;='Options and results'!$H$19,'Options and results'!$H$18,1))</f>
        <v>0</v>
      </c>
      <c r="G46" s="1013">
        <f>IF(D46&lt;=0,0,IF(A46&lt;='Options and results'!$W$20,IF(C46&gt;0,VLOOKUP(B46,Arablefinance!$Z$6:$AE$105,Arablefinance!$AD$2,FALSE)*C46*D46,((VLOOKUP(B46,Arablefinance!$E$6:$G$126,Arablefinance!$F$2,FALSE)*(E46*D46)+VLOOKUP(B46,Arablefinance!$E$6:$G$126,Arablefinance!$G$2,FALSE)*(F46*D46)))),0)*IF(A46&gt;='Options and results'!$H$21,'Options and results'!$H$20,1))*IF(1+'Options and results'!$O$20*(A46-1)&gt;0,1+'Options and results'!$O$20*(A46-1),0)</f>
        <v>0</v>
      </c>
      <c r="H46" s="1441">
        <f>IF(D46&lt;=0,0,IF(A46&lt;='Options and results'!$W$20,IF(AND(C46&gt;0,VLOOKUP(B46,Arablefinance!$Z$6:$AI$105,Arablefinance!$AI$2,FALSE)=2),VLOOKUP(B46,Arablefinance!$Z$6:$AE$105,Arablefinance!$AE$2,FALSE)*C46*D46,(VLOOKUP(B46,Arablefinance!$E$6:$H$126,Arablefinance!$H$2,FALSE)*D46))*IF(A46&gt;='Options and results'!$H$23,'Options and results'!$H$22,1),0)*IF(AND(1+'Options and results'!$O$23*(A46-1)&gt;0,1+'Options and results'!$O$23*(A46-1)&gt;'Options and results'!$S$24),1+'Options and results'!$O$23*(A46-1),'Options and results'!$S$24))</f>
        <v>0</v>
      </c>
      <c r="I46" s="1441">
        <f t="shared" si="127"/>
        <v>0</v>
      </c>
      <c r="J46" s="1441">
        <f>IF(D46&lt;=0,0,IF(A46&lt;='Options and results'!$W$20,IF(C46&gt;0,VLOOKUP(B46,Arablefinance!$Z$6:$AF$105,Arablefinance!$AF$2,FALSE)*C46*D46,(VLOOKUP(B46,Arablefinance!$E$6:$X$126,Arablefinance!$R$2,FALSE))*D46),0)*IF(A46&gt;='Options and results'!$H$27,'Options and results'!$H$26,1))*IF(1+'Options and results'!$O$22*(A46-1)&gt;0,1+'Options and results'!$O$22*(A46-1),0)</f>
        <v>0</v>
      </c>
      <c r="K46" s="1441">
        <f t="shared" si="128"/>
        <v>0</v>
      </c>
      <c r="L46" s="1441">
        <f>IF(D46&lt;=0,0,IF(A46&lt;='Options and results'!$W$20,IF(C46&gt;0,VLOOKUP(B46,Arablefinance!$Z$6:$AG$105,Arablefinance!$AG$2,FALSE)*C46*D46,VLOOKUP(B46,Arablefinance!$E$6:$X$126,Arablefinance!$X$2,FALSE)*D46),0)*IF(A46&gt;='Options and results'!$H$27,'Options and results'!$H$26,1))*IF(1+'Options and results'!$O$22*(A46-1)&gt;0,1+'Options and results'!$O$22*(A46-1),0)</f>
        <v>0</v>
      </c>
      <c r="M46" s="1442">
        <f>IF(D46&lt;=0,0,IF(A46&lt;='Options and results'!$W$20,'Options and results'!$C$27,0)*IF(A46&gt;='Options and results'!$H$27,'Options and results'!$H$26,1))*IF(1+'Options and results'!$O$21*(A46-1)&gt;0,1+'Options and results'!$O$21*(A46-1),0)</f>
        <v>0</v>
      </c>
      <c r="N46" s="1442">
        <f>IF(D46&lt;=0,0,IF(A46&lt;='Options and results'!$W$20,IF(C46&gt;0,VLOOKUP(B46,Arablefinance!$Z$6:$AH$105,Arablefinance!$AH$2,FALSE)*C46*D46,VLOOKUP(B46,Arablefinance!$E$6:$W$126,Arablefinance!$V$2,FALSE)*D46),0)*IF(A46&gt;='Options and results'!$H$25,'Options and results'!$H$24,1))</f>
        <v>0</v>
      </c>
      <c r="O46" s="1013">
        <f t="shared" si="129"/>
        <v>0</v>
      </c>
      <c r="P46" s="1353">
        <f t="shared" si="130"/>
        <v>0</v>
      </c>
      <c r="Q46" s="1013">
        <f>IF(A46&lt;='Options and results'!$W$20,SUM(G$8:$G46),0)</f>
        <v>0</v>
      </c>
      <c r="R46" s="1441">
        <f>IF($A46&lt;='Options and results'!$W$20,SUM($H$8:H46),0)</f>
        <v>0</v>
      </c>
      <c r="S46" s="1441">
        <f>IF($A46&lt;='Options and results'!$W$20,SUM($O$8:O46),0)</f>
        <v>0</v>
      </c>
      <c r="T46" s="1032">
        <f>IF(A46&lt;='Options and results'!$W$20,Q46+R46-S46,0)</f>
        <v>0</v>
      </c>
      <c r="U46" s="405"/>
      <c r="V46" s="1010">
        <f t="shared" si="131"/>
        <v>39</v>
      </c>
      <c r="W46" s="173"/>
      <c r="X46" s="1036"/>
      <c r="Y46" s="1030">
        <f>IF(V46&lt;='Options and results'!$M$34,'Options and results'!$M$33,0)</f>
        <v>0</v>
      </c>
      <c r="Z46" s="1441">
        <f t="shared" si="132"/>
        <v>0</v>
      </c>
      <c r="AA46" s="1441">
        <f t="shared" si="133"/>
        <v>0</v>
      </c>
      <c r="AB46" s="1428">
        <f t="shared" si="134"/>
        <v>0</v>
      </c>
      <c r="AC46" s="1441">
        <f>IF($W$8=0,0,IF(HLOOKUP(CONCATENATE('Options and results'!$C$32," ",Forestrysystem!$C$8),Forestrysystem!$A$7:$IH$70,V46+4,FALSE)&lt;AB46,HLOOKUP(CONCATENATE('Options and results'!$C$32," ",Forestrysystem!$C$8),Forestrysystem!$A$7:$IH$70,V46+4,FALSE),0))</f>
        <v>0</v>
      </c>
      <c r="AD46" s="1441">
        <f>IF($W$8=0,0,IF(HLOOKUP(CONCATENATE('Options and results'!$C$32," ",Forestrysystem!$C$8),Forestrysystem!$A$7:$IH$70,V46+4,FALSE)&gt;=AB46,AB46,0))</f>
        <v>0</v>
      </c>
      <c r="AE46" s="1440">
        <f>IF($W$8=0,0,HLOOKUP(CONCATENATE('Options and results'!$C$32," ",Forestrysystem!$D$8),Forestrysystem!$A$7:$IH$70,$V46+4,FALSE))</f>
        <v>0</v>
      </c>
      <c r="AF46" s="1037"/>
      <c r="AG46" s="1440">
        <f>IF($W$8=0,0,IF(V46=1,'Options and results'!$M$36,0)+IF('Options and results'!$M$39="yes",IF(AND(AG45+'Options and results'!$M$37&lt;=$AF$8,AG45+'Options and results'!$M$37+IF(V46=1,'Options and results'!$M$36,0)&lt;='Options and results'!$M$38*AE46),AG45+'Options and results'!$M$37,AG45),(HLOOKUP(CONCATENATE('Options and results'!$C$32," ",Forestrysystem!$E$8),Forestrysystem!$A$7:$IH$70,V46+4,FALSE))-IF(V46=1,'Options and results'!$M$36,0)))</f>
        <v>0</v>
      </c>
      <c r="AH46" s="1442">
        <f>IF(OR($W$8=0,AB46&lt;=0),0,(HLOOKUP(CONCATENATE('Options and results'!$C$32," ",Forestrysystem!$F$8),Forestrysystem!$A$7:$IH$70,$V46+4,FALSE)) * IF(V46&gt;='Options and results'!$I$19,'Options and results'!$I$18,1) )</f>
        <v>0</v>
      </c>
      <c r="AI46" s="1452">
        <f t="shared" si="179"/>
        <v>0</v>
      </c>
      <c r="AJ46" s="1442">
        <f t="shared" si="135"/>
        <v>0</v>
      </c>
      <c r="AK46" s="1453">
        <f>IF(OR($W$8=0,AE46&lt;=0),0,(HLOOKUP(CONCATENATE('Options and results'!$C$32," ",Forestrysystem!$G$8),Forestrysystem!$A$7:$IH$70,$V46+4,FALSE)) * IF(Y46&gt;='Options and results'!$I$19,'Options and results'!$I$18,1) )</f>
        <v>0</v>
      </c>
      <c r="AL46" s="1453">
        <f>IF($W$8=0,0,HLOOKUP(CONCATENATE('Options and results'!$C$32," ",Forestrysystem!$H$8),Forestrysystem!$A$7:$IH$70,$V46+4,FALSE)*IF(V46&gt;='Options and results'!$I$19,'Options and results'!$I$18,1))</f>
        <v>0</v>
      </c>
      <c r="AM46" s="1383">
        <f>IF($W$8=0,0,HLOOKUP(CONCATENATE('Options and results'!$C$32," ",Forestrysystem!$I$8),Forestrysystem!$A$7:$IH$70,$V46+4,FALSE)*IF(V46&gt;='Options and results'!$I$19,'Options and results'!$I$18,1))</f>
        <v>0</v>
      </c>
      <c r="AN46" s="1382">
        <f>IF(AI46&gt;0,HLOOKUP(AI46,Treevalue!$I$4:$BC$34,'Options and results'!$C$39+1),0)*IF(V46&gt;='Options and results'!$I$21,'Options and results'!$I$20,1)*IF(1+'Options and results'!$Q$20*(V46-1)&gt;0,1+'Options and results'!$Q$20*(V46-1),0)</f>
        <v>0</v>
      </c>
      <c r="AO46" s="1454">
        <f t="shared" si="136"/>
        <v>0</v>
      </c>
      <c r="AP46" s="1454">
        <f t="shared" si="187"/>
        <v>0</v>
      </c>
      <c r="AQ46" s="1454">
        <f>(IF('Options and results'!$C$39&gt;0,IF(V46&lt;='Options and results'!$W$20,VLOOKUP('Options and results'!$C$39,Treevalue!$A$4:$F$34,5,FALSE),0),0)*AK46)*IF(V46&gt;='Options and results'!$I$21,'Options and results'!$I$20,1)*IF(1+'Options and results'!$Q$20*(V46-1)&gt;0,1+'Options and results'!$Q$20*(V46-1),0)-AR46</f>
        <v>0</v>
      </c>
      <c r="AR46" s="1441">
        <f>(IF('Options and results'!$C$39&gt;0,IF(V46&lt;='Options and results'!$W$20,VLOOKUP('Options and results'!$C$39,Treevalue!$A$4:$F$34,5,FALSE),0),0)*AL46)*IF(V46&gt;='Options and results'!$I$21,'Options and results'!$I$20,1)*IF(1+'Options and results'!$Q$20*(V46-1)&gt;0,1+'Options and results'!$Q$20*(V46-1),0)</f>
        <v>0</v>
      </c>
      <c r="AS46" s="1441">
        <f>(IF('Options and results'!$C$39&gt;0,IF(V46&lt;='Options and results'!$W$20,VLOOKUP('Options and results'!$C$39,Treevalue!$A$4:$F$34,6,FALSE),0),0)*AM46)*IF(V46&gt;='Options and results'!$I$21,'Options and results'!$I$20,1)*IF(1+'Options and results'!$Q$20*(V46-1)&gt;0,1+'Options and results'!$Q$20*(V46-1),0)</f>
        <v>0</v>
      </c>
      <c r="AT46" s="1441">
        <f>IF(V46&lt;='Options and results'!$W$20,(IF(AB46&lt;=0,0,IF('Options and results'!$C$43="cost",(IF(V46&lt;='Options and results'!$C$44,BZ46*SUM('Options and results'!$C$45:$C$46),0)),IF('Options and results'!$C$41&gt;0,(IF(VLOOKUP('Options and results'!$C$42,Treegrant!$B$6:$L$42,Treegrant!$C$2,FALSE)=V46,VLOOKUP('Options and results'!$C$42,Treegrant!$B$6:$L$42,Treegrant!$D$2,FALSE),0)+IF(VLOOKUP('Options and results'!$C$42,Treegrant!$B$6:$L$42,Treegrant!$E$2,FALSE)=V46,VLOOKUP('Options and results'!$C$42,Treegrant!$B$6:$L$42,Treegrant!$F$2,FALSE),0)+IF(VLOOKUP('Options and results'!$C$42,Treegrant!$B$6:$L$42,Treegrant!$G$2,FALSE)=V46,VLOOKUP('Options and results'!$C$42,Treegrant!$B$6:$L$42,Treegrant!$H$2,FALSE)))*IF('Options and results'!$C$43="area",1,'Options and results'!$C$43),0)))*IF(V46&gt;='Options and results'!$I$23,'Options and results'!$I$22,1)),0)*IF(1+'Options and results'!$Q$23*(V46-1)&gt;0,1+'Options and results'!$Q$23*(V46-1),0)</f>
        <v>0</v>
      </c>
      <c r="AU46" s="1441">
        <f>IF($W$8=0,0,IF(V46&lt;='Options and results'!$W$20,IF(AB46&lt;=0,0,IF('Options and results'!$C$41&gt;0,IF(AND(VLOOKUP('Options and results'!$C$42,Treegrant!$B$6:$L$42,Treegrant!$J$2,FALSE)&lt;=V46,VLOOKUP('Options and results'!$C$42,Treegrant!$B$6:$L$42,Treegrant!$K$2,FALSE)&gt;=V46),(VLOOKUP('Options and results'!$C$42,Treegrant!$B$6:$L$42,Treegrant!$L$2,FALSE)),0)*IF('Options and results'!$C$47="full",1,'Options and results'!$C$47))*IF(V46&gt;='Options and results'!$I$23,'Options and results'!$I$22,1)),0))*IF(1+'Options and results'!$Q$23*(V46-1)&gt;0,1+'Options and results'!$Q$23*(V46-1),0)</f>
        <v>0</v>
      </c>
      <c r="AV46" s="1032">
        <f>IF($W$8=0,0,IF(V46&lt;='Options and results'!$W$20,IF(AB46&lt;=0,0,(IF('Options and results'!$C$41&gt;0,(IF(AND(VLOOKUP('Options and results'!$C$42,Treegrant!$B$6:$O$42,Treegrant!$M$2,FALSE)&lt;=V46,VLOOKUP('Options and results'!$C$42,Treegrant!$B$6:$O$42,Treegrant!$N$2,FALSE)&gt;=V46),(VLOOKUP('Options and results'!$C$42,Treegrant!$B$6:$O$42,Treegrant!$O$2,FALSE)),0)*IF('Options and results'!$C$48="full",1,'Options and results'!$C$48))+(IF(AND(VLOOKUP('Options and results'!$C$42,Treegrant!$B$6:$R$42,Treegrant!$P$2,FALSE)&lt;=V46,VLOOKUP('Options and results'!$C$42,Treegrant!$B$6:$R$42,Treegrant!$Q$2,FALSE)&gt;=V46),(VLOOKUP('Options and results'!$C$42,Treegrant!$B$6:$R$42,Treegrant!$R$2,FALSE)),0))*IF('Options and results'!$C$49="full",1,'Options and results'!$C$49)))*IF(V46&gt;='Options and results'!$I$23,'Options and results'!$I$22,1)),0))*IF(1+'Options and results'!$Q$23*(V46-1)&gt;0,1+'Options and results'!$Q$23*(V46-1),0)</f>
        <v>0</v>
      </c>
      <c r="AW46" s="1041"/>
      <c r="AX46" s="1042"/>
      <c r="AY46" s="1419">
        <f>IF($W$8=0,0,IF(V46=1,VLOOKUP($W$8,Treecost!$B$6:$AH$49,Treecost!$E$2,FALSE),0)*IF(V46&gt;='Options and results'!$I$25,'Options and results'!$I$24,1))</f>
        <v>0</v>
      </c>
      <c r="AZ46" s="889">
        <f>IF($W$8=0,0,IF(V46=1,VLOOKUP($W$8,Treecost!$B$6:$AH$49,Treecost!$F$2,FALSE),0)*IF(V46&gt;='Options and results'!$I$25,'Options and results'!$I$24,1))</f>
        <v>0</v>
      </c>
      <c r="BA46" s="889">
        <f>IF($W$8=0,0,IF(V46=1,VLOOKUP($W$8,Treecost!$B$6:$AH$49,Treecost!$G$2,FALSE),0)*IF(V46&gt;='Options and results'!$I$25,'Options and results'!$I$24,1))</f>
        <v>0</v>
      </c>
      <c r="BB46" s="889">
        <f>IF($W$8=0,0,IF(V46&lt;='Options and results'!$W$20,((VLOOKUP($W$8,Treecost!$B$6:$AH$49,Treecost!$H$2,FALSE)*(X46+AA46))/60)*IF(V46&gt;='Options and results'!$I$25,'Options and results'!$I$24,1),0))</f>
        <v>0</v>
      </c>
      <c r="BC46" s="889">
        <f>IF($W$8=0,0,IF(V46&lt;='Options and results'!$W$20,(((VLOOKUP($W$8,Treecost!$B$6:$AH$49,Treecost!$I$2,FALSE))*(X46+AA46))/60)*IF(V46&gt;='Options and results'!$I$25,'Options and results'!$I$24,1),0))</f>
        <v>0</v>
      </c>
      <c r="BD46" s="889">
        <f>IF($W$8=0,0,IF(V46&lt;='Options and results'!$W$20,(((VLOOKUP($W$8,Treecost!$B$6:$AH$49,Treecost!$J$2,FALSE))/60)*(X46+AA46))*IF(V46&gt;='Options and results'!$I$25,'Options and results'!$I$24,1),0))</f>
        <v>0</v>
      </c>
      <c r="BE46" s="1019">
        <f>IF($W$8=0,0,IF(V46&lt;='Options and results'!$W$20,(((VLOOKUP($W$8,Treecost!$B$6:$AH$49,Treecost!$C$2,FALSE)+VLOOKUP($W$8,Treecost!$B$6:$AH$49,Treecost!$D$2,FALSE))*(X46+AA46)*IF(1+'Options and results'!$Q$22*(V46-1)&gt;0,1+'Options and results'!$Q$22*(V46-1),0))+((AY46*$AX$8+AZ46*$AX$9+BA46*$AX$10+BB46*$AX$11+BC46*$AX$12+BD46*$AX$13)*IF(1+'Options and results'!$Q$21*(V46-1)&gt;0,1+'Options and results'!$Q$21*(V46-1),0)))*IF(V46&gt;='Options and results'!$I$27,'Options and results'!$I$26,1),0))</f>
        <v>0</v>
      </c>
      <c r="BF46" s="889">
        <f>IF($W$8=0,0,IF(V46&lt;='Options and results'!$W$20,IF(AND(VLOOKUP($W$8,Treecost!$B$6:$AH$49,Treecost!$K$2,FALSE)&lt;=V46,V46&lt;=(VLOOKUP($W$8,Treecost!$B$6:$AH$49,Treecost!$L$2,FALSE))),VLOOKUP($W$8,Treecost!$B$6:$AH$49,Treecost!$M$2,FALSE)*AB46/60,0)*IF(V46&gt;='Options and results'!$I$25,'Options and results'!$I$24,1),0))</f>
        <v>0</v>
      </c>
      <c r="BG46" s="1019">
        <f>IF(BF46&gt;0,(VLOOKUP($W$8,Treecost!$B$6:$AH$49,Treecost!$N$2,FALSE)*AB46*IF(1+'Options and results'!$Q$22*(V46-1)&gt;0,1+'Options and results'!$Q$22*(V46-1),0)+BF46*$AX$14*IF(1+'Options and results'!$Q$21*(V46-1)&gt;0,1+'Options and results'!$Q$21*(V46-1),0)),0)*IF(V46&gt;='Options and results'!$I$27,'Options and results'!$I$26,1)</f>
        <v>0</v>
      </c>
      <c r="BH46" s="889">
        <f>IF(V46&lt;='Options and results'!$W$20,IF(AND(AG46-AG45&gt;0,AG46&gt;'Options and results'!$M$36),(AB46-AC46)*(VLOOKUP($W$8,Treecost!$B$6:$AH$49,Treecost!$Y$2,FALSE)+(VLOOKUP($W$8,Treecost!$B$6:$AH$49,Treecost!$AA$2,FALSE)-VLOOKUP($W$8,Treecost!$B$6:$AH$49,Treecost!$Y$2,FALSE))/(VLOOKUP($W$8,Treecost!$B$6:$AH$49,Treecost!$Z$2,FALSE)-VLOOKUP($W$8,Treecost!$B$6:$AH$49,Treecost!$X$2,FALSE))*(AG46-VLOOKUP($W$8,Treecost!$B$6:$AH$49,Treecost!$X$2,FALSE)))/60,0)*IF(V46&gt;='Options and results'!$I$25,'Options and results'!$I$24,1),0)</f>
        <v>0</v>
      </c>
      <c r="BI46" s="303">
        <f>IF(V46&lt;='Options and results'!$W$20,IF(BH46&gt;0,VLOOKUP($W$8,Treecost!$B$6:$AH$49,Treecost!$AB$2,FALSE)/60*AB46,0)*IF(V46&gt;='Options and results'!$I$25,'Options and results'!$I$24,1),0)*((BH46-(MIN($BH$8:$BH$67)))/((MAX($BH$8:$BH$67))-(MIN($BH$8:$BH$67))))</f>
        <v>0</v>
      </c>
      <c r="BJ46" s="740">
        <f>IF(BH46&gt;0,(BH46*$AX$15+BI46*$AX$19)*IF(1+'Options and results'!$Q$21*(V46-1)&gt;0,1+'Options and results'!$Q$21*(V46-1),0),0)*IF(V46&gt;='Options and results'!$I$27,'Options and results'!$I$26,1)</f>
        <v>0</v>
      </c>
      <c r="BK46" s="891">
        <f>IF($W$8=0,0,IF(V46&lt;='Options and results'!$W$20,IF(VLOOKUP($W$8,Treecost!$B$2:$AH$49,Treecost!$O$2,FALSE)=V46,VLOOKUP($W$8,Treecost!$B$2:$AH$49,Treecost!$P$2,FALSE),0)*IF(V46&gt;='Options and results'!$I$25,'Options and results'!$I$24,1),0))</f>
        <v>0</v>
      </c>
      <c r="BL46" s="889">
        <f>IF($W$8=0,0,IF(V46&lt;='Options and results'!$W$20,IF(AND(V46&gt;VLOOKUP($W$8,Treecost!$B$2:$AH$49,Treecost!$O$2,FALSE),V46&lt;=VLOOKUP($W$8,Treecost!$B$2:$AH$49,Treecost!$R$2,FALSE)),VLOOKUP($W$8,Treecost!$B$2:$AH$49,Treecost!$S$2,FALSE),0)*IF(V46&gt;='Options and results'!$I$25,'Options and results'!$I$24,1),0))</f>
        <v>0</v>
      </c>
      <c r="BM46" s="740">
        <f>IF($W$8=0,0,IF(V46&lt;='Options and results'!$W$20,((IF(VLOOKUP($W$8,Treecost!$B$2:$AH$49,Treecost!$O$2,FALSE)=V46,VLOOKUP($W$8,Treecost!$B$2:$AH$49,Treecost!$Q$2,FALSE),0)+IF(AND(V46&gt;VLOOKUP($W$8,Treecost!$B$2:$AH$49,Treecost!$O$2,FALSE),V46&lt;=VLOOKUP($W$8,Treecost!$B$2:$AH$49,Treecost!$R$2,FALSE)),VLOOKUP($W$8,Treecost!$B$2:$AH$49,Treecost!$T$2,FALSE),0)*IF(1+'Options and results'!$Q$22*(V46-1)&gt;0,1+'Options and results'!$Q$22*(V46-1),0))+(BK46*$AX$16+BL46*$AX$17)*IF(1+'Options and results'!$Q$21*(V46-1)&gt;0,1+'Options and results'!$Q$21*(V46-1),0))*IF(V46&gt;='Options and results'!$I$27,'Options and results'!$I$26,1),0))</f>
        <v>0</v>
      </c>
      <c r="BN46" s="894">
        <f>IF($W$8=0,0,IF(V46&lt;='Options and results'!$W$20,IF(AND(V46&gt;=VLOOKUP($W$8,Treecost!$B$2:$W$49,Treecost!$U$2,FALSE),V46&lt;=VLOOKUP($W$8,Treecost!$B$2:$W$49,Treecost!$V$2,FALSE)),(AB46*VLOOKUP($W$8,Treecost!$B$2:$W$49,Treecost!$W$2,FALSE)/60),0)*IF(V46&gt;='Options and results'!$I$25,'Options and results'!$I$24,1),0))</f>
        <v>0</v>
      </c>
      <c r="BO46" s="740">
        <f>BN46*$AX$18*IF(V46&gt;='Options and results'!$I$27,'Options and results'!$I$26,1)*IF(1+'Options and results'!$Q$21*(V46-1)&gt;0,1+'Options and results'!$Q$21*(V46-1),0)</f>
        <v>0</v>
      </c>
      <c r="BP46" s="894">
        <f>IF(V46&lt;='Options and results'!$W$20,IF(AB46&lt;=0,0,VLOOKUP($W$8,Treecost!$B$6:$AH$49,Treecost!$AC$2,FALSE)+VLOOKUP($W$8,Treecost!$B$6:$AH$49,Treecost!$AD$2,FALSE)+IF(AND(V46&gt;=VLOOKUP($W$8,Treecost!$B$2:$AK$49,Treecost!$AI$2,FALSE),V46&lt;=VLOOKUP($W$8,Treecost!$B$2:$AK$49,Treecost!$AJ$2,FALSE)),(VLOOKUP($W$8,Treecost!$B$2:$AK$49,Treecost!$AK$2,FALSE)),0))*IF(V46&gt;='Options and results'!$I$27,'Options and results'!$I$26,1),0)*IF(1+'Options and results'!$Q$22*(V46-1)&gt;0,1+'Options and results'!$Q$22*(V46-1),0)</f>
        <v>0</v>
      </c>
      <c r="BQ46" s="894">
        <f>IF(V46&lt;='Options and results'!$W$20,IF(AC46&gt;0,VLOOKUP($W$8,Treecost!$B$6:$AH$49,Treecost!$AE$2,FALSE)/60*AC46,0)*IF(V46&gt;='Options and results'!$I$25,'Options and results'!$I$24,1),0)</f>
        <v>0</v>
      </c>
      <c r="BR46" s="740">
        <f>IF(V46&lt;='Options and results'!$W$20,IF(AC46&gt;0,VLOOKUP($W$8,Treecost!$B$6:$AH$49,Treecost!$AF$2,FALSE)/60*AC46,0)*IF(V46&gt;='Options and results'!$I$25,'Options and results'!$I$24,1),0)</f>
        <v>0</v>
      </c>
      <c r="BS46" s="740">
        <f>(BQ46*$AX$20+BR46*$AX$21)*IF(V46&gt;='Options and results'!$I$27,'Options and results'!$I$26,1)*IF(1+'Options and results'!$Q$21*(V46-1)&gt;0,1+'Options and results'!$Q$21*(V46-1),0)</f>
        <v>0</v>
      </c>
      <c r="BT46" s="894">
        <f>IF(V46&lt;='Options and results'!$W$20,IF(AD46&gt;0,(VLOOKUP($W$8,Treecost!$B$6:$AH$49,Treecost!$AG$2,FALSE)/60*AD46)*IF(V46&gt;='Options and results'!$I$25,'Options and results'!$I$24,1),0),0)</f>
        <v>0</v>
      </c>
      <c r="BU46" s="740">
        <f>IF(V46&lt;='Options and results'!$W$20,IF(AD46&gt;0,(VLOOKUP($W$8,Treecost!$B$6:$AH$49,Treecost!$AH$2,FALSE)/60*AD46)*IF(V46&gt;='Options and results'!$I$25,'Options and results'!$I$24,1),0),0)</f>
        <v>0</v>
      </c>
      <c r="BV46" s="740">
        <f>(BT46*$AX$22+BU46*$AX$23)*IF(V46&gt;='Options and results'!$I$27,'Options and results'!$I$26,1)*IF(1+'Options and results'!$Q$21*(V46-1)&gt;0,1+'Options and results'!$Q$21*(V46-1),0)</f>
        <v>0</v>
      </c>
      <c r="BW46" s="1033">
        <f t="shared" si="138"/>
        <v>0</v>
      </c>
      <c r="BX46" s="1027">
        <f t="shared" si="139"/>
        <v>0</v>
      </c>
      <c r="BY46" s="1027">
        <f t="shared" si="140"/>
        <v>0</v>
      </c>
      <c r="BZ46" s="740">
        <f t="shared" si="188"/>
        <v>0</v>
      </c>
      <c r="CA46" s="740">
        <f t="shared" si="141"/>
        <v>0</v>
      </c>
      <c r="CB46" s="894">
        <f>IF($V46&lt;='Options and results'!$W$20,SUM(BX$8:$BX46),0)</f>
        <v>0</v>
      </c>
      <c r="CC46" s="740">
        <f>IF($V46&lt;='Options and results'!$W$20,SUM($BY$8:BY46),0)</f>
        <v>0</v>
      </c>
      <c r="CD46" s="740">
        <f>IF($V46&lt;='Options and results'!$W$20,SUM($BZ$8:BZ46),0)</f>
        <v>0</v>
      </c>
      <c r="CE46" s="740">
        <f>IF(V46&lt;='Options and results'!$W$20,CB46+CC46-CD46,0)</f>
        <v>0</v>
      </c>
      <c r="CF46" s="1381">
        <f t="shared" si="142"/>
        <v>0</v>
      </c>
      <c r="CG46" s="1027">
        <f t="shared" si="143"/>
        <v>0</v>
      </c>
      <c r="CH46" s="1027">
        <f t="shared" si="144"/>
        <v>0</v>
      </c>
      <c r="CI46" s="1189">
        <f>IF(V46&lt;='Options and results'!$W$20,CE46+AO46,0)</f>
        <v>0</v>
      </c>
      <c r="CJ46" s="1023"/>
      <c r="CK46" s="895">
        <f t="shared" si="145"/>
        <v>39</v>
      </c>
      <c r="CL46" s="1011" t="str">
        <f>IF('Options and results'!$C$54="None",0,IF(AND(CK46&gt;='Options and results'!$K$57,CK45&lt;'Options and results'!$W$20),'Options and results'!$K$56,IF(Optimisation!$B$3="No",CONCATENATE('Options and results'!$C$60," ",(HLOOKUP(CONCATENATE('Options and results'!$C$54," ",Agroforestrysystem!$B$12),Agroforestrysystem!$B$11:$IM$74,$CK46+4,FALSE))),Optimisation!AA66)))</f>
        <v xml:space="preserve">UK - Agriculture (BPS: from 2015) </v>
      </c>
      <c r="CM46" s="1012">
        <f>IF(HLOOKUP(CONCATENATE('Options and results'!$C$54," ",Agroforestrysystem!$C$12),Agroforestrysystem!$B$11:$IM$74,$CK46+4,FALSE)="T",(VLOOKUP(CL46,Arablefinance!$Z$6:$AB$105,Arablefinance!$AB$2,FALSE)*CO46+VLOOKUP(CL46,Arablefinance!$Z$6:$AC$105,Arablefinance!$AC$2,FALSE)*CP46)/VLOOKUP(CL46,Arablefinance!$Z$6:$AA$105,Arablefinance!$AA$2,FALSE),0)</f>
        <v>0</v>
      </c>
      <c r="CN46" s="1012">
        <f>IF(CL46=0,0,HLOOKUP(CONCATENATE('Options and results'!$C$54," ",Agroforestrysystem!$D$12),Agroforestrysystem!$B$11:$IM$74,$CK46+4,FALSE))</f>
        <v>0</v>
      </c>
      <c r="CO46" s="1440">
        <f ca="1">IF(CL46=0,0,IF(AND(Optimisation!$B$3="yes",Optimisation!$B$4=1,CK46&gt;Optimisation!$B$9),0,HLOOKUP(CONCATENATE('Options and results'!$C$54," ",Agroforestrysystem!$E$12),Agroforestrysystem!$B$11:$IM$74,$CK46+4,FALSE)*IF(CK46&gt;='Options and results'!$J$19,'Options and results'!$J$18,1)))</f>
        <v>0</v>
      </c>
      <c r="CP46" s="1440">
        <f ca="1">IF(CL46=0,0,IF(AND(Optimisation!$B$3="yes",Optimisation!$B$4=1,CK46&gt;Optimisation!$B$9),0,HLOOKUP(CONCATENATE('Options and results'!$C$54," ",Agroforestrysystem!$F$12),Agroforestrysystem!$B$11:$IM$74,$CK46+4,FALSE)*IF(CK46&gt;='Options and results'!$J$19,'Options and results'!$J$18,1)))</f>
        <v>0</v>
      </c>
      <c r="CQ46" s="1013">
        <f>IF(CN46&lt;=0,0,IF(CK46&lt;='Options and results'!$W$20,IF(CM46&gt;0,VLOOKUP(CL46,Arablefinance!$Z$6:$AE$105,Arablefinance!$AD$2,FALSE)*CM46*CN46,((VLOOKUP(CL46,Arablefinance!$E$6:$H$126,2,FALSE)*CO46+VLOOKUP(CL46,Arablefinance!$E$6:$H$126,3,FALSE)*CP46)*CN46)),0)*IF(CK46&gt;='Options and results'!$J$21,'Options and results'!$J$20,1))*IF(1+'Options and results'!$O$20*(CK46-1)&gt;0,1+'Options and results'!$O$20*(CK46-1),0)</f>
        <v>0</v>
      </c>
      <c r="CR46" s="1441">
        <f>IF(CN46&lt;=0,0,IF(AND(CM46&gt;0,VLOOKUP(CL46,Arablefinance!$Z$6:$AI$105,Arablefinance!$AI$2,FALSE)=2),VLOOKUP(CL46,Arablefinance!$Z$6:$AE$105,Arablefinance!$AE$2,FALSE)*CM46*CN46,IF('Options and results'!$C$62&gt;0,IF(VLOOKUP(CL46,Arablefinance!$E$6:$W$126,Arablefinance!$H$2,FALSE)*(1-Plot!DM46*'Options and results'!$C$62)&gt;0,VLOOKUP(CL46,Arablefinance!$E$6:$W$126,Arablefinance!$H$2,FALSE)*(1-Plot!DM46*'Options and results'!$C$62),0),IF(CK46&lt;='Options and results'!$W$20,(VLOOKUP(CL46,Arablefinance!$E$6:$W$126,Arablefinance!$H$2,FALSE)*IF('Options and results'!$C$61="area",CN46,'Options and results'!$C$61)),0)))*IF(CK46&gt;='Options and results'!$J$23,'Options and results'!$J$22,1))*IF(AND(1+'Options and results'!$O$23*(CK46-1)&gt;0,1+'Options and results'!$O$23*(CK46-1)&gt;'Options and results'!$S$24),1+'Options and results'!$O$23*(CK46-1),'Options and results'!$S$24)</f>
        <v>0</v>
      </c>
      <c r="CS46" s="1441">
        <f t="shared" si="185"/>
        <v>0</v>
      </c>
      <c r="CT46" s="1441">
        <f>IF(CN46&lt;=0,0,IF(CK46&lt;='Options and results'!$W$20,IF(CM46&gt;0,VLOOKUP(CL46,Arablefinance!$Z$6:$AF$105,Arablefinance!$AF$2,FALSE)*CM46*CN46,VLOOKUP(CL46,Arablefinance!$E$6:$X$126,Arablefinance!$R$2,FALSE)*CN46),0)*IF(CK46&gt;='Options and results'!$J$27,'Options and results'!$J$26,1))*IF(1+'Options and results'!$O$22*(CK46-1)&gt;0,1+'Options and results'!$O$22*(CK46-1),0)</f>
        <v>0</v>
      </c>
      <c r="CU46" s="1441">
        <f t="shared" si="186"/>
        <v>0</v>
      </c>
      <c r="CV46" s="1441">
        <f>IF(CN46&lt;=0,0,IF(CK46&lt;='Options and results'!$W$20,IF(CM46&gt;0,VLOOKUP(CL46,Arablefinance!$Z$6:$AG$105,Arablefinance!$AG$2,FALSE)*CM46*CN46,VLOOKUP(CL46,Arablefinance!$E$6:$X$126,Arablefinance!$X$2,FALSE)*CN46),0)*IF(CK46&gt;='Options and results'!$J$27,'Options and results'!$J$26,1))*IF(1+'Options and results'!$O$22*(CK46-1)&gt;0,1+'Options and results'!$O$22*(CK46-1),0)</f>
        <v>0</v>
      </c>
      <c r="CW46" s="1442">
        <f>IF(CN46&lt;=0,0,IF(CK46&lt;='Options and results'!$W$20,'Options and results'!$C$27*IF(CK46&gt;='Options and results'!$J$27,'Options and results'!$J$26,1),0))*IF(1+'Options and results'!$O$21*(CK46-1)&gt;0,1+'Options and results'!$O$21*(CK46-1),0)</f>
        <v>0</v>
      </c>
      <c r="CX46" s="1442">
        <f>IF(CN46&lt;=0,0,IF(CK46&lt;='Options and results'!$W$20,IF(CM46&gt;0,VLOOKUP(CL46,Arablefinance!$Z$6:$AH$105,Arablefinance!$AH$2,FALSE)*CM46*CN46,VLOOKUP(CL46,Arablefinance!$E$6:$W$126,Arablefinance!$V$2,FALSE)*CN46),0)*IF(CK46&gt;='Options and results'!$J$25,'Options and results'!$J$24,1))</f>
        <v>0</v>
      </c>
      <c r="CY46" s="1013">
        <f t="shared" si="148"/>
        <v>0</v>
      </c>
      <c r="CZ46" s="1353">
        <f t="shared" si="149"/>
        <v>0</v>
      </c>
      <c r="DA46" s="1013">
        <f>IF($CK46&lt;='Options and results'!$W$20,SUM($CQ$8:CQ46),0)</f>
        <v>0</v>
      </c>
      <c r="DB46" s="1441">
        <f>IF($CK46&lt;='Options and results'!$W$20,SUM($CR$8:CR46),0)</f>
        <v>0</v>
      </c>
      <c r="DC46" s="1441">
        <f>IF($CK46&lt;='Options and results'!$W$20,SUM($CY$8:CY46),0)</f>
        <v>0</v>
      </c>
      <c r="DD46" s="1189">
        <f>IF(CK46&lt;='Options and results'!$W$20,DA46+DB46-DC46,0)</f>
        <v>0</v>
      </c>
      <c r="DE46" s="401"/>
      <c r="DF46" s="895">
        <f t="shared" si="150"/>
        <v>39</v>
      </c>
      <c r="DG46" s="173"/>
      <c r="DH46" s="1422"/>
      <c r="DI46" s="1427">
        <f>IF(DF46&lt;='Options and results'!$M$61,'Options and results'!$M$60,0)</f>
        <v>0</v>
      </c>
      <c r="DJ46" s="740">
        <f t="shared" si="151"/>
        <v>0</v>
      </c>
      <c r="DK46" s="740">
        <f t="shared" si="152"/>
        <v>0</v>
      </c>
      <c r="DL46" s="1428">
        <f t="shared" si="153"/>
        <v>0</v>
      </c>
      <c r="DM46" s="1429">
        <f>IF($DG$8=0,0,HLOOKUP(CONCATENATE('Options and results'!$C$54," ",Agroforestrysystem!$J$12),Agroforestrysystem!$11:$74,DF46+3,FALSE))/100</f>
        <v>0</v>
      </c>
      <c r="DN46" s="740">
        <f>IF($DG$8=0,0,IF(HLOOKUP(CONCATENATE('Options and results'!$C$54," ",Agroforestrysystem!$H$12),Agroforestrysystem!$11:$74,DF46+4,FALSE)&lt;DL46,HLOOKUP(CONCATENATE('Options and results'!$C$54," ",Agroforestrysystem!$H$12),Agroforestrysystem!$11:$74,DF46+4,FALSE),0))</f>
        <v>0</v>
      </c>
      <c r="DO46" s="1027">
        <f>IF($DG$8=0,0,IF(HLOOKUP(CONCATENATE('Options and results'!$C$54," ",Agroforestrysystem!$H$12),Agroforestrysystem!$11:$74,DF46+4,FALSE)&gt;=DL46,DL46,0))</f>
        <v>0</v>
      </c>
      <c r="DP46" s="1430">
        <f>IF($DG$8=0,0,HLOOKUP(CONCATENATE('Options and results'!$C$54," ",Agroforestrysystem!$I$12),Agroforestrysystem!$11:$74,DF46+4,FALSE))</f>
        <v>0</v>
      </c>
      <c r="DQ46" s="1038"/>
      <c r="DR46" s="1430">
        <f>IF($DG$8=0,0,IF(DF46&gt;'Options and results'!$W$20,0,)+IF(DF46=1,'Options and results'!$M$64)+IF('Options and results'!$M$67="yes",IF(AND(DR45+'Options and results'!$M$65&lt;=$DQ$8,DR45+'Options and results'!$M$65+IF(DF46=1,'Options and results'!$M$64,0)&lt;='Options and results'!$M$66*DP46),DR45+'Options and results'!$M$65,DR45),(HLOOKUP(CONCATENATE('Options and results'!$C$54," ",Agroforestrysystem!$K$12),Agroforestrysystem!$11:$74,DF46+4,FALSE)-IF(DF46=1,'Options and results'!$M$64))))</f>
        <v>0</v>
      </c>
      <c r="DS46" s="1027">
        <f>IF(OR($DG$8=0,DL46=0),0,HLOOKUP(CONCATENATE('Options and results'!$C$54," ",Agroforestrysystem!$L$12),Agroforestrysystem!$11:$74,DF46+4,FALSE)*IF(DF46&gt;='Options and results'!$K$19,'Options and results'!$K$18,1))</f>
        <v>0</v>
      </c>
      <c r="DT46" s="1431">
        <f t="shared" si="154"/>
        <v>0</v>
      </c>
      <c r="DU46" s="889">
        <f t="shared" si="155"/>
        <v>0</v>
      </c>
      <c r="DV46" s="1027">
        <f>IF($DG$8=0,0,(HLOOKUP(CONCATENATE('Options and results'!$C$54," ",Agroforestrysystem!$M$12),Agroforestrysystem!$11:$74,DF46+4,FALSE))*IF(DF46&gt;='Options and results'!$K$19,'Options and results'!$K$18,1))-DW46</f>
        <v>0</v>
      </c>
      <c r="DW46" s="303">
        <f>IF($DG$8=0,0,(HLOOKUP(CONCATENATE('Options and results'!$C$54," ",Agroforestrysystem!$N$12),Agroforestrysystem!$11:$74,DF46+4,FALSE))*IF(DF46&gt;='Options and results'!$K$19,'Options and results'!$K$18,1))</f>
        <v>0</v>
      </c>
      <c r="DX46" s="303">
        <f>IF($DG$8=0,0,HLOOKUP(CONCATENATE('Options and results'!$C$54," ",Agroforestrysystem!$O$12),Agroforestrysystem!$11:$74,DF46+4,FALSE)*IF(DF46&gt;='Options and results'!$K$19,'Options and results'!$K$18,1))</f>
        <v>0</v>
      </c>
      <c r="DY46" s="1192">
        <f>IF(DT46&gt;0,HLOOKUP(DT46,Treevalue!$I$4:$BC$34,'Options and results'!$C$66+1),0)*IF(DF46&gt;='Options and results'!$K$21,'Options and results'!$K$20,1)*IF(1+'Options and results'!$Q$20*(DF46-1)&gt;0,1+'Options and results'!$Q$20*(DF46-1),0)</f>
        <v>0</v>
      </c>
      <c r="DZ46" s="1027">
        <f t="shared" si="156"/>
        <v>0</v>
      </c>
      <c r="EA46" s="1027">
        <f t="shared" si="125"/>
        <v>0</v>
      </c>
      <c r="EB46" s="1027">
        <f>(IF('Options and results'!$C$66&gt;0,IF(DF46&lt;='Options and results'!$W$20,VLOOKUP('Options and results'!$C$66,Treevalue!$A$4:$F$34,5,FALSE),0),0)*DV46)*IF(DF46&gt;='Options and results'!$K$21,'Options and results'!$K$20,1)*IF(1+'Options and results'!$Q$20*(DF46-1)&gt;0,1+'Options and results'!$Q$20*(DF46-1),0)</f>
        <v>0</v>
      </c>
      <c r="EC46" s="740">
        <f>(IF('Options and results'!$C$66&gt;0,IF(DF46&lt;='Options and results'!$W$20,VLOOKUP('Options and results'!$C$66,Treevalue!$A$4:$F$34,5,FALSE),0),0)*DW46)*IF(DF46&gt;='Options and results'!$K$21,'Options and results'!$K$20,1)*IF(1+'Options and results'!$Q$20*(DF46-1)&gt;0,1+'Options and results'!$Q$20*(DF46-1),0)</f>
        <v>0</v>
      </c>
      <c r="ED46" s="889">
        <f>(IF('Options and results'!$C$66&gt;0,IF(DF46&lt;='Options and results'!$W$20,VLOOKUP('Options and results'!$C$66,Treevalue!$A$4:$F$34,6,FALSE),0),0)*DX46)*IF(DF46&gt;='Options and results'!$K$21,'Options and results'!$K$20,1)*IF(1+'Options and results'!$Q$20*(DF46-1)&gt;0,1+'Options and results'!$Q$20*(DF46-1),0)</f>
        <v>0</v>
      </c>
      <c r="EE46" s="740">
        <f>IF(DF46&lt;='Options and results'!$W$20,IF(DL46&lt;=0,0,IF('Options and results'!$C$70="cost",(IF(DF46&lt;='Options and results'!$C$71,FK46*SUM('Options and results'!$C$72:$C$73),0)),IF('Options and results'!$C$68&gt;0,(IF(VLOOKUP('Options and results'!$C$69,Treegrant!$B$6:$L$42,Treegrant!$C$2,FALSE)=DF46,VLOOKUP('Options and results'!$C$69,Treegrant!$B$6:$L$42,Treegrant!$D$2,FALSE),0)+IF(VLOOKUP('Options and results'!$C$69,Treegrant!$B$6:$L$42,Treegrant!$E$2,FALSE)=DF46,VLOOKUP('Options and results'!$C$69,Treegrant!$B$6:$L$42,Treegrant!$F$2,FALSE),0)+IF(VLOOKUP('Options and results'!$C$69,Treegrant!$B$6:$L$42,Treegrant!$G$2,FALSE)=DF46,VLOOKUP('Options and results'!$C$69,Treegrant!$B$6:$L$42,Treegrant!$H$2,FALSE)))*IF('Options and results'!$C$70="area",Unit!C47,'Options and results'!$C$70),0))*IF(DF46&gt;='Options and results'!$K$23,'Options and results'!$K$22,1)),0)*IF(1+'Options and results'!$Q$23*(DF46-1)&gt;0,1+'Options and results'!$Q$23*(DF46-1),0)</f>
        <v>0</v>
      </c>
      <c r="EF46" s="740">
        <f>IF($DG$8=0,0,IF(DF46&lt;='Options and results'!$W$20,IF(DL46&lt;=0,0,IF('Options and results'!$C$68&gt;0,IF(AND(VLOOKUP('Options and results'!$C$69,Treegrant!$B$6:$L$42,Treegrant!$J$2,FALSE)&lt;=DF46,VLOOKUP('Options and results'!$C$69,Treegrant!$B$6:$L$42,Treegrant!$K$2,FALSE)&gt;=DF46),(VLOOKUP('Options and results'!$C$69,Treegrant!$B$6:$L$42,Treegrant!$L$2,FALSE)),0)*IF('Options and results'!$C$74="area",Unit!C47,'Options and results'!$C$74))*IF(DF46&gt;='Options and results'!$K$23,'Options and results'!$K$22,1)),0))*IF(1+'Options and results'!$Q$23*(DF46-1)&gt;0,1+'Options and results'!$Q$23*(DF46-1),0)</f>
        <v>0</v>
      </c>
      <c r="EG46" s="1034">
        <f>IF($DG$8=0,0,IF(DF46&lt;='Options and results'!$W$20,IF(DL46&lt;=0,0,IF('Options and results'!$C$68&gt;0,((IF(AND(VLOOKUP('Options and results'!$C$69,Treegrant!$B$6:$O$42,Treegrant!$M$2,FALSE)&lt;=DF46,VLOOKUP('Options and results'!$C$69,Treegrant!$B$6:$O$42,Treegrant!$N$2,FALSE)&gt;=DF46),(VLOOKUP('Options and results'!$C$69,Treegrant!$B$6:$O$42,Treegrant!$O$2,FALSE)),0)*IF('Options and results'!$C$75="area",Unit!C47,'Options and results'!$C$75))+(IF(AND(VLOOKUP('Options and results'!$C$69,Treegrant!$B$6:$R$42,Treegrant!$P$2,FALSE)&lt;=DF46,VLOOKUP('Options and results'!$C$69,Treegrant!$B$6:$R$42,Treegrant!$Q$2,FALSE)&gt;=DF46),(VLOOKUP('Options and results'!$C$69,Treegrant!$B$6:$R$42,Treegrant!$R$2,FALSE)),0))*IF('Options and results'!$C$76="area",Unit!C47,'Options and results'!$C$76)))*IF(DF46&gt;='Options and results'!$K$23,'Options and results'!$K$22,1)),0))*IF(1+'Options and results'!$Q$23*(DF46-1)&gt;0,1+'Options and results'!$Q$23*(DF46-1),0)</f>
        <v>0</v>
      </c>
      <c r="EH46" s="1041"/>
      <c r="EI46" s="1042"/>
      <c r="EJ46" s="1419">
        <f>IF($DH$8+DK46&lt;1,0,IF(DF46=1,VLOOKUP($DG$8,Treecost!$B$6:$AH$49,Treecost!$E$2,FALSE),0)*IF(DF46&gt;='Options and results'!$K$25,'Options and results'!$K$24,1))</f>
        <v>0</v>
      </c>
      <c r="EK46" s="889">
        <f>IF($DH$8+DK46&lt;1,0,IF(DF46=1,VLOOKUP($DG$8,Treecost!$B$6:$AH$49,Treecost!$F$2,FALSE),0)*IF(DF46&gt;='Options and results'!$K$25,'Options and results'!$K$24,1))</f>
        <v>0</v>
      </c>
      <c r="EL46" s="889">
        <f>IF($DH$8+DK46&lt;1,0,IF(DF46=1,VLOOKUP($DG$8,Treecost!$B$6:$AH$49,Treecost!$G$2,FALSE),0)*IF(DF46&gt;='Options and results'!$K$25,'Options and results'!$K$24,1))</f>
        <v>0</v>
      </c>
      <c r="EM46" s="889">
        <f>IF($DG$8=0,0,IF(DF46&lt;='Options and results'!$W$20,((VLOOKUP($DG$8,Treecost!$B$6:$AH$49,Treecost!$H$2,FALSE)*(DH46+DK46))/60)*IF(DF46&gt;='Options and results'!$K$25,'Options and results'!$K$24,1),0))</f>
        <v>0</v>
      </c>
      <c r="EN46" s="889">
        <f>IF($DG$8=0,0,IF(DF46&lt;='Options and results'!$W$20,(((VLOOKUP($DG$8,Treecost!$B$6:$AH$49,Treecost!$I$2,FALSE))*(DH46+DK46))/60)*IF(DF46&gt;='Options and results'!$K$25,'Options and results'!$K$24,1),0))</f>
        <v>0</v>
      </c>
      <c r="EO46" s="889">
        <f>IF($DG$8=0,0,IF(DF46&lt;='Options and results'!$W$20,(((VLOOKUP($DG$8,Treecost!$B$6:$AH$49,Treecost!$J$2,FALSE))/60)*(DH46+DK46))*IF(DF46&gt;='Options and results'!$K$25,'Options and results'!$K$24,1),0))</f>
        <v>0</v>
      </c>
      <c r="EP46" s="1019">
        <f>IF($DG$8=0,0,IF(DF46&lt;='Options and results'!$W$20,(((VLOOKUP($DG$8,Treecost!$B$6:$AH$49,Treecost!$C$2,FALSE)+VLOOKUP($DG$8,Treecost!$B$6:$AH$49,Treecost!$D$2,FALSE))*(DH46+DK46)*IF(1+'Options and results'!$Q$22*(DF46-1)&gt;0,1+'Options and results'!$Q$22*(DF46-1),0))+(EJ46*$EI$8+EK46*$EI$9+EL46*$EI$10+EM46*$EI$11+EN46*$EI$12+EO46*$EI$13)*IF(1+'Options and results'!$Q$21*(DF46-1)&gt;0,1+'Options and results'!$Q$21*(DF46-1),0))*IF(DF46&gt;='Options and results'!$K$27,'Options and results'!$K$26,1),0))</f>
        <v>0</v>
      </c>
      <c r="EQ46" s="740">
        <f>IF($DG$8=0,0,IF(DF46&lt;='Options and results'!$W$20,IF(AND(VLOOKUP($DG$8,Treecost!$B$6:$AH$49,Treecost!$K$2,FALSE)&lt;=DF46,DF46&lt;=(VLOOKUP($DG$8,Treecost!$B$6:$AH$49,Treecost!$L$2,FALSE))),VLOOKUP($DG$8,Treecost!$B$6:$AH$49,Treecost!$M$2,FALSE)*DL46/60,0)*IF(DF46&gt;='Options and results'!$K$25,'Options and results'!$K$24,1),0))</f>
        <v>0</v>
      </c>
      <c r="ER46" s="1019">
        <f>IF(EQ46&gt;0,(VLOOKUP($DG$8,Treecost!$B$6:$AH$49,Treecost!$N$2,FALSE)*DL46*IF(1+'Options and results'!$Q$22*(DF46-1)&gt;0,1+'Options and results'!$Q$22*(DF46-1),0)+EQ46*$EI$14*IF(1+'Options and results'!$Q$21*(DF46-1)&gt;0,1+'Options and results'!$Q$21*(DF46-1),0)),0)*IF(DF46&gt;='Options and results'!$K$27,'Options and results'!$K$26,1)</f>
        <v>0</v>
      </c>
      <c r="ES46" s="889">
        <f>IF(DF46&lt;='Options and results'!$W$20,IF(AND(DR46-DR45&gt;0,DR46&gt;'Options and results'!$M$64),(DL46-DN46)*(VLOOKUP($DG$8,Treecost!$B$6:$AH$49,Treecost!$Y$2,FALSE)+(VLOOKUP($DG$8,Treecost!$B$6:$AH$49,Treecost!$AA$2,FALSE)-VLOOKUP($DG$8,Treecost!$B$6:$AH$49,Treecost!$Y$2,FALSE))/(VLOOKUP($DG$8,Treecost!$B$6:$AH$49,Treecost!$Z$2,FALSE)-VLOOKUP($DG$8,Treecost!$B$6:$AH$49,Treecost!$X$2,FALSE))*(DR46-VLOOKUP($DG$8,Treecost!$B$6:$AH$49,Treecost!$X$2,FALSE)))/60,0)*IF(DF46&gt;='Options and results'!$K$25,'Options and results'!$K$24,1),0)</f>
        <v>0</v>
      </c>
      <c r="ET46" s="889">
        <f>IF(DF46&lt;='Options and results'!$W$20,IF(ES46&gt;0,VLOOKUP($DG$8,Treecost!$B$6:$AH$49,Treecost!$AB$2,FALSE)/60*DL46,0)*IF(DF46&gt;='Options and results'!$K$25,'Options and results'!$K$24,1),0)*((ES46-(MIN($ES$8:$ES$67)))/((MAX($ES$8:$ES$67))-(MIN($ES$8:$ES$67))))</f>
        <v>0</v>
      </c>
      <c r="EU46" s="740">
        <f>IF(ES46&gt;0,(ES46*$EI$15+ET46*$EI$19)*IF(1+'Options and results'!$Q$21*(DF46-1)&gt;0,1+'Options and results'!$Q$21*(DF46-1),0),0)*IF(DF46&gt;='Options and results'!$K$27,'Options and results'!$K$26,1)</f>
        <v>0</v>
      </c>
      <c r="EV46" s="891">
        <f>IF($DG$8=0,0,IF(DF46&lt;='Options and results'!$W$20,IF(AND(VLOOKUP($DG$8,Treecost!$B$2:$AH$49,Treecost!$O$2,FALSE)=DF46,DF46&lt;=IF(AND(Optimisation!$B$3="Yes",Optimisation!$B$4=1),Optimisation!$B$9)),VLOOKUP($DG$8,Treecost!$B$2:$AH$49,Treecost!$P$2,FALSE)*(1-CN46),0)*IF(DF46&gt;='Options and results'!$K$25,'Options and results'!$K$24,1),0))</f>
        <v>0</v>
      </c>
      <c r="EW46" s="889">
        <f>IF($DG$8=0,0,IF(DF46&lt;='Options and results'!$W$20,IF(AND(DF46&gt;VLOOKUP($DG$8,Treecost!$B$2:$AH$49,Treecost!$O$2,FALSE),DF46&lt;=IF(AND(Optimisation!$B$3="Yes",Optimisation!$B$4=1),Optimisation!$B$9,VLOOKUP($DG$8,Treecost!$B$2:$AH$49,Treecost!$R$2,FALSE))),VLOOKUP($DG$8,Treecost!$B$2:$AH$49,Treecost!$S$2,FALSE)*(1-CN46),0)*IF(DF46&gt;='Options and results'!$K$25,'Options and results'!$K$24,1),0))</f>
        <v>0</v>
      </c>
      <c r="EX46" s="740">
        <f>IF($DG$8=0,0,IF(DF46&lt;='Options and results'!$W$20,(IF(AND(VLOOKUP($DG$8,Treecost!$B$2:$AH$49,Treecost!$O$2,FALSE)=DF46,DF46&lt;=IF(AND(Optimisation!$B$3="Yes",Optimisation!$B$4=1),Optimisation!$B$9)),VLOOKUP($DG$8,Treecost!$B$2:$AH$49,Treecost!$Q$2,FALSE),0)*(1-CN46)+IF(AND(DF46&gt;VLOOKUP($DG$8,Treecost!$B$2:$AH$49,Treecost!$O$2,FALSE),DF46&lt;=IF(AND(Optimisation!$B$3="Yes",Optimisation!$B$4=1),Optimisation!$B$9,VLOOKUP($DG$8,Treecost!$B$2:$AH$49,Treecost!$R$2,FALSE))),VLOOKUP($DG$8,Treecost!$B$2:$AH$49,Treecost!$T$2,FALSE),0)*(1-CN46)+(EV46*$EI$16+EW46*$EI$17))*IF(DF46&gt;='Options and results'!$K$27,'Options and results'!$K$26,1),0))*IF(1+'Options and results'!$Q$21*(DF46-1)&gt;0,1+'Options and results'!$Q$21*(DF46-1),0)</f>
        <v>0</v>
      </c>
      <c r="EY46" s="894">
        <f>IF($DG$8=0,0,IF(DF46&lt;='Options and results'!$W$20,IF(AND(DF46&gt;=VLOOKUP($DG$8,Treecost!$B$2:$W$49,Treecost!$U$2,FALSE),DF46&lt;=VLOOKUP($DG$8,Treecost!$B$2:$W$49,Treecost!$V$2,FALSE)),(DL46*VLOOKUP($DG$8,Treecost!$B$2:$W$49,Treecost!$W$2,FALSE)/60),0)*IF(DF46&gt;='Options and results'!$K$25,'Options and results'!$K$24,1),0))</f>
        <v>0</v>
      </c>
      <c r="EZ46" s="740">
        <f>EY46*$EI$18*IF(DF46&gt;='Options and results'!$K$27,'Options and results'!$K$26,1)*IF(1+'Options and results'!$Q$21*(DF46-1)&gt;0,1+'Options and results'!$Q$21*(DF46-1),0)</f>
        <v>0</v>
      </c>
      <c r="FA46" s="1025">
        <f>IF(DF46&lt;='Options and results'!$W$20,IF(DL46&lt;=0,0,VLOOKUP($DG$8,Treecost!$B$6:$AH$49,Treecost!$AC$2,FALSE)+VLOOKUP($DG$8,Treecost!$B$6:$AH$49,Treecost!$AD$2,FALSE)+IF(AND(DF46&gt;=VLOOKUP($DG$8,Treecost!$B$2:$AK$49,Treecost!$AI$2,FALSE),DF46&lt;=VLOOKUP($DG$8,Treecost!$B$2:$AK$49,Treecost!$AJ$2,FALSE)),VLOOKUP($DG$8,Treecost!$B$2:$AK$49,Treecost!$AK$2,FALSE)*(1-CN46),0))*IF(DF46&gt;='Options and results'!$K$27,'Options and results'!$K$26,1),0)*IF(1+'Options and results'!$Q$22*(DF46-1)&gt;0,1+'Options and results'!$Q$22*(DF46-1),0)</f>
        <v>0</v>
      </c>
      <c r="FB46" s="894">
        <f>IF(DF46&lt;='Options and results'!$W$20,IF(DN46&gt;0,VLOOKUP($DG$8,Treecost!$B$6:$AH$49,Treecost!$AE$2,FALSE)/60*DN46,0)*IF(DF46&gt;='Options and results'!$K$25,'Options and results'!$K$24,1),0)</f>
        <v>0</v>
      </c>
      <c r="FC46" s="740">
        <f>IF(DF46&lt;='Options and results'!$W$20,IF(DN46&gt;0,VLOOKUP($DG$8,Treecost!$B$6:$AH$49,Treecost!$AF$2,FALSE)/60*DN46,0)*IF(DF46&gt;='Options and results'!$K$25,'Options and results'!$K$24,1),0)</f>
        <v>0</v>
      </c>
      <c r="FD46" s="740">
        <f>(FB46*$EI$20+FC46*$EI$21)*IF(DF46&gt;='Options and results'!$K$27,'Options and results'!$K$26,1)*IF(1+'Options and results'!$Q$21*(DF46-1)&gt;0,1+'Options and results'!$Q$21*(DF46-1),0)</f>
        <v>0</v>
      </c>
      <c r="FE46" s="894">
        <f>IF(DF46&lt;='Options and results'!$W$20,IF(DO46&gt;0,(VLOOKUP($DG$8,Treecost!$B$6:$AH$49,Treecost!$AG$2,FALSE)/60*DO46)*IF(DF46&gt;='Options and results'!$K$25,'Options and results'!$K$24,1),0),0)</f>
        <v>0</v>
      </c>
      <c r="FF46" s="740">
        <f>IF(DF46&lt;='Options and results'!$W$20,IF(DO46&gt;0,(VLOOKUP($DG$8,Treecost!$B$6:$AH$49,Treecost!$AH$2,FALSE)/60*DO46)*IF(DF46&gt;='Options and results'!$K$25,'Options and results'!$K$24,1),0),0)</f>
        <v>0</v>
      </c>
      <c r="FG46" s="740">
        <f>(FE46*$EI$22+FF46*$EI$23)*IF(DF46&gt;='Options and results'!$K$27,'Options and results'!$K$26,1)*IF(1+'Options and results'!$Q$21*(DF46-1)&gt;0,1+'Options and results'!$Q$21*(DF46-1),0)</f>
        <v>0</v>
      </c>
      <c r="FH46" s="894">
        <f t="shared" si="157"/>
        <v>0</v>
      </c>
      <c r="FI46" s="1027">
        <f t="shared" si="158"/>
        <v>0</v>
      </c>
      <c r="FJ46" s="1027">
        <f t="shared" si="159"/>
        <v>0</v>
      </c>
      <c r="FK46" s="1027">
        <f t="shared" si="160"/>
        <v>0</v>
      </c>
      <c r="FL46" s="1027">
        <f t="shared" si="190"/>
        <v>0</v>
      </c>
      <c r="FM46" s="1027">
        <f>IF($DF46&lt;='Options and results'!$W$20,SUM(FI$8:$FI46),0)</f>
        <v>0</v>
      </c>
      <c r="FN46" s="1027">
        <f>IF($DF46&lt;='Options and results'!$W$20,SUM($FJ$8:FJ46),0)</f>
        <v>0</v>
      </c>
      <c r="FO46" s="1027">
        <f>IF($DF46&lt;='Options and results'!$W$20,SUM($FK$8:FK46),0)</f>
        <v>0</v>
      </c>
      <c r="FP46" s="1027">
        <f>IF($DF46&lt;='Options and results'!$W$20,FM46+FN46-FO46,0)</f>
        <v>0</v>
      </c>
      <c r="FQ46" s="1027">
        <f t="shared" si="162"/>
        <v>0</v>
      </c>
      <c r="FR46" s="1027">
        <f t="shared" si="163"/>
        <v>0</v>
      </c>
      <c r="FS46" s="1027">
        <f t="shared" si="164"/>
        <v>0</v>
      </c>
      <c r="FT46" s="1189">
        <f>IF(DF46&lt;='Options and results'!$W$20,FP46+DZ46,0)</f>
        <v>0</v>
      </c>
      <c r="FU46" s="401"/>
      <c r="FV46" s="895">
        <f t="shared" si="165"/>
        <v>39</v>
      </c>
      <c r="FW46" s="894">
        <f>G46/(1+'Options and results'!$W$33)^(FV46-1)</f>
        <v>0</v>
      </c>
      <c r="FX46" s="740">
        <f>(AP46+AR46+AS46)/(1+'Options and results'!$W$33)^(FV46-1)</f>
        <v>0</v>
      </c>
      <c r="FY46" s="740">
        <f>CQ46/(1+'Options and results'!$W$33)^(FV46-1)</f>
        <v>0</v>
      </c>
      <c r="FZ46" s="740">
        <f>(EA46+EC46+ED46)/(1+'Options and results'!$W$33)^(FV46-1)</f>
        <v>0</v>
      </c>
      <c r="GA46" s="1019">
        <f t="shared" si="180"/>
        <v>0</v>
      </c>
      <c r="GB46" s="1026">
        <f>(AO46+AQ46)/(1+'Options and results'!$W$33)^(FV46-1)+FX46</f>
        <v>0</v>
      </c>
      <c r="GC46" s="1027">
        <f>IF(FV46&gt;'Options and results'!$W$27,0,GB46-GB45)</f>
        <v>0</v>
      </c>
      <c r="GD46" s="1027">
        <f>(DZ46+EB46)/(1+'Options and results'!$W$33)^(FV46-1)+FZ46</f>
        <v>0</v>
      </c>
      <c r="GE46" s="1379">
        <f>IF(FV46&gt;'Options and results'!$W$27,0,GD46-GD45)</f>
        <v>0</v>
      </c>
      <c r="GF46" s="894">
        <f>IF(FV46&lt;='Options and results'!$W$20,SUM(FW$8:FW46),0)</f>
        <v>0</v>
      </c>
      <c r="GG46" s="740">
        <f>IF(FV46&lt;='Options and results'!$W$20,SUM(FX$8:FX46), 0)</f>
        <v>0</v>
      </c>
      <c r="GH46" s="740">
        <f>IF(FV46&lt;='Options and results'!$W$20,SUM(FY$8:FY46),0)</f>
        <v>0</v>
      </c>
      <c r="GI46" s="740">
        <f>IF(FV46&lt;='Options and results'!$W$20,SUM(FZ$8:FZ46),0)</f>
        <v>0</v>
      </c>
      <c r="GJ46" s="1019">
        <f t="shared" si="166"/>
        <v>0</v>
      </c>
      <c r="GK46" s="894">
        <f>IF(FV46&gt;'Options and results'!$W$27,0,GG46+SUM(GC$8:GC46)-FX46)</f>
        <v>0</v>
      </c>
      <c r="GL46" s="740">
        <f>IF(FV46&lt;='Options and results'!$W$20,SUM(GD$8:GD46),0)</f>
        <v>0</v>
      </c>
      <c r="GM46" s="1034">
        <f t="shared" si="167"/>
        <v>0</v>
      </c>
      <c r="GN46" s="401"/>
      <c r="GO46" s="895">
        <f t="shared" si="168"/>
        <v>39</v>
      </c>
      <c r="GP46" s="894">
        <f>H46/(1+'Options and results'!$W$33)^(GO46-1)</f>
        <v>0</v>
      </c>
      <c r="GQ46" s="740">
        <f>SUM(AT46:AV46)/(1+'Options and results'!$W$33)^(GO46-1)</f>
        <v>0</v>
      </c>
      <c r="GR46" s="740">
        <f>CR46/(1+'Options and results'!$W$33)^(GO46-1)</f>
        <v>0</v>
      </c>
      <c r="GS46" s="740">
        <f>SUM(EE46:EG46)/(1+'Options and results'!$W$33)^(GO46-1)</f>
        <v>0</v>
      </c>
      <c r="GT46" s="1019">
        <f t="shared" si="181"/>
        <v>0</v>
      </c>
      <c r="GU46" s="894">
        <f>IF(GO46&lt;='Options and results'!$W$20,SUM(GP$8:GP46),0)</f>
        <v>0</v>
      </c>
      <c r="GV46" s="740">
        <f>IF(GO46&lt;='Options and results'!$W$20,SUM(GQ$8:GQ46),0)</f>
        <v>0</v>
      </c>
      <c r="GW46" s="740">
        <f>IF(GO46&lt;='Options and results'!$W$20,SUM(GR$8:GR46),0)</f>
        <v>0</v>
      </c>
      <c r="GX46" s="740">
        <f>IF(GO46&lt;='Options and results'!$W$20,SUM(GS$8:GS46),0)</f>
        <v>0</v>
      </c>
      <c r="GY46" s="1034">
        <f>IF(GO46&lt;='Options and results'!$W$20,SUM(GT$8:GT46),0)</f>
        <v>0</v>
      </c>
      <c r="GZ46" s="401"/>
      <c r="HA46" s="895">
        <f t="shared" si="169"/>
        <v>39</v>
      </c>
      <c r="HB46" s="1026">
        <f>(J46+L46+(M46*N46))/(1+'Options and results'!$W$33)^(HA46-1)</f>
        <v>0</v>
      </c>
      <c r="HC46" s="740">
        <f>BZ46/(1+'Options and results'!$W$33)^(HA46-1)</f>
        <v>0</v>
      </c>
      <c r="HD46" s="1027">
        <f>(CT46+CV46+(CW46*CX46))/(1+'Options and results'!$W$33)^(HA46-1)</f>
        <v>0</v>
      </c>
      <c r="HE46" s="740">
        <f>FK46/(1+'Options and results'!$W$33)^(HA46-1)</f>
        <v>0</v>
      </c>
      <c r="HF46" s="1019">
        <f t="shared" si="182"/>
        <v>0</v>
      </c>
      <c r="HG46" s="894">
        <f>IF(HA46&lt;='Options and results'!$W$20,SUM(HB$8:HB46),0)</f>
        <v>0</v>
      </c>
      <c r="HH46" s="740">
        <f>IF(HA46&lt;='Options and results'!$W$20,SUM(HC$8:HC46),0)</f>
        <v>0</v>
      </c>
      <c r="HI46" s="740">
        <f>IF(HA46&lt;='Options and results'!$W$20,SUM(HD$8:HD46),0)</f>
        <v>0</v>
      </c>
      <c r="HJ46" s="740">
        <f>IF(HA46&lt;='Options and results'!$W$20,SUM(HE$8:HE46),0)</f>
        <v>0</v>
      </c>
      <c r="HK46" s="1034">
        <f>IF(HA46&lt;='Options and results'!$W$20,SUM(HF$8:HF46),0)</f>
        <v>0</v>
      </c>
      <c r="HL46" s="405"/>
      <c r="HM46" s="895">
        <f t="shared" si="189"/>
        <v>39</v>
      </c>
      <c r="HN46" s="1026">
        <f t="shared" si="171"/>
        <v>0</v>
      </c>
      <c r="HO46" s="1027">
        <f t="shared" si="172"/>
        <v>0</v>
      </c>
      <c r="HP46" s="1027">
        <f t="shared" si="173"/>
        <v>0</v>
      </c>
      <c r="HQ46" s="1027">
        <f t="shared" si="174"/>
        <v>0</v>
      </c>
      <c r="HR46" s="1027">
        <f t="shared" si="175"/>
        <v>0</v>
      </c>
      <c r="HS46" s="1379">
        <f t="shared" si="176"/>
        <v>0</v>
      </c>
      <c r="HT46" s="1026">
        <f>IF($HM46&lt;='Options and results'!$W$20,SUM(HN$8:HN46),0)</f>
        <v>0</v>
      </c>
      <c r="HU46" s="1027">
        <f>IF($HM46&lt;='Options and results'!$W$20,SUM(HO$8:HO46),0)</f>
        <v>0</v>
      </c>
      <c r="HV46" s="1027">
        <f>IF($HM46&lt;='Options and results'!$W$20,SUM(HP$8:HP46),0)</f>
        <v>0</v>
      </c>
      <c r="HW46" s="1027">
        <f>IF($HM46&lt;='Options and results'!$W$20,SUM(HQ$8:HQ46),0)</f>
        <v>0</v>
      </c>
      <c r="HX46" s="1027">
        <f t="shared" si="177"/>
        <v>0</v>
      </c>
      <c r="HY46" s="1027">
        <f>IF($HM46&lt;='Options and results'!$W$20,SUM(HR$8:HR46),0)</f>
        <v>0</v>
      </c>
      <c r="HZ46" s="1027">
        <f>IF($HM46&lt;='Options and results'!$W$20,SUM(HS$8:HS46),0)</f>
        <v>0</v>
      </c>
      <c r="IA46" s="1189">
        <f t="shared" si="178"/>
        <v>0</v>
      </c>
    </row>
    <row r="47" spans="1:235" x14ac:dyDescent="0.25">
      <c r="A47" s="1010">
        <f t="shared" si="126"/>
        <v>40</v>
      </c>
      <c r="B47" s="1011" t="str">
        <f>IF('Options and results'!$C$17="None",0,CONCATENATE('Options and results'!$C$23," ",(HLOOKUP(CONCATENATE('Options and results'!$C$17," ",Arablesystem!$B$11),Arablesystem!$B$10:$ER$72,$A47+3,FALSE))))</f>
        <v xml:space="preserve">UK - Agriculture (BPS: from 2015) </v>
      </c>
      <c r="C47" s="1012">
        <f>IF(HLOOKUP(CONCATENATE('Options and results'!$C$17," ",Arablesystem!$C$11),Arablesystem!$B$10:$ER$72,$A47+3,FALSE)="T",(VLOOKUP(B47,Arablefinance!$Z$6:$AB$105,Arablefinance!$AB$2,FALSE)*E47+VLOOKUP(B47,Arablefinance!$Z$6:$AC$105,Arablefinance!$AC$2,FALSE)*F47)/VLOOKUP(B47,Arablefinance!$Z$6:$AA$105,Arablefinance!$AA$2,FALSE),0)</f>
        <v>0</v>
      </c>
      <c r="D47" s="1012">
        <f>IF(B47=0,0,HLOOKUP(CONCATENATE('Options and results'!$C$17," ",Arablesystem!$D$11),Arablesystem!$B$10:$ER$72,$A47+3,FALSE))</f>
        <v>0</v>
      </c>
      <c r="E47" s="1440">
        <f>IF(B47=0,0,HLOOKUP(CONCATENATE('Options and results'!$C$17," ",Arablesystem!$E$11),Arablesystem!$B$10:$ER$72,$A47+3,FALSE)*IF(A47&gt;='Options and results'!$H$19,'Options and results'!$H$18,1))</f>
        <v>0</v>
      </c>
      <c r="F47" s="1440">
        <f>IF(B47=0,0,HLOOKUP(CONCATENATE('Options and results'!$C$17," ",Arablesystem!$F$11),Arablesystem!$B$10:$ER$72,$A47+3,FALSE)*IF(A47&gt;='Options and results'!$H$19,'Options and results'!$H$18,1))</f>
        <v>0</v>
      </c>
      <c r="G47" s="1013">
        <f>IF(D47&lt;=0,0,IF(A47&lt;='Options and results'!$W$20,IF(C47&gt;0,VLOOKUP(B47,Arablefinance!$Z$6:$AE$105,Arablefinance!$AD$2,FALSE)*C47*D47,((VLOOKUP(B47,Arablefinance!$E$6:$G$126,Arablefinance!$F$2,FALSE)*(E47*D47)+VLOOKUP(B47,Arablefinance!$E$6:$G$126,Arablefinance!$G$2,FALSE)*(F47*D47)))),0)*IF(A47&gt;='Options and results'!$H$21,'Options and results'!$H$20,1))*IF(1+'Options and results'!$O$20*(A47-1)&gt;0,1+'Options and results'!$O$20*(A47-1),0)</f>
        <v>0</v>
      </c>
      <c r="H47" s="1441">
        <f>IF(D47&lt;=0,0,IF(A47&lt;='Options and results'!$W$20,IF(AND(C47&gt;0,VLOOKUP(B47,Arablefinance!$Z$6:$AI$105,Arablefinance!$AI$2,FALSE)=2),VLOOKUP(B47,Arablefinance!$Z$6:$AE$105,Arablefinance!$AE$2,FALSE)*C47*D47,(VLOOKUP(B47,Arablefinance!$E$6:$H$126,Arablefinance!$H$2,FALSE)*D47))*IF(A47&gt;='Options and results'!$H$23,'Options and results'!$H$22,1),0)*IF(AND(1+'Options and results'!$O$23*(A47-1)&gt;0,1+'Options and results'!$O$23*(A47-1)&gt;'Options and results'!$S$24),1+'Options and results'!$O$23*(A47-1),'Options and results'!$S$24))</f>
        <v>0</v>
      </c>
      <c r="I47" s="1441">
        <f t="shared" si="127"/>
        <v>0</v>
      </c>
      <c r="J47" s="1441">
        <f>IF(D47&lt;=0,0,IF(A47&lt;='Options and results'!$W$20,IF(C47&gt;0,VLOOKUP(B47,Arablefinance!$Z$6:$AF$105,Arablefinance!$AF$2,FALSE)*C47*D47,(VLOOKUP(B47,Arablefinance!$E$6:$X$126,Arablefinance!$R$2,FALSE))*D47),0)*IF(A47&gt;='Options and results'!$H$27,'Options and results'!$H$26,1))*IF(1+'Options and results'!$O$22*(A47-1)&gt;0,1+'Options and results'!$O$22*(A47-1),0)</f>
        <v>0</v>
      </c>
      <c r="K47" s="1441">
        <f t="shared" si="128"/>
        <v>0</v>
      </c>
      <c r="L47" s="1441">
        <f>IF(D47&lt;=0,0,IF(A47&lt;='Options and results'!$W$20,IF(C47&gt;0,VLOOKUP(B47,Arablefinance!$Z$6:$AG$105,Arablefinance!$AG$2,FALSE)*C47*D47,VLOOKUP(B47,Arablefinance!$E$6:$X$126,Arablefinance!$X$2,FALSE)*D47),0)*IF(A47&gt;='Options and results'!$H$27,'Options and results'!$H$26,1))*IF(1+'Options and results'!$O$22*(A47-1)&gt;0,1+'Options and results'!$O$22*(A47-1),0)</f>
        <v>0</v>
      </c>
      <c r="M47" s="1442">
        <f>IF(D47&lt;=0,0,IF(A47&lt;='Options and results'!$W$20,'Options and results'!$C$27,0)*IF(A47&gt;='Options and results'!$H$27,'Options and results'!$H$26,1))*IF(1+'Options and results'!$O$21*(A47-1)&gt;0,1+'Options and results'!$O$21*(A47-1),0)</f>
        <v>0</v>
      </c>
      <c r="N47" s="1442">
        <f>IF(D47&lt;=0,0,IF(A47&lt;='Options and results'!$W$20,IF(C47&gt;0,VLOOKUP(B47,Arablefinance!$Z$6:$AH$105,Arablefinance!$AH$2,FALSE)*C47*D47,VLOOKUP(B47,Arablefinance!$E$6:$W$126,Arablefinance!$V$2,FALSE)*D47),0)*IF(A47&gt;='Options and results'!$H$25,'Options and results'!$H$24,1))</f>
        <v>0</v>
      </c>
      <c r="O47" s="1013">
        <f t="shared" si="129"/>
        <v>0</v>
      </c>
      <c r="P47" s="1353">
        <f t="shared" si="130"/>
        <v>0</v>
      </c>
      <c r="Q47" s="1013">
        <f>IF(A47&lt;='Options and results'!$W$20,SUM(G$8:$G47),0)</f>
        <v>0</v>
      </c>
      <c r="R47" s="1441">
        <f>IF($A47&lt;='Options and results'!$W$20,SUM($H$8:H47),0)</f>
        <v>0</v>
      </c>
      <c r="S47" s="1441">
        <f>IF($A47&lt;='Options and results'!$W$20,SUM($O$8:O47),0)</f>
        <v>0</v>
      </c>
      <c r="T47" s="1032">
        <f>IF(A47&lt;='Options and results'!$W$20,Q47+R47-S47,0)</f>
        <v>0</v>
      </c>
      <c r="U47" s="405"/>
      <c r="V47" s="1010">
        <f t="shared" si="131"/>
        <v>40</v>
      </c>
      <c r="W47" s="173"/>
      <c r="X47" s="1036"/>
      <c r="Y47" s="1030">
        <f>IF(V47&lt;='Options and results'!$M$34,'Options and results'!$M$33,0)</f>
        <v>0</v>
      </c>
      <c r="Z47" s="1441">
        <f t="shared" si="132"/>
        <v>0</v>
      </c>
      <c r="AA47" s="1441">
        <f t="shared" si="133"/>
        <v>0</v>
      </c>
      <c r="AB47" s="1428">
        <f t="shared" si="134"/>
        <v>0</v>
      </c>
      <c r="AC47" s="1441">
        <f>IF($W$8=0,0,IF(HLOOKUP(CONCATENATE('Options and results'!$C$32," ",Forestrysystem!$C$8),Forestrysystem!$A$7:$IH$70,V47+4,FALSE)&lt;AB47,HLOOKUP(CONCATENATE('Options and results'!$C$32," ",Forestrysystem!$C$8),Forestrysystem!$A$7:$IH$70,V47+4,FALSE),0))</f>
        <v>0</v>
      </c>
      <c r="AD47" s="1441">
        <f>IF($W$8=0,0,IF(HLOOKUP(CONCATENATE('Options and results'!$C$32," ",Forestrysystem!$C$8),Forestrysystem!$A$7:$IH$70,V47+4,FALSE)&gt;=AB47,AB47,0))</f>
        <v>0</v>
      </c>
      <c r="AE47" s="1440">
        <f>IF($W$8=0,0,HLOOKUP(CONCATENATE('Options and results'!$C$32," ",Forestrysystem!$D$8),Forestrysystem!$A$7:$IH$70,$V47+4,FALSE))</f>
        <v>0</v>
      </c>
      <c r="AF47" s="1037"/>
      <c r="AG47" s="1440">
        <f>IF($W$8=0,0,IF(V47=1,'Options and results'!$M$36,0)+IF('Options and results'!$M$39="yes",IF(AND(AG46+'Options and results'!$M$37&lt;=$AF$8,AG46+'Options and results'!$M$37+IF(V47=1,'Options and results'!$M$36,0)&lt;='Options and results'!$M$38*AE47),AG46+'Options and results'!$M$37,AG46),(HLOOKUP(CONCATENATE('Options and results'!$C$32," ",Forestrysystem!$E$8),Forestrysystem!$A$7:$IH$70,V47+4,FALSE))-IF(V47=1,'Options and results'!$M$36,0)))</f>
        <v>0</v>
      </c>
      <c r="AH47" s="1442">
        <f>IF(OR($W$8=0,AB47&lt;=0),0,(HLOOKUP(CONCATENATE('Options and results'!$C$32," ",Forestrysystem!$F$8),Forestrysystem!$A$7:$IH$70,$V47+4,FALSE)) * IF(V47&gt;='Options and results'!$I$19,'Options and results'!$I$18,1) )</f>
        <v>0</v>
      </c>
      <c r="AI47" s="1452">
        <f t="shared" si="179"/>
        <v>0</v>
      </c>
      <c r="AJ47" s="1442">
        <f t="shared" si="135"/>
        <v>0</v>
      </c>
      <c r="AK47" s="1453">
        <f>IF(OR($W$8=0,AE47&lt;=0),0,(HLOOKUP(CONCATENATE('Options and results'!$C$32," ",Forestrysystem!$G$8),Forestrysystem!$A$7:$IH$70,$V47+4,FALSE)) * IF(Y47&gt;='Options and results'!$I$19,'Options and results'!$I$18,1) )</f>
        <v>0</v>
      </c>
      <c r="AL47" s="1453">
        <f>IF($W$8=0,0,HLOOKUP(CONCATENATE('Options and results'!$C$32," ",Forestrysystem!$H$8),Forestrysystem!$A$7:$IH$70,$V47+4,FALSE)*IF(V47&gt;='Options and results'!$I$19,'Options and results'!$I$18,1))</f>
        <v>0</v>
      </c>
      <c r="AM47" s="1383">
        <f>IF($W$8=0,0,HLOOKUP(CONCATENATE('Options and results'!$C$32," ",Forestrysystem!$I$8),Forestrysystem!$A$7:$IH$70,$V47+4,FALSE)*IF(V47&gt;='Options and results'!$I$19,'Options and results'!$I$18,1))</f>
        <v>0</v>
      </c>
      <c r="AN47" s="1382">
        <f>IF(AI47&gt;0,HLOOKUP(AI47,Treevalue!$I$4:$BC$34,'Options and results'!$C$39+1),0)*IF(V47&gt;='Options and results'!$I$21,'Options and results'!$I$20,1)*IF(1+'Options and results'!$Q$20*(V47-1)&gt;0,1+'Options and results'!$Q$20*(V47-1),0)</f>
        <v>0</v>
      </c>
      <c r="AO47" s="1454">
        <f t="shared" si="136"/>
        <v>0</v>
      </c>
      <c r="AP47" s="1454">
        <f t="shared" si="187"/>
        <v>0</v>
      </c>
      <c r="AQ47" s="1454">
        <f>(IF('Options and results'!$C$39&gt;0,IF(V47&lt;='Options and results'!$W$20,VLOOKUP('Options and results'!$C$39,Treevalue!$A$4:$F$34,5,FALSE),0),0)*AK47)*IF(V47&gt;='Options and results'!$I$21,'Options and results'!$I$20,1)*IF(1+'Options and results'!$Q$20*(V47-1)&gt;0,1+'Options and results'!$Q$20*(V47-1),0)-AR47</f>
        <v>0</v>
      </c>
      <c r="AR47" s="1441">
        <f>(IF('Options and results'!$C$39&gt;0,IF(V47&lt;='Options and results'!$W$20,VLOOKUP('Options and results'!$C$39,Treevalue!$A$4:$F$34,5,FALSE),0),0)*AL47)*IF(V47&gt;='Options and results'!$I$21,'Options and results'!$I$20,1)*IF(1+'Options and results'!$Q$20*(V47-1)&gt;0,1+'Options and results'!$Q$20*(V47-1),0)</f>
        <v>0</v>
      </c>
      <c r="AS47" s="1441">
        <f>(IF('Options and results'!$C$39&gt;0,IF(V47&lt;='Options and results'!$W$20,VLOOKUP('Options and results'!$C$39,Treevalue!$A$4:$F$34,6,FALSE),0),0)*AM47)*IF(V47&gt;='Options and results'!$I$21,'Options and results'!$I$20,1)*IF(1+'Options and results'!$Q$20*(V47-1)&gt;0,1+'Options and results'!$Q$20*(V47-1),0)</f>
        <v>0</v>
      </c>
      <c r="AT47" s="1441">
        <f>IF(V47&lt;='Options and results'!$W$20,(IF(AB47&lt;=0,0,IF('Options and results'!$C$43="cost",(IF(V47&lt;='Options and results'!$C$44,BZ47*SUM('Options and results'!$C$45:$C$46),0)),IF('Options and results'!$C$41&gt;0,(IF(VLOOKUP('Options and results'!$C$42,Treegrant!$B$6:$L$42,Treegrant!$C$2,FALSE)=V47,VLOOKUP('Options and results'!$C$42,Treegrant!$B$6:$L$42,Treegrant!$D$2,FALSE),0)+IF(VLOOKUP('Options and results'!$C$42,Treegrant!$B$6:$L$42,Treegrant!$E$2,FALSE)=V47,VLOOKUP('Options and results'!$C$42,Treegrant!$B$6:$L$42,Treegrant!$F$2,FALSE),0)+IF(VLOOKUP('Options and results'!$C$42,Treegrant!$B$6:$L$42,Treegrant!$G$2,FALSE)=V47,VLOOKUP('Options and results'!$C$42,Treegrant!$B$6:$L$42,Treegrant!$H$2,FALSE)))*IF('Options and results'!$C$43="area",1,'Options and results'!$C$43),0)))*IF(V47&gt;='Options and results'!$I$23,'Options and results'!$I$22,1)),0)*IF(1+'Options and results'!$Q$23*(V47-1)&gt;0,1+'Options and results'!$Q$23*(V47-1),0)</f>
        <v>0</v>
      </c>
      <c r="AU47" s="1441">
        <f>IF($W$8=0,0,IF(V47&lt;='Options and results'!$W$20,IF(AB47&lt;=0,0,IF('Options and results'!$C$41&gt;0,IF(AND(VLOOKUP('Options and results'!$C$42,Treegrant!$B$6:$L$42,Treegrant!$J$2,FALSE)&lt;=V47,VLOOKUP('Options and results'!$C$42,Treegrant!$B$6:$L$42,Treegrant!$K$2,FALSE)&gt;=V47),(VLOOKUP('Options and results'!$C$42,Treegrant!$B$6:$L$42,Treegrant!$L$2,FALSE)),0)*IF('Options and results'!$C$47="full",1,'Options and results'!$C$47))*IF(V47&gt;='Options and results'!$I$23,'Options and results'!$I$22,1)),0))*IF(1+'Options and results'!$Q$23*(V47-1)&gt;0,1+'Options and results'!$Q$23*(V47-1),0)</f>
        <v>0</v>
      </c>
      <c r="AV47" s="1032">
        <f>IF($W$8=0,0,IF(V47&lt;='Options and results'!$W$20,IF(AB47&lt;=0,0,(IF('Options and results'!$C$41&gt;0,(IF(AND(VLOOKUP('Options and results'!$C$42,Treegrant!$B$6:$O$42,Treegrant!$M$2,FALSE)&lt;=V47,VLOOKUP('Options and results'!$C$42,Treegrant!$B$6:$O$42,Treegrant!$N$2,FALSE)&gt;=V47),(VLOOKUP('Options and results'!$C$42,Treegrant!$B$6:$O$42,Treegrant!$O$2,FALSE)),0)*IF('Options and results'!$C$48="full",1,'Options and results'!$C$48))+(IF(AND(VLOOKUP('Options and results'!$C$42,Treegrant!$B$6:$R$42,Treegrant!$P$2,FALSE)&lt;=V47,VLOOKUP('Options and results'!$C$42,Treegrant!$B$6:$R$42,Treegrant!$Q$2,FALSE)&gt;=V47),(VLOOKUP('Options and results'!$C$42,Treegrant!$B$6:$R$42,Treegrant!$R$2,FALSE)),0))*IF('Options and results'!$C$49="full",1,'Options and results'!$C$49)))*IF(V47&gt;='Options and results'!$I$23,'Options and results'!$I$22,1)),0))*IF(1+'Options and results'!$Q$23*(V47-1)&gt;0,1+'Options and results'!$Q$23*(V47-1),0)</f>
        <v>0</v>
      </c>
      <c r="AW47" s="1041"/>
      <c r="AX47" s="1042"/>
      <c r="AY47" s="1419">
        <f>IF($W$8=0,0,IF(V47=1,VLOOKUP($W$8,Treecost!$B$6:$AH$49,Treecost!$E$2,FALSE),0)*IF(V47&gt;='Options and results'!$I$25,'Options and results'!$I$24,1))</f>
        <v>0</v>
      </c>
      <c r="AZ47" s="889">
        <f>IF($W$8=0,0,IF(V47=1,VLOOKUP($W$8,Treecost!$B$6:$AH$49,Treecost!$F$2,FALSE),0)*IF(V47&gt;='Options and results'!$I$25,'Options and results'!$I$24,1))</f>
        <v>0</v>
      </c>
      <c r="BA47" s="889">
        <f>IF($W$8=0,0,IF(V47=1,VLOOKUP($W$8,Treecost!$B$6:$AH$49,Treecost!$G$2,FALSE),0)*IF(V47&gt;='Options and results'!$I$25,'Options and results'!$I$24,1))</f>
        <v>0</v>
      </c>
      <c r="BB47" s="889">
        <f>IF($W$8=0,0,IF(V47&lt;='Options and results'!$W$20,((VLOOKUP($W$8,Treecost!$B$6:$AH$49,Treecost!$H$2,FALSE)*(X47+AA47))/60)*IF(V47&gt;='Options and results'!$I$25,'Options and results'!$I$24,1),0))</f>
        <v>0</v>
      </c>
      <c r="BC47" s="889">
        <f>IF($W$8=0,0,IF(V47&lt;='Options and results'!$W$20,(((VLOOKUP($W$8,Treecost!$B$6:$AH$49,Treecost!$I$2,FALSE))*(X47+AA47))/60)*IF(V47&gt;='Options and results'!$I$25,'Options and results'!$I$24,1),0))</f>
        <v>0</v>
      </c>
      <c r="BD47" s="889">
        <f>IF($W$8=0,0,IF(V47&lt;='Options and results'!$W$20,(((VLOOKUP($W$8,Treecost!$B$6:$AH$49,Treecost!$J$2,FALSE))/60)*(X47+AA47))*IF(V47&gt;='Options and results'!$I$25,'Options and results'!$I$24,1),0))</f>
        <v>0</v>
      </c>
      <c r="BE47" s="1019">
        <f>IF($W$8=0,0,IF(V47&lt;='Options and results'!$W$20,(((VLOOKUP($W$8,Treecost!$B$6:$AH$49,Treecost!$C$2,FALSE)+VLOOKUP($W$8,Treecost!$B$6:$AH$49,Treecost!$D$2,FALSE))*(X47+AA47)*IF(1+'Options and results'!$Q$22*(V47-1)&gt;0,1+'Options and results'!$Q$22*(V47-1),0))+((AY47*$AX$8+AZ47*$AX$9+BA47*$AX$10+BB47*$AX$11+BC47*$AX$12+BD47*$AX$13)*IF(1+'Options and results'!$Q$21*(V47-1)&gt;0,1+'Options and results'!$Q$21*(V47-1),0)))*IF(V47&gt;='Options and results'!$I$27,'Options and results'!$I$26,1),0))</f>
        <v>0</v>
      </c>
      <c r="BF47" s="889">
        <f>IF($W$8=0,0,IF(V47&lt;='Options and results'!$W$20,IF(AND(VLOOKUP($W$8,Treecost!$B$6:$AH$49,Treecost!$K$2,FALSE)&lt;=V47,V47&lt;=(VLOOKUP($W$8,Treecost!$B$6:$AH$49,Treecost!$L$2,FALSE))),VLOOKUP($W$8,Treecost!$B$6:$AH$49,Treecost!$M$2,FALSE)*AB47/60,0)*IF(V47&gt;='Options and results'!$I$25,'Options and results'!$I$24,1),0))</f>
        <v>0</v>
      </c>
      <c r="BG47" s="1019">
        <f>IF(BF47&gt;0,(VLOOKUP($W$8,Treecost!$B$6:$AH$49,Treecost!$N$2,FALSE)*AB47*IF(1+'Options and results'!$Q$22*(V47-1)&gt;0,1+'Options and results'!$Q$22*(V47-1),0)+BF47*$AX$14*IF(1+'Options and results'!$Q$21*(V47-1)&gt;0,1+'Options and results'!$Q$21*(V47-1),0)),0)*IF(V47&gt;='Options and results'!$I$27,'Options and results'!$I$26,1)</f>
        <v>0</v>
      </c>
      <c r="BH47" s="889">
        <f>IF(V47&lt;='Options and results'!$W$20,IF(AND(AG47-AG46&gt;0,AG47&gt;'Options and results'!$M$36),(AB47-AC47)*(VLOOKUP($W$8,Treecost!$B$6:$AH$49,Treecost!$Y$2,FALSE)+(VLOOKUP($W$8,Treecost!$B$6:$AH$49,Treecost!$AA$2,FALSE)-VLOOKUP($W$8,Treecost!$B$6:$AH$49,Treecost!$Y$2,FALSE))/(VLOOKUP($W$8,Treecost!$B$6:$AH$49,Treecost!$Z$2,FALSE)-VLOOKUP($W$8,Treecost!$B$6:$AH$49,Treecost!$X$2,FALSE))*(AG47-VLOOKUP($W$8,Treecost!$B$6:$AH$49,Treecost!$X$2,FALSE)))/60,0)*IF(V47&gt;='Options and results'!$I$25,'Options and results'!$I$24,1),0)</f>
        <v>0</v>
      </c>
      <c r="BI47" s="303">
        <f>IF(V47&lt;='Options and results'!$W$20,IF(BH47&gt;0,VLOOKUP($W$8,Treecost!$B$6:$AH$49,Treecost!$AB$2,FALSE)/60*AB47,0)*IF(V47&gt;='Options and results'!$I$25,'Options and results'!$I$24,1),0)*((BH47-(MIN($BH$8:$BH$67)))/((MAX($BH$8:$BH$67))-(MIN($BH$8:$BH$67))))</f>
        <v>0</v>
      </c>
      <c r="BJ47" s="740">
        <f>IF(BH47&gt;0,(BH47*$AX$15+BI47*$AX$19)*IF(1+'Options and results'!$Q$21*(V47-1)&gt;0,1+'Options and results'!$Q$21*(V47-1),0),0)*IF(V47&gt;='Options and results'!$I$27,'Options and results'!$I$26,1)</f>
        <v>0</v>
      </c>
      <c r="BK47" s="891">
        <f>IF($W$8=0,0,IF(V47&lt;='Options and results'!$W$20,IF(VLOOKUP($W$8,Treecost!$B$2:$AH$49,Treecost!$O$2,FALSE)=V47,VLOOKUP($W$8,Treecost!$B$2:$AH$49,Treecost!$P$2,FALSE),0)*IF(V47&gt;='Options and results'!$I$25,'Options and results'!$I$24,1),0))</f>
        <v>0</v>
      </c>
      <c r="BL47" s="889">
        <f>IF($W$8=0,0,IF(V47&lt;='Options and results'!$W$20,IF(AND(V47&gt;VLOOKUP($W$8,Treecost!$B$2:$AH$49,Treecost!$O$2,FALSE),V47&lt;=VLOOKUP($W$8,Treecost!$B$2:$AH$49,Treecost!$R$2,FALSE)),VLOOKUP($W$8,Treecost!$B$2:$AH$49,Treecost!$S$2,FALSE),0)*IF(V47&gt;='Options and results'!$I$25,'Options and results'!$I$24,1),0))</f>
        <v>0</v>
      </c>
      <c r="BM47" s="740">
        <f>IF($W$8=0,0,IF(V47&lt;='Options and results'!$W$20,((IF(VLOOKUP($W$8,Treecost!$B$2:$AH$49,Treecost!$O$2,FALSE)=V47,VLOOKUP($W$8,Treecost!$B$2:$AH$49,Treecost!$Q$2,FALSE),0)+IF(AND(V47&gt;VLOOKUP($W$8,Treecost!$B$2:$AH$49,Treecost!$O$2,FALSE),V47&lt;=VLOOKUP($W$8,Treecost!$B$2:$AH$49,Treecost!$R$2,FALSE)),VLOOKUP($W$8,Treecost!$B$2:$AH$49,Treecost!$T$2,FALSE),0)*IF(1+'Options and results'!$Q$22*(V47-1)&gt;0,1+'Options and results'!$Q$22*(V47-1),0))+(BK47*$AX$16+BL47*$AX$17)*IF(1+'Options and results'!$Q$21*(V47-1)&gt;0,1+'Options and results'!$Q$21*(V47-1),0))*IF(V47&gt;='Options and results'!$I$27,'Options and results'!$I$26,1),0))</f>
        <v>0</v>
      </c>
      <c r="BN47" s="894">
        <f>IF($W$8=0,0,IF(V47&lt;='Options and results'!$W$20,IF(AND(V47&gt;=VLOOKUP($W$8,Treecost!$B$2:$W$49,Treecost!$U$2,FALSE),V47&lt;=VLOOKUP($W$8,Treecost!$B$2:$W$49,Treecost!$V$2,FALSE)),(AB47*VLOOKUP($W$8,Treecost!$B$2:$W$49,Treecost!$W$2,FALSE)/60),0)*IF(V47&gt;='Options and results'!$I$25,'Options and results'!$I$24,1),0))</f>
        <v>0</v>
      </c>
      <c r="BO47" s="740">
        <f>BN47*$AX$18*IF(V47&gt;='Options and results'!$I$27,'Options and results'!$I$26,1)*IF(1+'Options and results'!$Q$21*(V47-1)&gt;0,1+'Options and results'!$Q$21*(V47-1),0)</f>
        <v>0</v>
      </c>
      <c r="BP47" s="894">
        <f>IF(V47&lt;='Options and results'!$W$20,IF(AB47&lt;=0,0,VLOOKUP($W$8,Treecost!$B$6:$AH$49,Treecost!$AC$2,FALSE)+VLOOKUP($W$8,Treecost!$B$6:$AH$49,Treecost!$AD$2,FALSE)+IF(AND(V47&gt;=VLOOKUP($W$8,Treecost!$B$2:$AK$49,Treecost!$AI$2,FALSE),V47&lt;=VLOOKUP($W$8,Treecost!$B$2:$AK$49,Treecost!$AJ$2,FALSE)),(VLOOKUP($W$8,Treecost!$B$2:$AK$49,Treecost!$AK$2,FALSE)),0))*IF(V47&gt;='Options and results'!$I$27,'Options and results'!$I$26,1),0)*IF(1+'Options and results'!$Q$22*(V47-1)&gt;0,1+'Options and results'!$Q$22*(V47-1),0)</f>
        <v>0</v>
      </c>
      <c r="BQ47" s="894">
        <f>IF(V47&lt;='Options and results'!$W$20,IF(AC47&gt;0,VLOOKUP($W$8,Treecost!$B$6:$AH$49,Treecost!$AE$2,FALSE)/60*AC47,0)*IF(V47&gt;='Options and results'!$I$25,'Options and results'!$I$24,1),0)</f>
        <v>0</v>
      </c>
      <c r="BR47" s="740">
        <f>IF(V47&lt;='Options and results'!$W$20,IF(AC47&gt;0,VLOOKUP($W$8,Treecost!$B$6:$AH$49,Treecost!$AF$2,FALSE)/60*AC47,0)*IF(V47&gt;='Options and results'!$I$25,'Options and results'!$I$24,1),0)</f>
        <v>0</v>
      </c>
      <c r="BS47" s="740">
        <f>(BQ47*$AX$20+BR47*$AX$21)*IF(V47&gt;='Options and results'!$I$27,'Options and results'!$I$26,1)*IF(1+'Options and results'!$Q$21*(V47-1)&gt;0,1+'Options and results'!$Q$21*(V47-1),0)</f>
        <v>0</v>
      </c>
      <c r="BT47" s="894">
        <f>IF(V47&lt;='Options and results'!$W$20,IF(AD47&gt;0,(VLOOKUP($W$8,Treecost!$B$6:$AH$49,Treecost!$AG$2,FALSE)/60*AD47)*IF(V47&gt;='Options and results'!$I$25,'Options and results'!$I$24,1),0),0)</f>
        <v>0</v>
      </c>
      <c r="BU47" s="740">
        <f>IF(V47&lt;='Options and results'!$W$20,IF(AD47&gt;0,(VLOOKUP($W$8,Treecost!$B$6:$AH$49,Treecost!$AH$2,FALSE)/60*AD47)*IF(V47&gt;='Options and results'!$I$25,'Options and results'!$I$24,1),0),0)</f>
        <v>0</v>
      </c>
      <c r="BV47" s="740">
        <f>(BT47*$AX$22+BU47*$AX$23)*IF(V47&gt;='Options and results'!$I$27,'Options and results'!$I$26,1)*IF(1+'Options and results'!$Q$21*(V47-1)&gt;0,1+'Options and results'!$Q$21*(V47-1),0)</f>
        <v>0</v>
      </c>
      <c r="BW47" s="1033">
        <f t="shared" si="138"/>
        <v>0</v>
      </c>
      <c r="BX47" s="1027">
        <f t="shared" si="139"/>
        <v>0</v>
      </c>
      <c r="BY47" s="1027">
        <f t="shared" si="140"/>
        <v>0</v>
      </c>
      <c r="BZ47" s="740">
        <f t="shared" si="188"/>
        <v>0</v>
      </c>
      <c r="CA47" s="740">
        <f t="shared" si="141"/>
        <v>0</v>
      </c>
      <c r="CB47" s="894">
        <f>IF($V47&lt;='Options and results'!$W$20,SUM(BX$8:$BX47),0)</f>
        <v>0</v>
      </c>
      <c r="CC47" s="740">
        <f>IF($V47&lt;='Options and results'!$W$20,SUM($BY$8:BY47),0)</f>
        <v>0</v>
      </c>
      <c r="CD47" s="740">
        <f>IF($V47&lt;='Options and results'!$W$20,SUM($BZ$8:BZ47),0)</f>
        <v>0</v>
      </c>
      <c r="CE47" s="740">
        <f>IF(V47&lt;='Options and results'!$W$20,CB47+CC47-CD47,0)</f>
        <v>0</v>
      </c>
      <c r="CF47" s="1381">
        <f t="shared" si="142"/>
        <v>0</v>
      </c>
      <c r="CG47" s="1027">
        <f t="shared" si="143"/>
        <v>0</v>
      </c>
      <c r="CH47" s="1027">
        <f t="shared" si="144"/>
        <v>0</v>
      </c>
      <c r="CI47" s="1189">
        <f>IF(V47&lt;='Options and results'!$W$20,CE47+AO47,0)</f>
        <v>0</v>
      </c>
      <c r="CJ47" s="1023"/>
      <c r="CK47" s="895">
        <f t="shared" si="145"/>
        <v>40</v>
      </c>
      <c r="CL47" s="1011" t="str">
        <f>IF('Options and results'!$C$54="None",0,IF(AND(CK47&gt;='Options and results'!$K$57,CK46&lt;'Options and results'!$W$20),'Options and results'!$K$56,IF(Optimisation!$B$3="No",CONCATENATE('Options and results'!$C$60," ",(HLOOKUP(CONCATENATE('Options and results'!$C$54," ",Agroforestrysystem!$B$12),Agroforestrysystem!$B$11:$IM$74,$CK47+4,FALSE))),Optimisation!AA67)))</f>
        <v xml:space="preserve">UK - Agriculture (BPS: from 2015) </v>
      </c>
      <c r="CM47" s="1012">
        <f>IF(HLOOKUP(CONCATENATE('Options and results'!$C$54," ",Agroforestrysystem!$C$12),Agroforestrysystem!$B$11:$IM$74,$CK47+4,FALSE)="T",(VLOOKUP(CL47,Arablefinance!$Z$6:$AB$105,Arablefinance!$AB$2,FALSE)*CO47+VLOOKUP(CL47,Arablefinance!$Z$6:$AC$105,Arablefinance!$AC$2,FALSE)*CP47)/VLOOKUP(CL47,Arablefinance!$Z$6:$AA$105,Arablefinance!$AA$2,FALSE),0)</f>
        <v>0</v>
      </c>
      <c r="CN47" s="1012">
        <f>IF(CL47=0,0,HLOOKUP(CONCATENATE('Options and results'!$C$54," ",Agroforestrysystem!$D$12),Agroforestrysystem!$B$11:$IM$74,$CK47+4,FALSE))</f>
        <v>0</v>
      </c>
      <c r="CO47" s="1440">
        <f ca="1">IF(CL47=0,0,IF(AND(Optimisation!$B$3="yes",Optimisation!$B$4=1,CK47&gt;Optimisation!$B$9),0,HLOOKUP(CONCATENATE('Options and results'!$C$54," ",Agroforestrysystem!$E$12),Agroforestrysystem!$B$11:$IM$74,$CK47+4,FALSE)*IF(CK47&gt;='Options and results'!$J$19,'Options and results'!$J$18,1)))</f>
        <v>0</v>
      </c>
      <c r="CP47" s="1440">
        <f ca="1">IF(CL47=0,0,IF(AND(Optimisation!$B$3="yes",Optimisation!$B$4=1,CK47&gt;Optimisation!$B$9),0,HLOOKUP(CONCATENATE('Options and results'!$C$54," ",Agroforestrysystem!$F$12),Agroforestrysystem!$B$11:$IM$74,$CK47+4,FALSE)*IF(CK47&gt;='Options and results'!$J$19,'Options and results'!$J$18,1)))</f>
        <v>0</v>
      </c>
      <c r="CQ47" s="1013">
        <f>IF(CN47&lt;=0,0,IF(CK47&lt;='Options and results'!$W$20,IF(CM47&gt;0,VLOOKUP(CL47,Arablefinance!$Z$6:$AE$105,Arablefinance!$AD$2,FALSE)*CM47*CN47,((VLOOKUP(CL47,Arablefinance!$E$6:$H$126,2,FALSE)*CO47+VLOOKUP(CL47,Arablefinance!$E$6:$H$126,3,FALSE)*CP47)*CN47)),0)*IF(CK47&gt;='Options and results'!$J$21,'Options and results'!$J$20,1))*IF(1+'Options and results'!$O$20*(CK47-1)&gt;0,1+'Options and results'!$O$20*(CK47-1),0)</f>
        <v>0</v>
      </c>
      <c r="CR47" s="1441">
        <f>IF(CN47&lt;=0,0,IF(AND(CM47&gt;0,VLOOKUP(CL47,Arablefinance!$Z$6:$AI$105,Arablefinance!$AI$2,FALSE)=2),VLOOKUP(CL47,Arablefinance!$Z$6:$AE$105,Arablefinance!$AE$2,FALSE)*CM47*CN47,IF('Options and results'!$C$62&gt;0,IF(VLOOKUP(CL47,Arablefinance!$E$6:$W$126,Arablefinance!$H$2,FALSE)*(1-Plot!DM47*'Options and results'!$C$62)&gt;0,VLOOKUP(CL47,Arablefinance!$E$6:$W$126,Arablefinance!$H$2,FALSE)*(1-Plot!DM47*'Options and results'!$C$62),0),IF(CK47&lt;='Options and results'!$W$20,(VLOOKUP(CL47,Arablefinance!$E$6:$W$126,Arablefinance!$H$2,FALSE)*IF('Options and results'!$C$61="area",CN47,'Options and results'!$C$61)),0)))*IF(CK47&gt;='Options and results'!$J$23,'Options and results'!$J$22,1))*IF(AND(1+'Options and results'!$O$23*(CK47-1)&gt;0,1+'Options and results'!$O$23*(CK47-1)&gt;'Options and results'!$S$24),1+'Options and results'!$O$23*(CK47-1),'Options and results'!$S$24)</f>
        <v>0</v>
      </c>
      <c r="CS47" s="1441">
        <f t="shared" si="185"/>
        <v>0</v>
      </c>
      <c r="CT47" s="1441">
        <f>IF(CN47&lt;=0,0,IF(CK47&lt;='Options and results'!$W$20,IF(CM47&gt;0,VLOOKUP(CL47,Arablefinance!$Z$6:$AF$105,Arablefinance!$AF$2,FALSE)*CM47*CN47,VLOOKUP(CL47,Arablefinance!$E$6:$X$126,Arablefinance!$R$2,FALSE)*CN47),0)*IF(CK47&gt;='Options and results'!$J$27,'Options and results'!$J$26,1))*IF(1+'Options and results'!$O$22*(CK47-1)&gt;0,1+'Options and results'!$O$22*(CK47-1),0)</f>
        <v>0</v>
      </c>
      <c r="CU47" s="1441">
        <f t="shared" si="186"/>
        <v>0</v>
      </c>
      <c r="CV47" s="1441">
        <f>IF(CN47&lt;=0,0,IF(CK47&lt;='Options and results'!$W$20,IF(CM47&gt;0,VLOOKUP(CL47,Arablefinance!$Z$6:$AG$105,Arablefinance!$AG$2,FALSE)*CM47*CN47,VLOOKUP(CL47,Arablefinance!$E$6:$X$126,Arablefinance!$X$2,FALSE)*CN47),0)*IF(CK47&gt;='Options and results'!$J$27,'Options and results'!$J$26,1))*IF(1+'Options and results'!$O$22*(CK47-1)&gt;0,1+'Options and results'!$O$22*(CK47-1),0)</f>
        <v>0</v>
      </c>
      <c r="CW47" s="1442">
        <f>IF(CN47&lt;=0,0,IF(CK47&lt;='Options and results'!$W$20,'Options and results'!$C$27*IF(CK47&gt;='Options and results'!$J$27,'Options and results'!$J$26,1),0))*IF(1+'Options and results'!$O$21*(CK47-1)&gt;0,1+'Options and results'!$O$21*(CK47-1),0)</f>
        <v>0</v>
      </c>
      <c r="CX47" s="1442">
        <f>IF(CN47&lt;=0,0,IF(CK47&lt;='Options and results'!$W$20,IF(CM47&gt;0,VLOOKUP(CL47,Arablefinance!$Z$6:$AH$105,Arablefinance!$AH$2,FALSE)*CM47*CN47,VLOOKUP(CL47,Arablefinance!$E$6:$W$126,Arablefinance!$V$2,FALSE)*CN47),0)*IF(CK47&gt;='Options and results'!$J$25,'Options and results'!$J$24,1))</f>
        <v>0</v>
      </c>
      <c r="CY47" s="1013">
        <f t="shared" si="148"/>
        <v>0</v>
      </c>
      <c r="CZ47" s="1353">
        <f t="shared" si="149"/>
        <v>0</v>
      </c>
      <c r="DA47" s="1013">
        <f>IF($CK47&lt;='Options and results'!$W$20,SUM($CQ$8:CQ47),0)</f>
        <v>0</v>
      </c>
      <c r="DB47" s="1441">
        <f>IF($CK47&lt;='Options and results'!$W$20,SUM($CR$8:CR47),0)</f>
        <v>0</v>
      </c>
      <c r="DC47" s="1441">
        <f>IF($CK47&lt;='Options and results'!$W$20,SUM($CY$8:CY47),0)</f>
        <v>0</v>
      </c>
      <c r="DD47" s="1189">
        <f>IF(CK47&lt;='Options and results'!$W$20,DA47+DB47-DC47,0)</f>
        <v>0</v>
      </c>
      <c r="DE47" s="401"/>
      <c r="DF47" s="895">
        <f t="shared" si="150"/>
        <v>40</v>
      </c>
      <c r="DG47" s="173"/>
      <c r="DH47" s="1422"/>
      <c r="DI47" s="1427">
        <f>IF(DF47&lt;='Options and results'!$M$61,'Options and results'!$M$60,0)</f>
        <v>0</v>
      </c>
      <c r="DJ47" s="740">
        <f t="shared" si="151"/>
        <v>0</v>
      </c>
      <c r="DK47" s="740">
        <f t="shared" si="152"/>
        <v>0</v>
      </c>
      <c r="DL47" s="1428">
        <f t="shared" si="153"/>
        <v>0</v>
      </c>
      <c r="DM47" s="1429">
        <f>IF($DG$8=0,0,HLOOKUP(CONCATENATE('Options and results'!$C$54," ",Agroforestrysystem!$J$12),Agroforestrysystem!$11:$74,DF47+3,FALSE))/100</f>
        <v>0</v>
      </c>
      <c r="DN47" s="740">
        <f>IF($DG$8=0,0,IF(HLOOKUP(CONCATENATE('Options and results'!$C$54," ",Agroforestrysystem!$H$12),Agroforestrysystem!$11:$74,DF47+4,FALSE)&lt;DL47,HLOOKUP(CONCATENATE('Options and results'!$C$54," ",Agroforestrysystem!$H$12),Agroforestrysystem!$11:$74,DF47+4,FALSE),0))</f>
        <v>0</v>
      </c>
      <c r="DO47" s="1027">
        <f>IF($DG$8=0,0,IF(HLOOKUP(CONCATENATE('Options and results'!$C$54," ",Agroforestrysystem!$H$12),Agroforestrysystem!$11:$74,DF47+4,FALSE)&gt;=DL47,DL47,0))</f>
        <v>0</v>
      </c>
      <c r="DP47" s="1430">
        <f>IF($DG$8=0,0,HLOOKUP(CONCATENATE('Options and results'!$C$54," ",Agroforestrysystem!$I$12),Agroforestrysystem!$11:$74,DF47+4,FALSE))</f>
        <v>0</v>
      </c>
      <c r="DQ47" s="1038"/>
      <c r="DR47" s="1430">
        <f>IF($DG$8=0,0,IF(DF47&gt;'Options and results'!$W$20,0,)+IF(DF47=1,'Options and results'!$M$64)+IF('Options and results'!$M$67="yes",IF(AND(DR46+'Options and results'!$M$65&lt;=$DQ$8,DR46+'Options and results'!$M$65+IF(DF47=1,'Options and results'!$M$64,0)&lt;='Options and results'!$M$66*DP47),DR46+'Options and results'!$M$65,DR46),(HLOOKUP(CONCATENATE('Options and results'!$C$54," ",Agroforestrysystem!$K$12),Agroforestrysystem!$11:$74,DF47+4,FALSE)-IF(DF47=1,'Options and results'!$M$64))))</f>
        <v>0</v>
      </c>
      <c r="DS47" s="1027">
        <f>IF(OR($DG$8=0,DL47=0),0,HLOOKUP(CONCATENATE('Options and results'!$C$54," ",Agroforestrysystem!$L$12),Agroforestrysystem!$11:$74,DF47+4,FALSE)*IF(DF47&gt;='Options and results'!$K$19,'Options and results'!$K$18,1))</f>
        <v>0</v>
      </c>
      <c r="DT47" s="1431">
        <f t="shared" si="154"/>
        <v>0</v>
      </c>
      <c r="DU47" s="889">
        <f t="shared" si="155"/>
        <v>0</v>
      </c>
      <c r="DV47" s="1027">
        <f>IF($DG$8=0,0,(HLOOKUP(CONCATENATE('Options and results'!$C$54," ",Agroforestrysystem!$M$12),Agroforestrysystem!$11:$74,DF47+4,FALSE))*IF(DF47&gt;='Options and results'!$K$19,'Options and results'!$K$18,1))-DW47</f>
        <v>0</v>
      </c>
      <c r="DW47" s="303">
        <f>IF($DG$8=0,0,(HLOOKUP(CONCATENATE('Options and results'!$C$54," ",Agroforestrysystem!$N$12),Agroforestrysystem!$11:$74,DF47+4,FALSE))*IF(DF47&gt;='Options and results'!$K$19,'Options and results'!$K$18,1))</f>
        <v>0</v>
      </c>
      <c r="DX47" s="303">
        <f>IF($DG$8=0,0,HLOOKUP(CONCATENATE('Options and results'!$C$54," ",Agroforestrysystem!$O$12),Agroforestrysystem!$11:$74,DF47+4,FALSE)*IF(DF47&gt;='Options and results'!$K$19,'Options and results'!$K$18,1))</f>
        <v>0</v>
      </c>
      <c r="DY47" s="1192">
        <f>IF(DT47&gt;0,HLOOKUP(DT47,Treevalue!$I$4:$BC$34,'Options and results'!$C$66+1),0)*IF(DF47&gt;='Options and results'!$K$21,'Options and results'!$K$20,1)*IF(1+'Options and results'!$Q$20*(DF47-1)&gt;0,1+'Options and results'!$Q$20*(DF47-1),0)</f>
        <v>0</v>
      </c>
      <c r="DZ47" s="1027">
        <f t="shared" si="156"/>
        <v>0</v>
      </c>
      <c r="EA47" s="1027">
        <f t="shared" si="125"/>
        <v>0</v>
      </c>
      <c r="EB47" s="1027">
        <f>(IF('Options and results'!$C$66&gt;0,IF(DF47&lt;='Options and results'!$W$20,VLOOKUP('Options and results'!$C$66,Treevalue!$A$4:$F$34,5,FALSE),0),0)*DV47)*IF(DF47&gt;='Options and results'!$K$21,'Options and results'!$K$20,1)*IF(1+'Options and results'!$Q$20*(DF47-1)&gt;0,1+'Options and results'!$Q$20*(DF47-1),0)</f>
        <v>0</v>
      </c>
      <c r="EC47" s="740">
        <f>(IF('Options and results'!$C$66&gt;0,IF(DF47&lt;='Options and results'!$W$20,VLOOKUP('Options and results'!$C$66,Treevalue!$A$4:$F$34,5,FALSE),0),0)*DW47)*IF(DF47&gt;='Options and results'!$K$21,'Options and results'!$K$20,1)*IF(1+'Options and results'!$Q$20*(DF47-1)&gt;0,1+'Options and results'!$Q$20*(DF47-1),0)</f>
        <v>0</v>
      </c>
      <c r="ED47" s="889">
        <f>(IF('Options and results'!$C$66&gt;0,IF(DF47&lt;='Options and results'!$W$20,VLOOKUP('Options and results'!$C$66,Treevalue!$A$4:$F$34,6,FALSE),0),0)*DX47)*IF(DF47&gt;='Options and results'!$K$21,'Options and results'!$K$20,1)*IF(1+'Options and results'!$Q$20*(DF47-1)&gt;0,1+'Options and results'!$Q$20*(DF47-1),0)</f>
        <v>0</v>
      </c>
      <c r="EE47" s="740">
        <f>IF(DF47&lt;='Options and results'!$W$20,IF(DL47&lt;=0,0,IF('Options and results'!$C$70="cost",(IF(DF47&lt;='Options and results'!$C$71,FK47*SUM('Options and results'!$C$72:$C$73),0)),IF('Options and results'!$C$68&gt;0,(IF(VLOOKUP('Options and results'!$C$69,Treegrant!$B$6:$L$42,Treegrant!$C$2,FALSE)=DF47,VLOOKUP('Options and results'!$C$69,Treegrant!$B$6:$L$42,Treegrant!$D$2,FALSE),0)+IF(VLOOKUP('Options and results'!$C$69,Treegrant!$B$6:$L$42,Treegrant!$E$2,FALSE)=DF47,VLOOKUP('Options and results'!$C$69,Treegrant!$B$6:$L$42,Treegrant!$F$2,FALSE),0)+IF(VLOOKUP('Options and results'!$C$69,Treegrant!$B$6:$L$42,Treegrant!$G$2,FALSE)=DF47,VLOOKUP('Options and results'!$C$69,Treegrant!$B$6:$L$42,Treegrant!$H$2,FALSE)))*IF('Options and results'!$C$70="area",Unit!C48,'Options and results'!$C$70),0))*IF(DF47&gt;='Options and results'!$K$23,'Options and results'!$K$22,1)),0)*IF(1+'Options and results'!$Q$23*(DF47-1)&gt;0,1+'Options and results'!$Q$23*(DF47-1),0)</f>
        <v>0</v>
      </c>
      <c r="EF47" s="740">
        <f>IF($DG$8=0,0,IF(DF47&lt;='Options and results'!$W$20,IF(DL47&lt;=0,0,IF('Options and results'!$C$68&gt;0,IF(AND(VLOOKUP('Options and results'!$C$69,Treegrant!$B$6:$L$42,Treegrant!$J$2,FALSE)&lt;=DF47,VLOOKUP('Options and results'!$C$69,Treegrant!$B$6:$L$42,Treegrant!$K$2,FALSE)&gt;=DF47),(VLOOKUP('Options and results'!$C$69,Treegrant!$B$6:$L$42,Treegrant!$L$2,FALSE)),0)*IF('Options and results'!$C$74="area",Unit!C48,'Options and results'!$C$74))*IF(DF47&gt;='Options and results'!$K$23,'Options and results'!$K$22,1)),0))*IF(1+'Options and results'!$Q$23*(DF47-1)&gt;0,1+'Options and results'!$Q$23*(DF47-1),0)</f>
        <v>0</v>
      </c>
      <c r="EG47" s="1034">
        <f>IF($DG$8=0,0,IF(DF47&lt;='Options and results'!$W$20,IF(DL47&lt;=0,0,IF('Options and results'!$C$68&gt;0,((IF(AND(VLOOKUP('Options and results'!$C$69,Treegrant!$B$6:$O$42,Treegrant!$M$2,FALSE)&lt;=DF47,VLOOKUP('Options and results'!$C$69,Treegrant!$B$6:$O$42,Treegrant!$N$2,FALSE)&gt;=DF47),(VLOOKUP('Options and results'!$C$69,Treegrant!$B$6:$O$42,Treegrant!$O$2,FALSE)),0)*IF('Options and results'!$C$75="area",Unit!C48,'Options and results'!$C$75))+(IF(AND(VLOOKUP('Options and results'!$C$69,Treegrant!$B$6:$R$42,Treegrant!$P$2,FALSE)&lt;=DF47,VLOOKUP('Options and results'!$C$69,Treegrant!$B$6:$R$42,Treegrant!$Q$2,FALSE)&gt;=DF47),(VLOOKUP('Options and results'!$C$69,Treegrant!$B$6:$R$42,Treegrant!$R$2,FALSE)),0))*IF('Options and results'!$C$76="area",Unit!C48,'Options and results'!$C$76)))*IF(DF47&gt;='Options and results'!$K$23,'Options and results'!$K$22,1)),0))*IF(1+'Options and results'!$Q$23*(DF47-1)&gt;0,1+'Options and results'!$Q$23*(DF47-1),0)</f>
        <v>0</v>
      </c>
      <c r="EH47" s="1041"/>
      <c r="EI47" s="1042"/>
      <c r="EJ47" s="1419">
        <f>IF($DH$8+DK47&lt;1,0,IF(DF47=1,VLOOKUP($DG$8,Treecost!$B$6:$AH$49,Treecost!$E$2,FALSE),0)*IF(DF47&gt;='Options and results'!$K$25,'Options and results'!$K$24,1))</f>
        <v>0</v>
      </c>
      <c r="EK47" s="889">
        <f>IF($DH$8+DK47&lt;1,0,IF(DF47=1,VLOOKUP($DG$8,Treecost!$B$6:$AH$49,Treecost!$F$2,FALSE),0)*IF(DF47&gt;='Options and results'!$K$25,'Options and results'!$K$24,1))</f>
        <v>0</v>
      </c>
      <c r="EL47" s="889">
        <f>IF($DH$8+DK47&lt;1,0,IF(DF47=1,VLOOKUP($DG$8,Treecost!$B$6:$AH$49,Treecost!$G$2,FALSE),0)*IF(DF47&gt;='Options and results'!$K$25,'Options and results'!$K$24,1))</f>
        <v>0</v>
      </c>
      <c r="EM47" s="889">
        <f>IF($DG$8=0,0,IF(DF47&lt;='Options and results'!$W$20,((VLOOKUP($DG$8,Treecost!$B$6:$AH$49,Treecost!$H$2,FALSE)*(DH47+DK47))/60)*IF(DF47&gt;='Options and results'!$K$25,'Options and results'!$K$24,1),0))</f>
        <v>0</v>
      </c>
      <c r="EN47" s="889">
        <f>IF($DG$8=0,0,IF(DF47&lt;='Options and results'!$W$20,(((VLOOKUP($DG$8,Treecost!$B$6:$AH$49,Treecost!$I$2,FALSE))*(DH47+DK47))/60)*IF(DF47&gt;='Options and results'!$K$25,'Options and results'!$K$24,1),0))</f>
        <v>0</v>
      </c>
      <c r="EO47" s="889">
        <f>IF($DG$8=0,0,IF(DF47&lt;='Options and results'!$W$20,(((VLOOKUP($DG$8,Treecost!$B$6:$AH$49,Treecost!$J$2,FALSE))/60)*(DH47+DK47))*IF(DF47&gt;='Options and results'!$K$25,'Options and results'!$K$24,1),0))</f>
        <v>0</v>
      </c>
      <c r="EP47" s="1019">
        <f>IF($DG$8=0,0,IF(DF47&lt;='Options and results'!$W$20,(((VLOOKUP($DG$8,Treecost!$B$6:$AH$49,Treecost!$C$2,FALSE)+VLOOKUP($DG$8,Treecost!$B$6:$AH$49,Treecost!$D$2,FALSE))*(DH47+DK47)*IF(1+'Options and results'!$Q$22*(DF47-1)&gt;0,1+'Options and results'!$Q$22*(DF47-1),0))+(EJ47*$EI$8+EK47*$EI$9+EL47*$EI$10+EM47*$EI$11+EN47*$EI$12+EO47*$EI$13)*IF(1+'Options and results'!$Q$21*(DF47-1)&gt;0,1+'Options and results'!$Q$21*(DF47-1),0))*IF(DF47&gt;='Options and results'!$K$27,'Options and results'!$K$26,1),0))</f>
        <v>0</v>
      </c>
      <c r="EQ47" s="740">
        <f>IF($DG$8=0,0,IF(DF47&lt;='Options and results'!$W$20,IF(AND(VLOOKUP($DG$8,Treecost!$B$6:$AH$49,Treecost!$K$2,FALSE)&lt;=DF47,DF47&lt;=(VLOOKUP($DG$8,Treecost!$B$6:$AH$49,Treecost!$L$2,FALSE))),VLOOKUP($DG$8,Treecost!$B$6:$AH$49,Treecost!$M$2,FALSE)*DL47/60,0)*IF(DF47&gt;='Options and results'!$K$25,'Options and results'!$K$24,1),0))</f>
        <v>0</v>
      </c>
      <c r="ER47" s="1019">
        <f>IF(EQ47&gt;0,(VLOOKUP($DG$8,Treecost!$B$6:$AH$49,Treecost!$N$2,FALSE)*DL47*IF(1+'Options and results'!$Q$22*(DF47-1)&gt;0,1+'Options and results'!$Q$22*(DF47-1),0)+EQ47*$EI$14*IF(1+'Options and results'!$Q$21*(DF47-1)&gt;0,1+'Options and results'!$Q$21*(DF47-1),0)),0)*IF(DF47&gt;='Options and results'!$K$27,'Options and results'!$K$26,1)</f>
        <v>0</v>
      </c>
      <c r="ES47" s="889">
        <f>IF(DF47&lt;='Options and results'!$W$20,IF(AND(DR47-DR46&gt;0,DR47&gt;'Options and results'!$M$64),(DL47-DN47)*(VLOOKUP($DG$8,Treecost!$B$6:$AH$49,Treecost!$Y$2,FALSE)+(VLOOKUP($DG$8,Treecost!$B$6:$AH$49,Treecost!$AA$2,FALSE)-VLOOKUP($DG$8,Treecost!$B$6:$AH$49,Treecost!$Y$2,FALSE))/(VLOOKUP($DG$8,Treecost!$B$6:$AH$49,Treecost!$Z$2,FALSE)-VLOOKUP($DG$8,Treecost!$B$6:$AH$49,Treecost!$X$2,FALSE))*(DR47-VLOOKUP($DG$8,Treecost!$B$6:$AH$49,Treecost!$X$2,FALSE)))/60,0)*IF(DF47&gt;='Options and results'!$K$25,'Options and results'!$K$24,1),0)</f>
        <v>0</v>
      </c>
      <c r="ET47" s="889">
        <f>IF(DF47&lt;='Options and results'!$W$20,IF(ES47&gt;0,VLOOKUP($DG$8,Treecost!$B$6:$AH$49,Treecost!$AB$2,FALSE)/60*DL47,0)*IF(DF47&gt;='Options and results'!$K$25,'Options and results'!$K$24,1),0)*((ES47-(MIN($ES$8:$ES$67)))/((MAX($ES$8:$ES$67))-(MIN($ES$8:$ES$67))))</f>
        <v>0</v>
      </c>
      <c r="EU47" s="740">
        <f>IF(ES47&gt;0,(ES47*$EI$15+ET47*$EI$19)*IF(1+'Options and results'!$Q$21*(DF47-1)&gt;0,1+'Options and results'!$Q$21*(DF47-1),0),0)*IF(DF47&gt;='Options and results'!$K$27,'Options and results'!$K$26,1)</f>
        <v>0</v>
      </c>
      <c r="EV47" s="891">
        <f>IF($DG$8=0,0,IF(DF47&lt;='Options and results'!$W$20,IF(AND(VLOOKUP($DG$8,Treecost!$B$2:$AH$49,Treecost!$O$2,FALSE)=DF47,DF47&lt;=IF(AND(Optimisation!$B$3="Yes",Optimisation!$B$4=1),Optimisation!$B$9)),VLOOKUP($DG$8,Treecost!$B$2:$AH$49,Treecost!$P$2,FALSE)*(1-CN47),0)*IF(DF47&gt;='Options and results'!$K$25,'Options and results'!$K$24,1),0))</f>
        <v>0</v>
      </c>
      <c r="EW47" s="889">
        <f>IF($DG$8=0,0,IF(DF47&lt;='Options and results'!$W$20,IF(AND(DF47&gt;VLOOKUP($DG$8,Treecost!$B$2:$AH$49,Treecost!$O$2,FALSE),DF47&lt;=IF(AND(Optimisation!$B$3="Yes",Optimisation!$B$4=1),Optimisation!$B$9,VLOOKUP($DG$8,Treecost!$B$2:$AH$49,Treecost!$R$2,FALSE))),VLOOKUP($DG$8,Treecost!$B$2:$AH$49,Treecost!$S$2,FALSE)*(1-CN47),0)*IF(DF47&gt;='Options and results'!$K$25,'Options and results'!$K$24,1),0))</f>
        <v>0</v>
      </c>
      <c r="EX47" s="740">
        <f>IF($DG$8=0,0,IF(DF47&lt;='Options and results'!$W$20,(IF(AND(VLOOKUP($DG$8,Treecost!$B$2:$AH$49,Treecost!$O$2,FALSE)=DF47,DF47&lt;=IF(AND(Optimisation!$B$3="Yes",Optimisation!$B$4=1),Optimisation!$B$9)),VLOOKUP($DG$8,Treecost!$B$2:$AH$49,Treecost!$Q$2,FALSE),0)*(1-CN47)+IF(AND(DF47&gt;VLOOKUP($DG$8,Treecost!$B$2:$AH$49,Treecost!$O$2,FALSE),DF47&lt;=IF(AND(Optimisation!$B$3="Yes",Optimisation!$B$4=1),Optimisation!$B$9,VLOOKUP($DG$8,Treecost!$B$2:$AH$49,Treecost!$R$2,FALSE))),VLOOKUP($DG$8,Treecost!$B$2:$AH$49,Treecost!$T$2,FALSE),0)*(1-CN47)+(EV47*$EI$16+EW47*$EI$17))*IF(DF47&gt;='Options and results'!$K$27,'Options and results'!$K$26,1),0))*IF(1+'Options and results'!$Q$21*(DF47-1)&gt;0,1+'Options and results'!$Q$21*(DF47-1),0)</f>
        <v>0</v>
      </c>
      <c r="EY47" s="894">
        <f>IF($DG$8=0,0,IF(DF47&lt;='Options and results'!$W$20,IF(AND(DF47&gt;=VLOOKUP($DG$8,Treecost!$B$2:$W$49,Treecost!$U$2,FALSE),DF47&lt;=VLOOKUP($DG$8,Treecost!$B$2:$W$49,Treecost!$V$2,FALSE)),(DL47*VLOOKUP($DG$8,Treecost!$B$2:$W$49,Treecost!$W$2,FALSE)/60),0)*IF(DF47&gt;='Options and results'!$K$25,'Options and results'!$K$24,1),0))</f>
        <v>0</v>
      </c>
      <c r="EZ47" s="740">
        <f>EY47*$EI$18*IF(DF47&gt;='Options and results'!$K$27,'Options and results'!$K$26,1)*IF(1+'Options and results'!$Q$21*(DF47-1)&gt;0,1+'Options and results'!$Q$21*(DF47-1),0)</f>
        <v>0</v>
      </c>
      <c r="FA47" s="1025">
        <f>IF(DF47&lt;='Options and results'!$W$20,IF(DL47&lt;=0,0,VLOOKUP($DG$8,Treecost!$B$6:$AH$49,Treecost!$AC$2,FALSE)+VLOOKUP($DG$8,Treecost!$B$6:$AH$49,Treecost!$AD$2,FALSE)+IF(AND(DF47&gt;=VLOOKUP($DG$8,Treecost!$B$2:$AK$49,Treecost!$AI$2,FALSE),DF47&lt;=VLOOKUP($DG$8,Treecost!$B$2:$AK$49,Treecost!$AJ$2,FALSE)),VLOOKUP($DG$8,Treecost!$B$2:$AK$49,Treecost!$AK$2,FALSE)*(1-CN47),0))*IF(DF47&gt;='Options and results'!$K$27,'Options and results'!$K$26,1),0)*IF(1+'Options and results'!$Q$22*(DF47-1)&gt;0,1+'Options and results'!$Q$22*(DF47-1),0)</f>
        <v>0</v>
      </c>
      <c r="FB47" s="894">
        <f>IF(DF47&lt;='Options and results'!$W$20,IF(DN47&gt;0,VLOOKUP($DG$8,Treecost!$B$6:$AH$49,Treecost!$AE$2,FALSE)/60*DN47,0)*IF(DF47&gt;='Options and results'!$K$25,'Options and results'!$K$24,1),0)</f>
        <v>0</v>
      </c>
      <c r="FC47" s="740">
        <f>IF(DF47&lt;='Options and results'!$W$20,IF(DN47&gt;0,VLOOKUP($DG$8,Treecost!$B$6:$AH$49,Treecost!$AF$2,FALSE)/60*DN47,0)*IF(DF47&gt;='Options and results'!$K$25,'Options and results'!$K$24,1),0)</f>
        <v>0</v>
      </c>
      <c r="FD47" s="740">
        <f>(FB47*$EI$20+FC47*$EI$21)*IF(DF47&gt;='Options and results'!$K$27,'Options and results'!$K$26,1)*IF(1+'Options and results'!$Q$21*(DF47-1)&gt;0,1+'Options and results'!$Q$21*(DF47-1),0)</f>
        <v>0</v>
      </c>
      <c r="FE47" s="894">
        <f>IF(DF47&lt;='Options and results'!$W$20,IF(DO47&gt;0,(VLOOKUP($DG$8,Treecost!$B$6:$AH$49,Treecost!$AG$2,FALSE)/60*DO47)*IF(DF47&gt;='Options and results'!$K$25,'Options and results'!$K$24,1),0),0)</f>
        <v>0</v>
      </c>
      <c r="FF47" s="740">
        <f>IF(DF47&lt;='Options and results'!$W$20,IF(DO47&gt;0,(VLOOKUP($DG$8,Treecost!$B$6:$AH$49,Treecost!$AH$2,FALSE)/60*DO47)*IF(DF47&gt;='Options and results'!$K$25,'Options and results'!$K$24,1),0),0)</f>
        <v>0</v>
      </c>
      <c r="FG47" s="740">
        <f>(FE47*$EI$22+FF47*$EI$23)*IF(DF47&gt;='Options and results'!$K$27,'Options and results'!$K$26,1)*IF(1+'Options and results'!$Q$21*(DF47-1)&gt;0,1+'Options and results'!$Q$21*(DF47-1),0)</f>
        <v>0</v>
      </c>
      <c r="FH47" s="894">
        <f t="shared" si="157"/>
        <v>0</v>
      </c>
      <c r="FI47" s="1027">
        <f t="shared" si="158"/>
        <v>0</v>
      </c>
      <c r="FJ47" s="1027">
        <f t="shared" si="159"/>
        <v>0</v>
      </c>
      <c r="FK47" s="1027">
        <f t="shared" si="160"/>
        <v>0</v>
      </c>
      <c r="FL47" s="1027">
        <f t="shared" si="190"/>
        <v>0</v>
      </c>
      <c r="FM47" s="1027">
        <f>IF($DF47&lt;='Options and results'!$W$20,SUM(FI$8:$FI47),0)</f>
        <v>0</v>
      </c>
      <c r="FN47" s="1027">
        <f>IF($DF47&lt;='Options and results'!$W$20,SUM($FJ$8:FJ47),0)</f>
        <v>0</v>
      </c>
      <c r="FO47" s="1027">
        <f>IF($DF47&lt;='Options and results'!$W$20,SUM($FK$8:FK47),0)</f>
        <v>0</v>
      </c>
      <c r="FP47" s="1027">
        <f>IF($DF47&lt;='Options and results'!$W$20,FM47+FN47-FO47,0)</f>
        <v>0</v>
      </c>
      <c r="FQ47" s="1027">
        <f t="shared" si="162"/>
        <v>0</v>
      </c>
      <c r="FR47" s="1027">
        <f t="shared" si="163"/>
        <v>0</v>
      </c>
      <c r="FS47" s="1027">
        <f t="shared" si="164"/>
        <v>0</v>
      </c>
      <c r="FT47" s="1189">
        <f>IF(DF47&lt;='Options and results'!$W$20,FP47+DZ47,0)</f>
        <v>0</v>
      </c>
      <c r="FU47" s="401"/>
      <c r="FV47" s="895">
        <f t="shared" si="165"/>
        <v>40</v>
      </c>
      <c r="FW47" s="894">
        <f>G47/(1+'Options and results'!$W$33)^(FV47-1)</f>
        <v>0</v>
      </c>
      <c r="FX47" s="740">
        <f>(AP47+AR47+AS47)/(1+'Options and results'!$W$33)^(FV47-1)</f>
        <v>0</v>
      </c>
      <c r="FY47" s="740">
        <f>CQ47/(1+'Options and results'!$W$33)^(FV47-1)</f>
        <v>0</v>
      </c>
      <c r="FZ47" s="740">
        <f>(EA47+EC47+ED47)/(1+'Options and results'!$W$33)^(FV47-1)</f>
        <v>0</v>
      </c>
      <c r="GA47" s="1019">
        <f t="shared" si="180"/>
        <v>0</v>
      </c>
      <c r="GB47" s="1026">
        <f>(AO47+AQ47)/(1+'Options and results'!$W$33)^(FV47-1)+FX47</f>
        <v>0</v>
      </c>
      <c r="GC47" s="1027">
        <f>IF(FV47&gt;'Options and results'!$W$27,0,GB47-GB46)</f>
        <v>0</v>
      </c>
      <c r="GD47" s="1027">
        <f>(DZ47+EB47)/(1+'Options and results'!$W$33)^(FV47-1)+FZ47</f>
        <v>0</v>
      </c>
      <c r="GE47" s="1379">
        <f>IF(FV47&gt;'Options and results'!$W$27,0,GD47-GD46)</f>
        <v>0</v>
      </c>
      <c r="GF47" s="894">
        <f>IF(FV47&lt;='Options and results'!$W$20,SUM(FW$8:FW47),0)</f>
        <v>0</v>
      </c>
      <c r="GG47" s="740">
        <f>IF(FV47&lt;='Options and results'!$W$20,SUM(FX$8:FX47), 0)</f>
        <v>0</v>
      </c>
      <c r="GH47" s="740">
        <f>IF(FV47&lt;='Options and results'!$W$20,SUM(FY$8:FY47),0)</f>
        <v>0</v>
      </c>
      <c r="GI47" s="740">
        <f>IF(FV47&lt;='Options and results'!$W$20,SUM(FZ$8:FZ47),0)</f>
        <v>0</v>
      </c>
      <c r="GJ47" s="1019">
        <f t="shared" si="166"/>
        <v>0</v>
      </c>
      <c r="GK47" s="894">
        <f>IF(FV47&gt;'Options and results'!$W$27,0,GG47+SUM(GC$8:GC47)-FX47)</f>
        <v>0</v>
      </c>
      <c r="GL47" s="740">
        <f>IF(FV47&lt;='Options and results'!$W$20,SUM(GD$8:GD47),0)</f>
        <v>0</v>
      </c>
      <c r="GM47" s="1034">
        <f t="shared" si="167"/>
        <v>0</v>
      </c>
      <c r="GN47" s="401"/>
      <c r="GO47" s="895">
        <f t="shared" si="168"/>
        <v>40</v>
      </c>
      <c r="GP47" s="894">
        <f>H47/(1+'Options and results'!$W$33)^(GO47-1)</f>
        <v>0</v>
      </c>
      <c r="GQ47" s="740">
        <f>SUM(AT47:AV47)/(1+'Options and results'!$W$33)^(GO47-1)</f>
        <v>0</v>
      </c>
      <c r="GR47" s="740">
        <f>CR47/(1+'Options and results'!$W$33)^(GO47-1)</f>
        <v>0</v>
      </c>
      <c r="GS47" s="740">
        <f>SUM(EE47:EG47)/(1+'Options and results'!$W$33)^(GO47-1)</f>
        <v>0</v>
      </c>
      <c r="GT47" s="1019">
        <f t="shared" si="181"/>
        <v>0</v>
      </c>
      <c r="GU47" s="894">
        <f>IF(GO47&lt;='Options and results'!$W$20,SUM(GP$8:GP47),0)</f>
        <v>0</v>
      </c>
      <c r="GV47" s="740">
        <f>IF(GO47&lt;='Options and results'!$W$20,SUM(GQ$8:GQ47),0)</f>
        <v>0</v>
      </c>
      <c r="GW47" s="740">
        <f>IF(GO47&lt;='Options and results'!$W$20,SUM(GR$8:GR47),0)</f>
        <v>0</v>
      </c>
      <c r="GX47" s="740">
        <f>IF(GO47&lt;='Options and results'!$W$20,SUM(GS$8:GS47),0)</f>
        <v>0</v>
      </c>
      <c r="GY47" s="1034">
        <f>IF(GO47&lt;='Options and results'!$W$20,SUM(GT$8:GT47),0)</f>
        <v>0</v>
      </c>
      <c r="GZ47" s="401"/>
      <c r="HA47" s="895">
        <f t="shared" si="169"/>
        <v>40</v>
      </c>
      <c r="HB47" s="1026">
        <f>(J47+L47+(M47*N47))/(1+'Options and results'!$W$33)^(HA47-1)</f>
        <v>0</v>
      </c>
      <c r="HC47" s="740">
        <f>BZ47/(1+'Options and results'!$W$33)^(HA47-1)</f>
        <v>0</v>
      </c>
      <c r="HD47" s="1027">
        <f>(CT47+CV47+(CW47*CX47))/(1+'Options and results'!$W$33)^(HA47-1)</f>
        <v>0</v>
      </c>
      <c r="HE47" s="740">
        <f>FK47/(1+'Options and results'!$W$33)^(HA47-1)</f>
        <v>0</v>
      </c>
      <c r="HF47" s="1019">
        <f t="shared" si="182"/>
        <v>0</v>
      </c>
      <c r="HG47" s="894">
        <f>IF(HA47&lt;='Options and results'!$W$20,SUM(HB$8:HB47),0)</f>
        <v>0</v>
      </c>
      <c r="HH47" s="740">
        <f>IF(HA47&lt;='Options and results'!$W$20,SUM(HC$8:HC47),0)</f>
        <v>0</v>
      </c>
      <c r="HI47" s="740">
        <f>IF(HA47&lt;='Options and results'!$W$20,SUM(HD$8:HD47),0)</f>
        <v>0</v>
      </c>
      <c r="HJ47" s="740">
        <f>IF(HA47&lt;='Options and results'!$W$20,SUM(HE$8:HE47),0)</f>
        <v>0</v>
      </c>
      <c r="HK47" s="1034">
        <f>IF(HA47&lt;='Options and results'!$W$20,SUM(HF$8:HF47),0)</f>
        <v>0</v>
      </c>
      <c r="HL47" s="405"/>
      <c r="HM47" s="895">
        <f t="shared" si="189"/>
        <v>40</v>
      </c>
      <c r="HN47" s="1026">
        <f t="shared" si="171"/>
        <v>0</v>
      </c>
      <c r="HO47" s="1027">
        <f t="shared" si="172"/>
        <v>0</v>
      </c>
      <c r="HP47" s="1027">
        <f t="shared" si="173"/>
        <v>0</v>
      </c>
      <c r="HQ47" s="1027">
        <f t="shared" si="174"/>
        <v>0</v>
      </c>
      <c r="HR47" s="1027">
        <f t="shared" si="175"/>
        <v>0</v>
      </c>
      <c r="HS47" s="1379">
        <f t="shared" si="176"/>
        <v>0</v>
      </c>
      <c r="HT47" s="1026">
        <f>IF($HM47&lt;='Options and results'!$W$20,SUM(HN$8:HN47),0)</f>
        <v>0</v>
      </c>
      <c r="HU47" s="1027">
        <f>IF($HM47&lt;='Options and results'!$W$20,SUM(HO$8:HO47),0)</f>
        <v>0</v>
      </c>
      <c r="HV47" s="1027">
        <f>IF($HM47&lt;='Options and results'!$W$20,SUM(HP$8:HP47),0)</f>
        <v>0</v>
      </c>
      <c r="HW47" s="1027">
        <f>IF($HM47&lt;='Options and results'!$W$20,SUM(HQ$8:HQ47),0)</f>
        <v>0</v>
      </c>
      <c r="HX47" s="1027">
        <f t="shared" si="177"/>
        <v>0</v>
      </c>
      <c r="HY47" s="1027">
        <f>IF($HM47&lt;='Options and results'!$W$20,SUM(HR$8:HR47),0)</f>
        <v>0</v>
      </c>
      <c r="HZ47" s="1027">
        <f>IF($HM47&lt;='Options and results'!$W$20,SUM(HS$8:HS47),0)</f>
        <v>0</v>
      </c>
      <c r="IA47" s="1189">
        <f t="shared" si="178"/>
        <v>0</v>
      </c>
    </row>
    <row r="48" spans="1:235" x14ac:dyDescent="0.25">
      <c r="A48" s="1010">
        <f t="shared" si="126"/>
        <v>41</v>
      </c>
      <c r="B48" s="1011" t="str">
        <f>IF('Options and results'!$C$17="None",0,CONCATENATE('Options and results'!$C$23," ",(HLOOKUP(CONCATENATE('Options and results'!$C$17," ",Arablesystem!$B$11),Arablesystem!$B$10:$ER$72,$A48+3,FALSE))))</f>
        <v xml:space="preserve">UK - Agriculture (BPS: from 2015) </v>
      </c>
      <c r="C48" s="1012">
        <f>IF(HLOOKUP(CONCATENATE('Options and results'!$C$17," ",Arablesystem!$C$11),Arablesystem!$B$10:$ER$72,$A48+3,FALSE)="T",(VLOOKUP(B48,Arablefinance!$Z$6:$AB$105,Arablefinance!$AB$2,FALSE)*E48+VLOOKUP(B48,Arablefinance!$Z$6:$AC$105,Arablefinance!$AC$2,FALSE)*F48)/VLOOKUP(B48,Arablefinance!$Z$6:$AA$105,Arablefinance!$AA$2,FALSE),0)</f>
        <v>0</v>
      </c>
      <c r="D48" s="1012">
        <f>IF(B48=0,0,HLOOKUP(CONCATENATE('Options and results'!$C$17," ",Arablesystem!$D$11),Arablesystem!$B$10:$ER$72,$A48+3,FALSE))</f>
        <v>0</v>
      </c>
      <c r="E48" s="1440">
        <f>IF(B48=0,0,HLOOKUP(CONCATENATE('Options and results'!$C$17," ",Arablesystem!$E$11),Arablesystem!$B$10:$ER$72,$A48+3,FALSE)*IF(A48&gt;='Options and results'!$H$19,'Options and results'!$H$18,1))</f>
        <v>0</v>
      </c>
      <c r="F48" s="1440">
        <f>IF(B48=0,0,HLOOKUP(CONCATENATE('Options and results'!$C$17," ",Arablesystem!$F$11),Arablesystem!$B$10:$ER$72,$A48+3,FALSE)*IF(A48&gt;='Options and results'!$H$19,'Options and results'!$H$18,1))</f>
        <v>0</v>
      </c>
      <c r="G48" s="1013">
        <f>IF(D48&lt;=0,0,IF(A48&lt;='Options and results'!$W$20,IF(C48&gt;0,VLOOKUP(B48,Arablefinance!$Z$6:$AE$105,Arablefinance!$AD$2,FALSE)*C48*D48,((VLOOKUP(B48,Arablefinance!$E$6:$G$126,Arablefinance!$F$2,FALSE)*(E48*D48)+VLOOKUP(B48,Arablefinance!$E$6:$G$126,Arablefinance!$G$2,FALSE)*(F48*D48)))),0)*IF(A48&gt;='Options and results'!$H$21,'Options and results'!$H$20,1))*IF(1+'Options and results'!$O$20*(A48-1)&gt;0,1+'Options and results'!$O$20*(A48-1),0)</f>
        <v>0</v>
      </c>
      <c r="H48" s="1441">
        <f>IF(D48&lt;=0,0,IF(A48&lt;='Options and results'!$W$20,IF(AND(C48&gt;0,VLOOKUP(B48,Arablefinance!$Z$6:$AI$105,Arablefinance!$AI$2,FALSE)=2),VLOOKUP(B48,Arablefinance!$Z$6:$AE$105,Arablefinance!$AE$2,FALSE)*C48*D48,(VLOOKUP(B48,Arablefinance!$E$6:$H$126,Arablefinance!$H$2,FALSE)*D48))*IF(A48&gt;='Options and results'!$H$23,'Options and results'!$H$22,1),0)*IF(AND(1+'Options and results'!$O$23*(A48-1)&gt;0,1+'Options and results'!$O$23*(A48-1)&gt;'Options and results'!$S$24),1+'Options and results'!$O$23*(A48-1),'Options and results'!$S$24))</f>
        <v>0</v>
      </c>
      <c r="I48" s="1441">
        <f t="shared" si="127"/>
        <v>0</v>
      </c>
      <c r="J48" s="1441">
        <f>IF(D48&lt;=0,0,IF(A48&lt;='Options and results'!$W$20,IF(C48&gt;0,VLOOKUP(B48,Arablefinance!$Z$6:$AF$105,Arablefinance!$AF$2,FALSE)*C48*D48,(VLOOKUP(B48,Arablefinance!$E$6:$X$126,Arablefinance!$R$2,FALSE))*D48),0)*IF(A48&gt;='Options and results'!$H$27,'Options and results'!$H$26,1))*IF(1+'Options and results'!$O$22*(A48-1)&gt;0,1+'Options and results'!$O$22*(A48-1),0)</f>
        <v>0</v>
      </c>
      <c r="K48" s="1441">
        <f t="shared" si="128"/>
        <v>0</v>
      </c>
      <c r="L48" s="1441">
        <f>IF(D48&lt;=0,0,IF(A48&lt;='Options and results'!$W$20,IF(C48&gt;0,VLOOKUP(B48,Arablefinance!$Z$6:$AG$105,Arablefinance!$AG$2,FALSE)*C48*D48,VLOOKUP(B48,Arablefinance!$E$6:$X$126,Arablefinance!$X$2,FALSE)*D48),0)*IF(A48&gt;='Options and results'!$H$27,'Options and results'!$H$26,1))*IF(1+'Options and results'!$O$22*(A48-1)&gt;0,1+'Options and results'!$O$22*(A48-1),0)</f>
        <v>0</v>
      </c>
      <c r="M48" s="1442">
        <f>IF(D48&lt;=0,0,IF(A48&lt;='Options and results'!$W$20,'Options and results'!$C$27,0)*IF(A48&gt;='Options and results'!$H$27,'Options and results'!$H$26,1))*IF(1+'Options and results'!$O$21*(A48-1)&gt;0,1+'Options and results'!$O$21*(A48-1),0)</f>
        <v>0</v>
      </c>
      <c r="N48" s="1442">
        <f>IF(D48&lt;=0,0,IF(A48&lt;='Options and results'!$W$20,IF(C48&gt;0,VLOOKUP(B48,Arablefinance!$Z$6:$AH$105,Arablefinance!$AH$2,FALSE)*C48*D48,VLOOKUP(B48,Arablefinance!$E$6:$W$126,Arablefinance!$V$2,FALSE)*D48),0)*IF(A48&gt;='Options and results'!$H$25,'Options and results'!$H$24,1))</f>
        <v>0</v>
      </c>
      <c r="O48" s="1013">
        <f t="shared" si="129"/>
        <v>0</v>
      </c>
      <c r="P48" s="1353">
        <f t="shared" si="130"/>
        <v>0</v>
      </c>
      <c r="Q48" s="1013">
        <f>IF(A48&lt;='Options and results'!$W$20,SUM(G$8:$G48),0)</f>
        <v>0</v>
      </c>
      <c r="R48" s="1441">
        <f>IF($A48&lt;='Options and results'!$W$20,SUM($H$8:H48),0)</f>
        <v>0</v>
      </c>
      <c r="S48" s="1441">
        <f>IF($A48&lt;='Options and results'!$W$20,SUM($O$8:O48),0)</f>
        <v>0</v>
      </c>
      <c r="T48" s="1032">
        <f>IF(A48&lt;='Options and results'!$W$20,Q48+R48-S48,0)</f>
        <v>0</v>
      </c>
      <c r="U48" s="405"/>
      <c r="V48" s="1010">
        <f t="shared" si="131"/>
        <v>41</v>
      </c>
      <c r="W48" s="173"/>
      <c r="X48" s="1036"/>
      <c r="Y48" s="1030">
        <f>IF(V48&lt;='Options and results'!$M$34,'Options and results'!$M$33,0)</f>
        <v>0</v>
      </c>
      <c r="Z48" s="1441">
        <f t="shared" si="132"/>
        <v>0</v>
      </c>
      <c r="AA48" s="1441">
        <f t="shared" si="133"/>
        <v>0</v>
      </c>
      <c r="AB48" s="1428">
        <f t="shared" si="134"/>
        <v>0</v>
      </c>
      <c r="AC48" s="1441">
        <f>IF($W$8=0,0,IF(HLOOKUP(CONCATENATE('Options and results'!$C$32," ",Forestrysystem!$C$8),Forestrysystem!$A$7:$IH$70,V48+4,FALSE)&lt;AB48,HLOOKUP(CONCATENATE('Options and results'!$C$32," ",Forestrysystem!$C$8),Forestrysystem!$A$7:$IH$70,V48+4,FALSE),0))</f>
        <v>0</v>
      </c>
      <c r="AD48" s="1441">
        <f>IF($W$8=0,0,IF(HLOOKUP(CONCATENATE('Options and results'!$C$32," ",Forestrysystem!$C$8),Forestrysystem!$A$7:$IH$70,V48+4,FALSE)&gt;=AB48,AB48,0))</f>
        <v>0</v>
      </c>
      <c r="AE48" s="1440">
        <f>IF($W$8=0,0,HLOOKUP(CONCATENATE('Options and results'!$C$32," ",Forestrysystem!$D$8),Forestrysystem!$A$7:$IH$70,$V48+4,FALSE))</f>
        <v>0</v>
      </c>
      <c r="AF48" s="1037"/>
      <c r="AG48" s="1440">
        <f>IF($W$8=0,0,IF(V48=1,'Options and results'!$M$36,0)+IF('Options and results'!$M$39="yes",IF(AND(AG47+'Options and results'!$M$37&lt;=$AF$8,AG47+'Options and results'!$M$37+IF(V48=1,'Options and results'!$M$36,0)&lt;='Options and results'!$M$38*AE48),AG47+'Options and results'!$M$37,AG47),(HLOOKUP(CONCATENATE('Options and results'!$C$32," ",Forestrysystem!$E$8),Forestrysystem!$A$7:$IH$70,V48+4,FALSE))-IF(V48=1,'Options and results'!$M$36,0)))</f>
        <v>0</v>
      </c>
      <c r="AH48" s="1442">
        <f>IF(OR($W$8=0,AB48&lt;=0),0,(HLOOKUP(CONCATENATE('Options and results'!$C$32," ",Forestrysystem!$F$8),Forestrysystem!$A$7:$IH$70,$V48+4,FALSE)) * IF(V48&gt;='Options and results'!$I$19,'Options and results'!$I$18,1) )</f>
        <v>0</v>
      </c>
      <c r="AI48" s="1452">
        <f t="shared" si="179"/>
        <v>0</v>
      </c>
      <c r="AJ48" s="1442">
        <f t="shared" si="135"/>
        <v>0</v>
      </c>
      <c r="AK48" s="1453">
        <f>IF(OR($W$8=0,AE48&lt;=0),0,(HLOOKUP(CONCATENATE('Options and results'!$C$32," ",Forestrysystem!$G$8),Forestrysystem!$A$7:$IH$70,$V48+4,FALSE)) * IF(Y48&gt;='Options and results'!$I$19,'Options and results'!$I$18,1) )</f>
        <v>0</v>
      </c>
      <c r="AL48" s="1453">
        <f>IF($W$8=0,0,HLOOKUP(CONCATENATE('Options and results'!$C$32," ",Forestrysystem!$H$8),Forestrysystem!$A$7:$IH$70,$V48+4,FALSE)*IF(V48&gt;='Options and results'!$I$19,'Options and results'!$I$18,1))</f>
        <v>0</v>
      </c>
      <c r="AM48" s="1383">
        <f>IF($W$8=0,0,HLOOKUP(CONCATENATE('Options and results'!$C$32," ",Forestrysystem!$I$8),Forestrysystem!$A$7:$IH$70,$V48+4,FALSE)*IF(V48&gt;='Options and results'!$I$19,'Options and results'!$I$18,1))</f>
        <v>0</v>
      </c>
      <c r="AN48" s="1382">
        <f>IF(AI48&gt;0,HLOOKUP(AI48,Treevalue!$I$4:$BC$34,'Options and results'!$C$39+1),0)*IF(V48&gt;='Options and results'!$I$21,'Options and results'!$I$20,1)*IF(1+'Options and results'!$Q$20*(V48-1)&gt;0,1+'Options and results'!$Q$20*(V48-1),0)</f>
        <v>0</v>
      </c>
      <c r="AO48" s="1454">
        <f t="shared" si="136"/>
        <v>0</v>
      </c>
      <c r="AP48" s="1454">
        <f t="shared" si="187"/>
        <v>0</v>
      </c>
      <c r="AQ48" s="1454">
        <f>(IF('Options and results'!$C$39&gt;0,IF(V48&lt;='Options and results'!$W$20,VLOOKUP('Options and results'!$C$39,Treevalue!$A$4:$F$34,5,FALSE),0),0)*AK48)*IF(V48&gt;='Options and results'!$I$21,'Options and results'!$I$20,1)*IF(1+'Options and results'!$Q$20*(V48-1)&gt;0,1+'Options and results'!$Q$20*(V48-1),0)-AR48</f>
        <v>0</v>
      </c>
      <c r="AR48" s="1441">
        <f>(IF('Options and results'!$C$39&gt;0,IF(V48&lt;='Options and results'!$W$20,VLOOKUP('Options and results'!$C$39,Treevalue!$A$4:$F$34,5,FALSE),0),0)*AL48)*IF(V48&gt;='Options and results'!$I$21,'Options and results'!$I$20,1)*IF(1+'Options and results'!$Q$20*(V48-1)&gt;0,1+'Options and results'!$Q$20*(V48-1),0)</f>
        <v>0</v>
      </c>
      <c r="AS48" s="1441">
        <f>(IF('Options and results'!$C$39&gt;0,IF(V48&lt;='Options and results'!$W$20,VLOOKUP('Options and results'!$C$39,Treevalue!$A$4:$F$34,6,FALSE),0),0)*AM48)*IF(V48&gt;='Options and results'!$I$21,'Options and results'!$I$20,1)*IF(1+'Options and results'!$Q$20*(V48-1)&gt;0,1+'Options and results'!$Q$20*(V48-1),0)</f>
        <v>0</v>
      </c>
      <c r="AT48" s="1441">
        <f>IF(V48&lt;='Options and results'!$W$20,(IF(AB48&lt;=0,0,IF('Options and results'!$C$43="cost",(IF(V48&lt;='Options and results'!$C$44,BZ48*SUM('Options and results'!$C$45:$C$46),0)),IF('Options and results'!$C$41&gt;0,(IF(VLOOKUP('Options and results'!$C$42,Treegrant!$B$6:$L$42,Treegrant!$C$2,FALSE)=V48,VLOOKUP('Options and results'!$C$42,Treegrant!$B$6:$L$42,Treegrant!$D$2,FALSE),0)+IF(VLOOKUP('Options and results'!$C$42,Treegrant!$B$6:$L$42,Treegrant!$E$2,FALSE)=V48,VLOOKUP('Options and results'!$C$42,Treegrant!$B$6:$L$42,Treegrant!$F$2,FALSE),0)+IF(VLOOKUP('Options and results'!$C$42,Treegrant!$B$6:$L$42,Treegrant!$G$2,FALSE)=V48,VLOOKUP('Options and results'!$C$42,Treegrant!$B$6:$L$42,Treegrant!$H$2,FALSE)))*IF('Options and results'!$C$43="area",1,'Options and results'!$C$43),0)))*IF(V48&gt;='Options and results'!$I$23,'Options and results'!$I$22,1)),0)*IF(1+'Options and results'!$Q$23*(V48-1)&gt;0,1+'Options and results'!$Q$23*(V48-1),0)</f>
        <v>0</v>
      </c>
      <c r="AU48" s="1441">
        <f>IF($W$8=0,0,IF(V48&lt;='Options and results'!$W$20,IF(AB48&lt;=0,0,IF('Options and results'!$C$41&gt;0,IF(AND(VLOOKUP('Options and results'!$C$42,Treegrant!$B$6:$L$42,Treegrant!$J$2,FALSE)&lt;=V48,VLOOKUP('Options and results'!$C$42,Treegrant!$B$6:$L$42,Treegrant!$K$2,FALSE)&gt;=V48),(VLOOKUP('Options and results'!$C$42,Treegrant!$B$6:$L$42,Treegrant!$L$2,FALSE)),0)*IF('Options and results'!$C$47="full",1,'Options and results'!$C$47))*IF(V48&gt;='Options and results'!$I$23,'Options and results'!$I$22,1)),0))*IF(1+'Options and results'!$Q$23*(V48-1)&gt;0,1+'Options and results'!$Q$23*(V48-1),0)</f>
        <v>0</v>
      </c>
      <c r="AV48" s="1032">
        <f>IF($W$8=0,0,IF(V48&lt;='Options and results'!$W$20,IF(AB48&lt;=0,0,(IF('Options and results'!$C$41&gt;0,(IF(AND(VLOOKUP('Options and results'!$C$42,Treegrant!$B$6:$O$42,Treegrant!$M$2,FALSE)&lt;=V48,VLOOKUP('Options and results'!$C$42,Treegrant!$B$6:$O$42,Treegrant!$N$2,FALSE)&gt;=V48),(VLOOKUP('Options and results'!$C$42,Treegrant!$B$6:$O$42,Treegrant!$O$2,FALSE)),0)*IF('Options and results'!$C$48="full",1,'Options and results'!$C$48))+(IF(AND(VLOOKUP('Options and results'!$C$42,Treegrant!$B$6:$R$42,Treegrant!$P$2,FALSE)&lt;=V48,VLOOKUP('Options and results'!$C$42,Treegrant!$B$6:$R$42,Treegrant!$Q$2,FALSE)&gt;=V48),(VLOOKUP('Options and results'!$C$42,Treegrant!$B$6:$R$42,Treegrant!$R$2,FALSE)),0))*IF('Options and results'!$C$49="full",1,'Options and results'!$C$49)))*IF(V48&gt;='Options and results'!$I$23,'Options and results'!$I$22,1)),0))*IF(1+'Options and results'!$Q$23*(V48-1)&gt;0,1+'Options and results'!$Q$23*(V48-1),0)</f>
        <v>0</v>
      </c>
      <c r="AW48" s="1041"/>
      <c r="AX48" s="1042"/>
      <c r="AY48" s="1419">
        <f>IF($W$8=0,0,IF(V48=1,VLOOKUP($W$8,Treecost!$B$6:$AH$49,Treecost!$E$2,FALSE),0)*IF(V48&gt;='Options and results'!$I$25,'Options and results'!$I$24,1))</f>
        <v>0</v>
      </c>
      <c r="AZ48" s="889">
        <f>IF($W$8=0,0,IF(V48=1,VLOOKUP($W$8,Treecost!$B$6:$AH$49,Treecost!$F$2,FALSE),0)*IF(V48&gt;='Options and results'!$I$25,'Options and results'!$I$24,1))</f>
        <v>0</v>
      </c>
      <c r="BA48" s="889">
        <f>IF($W$8=0,0,IF(V48=1,VLOOKUP($W$8,Treecost!$B$6:$AH$49,Treecost!$G$2,FALSE),0)*IF(V48&gt;='Options and results'!$I$25,'Options and results'!$I$24,1))</f>
        <v>0</v>
      </c>
      <c r="BB48" s="889">
        <f>IF($W$8=0,0,IF(V48&lt;='Options and results'!$W$20,((VLOOKUP($W$8,Treecost!$B$6:$AH$49,Treecost!$H$2,FALSE)*(X48+AA48))/60)*IF(V48&gt;='Options and results'!$I$25,'Options and results'!$I$24,1),0))</f>
        <v>0</v>
      </c>
      <c r="BC48" s="889">
        <f>IF($W$8=0,0,IF(V48&lt;='Options and results'!$W$20,(((VLOOKUP($W$8,Treecost!$B$6:$AH$49,Treecost!$I$2,FALSE))*(X48+AA48))/60)*IF(V48&gt;='Options and results'!$I$25,'Options and results'!$I$24,1),0))</f>
        <v>0</v>
      </c>
      <c r="BD48" s="889">
        <f>IF($W$8=0,0,IF(V48&lt;='Options and results'!$W$20,(((VLOOKUP($W$8,Treecost!$B$6:$AH$49,Treecost!$J$2,FALSE))/60)*(X48+AA48))*IF(V48&gt;='Options and results'!$I$25,'Options and results'!$I$24,1),0))</f>
        <v>0</v>
      </c>
      <c r="BE48" s="1019">
        <f>IF($W$8=0,0,IF(V48&lt;='Options and results'!$W$20,(((VLOOKUP($W$8,Treecost!$B$6:$AH$49,Treecost!$C$2,FALSE)+VLOOKUP($W$8,Treecost!$B$6:$AH$49,Treecost!$D$2,FALSE))*(X48+AA48)*IF(1+'Options and results'!$Q$22*(V48-1)&gt;0,1+'Options and results'!$Q$22*(V48-1),0))+((AY48*$AX$8+AZ48*$AX$9+BA48*$AX$10+BB48*$AX$11+BC48*$AX$12+BD48*$AX$13)*IF(1+'Options and results'!$Q$21*(V48-1)&gt;0,1+'Options and results'!$Q$21*(V48-1),0)))*IF(V48&gt;='Options and results'!$I$27,'Options and results'!$I$26,1),0))</f>
        <v>0</v>
      </c>
      <c r="BF48" s="889">
        <f>IF($W$8=0,0,IF(V48&lt;='Options and results'!$W$20,IF(AND(VLOOKUP($W$8,Treecost!$B$6:$AH$49,Treecost!$K$2,FALSE)&lt;=V48,V48&lt;=(VLOOKUP($W$8,Treecost!$B$6:$AH$49,Treecost!$L$2,FALSE))),VLOOKUP($W$8,Treecost!$B$6:$AH$49,Treecost!$M$2,FALSE)*AB48/60,0)*IF(V48&gt;='Options and results'!$I$25,'Options and results'!$I$24,1),0))</f>
        <v>0</v>
      </c>
      <c r="BG48" s="1019">
        <f>IF(BF48&gt;0,(VLOOKUP($W$8,Treecost!$B$6:$AH$49,Treecost!$N$2,FALSE)*AB48*IF(1+'Options and results'!$Q$22*(V48-1)&gt;0,1+'Options and results'!$Q$22*(V48-1),0)+BF48*$AX$14*IF(1+'Options and results'!$Q$21*(V48-1)&gt;0,1+'Options and results'!$Q$21*(V48-1),0)),0)*IF(V48&gt;='Options and results'!$I$27,'Options and results'!$I$26,1)</f>
        <v>0</v>
      </c>
      <c r="BH48" s="889">
        <f>IF(V48&lt;='Options and results'!$W$20,IF(AND(AG48-AG47&gt;0,AG48&gt;'Options and results'!$M$36),(AB48-AC48)*(VLOOKUP($W$8,Treecost!$B$6:$AH$49,Treecost!$Y$2,FALSE)+(VLOOKUP($W$8,Treecost!$B$6:$AH$49,Treecost!$AA$2,FALSE)-VLOOKUP($W$8,Treecost!$B$6:$AH$49,Treecost!$Y$2,FALSE))/(VLOOKUP($W$8,Treecost!$B$6:$AH$49,Treecost!$Z$2,FALSE)-VLOOKUP($W$8,Treecost!$B$6:$AH$49,Treecost!$X$2,FALSE))*(AG48-VLOOKUP($W$8,Treecost!$B$6:$AH$49,Treecost!$X$2,FALSE)))/60,0)*IF(V48&gt;='Options and results'!$I$25,'Options and results'!$I$24,1),0)</f>
        <v>0</v>
      </c>
      <c r="BI48" s="303">
        <f>IF(V48&lt;='Options and results'!$W$20,IF(BH48&gt;0,VLOOKUP($W$8,Treecost!$B$6:$AH$49,Treecost!$AB$2,FALSE)/60*AB48,0)*IF(V48&gt;='Options and results'!$I$25,'Options and results'!$I$24,1),0)*((BH48-(MIN($BH$8:$BH$67)))/((MAX($BH$8:$BH$67))-(MIN($BH$8:$BH$67))))</f>
        <v>0</v>
      </c>
      <c r="BJ48" s="740">
        <f>IF(BH48&gt;0,(BH48*$AX$15+BI48*$AX$19)*IF(1+'Options and results'!$Q$21*(V48-1)&gt;0,1+'Options and results'!$Q$21*(V48-1),0),0)*IF(V48&gt;='Options and results'!$I$27,'Options and results'!$I$26,1)</f>
        <v>0</v>
      </c>
      <c r="BK48" s="891">
        <f>IF($W$8=0,0,IF(V48&lt;='Options and results'!$W$20,IF(VLOOKUP($W$8,Treecost!$B$2:$AH$49,Treecost!$O$2,FALSE)=V48,VLOOKUP($W$8,Treecost!$B$2:$AH$49,Treecost!$P$2,FALSE),0)*IF(V48&gt;='Options and results'!$I$25,'Options and results'!$I$24,1),0))</f>
        <v>0</v>
      </c>
      <c r="BL48" s="889">
        <f>IF($W$8=0,0,IF(V48&lt;='Options and results'!$W$20,IF(AND(V48&gt;VLOOKUP($W$8,Treecost!$B$2:$AH$49,Treecost!$O$2,FALSE),V48&lt;=VLOOKUP($W$8,Treecost!$B$2:$AH$49,Treecost!$R$2,FALSE)),VLOOKUP($W$8,Treecost!$B$2:$AH$49,Treecost!$S$2,FALSE),0)*IF(V48&gt;='Options and results'!$I$25,'Options and results'!$I$24,1),0))</f>
        <v>0</v>
      </c>
      <c r="BM48" s="740">
        <f>IF($W$8=0,0,IF(V48&lt;='Options and results'!$W$20,((IF(VLOOKUP($W$8,Treecost!$B$2:$AH$49,Treecost!$O$2,FALSE)=V48,VLOOKUP($W$8,Treecost!$B$2:$AH$49,Treecost!$Q$2,FALSE),0)+IF(AND(V48&gt;VLOOKUP($W$8,Treecost!$B$2:$AH$49,Treecost!$O$2,FALSE),V48&lt;=VLOOKUP($W$8,Treecost!$B$2:$AH$49,Treecost!$R$2,FALSE)),VLOOKUP($W$8,Treecost!$B$2:$AH$49,Treecost!$T$2,FALSE),0)*IF(1+'Options and results'!$Q$22*(V48-1)&gt;0,1+'Options and results'!$Q$22*(V48-1),0))+(BK48*$AX$16+BL48*$AX$17)*IF(1+'Options and results'!$Q$21*(V48-1)&gt;0,1+'Options and results'!$Q$21*(V48-1),0))*IF(V48&gt;='Options and results'!$I$27,'Options and results'!$I$26,1),0))</f>
        <v>0</v>
      </c>
      <c r="BN48" s="894">
        <f>IF($W$8=0,0,IF(V48&lt;='Options and results'!$W$20,IF(AND(V48&gt;=VLOOKUP($W$8,Treecost!$B$2:$W$49,Treecost!$U$2,FALSE),V48&lt;=VLOOKUP($W$8,Treecost!$B$2:$W$49,Treecost!$V$2,FALSE)),(AB48*VLOOKUP($W$8,Treecost!$B$2:$W$49,Treecost!$W$2,FALSE)/60),0)*IF(V48&gt;='Options and results'!$I$25,'Options and results'!$I$24,1),0))</f>
        <v>0</v>
      </c>
      <c r="BO48" s="740">
        <f>BN48*$AX$18*IF(V48&gt;='Options and results'!$I$27,'Options and results'!$I$26,1)*IF(1+'Options and results'!$Q$21*(V48-1)&gt;0,1+'Options and results'!$Q$21*(V48-1),0)</f>
        <v>0</v>
      </c>
      <c r="BP48" s="894">
        <f>IF(V48&lt;='Options and results'!$W$20,IF(AB48&lt;=0,0,VLOOKUP($W$8,Treecost!$B$6:$AH$49,Treecost!$AC$2,FALSE)+VLOOKUP($W$8,Treecost!$B$6:$AH$49,Treecost!$AD$2,FALSE)+IF(AND(V48&gt;=VLOOKUP($W$8,Treecost!$B$2:$AK$49,Treecost!$AI$2,FALSE),V48&lt;=VLOOKUP($W$8,Treecost!$B$2:$AK$49,Treecost!$AJ$2,FALSE)),(VLOOKUP($W$8,Treecost!$B$2:$AK$49,Treecost!$AK$2,FALSE)),0))*IF(V48&gt;='Options and results'!$I$27,'Options and results'!$I$26,1),0)*IF(1+'Options and results'!$Q$22*(V48-1)&gt;0,1+'Options and results'!$Q$22*(V48-1),0)</f>
        <v>0</v>
      </c>
      <c r="BQ48" s="894">
        <f>IF(V48&lt;='Options and results'!$W$20,IF(AC48&gt;0,VLOOKUP($W$8,Treecost!$B$6:$AH$49,Treecost!$AE$2,FALSE)/60*AC48,0)*IF(V48&gt;='Options and results'!$I$25,'Options and results'!$I$24,1),0)</f>
        <v>0</v>
      </c>
      <c r="BR48" s="740">
        <f>IF(V48&lt;='Options and results'!$W$20,IF(AC48&gt;0,VLOOKUP($W$8,Treecost!$B$6:$AH$49,Treecost!$AF$2,FALSE)/60*AC48,0)*IF(V48&gt;='Options and results'!$I$25,'Options and results'!$I$24,1),0)</f>
        <v>0</v>
      </c>
      <c r="BS48" s="740">
        <f>(BQ48*$AX$20+BR48*$AX$21)*IF(V48&gt;='Options and results'!$I$27,'Options and results'!$I$26,1)*IF(1+'Options and results'!$Q$21*(V48-1)&gt;0,1+'Options and results'!$Q$21*(V48-1),0)</f>
        <v>0</v>
      </c>
      <c r="BT48" s="894">
        <f>IF(V48&lt;='Options and results'!$W$20,IF(AD48&gt;0,(VLOOKUP($W$8,Treecost!$B$6:$AH$49,Treecost!$AG$2,FALSE)/60*AD48)*IF(V48&gt;='Options and results'!$I$25,'Options and results'!$I$24,1),0),0)</f>
        <v>0</v>
      </c>
      <c r="BU48" s="740">
        <f>IF(V48&lt;='Options and results'!$W$20,IF(AD48&gt;0,(VLOOKUP($W$8,Treecost!$B$6:$AH$49,Treecost!$AH$2,FALSE)/60*AD48)*IF(V48&gt;='Options and results'!$I$25,'Options and results'!$I$24,1),0),0)</f>
        <v>0</v>
      </c>
      <c r="BV48" s="740">
        <f>(BT48*$AX$22+BU48*$AX$23)*IF(V48&gt;='Options and results'!$I$27,'Options and results'!$I$26,1)*IF(1+'Options and results'!$Q$21*(V48-1)&gt;0,1+'Options and results'!$Q$21*(V48-1),0)</f>
        <v>0</v>
      </c>
      <c r="BW48" s="1033">
        <f t="shared" si="138"/>
        <v>0</v>
      </c>
      <c r="BX48" s="1027">
        <f t="shared" si="139"/>
        <v>0</v>
      </c>
      <c r="BY48" s="1027">
        <f t="shared" si="140"/>
        <v>0</v>
      </c>
      <c r="BZ48" s="740">
        <f t="shared" si="188"/>
        <v>0</v>
      </c>
      <c r="CA48" s="740">
        <f t="shared" si="141"/>
        <v>0</v>
      </c>
      <c r="CB48" s="894">
        <f>IF($V48&lt;='Options and results'!$W$20,SUM(BX$8:$BX48),0)</f>
        <v>0</v>
      </c>
      <c r="CC48" s="740">
        <f>IF($V48&lt;='Options and results'!$W$20,SUM($BY$8:BY48),0)</f>
        <v>0</v>
      </c>
      <c r="CD48" s="740">
        <f>IF($V48&lt;='Options and results'!$W$20,SUM($BZ$8:BZ48),0)</f>
        <v>0</v>
      </c>
      <c r="CE48" s="740">
        <f>IF(V48&lt;='Options and results'!$W$20,CB48+CC48-CD48,0)</f>
        <v>0</v>
      </c>
      <c r="CF48" s="1381">
        <f t="shared" si="142"/>
        <v>0</v>
      </c>
      <c r="CG48" s="1027">
        <f t="shared" si="143"/>
        <v>0</v>
      </c>
      <c r="CH48" s="1027">
        <f t="shared" si="144"/>
        <v>0</v>
      </c>
      <c r="CI48" s="1189">
        <f>IF(V48&lt;='Options and results'!$W$20,CE48+AO48,0)</f>
        <v>0</v>
      </c>
      <c r="CJ48" s="1023"/>
      <c r="CK48" s="895">
        <f t="shared" si="145"/>
        <v>41</v>
      </c>
      <c r="CL48" s="1011" t="str">
        <f>IF('Options and results'!$C$54="None",0,IF(AND(CK48&gt;='Options and results'!$K$57,CK47&lt;'Options and results'!$W$20),'Options and results'!$K$56,IF(Optimisation!$B$3="No",CONCATENATE('Options and results'!$C$60," ",(HLOOKUP(CONCATENATE('Options and results'!$C$54," ",Agroforestrysystem!$B$12),Agroforestrysystem!$B$11:$IM$74,$CK48+4,FALSE))),Optimisation!AA68)))</f>
        <v xml:space="preserve">UK - Agriculture (BPS: from 2015) </v>
      </c>
      <c r="CM48" s="1012">
        <f>IF(HLOOKUP(CONCATENATE('Options and results'!$C$54," ",Agroforestrysystem!$C$12),Agroforestrysystem!$B$11:$IM$74,$CK48+4,FALSE)="T",(VLOOKUP(CL48,Arablefinance!$Z$6:$AB$105,Arablefinance!$AB$2,FALSE)*CO48+VLOOKUP(CL48,Arablefinance!$Z$6:$AC$105,Arablefinance!$AC$2,FALSE)*CP48)/VLOOKUP(CL48,Arablefinance!$Z$6:$AA$105,Arablefinance!$AA$2,FALSE),0)</f>
        <v>0</v>
      </c>
      <c r="CN48" s="1012">
        <f>IF(CL48=0,0,HLOOKUP(CONCATENATE('Options and results'!$C$54," ",Agroforestrysystem!$D$12),Agroforestrysystem!$B$11:$IM$74,$CK48+4,FALSE))</f>
        <v>0</v>
      </c>
      <c r="CO48" s="1440">
        <f ca="1">IF(CL48=0,0,IF(AND(Optimisation!$B$3="yes",Optimisation!$B$4=1,CK48&gt;Optimisation!$B$9),0,HLOOKUP(CONCATENATE('Options and results'!$C$54," ",Agroforestrysystem!$E$12),Agroforestrysystem!$B$11:$IM$74,$CK48+4,FALSE)*IF(CK48&gt;='Options and results'!$J$19,'Options and results'!$J$18,1)))</f>
        <v>0</v>
      </c>
      <c r="CP48" s="1440">
        <f ca="1">IF(CL48=0,0,IF(AND(Optimisation!$B$3="yes",Optimisation!$B$4=1,CK48&gt;Optimisation!$B$9),0,HLOOKUP(CONCATENATE('Options and results'!$C$54," ",Agroforestrysystem!$F$12),Agroforestrysystem!$B$11:$IM$74,$CK48+4,FALSE)*IF(CK48&gt;='Options and results'!$J$19,'Options and results'!$J$18,1)))</f>
        <v>0</v>
      </c>
      <c r="CQ48" s="1013">
        <f>IF(CN48&lt;=0,0,IF(CK48&lt;='Options and results'!$W$20,IF(CM48&gt;0,VLOOKUP(CL48,Arablefinance!$Z$6:$AE$105,Arablefinance!$AD$2,FALSE)*CM48*CN48,((VLOOKUP(CL48,Arablefinance!$E$6:$H$126,2,FALSE)*CO48+VLOOKUP(CL48,Arablefinance!$E$6:$H$126,3,FALSE)*CP48)*CN48)),0)*IF(CK48&gt;='Options and results'!$J$21,'Options and results'!$J$20,1))*IF(1+'Options and results'!$O$20*(CK48-1)&gt;0,1+'Options and results'!$O$20*(CK48-1),0)</f>
        <v>0</v>
      </c>
      <c r="CR48" s="1441">
        <f>IF(CN48&lt;=0,0,IF(AND(CM48&gt;0,VLOOKUP(CL48,Arablefinance!$Z$6:$AI$105,Arablefinance!$AI$2,FALSE)=2),VLOOKUP(CL48,Arablefinance!$Z$6:$AE$105,Arablefinance!$AE$2,FALSE)*CM48*CN48,IF('Options and results'!$C$62&gt;0,IF(VLOOKUP(CL48,Arablefinance!$E$6:$W$126,Arablefinance!$H$2,FALSE)*(1-Plot!DM48*'Options and results'!$C$62)&gt;0,VLOOKUP(CL48,Arablefinance!$E$6:$W$126,Arablefinance!$H$2,FALSE)*(1-Plot!DM48*'Options and results'!$C$62),0),IF(CK48&lt;='Options and results'!$W$20,(VLOOKUP(CL48,Arablefinance!$E$6:$W$126,Arablefinance!$H$2,FALSE)*IF('Options and results'!$C$61="area",CN48,'Options and results'!$C$61)),0)))*IF(CK48&gt;='Options and results'!$J$23,'Options and results'!$J$22,1))*IF(AND(1+'Options and results'!$O$23*(CK48-1)&gt;0,1+'Options and results'!$O$23*(CK48-1)&gt;'Options and results'!$S$24),1+'Options and results'!$O$23*(CK48-1),'Options and results'!$S$24)</f>
        <v>0</v>
      </c>
      <c r="CS48" s="1441">
        <f t="shared" si="185"/>
        <v>0</v>
      </c>
      <c r="CT48" s="1441">
        <f>IF(CN48&lt;=0,0,IF(CK48&lt;='Options and results'!$W$20,IF(CM48&gt;0,VLOOKUP(CL48,Arablefinance!$Z$6:$AF$105,Arablefinance!$AF$2,FALSE)*CM48*CN48,VLOOKUP(CL48,Arablefinance!$E$6:$X$126,Arablefinance!$R$2,FALSE)*CN48),0)*IF(CK48&gt;='Options and results'!$J$27,'Options and results'!$J$26,1))*IF(1+'Options and results'!$O$22*(CK48-1)&gt;0,1+'Options and results'!$O$22*(CK48-1),0)</f>
        <v>0</v>
      </c>
      <c r="CU48" s="1441">
        <f t="shared" si="186"/>
        <v>0</v>
      </c>
      <c r="CV48" s="1441">
        <f>IF(CN48&lt;=0,0,IF(CK48&lt;='Options and results'!$W$20,IF(CM48&gt;0,VLOOKUP(CL48,Arablefinance!$Z$6:$AG$105,Arablefinance!$AG$2,FALSE)*CM48*CN48,VLOOKUP(CL48,Arablefinance!$E$6:$X$126,Arablefinance!$X$2,FALSE)*CN48),0)*IF(CK48&gt;='Options and results'!$J$27,'Options and results'!$J$26,1))*IF(1+'Options and results'!$O$22*(CK48-1)&gt;0,1+'Options and results'!$O$22*(CK48-1),0)</f>
        <v>0</v>
      </c>
      <c r="CW48" s="1442">
        <f>IF(CN48&lt;=0,0,IF(CK48&lt;='Options and results'!$W$20,'Options and results'!$C$27*IF(CK48&gt;='Options and results'!$J$27,'Options and results'!$J$26,1),0))*IF(1+'Options and results'!$O$21*(CK48-1)&gt;0,1+'Options and results'!$O$21*(CK48-1),0)</f>
        <v>0</v>
      </c>
      <c r="CX48" s="1442">
        <f>IF(CN48&lt;=0,0,IF(CK48&lt;='Options and results'!$W$20,IF(CM48&gt;0,VLOOKUP(CL48,Arablefinance!$Z$6:$AH$105,Arablefinance!$AH$2,FALSE)*CM48*CN48,VLOOKUP(CL48,Arablefinance!$E$6:$W$126,Arablefinance!$V$2,FALSE)*CN48),0)*IF(CK48&gt;='Options and results'!$J$25,'Options and results'!$J$24,1))</f>
        <v>0</v>
      </c>
      <c r="CY48" s="1013">
        <f t="shared" si="148"/>
        <v>0</v>
      </c>
      <c r="CZ48" s="1353">
        <f t="shared" si="149"/>
        <v>0</v>
      </c>
      <c r="DA48" s="1013">
        <f>IF($CK48&lt;='Options and results'!$W$20,SUM($CQ$8:CQ48),0)</f>
        <v>0</v>
      </c>
      <c r="DB48" s="1441">
        <f>IF($CK48&lt;='Options and results'!$W$20,SUM($CR$8:CR48),0)</f>
        <v>0</v>
      </c>
      <c r="DC48" s="1441">
        <f>IF($CK48&lt;='Options and results'!$W$20,SUM($CY$8:CY48),0)</f>
        <v>0</v>
      </c>
      <c r="DD48" s="1189">
        <f>IF(CK48&lt;='Options and results'!$W$20,DA48+DB48-DC48,0)</f>
        <v>0</v>
      </c>
      <c r="DE48" s="401"/>
      <c r="DF48" s="895">
        <f t="shared" si="150"/>
        <v>41</v>
      </c>
      <c r="DG48" s="173"/>
      <c r="DH48" s="1422"/>
      <c r="DI48" s="1427">
        <f>IF(DF48&lt;='Options and results'!$M$61,'Options and results'!$M$60,0)</f>
        <v>0</v>
      </c>
      <c r="DJ48" s="740">
        <f t="shared" si="151"/>
        <v>0</v>
      </c>
      <c r="DK48" s="740">
        <f t="shared" si="152"/>
        <v>0</v>
      </c>
      <c r="DL48" s="1428">
        <f t="shared" si="153"/>
        <v>0</v>
      </c>
      <c r="DM48" s="1429">
        <f>IF($DG$8=0,0,HLOOKUP(CONCATENATE('Options and results'!$C$54," ",Agroforestrysystem!$J$12),Agroforestrysystem!$11:$74,DF48+3,FALSE))/100</f>
        <v>0</v>
      </c>
      <c r="DN48" s="740">
        <f>IF($DG$8=0,0,IF(HLOOKUP(CONCATENATE('Options and results'!$C$54," ",Agroforestrysystem!$H$12),Agroforestrysystem!$11:$74,DF48+4,FALSE)&lt;DL48,HLOOKUP(CONCATENATE('Options and results'!$C$54," ",Agroforestrysystem!$H$12),Agroforestrysystem!$11:$74,DF48+4,FALSE),0))</f>
        <v>0</v>
      </c>
      <c r="DO48" s="1027">
        <f>IF($DG$8=0,0,IF(HLOOKUP(CONCATENATE('Options and results'!$C$54," ",Agroforestrysystem!$H$12),Agroforestrysystem!$11:$74,DF48+4,FALSE)&gt;=DL48,DL48,0))</f>
        <v>0</v>
      </c>
      <c r="DP48" s="1430">
        <f>IF($DG$8=0,0,HLOOKUP(CONCATENATE('Options and results'!$C$54," ",Agroforestrysystem!$I$12),Agroforestrysystem!$11:$74,DF48+4,FALSE))</f>
        <v>0</v>
      </c>
      <c r="DQ48" s="1038"/>
      <c r="DR48" s="1430">
        <f>IF($DG$8=0,0,IF(DF48&gt;'Options and results'!$W$20,0,)+IF(DF48=1,'Options and results'!$M$64)+IF('Options and results'!$M$67="yes",IF(AND(DR47+'Options and results'!$M$65&lt;=$DQ$8,DR47+'Options and results'!$M$65+IF(DF48=1,'Options and results'!$M$64,0)&lt;='Options and results'!$M$66*DP48),DR47+'Options and results'!$M$65,DR47),(HLOOKUP(CONCATENATE('Options and results'!$C$54," ",Agroforestrysystem!$K$12),Agroforestrysystem!$11:$74,DF48+4,FALSE)-IF(DF48=1,'Options and results'!$M$64))))</f>
        <v>0</v>
      </c>
      <c r="DS48" s="1027">
        <f>IF(OR($DG$8=0,DL48=0),0,HLOOKUP(CONCATENATE('Options and results'!$C$54," ",Agroforestrysystem!$L$12),Agroforestrysystem!$11:$74,DF48+4,FALSE)*IF(DF48&gt;='Options and results'!$K$19,'Options and results'!$K$18,1))</f>
        <v>0</v>
      </c>
      <c r="DT48" s="1431">
        <f t="shared" si="154"/>
        <v>0</v>
      </c>
      <c r="DU48" s="889">
        <f t="shared" si="155"/>
        <v>0</v>
      </c>
      <c r="DV48" s="1027">
        <f>IF($DG$8=0,0,(HLOOKUP(CONCATENATE('Options and results'!$C$54," ",Agroforestrysystem!$M$12),Agroforestrysystem!$11:$74,DF48+4,FALSE))*IF(DF48&gt;='Options and results'!$K$19,'Options and results'!$K$18,1))-DW48</f>
        <v>0</v>
      </c>
      <c r="DW48" s="303">
        <f>IF($DG$8=0,0,(HLOOKUP(CONCATENATE('Options and results'!$C$54," ",Agroforestrysystem!$N$12),Agroforestrysystem!$11:$74,DF48+4,FALSE))*IF(DF48&gt;='Options and results'!$K$19,'Options and results'!$K$18,1))</f>
        <v>0</v>
      </c>
      <c r="DX48" s="303">
        <f>IF($DG$8=0,0,HLOOKUP(CONCATENATE('Options and results'!$C$54," ",Agroforestrysystem!$O$12),Agroforestrysystem!$11:$74,DF48+4,FALSE)*IF(DF48&gt;='Options and results'!$K$19,'Options and results'!$K$18,1))</f>
        <v>0</v>
      </c>
      <c r="DY48" s="1192">
        <f>IF(DT48&gt;0,HLOOKUP(DT48,Treevalue!$I$4:$BC$34,'Options and results'!$C$66+1),0)*IF(DF48&gt;='Options and results'!$K$21,'Options and results'!$K$20,1)*IF(1+'Options and results'!$Q$20*(DF48-1)&gt;0,1+'Options and results'!$Q$20*(DF48-1),0)</f>
        <v>0</v>
      </c>
      <c r="DZ48" s="1027">
        <f t="shared" si="156"/>
        <v>0</v>
      </c>
      <c r="EA48" s="1027">
        <f t="shared" si="125"/>
        <v>0</v>
      </c>
      <c r="EB48" s="1027">
        <f>(IF('Options and results'!$C$66&gt;0,IF(DF48&lt;='Options and results'!$W$20,VLOOKUP('Options and results'!$C$66,Treevalue!$A$4:$F$34,5,FALSE),0),0)*DV48)*IF(DF48&gt;='Options and results'!$K$21,'Options and results'!$K$20,1)*IF(1+'Options and results'!$Q$20*(DF48-1)&gt;0,1+'Options and results'!$Q$20*(DF48-1),0)</f>
        <v>0</v>
      </c>
      <c r="EC48" s="740">
        <f>(IF('Options and results'!$C$66&gt;0,IF(DF48&lt;='Options and results'!$W$20,VLOOKUP('Options and results'!$C$66,Treevalue!$A$4:$F$34,5,FALSE),0),0)*DW48)*IF(DF48&gt;='Options and results'!$K$21,'Options and results'!$K$20,1)*IF(1+'Options and results'!$Q$20*(DF48-1)&gt;0,1+'Options and results'!$Q$20*(DF48-1),0)</f>
        <v>0</v>
      </c>
      <c r="ED48" s="889">
        <f>(IF('Options and results'!$C$66&gt;0,IF(DF48&lt;='Options and results'!$W$20,VLOOKUP('Options and results'!$C$66,Treevalue!$A$4:$F$34,6,FALSE),0),0)*DX48)*IF(DF48&gt;='Options and results'!$K$21,'Options and results'!$K$20,1)*IF(1+'Options and results'!$Q$20*(DF48-1)&gt;0,1+'Options and results'!$Q$20*(DF48-1),0)</f>
        <v>0</v>
      </c>
      <c r="EE48" s="740">
        <f>IF(DF48&lt;='Options and results'!$W$20,IF(DL48&lt;=0,0,IF('Options and results'!$C$70="cost",(IF(DF48&lt;='Options and results'!$C$71,FK48*SUM('Options and results'!$C$72:$C$73),0)),IF('Options and results'!$C$68&gt;0,(IF(VLOOKUP('Options and results'!$C$69,Treegrant!$B$6:$L$42,Treegrant!$C$2,FALSE)=DF48,VLOOKUP('Options and results'!$C$69,Treegrant!$B$6:$L$42,Treegrant!$D$2,FALSE),0)+IF(VLOOKUP('Options and results'!$C$69,Treegrant!$B$6:$L$42,Treegrant!$E$2,FALSE)=DF48,VLOOKUP('Options and results'!$C$69,Treegrant!$B$6:$L$42,Treegrant!$F$2,FALSE),0)+IF(VLOOKUP('Options and results'!$C$69,Treegrant!$B$6:$L$42,Treegrant!$G$2,FALSE)=DF48,VLOOKUP('Options and results'!$C$69,Treegrant!$B$6:$L$42,Treegrant!$H$2,FALSE)))*IF('Options and results'!$C$70="area",Unit!C49,'Options and results'!$C$70),0))*IF(DF48&gt;='Options and results'!$K$23,'Options and results'!$K$22,1)),0)*IF(1+'Options and results'!$Q$23*(DF48-1)&gt;0,1+'Options and results'!$Q$23*(DF48-1),0)</f>
        <v>0</v>
      </c>
      <c r="EF48" s="740">
        <f>IF($DG$8=0,0,IF(DF48&lt;='Options and results'!$W$20,IF(DL48&lt;=0,0,IF('Options and results'!$C$68&gt;0,IF(AND(VLOOKUP('Options and results'!$C$69,Treegrant!$B$6:$L$42,Treegrant!$J$2,FALSE)&lt;=DF48,VLOOKUP('Options and results'!$C$69,Treegrant!$B$6:$L$42,Treegrant!$K$2,FALSE)&gt;=DF48),(VLOOKUP('Options and results'!$C$69,Treegrant!$B$6:$L$42,Treegrant!$L$2,FALSE)),0)*IF('Options and results'!$C$74="area",Unit!C49,'Options and results'!$C$74))*IF(DF48&gt;='Options and results'!$K$23,'Options and results'!$K$22,1)),0))*IF(1+'Options and results'!$Q$23*(DF48-1)&gt;0,1+'Options and results'!$Q$23*(DF48-1),0)</f>
        <v>0</v>
      </c>
      <c r="EG48" s="1034">
        <f>IF($DG$8=0,0,IF(DF48&lt;='Options and results'!$W$20,IF(DL48&lt;=0,0,IF('Options and results'!$C$68&gt;0,((IF(AND(VLOOKUP('Options and results'!$C$69,Treegrant!$B$6:$O$42,Treegrant!$M$2,FALSE)&lt;=DF48,VLOOKUP('Options and results'!$C$69,Treegrant!$B$6:$O$42,Treegrant!$N$2,FALSE)&gt;=DF48),(VLOOKUP('Options and results'!$C$69,Treegrant!$B$6:$O$42,Treegrant!$O$2,FALSE)),0)*IF('Options and results'!$C$75="area",Unit!C49,'Options and results'!$C$75))+(IF(AND(VLOOKUP('Options and results'!$C$69,Treegrant!$B$6:$R$42,Treegrant!$P$2,FALSE)&lt;=DF48,VLOOKUP('Options and results'!$C$69,Treegrant!$B$6:$R$42,Treegrant!$Q$2,FALSE)&gt;=DF48),(VLOOKUP('Options and results'!$C$69,Treegrant!$B$6:$R$42,Treegrant!$R$2,FALSE)),0))*IF('Options and results'!$C$76="area",Unit!C49,'Options and results'!$C$76)))*IF(DF48&gt;='Options and results'!$K$23,'Options and results'!$K$22,1)),0))*IF(1+'Options and results'!$Q$23*(DF48-1)&gt;0,1+'Options and results'!$Q$23*(DF48-1),0)</f>
        <v>0</v>
      </c>
      <c r="EH48" s="1041"/>
      <c r="EI48" s="1042"/>
      <c r="EJ48" s="1419">
        <f>IF($DH$8+DK48&lt;1,0,IF(DF48=1,VLOOKUP($DG$8,Treecost!$B$6:$AH$49,Treecost!$E$2,FALSE),0)*IF(DF48&gt;='Options and results'!$K$25,'Options and results'!$K$24,1))</f>
        <v>0</v>
      </c>
      <c r="EK48" s="889">
        <f>IF($DH$8+DK48&lt;1,0,IF(DF48=1,VLOOKUP($DG$8,Treecost!$B$6:$AH$49,Treecost!$F$2,FALSE),0)*IF(DF48&gt;='Options and results'!$K$25,'Options and results'!$K$24,1))</f>
        <v>0</v>
      </c>
      <c r="EL48" s="889">
        <f>IF($DH$8+DK48&lt;1,0,IF(DF48=1,VLOOKUP($DG$8,Treecost!$B$6:$AH$49,Treecost!$G$2,FALSE),0)*IF(DF48&gt;='Options and results'!$K$25,'Options and results'!$K$24,1))</f>
        <v>0</v>
      </c>
      <c r="EM48" s="889">
        <f>IF($DG$8=0,0,IF(DF48&lt;='Options and results'!$W$20,((VLOOKUP($DG$8,Treecost!$B$6:$AH$49,Treecost!$H$2,FALSE)*(DH48+DK48))/60)*IF(DF48&gt;='Options and results'!$K$25,'Options and results'!$K$24,1),0))</f>
        <v>0</v>
      </c>
      <c r="EN48" s="889">
        <f>IF($DG$8=0,0,IF(DF48&lt;='Options and results'!$W$20,(((VLOOKUP($DG$8,Treecost!$B$6:$AH$49,Treecost!$I$2,FALSE))*(DH48+DK48))/60)*IF(DF48&gt;='Options and results'!$K$25,'Options and results'!$K$24,1),0))</f>
        <v>0</v>
      </c>
      <c r="EO48" s="889">
        <f>IF($DG$8=0,0,IF(DF48&lt;='Options and results'!$W$20,(((VLOOKUP($DG$8,Treecost!$B$6:$AH$49,Treecost!$J$2,FALSE))/60)*(DH48+DK48))*IF(DF48&gt;='Options and results'!$K$25,'Options and results'!$K$24,1),0))</f>
        <v>0</v>
      </c>
      <c r="EP48" s="1019">
        <f>IF($DG$8=0,0,IF(DF48&lt;='Options and results'!$W$20,(((VLOOKUP($DG$8,Treecost!$B$6:$AH$49,Treecost!$C$2,FALSE)+VLOOKUP($DG$8,Treecost!$B$6:$AH$49,Treecost!$D$2,FALSE))*(DH48+DK48)*IF(1+'Options and results'!$Q$22*(DF48-1)&gt;0,1+'Options and results'!$Q$22*(DF48-1),0))+(EJ48*$EI$8+EK48*$EI$9+EL48*$EI$10+EM48*$EI$11+EN48*$EI$12+EO48*$EI$13)*IF(1+'Options and results'!$Q$21*(DF48-1)&gt;0,1+'Options and results'!$Q$21*(DF48-1),0))*IF(DF48&gt;='Options and results'!$K$27,'Options and results'!$K$26,1),0))</f>
        <v>0</v>
      </c>
      <c r="EQ48" s="740">
        <f>IF($DG$8=0,0,IF(DF48&lt;='Options and results'!$W$20,IF(AND(VLOOKUP($DG$8,Treecost!$B$6:$AH$49,Treecost!$K$2,FALSE)&lt;=DF48,DF48&lt;=(VLOOKUP($DG$8,Treecost!$B$6:$AH$49,Treecost!$L$2,FALSE))),VLOOKUP($DG$8,Treecost!$B$6:$AH$49,Treecost!$M$2,FALSE)*DL48/60,0)*IF(DF48&gt;='Options and results'!$K$25,'Options and results'!$K$24,1),0))</f>
        <v>0</v>
      </c>
      <c r="ER48" s="1019">
        <f>IF(EQ48&gt;0,(VLOOKUP($DG$8,Treecost!$B$6:$AH$49,Treecost!$N$2,FALSE)*DL48*IF(1+'Options and results'!$Q$22*(DF48-1)&gt;0,1+'Options and results'!$Q$22*(DF48-1),0)+EQ48*$EI$14*IF(1+'Options and results'!$Q$21*(DF48-1)&gt;0,1+'Options and results'!$Q$21*(DF48-1),0)),0)*IF(DF48&gt;='Options and results'!$K$27,'Options and results'!$K$26,1)</f>
        <v>0</v>
      </c>
      <c r="ES48" s="889">
        <f>IF(DF48&lt;='Options and results'!$W$20,IF(AND(DR48-DR47&gt;0,DR48&gt;'Options and results'!$M$64),(DL48-DN48)*(VLOOKUP($DG$8,Treecost!$B$6:$AH$49,Treecost!$Y$2,FALSE)+(VLOOKUP($DG$8,Treecost!$B$6:$AH$49,Treecost!$AA$2,FALSE)-VLOOKUP($DG$8,Treecost!$B$6:$AH$49,Treecost!$Y$2,FALSE))/(VLOOKUP($DG$8,Treecost!$B$6:$AH$49,Treecost!$Z$2,FALSE)-VLOOKUP($DG$8,Treecost!$B$6:$AH$49,Treecost!$X$2,FALSE))*(DR48-VLOOKUP($DG$8,Treecost!$B$6:$AH$49,Treecost!$X$2,FALSE)))/60,0)*IF(DF48&gt;='Options and results'!$K$25,'Options and results'!$K$24,1),0)</f>
        <v>0</v>
      </c>
      <c r="ET48" s="889">
        <f>IF(DF48&lt;='Options and results'!$W$20,IF(ES48&gt;0,VLOOKUP($DG$8,Treecost!$B$6:$AH$49,Treecost!$AB$2,FALSE)/60*DL48,0)*IF(DF48&gt;='Options and results'!$K$25,'Options and results'!$K$24,1),0)*((ES48-(MIN($ES$8:$ES$67)))/((MAX($ES$8:$ES$67))-(MIN($ES$8:$ES$67))))</f>
        <v>0</v>
      </c>
      <c r="EU48" s="740">
        <f>IF(ES48&gt;0,(ES48*$EI$15+ET48*$EI$19)*IF(1+'Options and results'!$Q$21*(DF48-1)&gt;0,1+'Options and results'!$Q$21*(DF48-1),0),0)*IF(DF48&gt;='Options and results'!$K$27,'Options and results'!$K$26,1)</f>
        <v>0</v>
      </c>
      <c r="EV48" s="891">
        <f>IF($DG$8=0,0,IF(DF48&lt;='Options and results'!$W$20,IF(AND(VLOOKUP($DG$8,Treecost!$B$2:$AH$49,Treecost!$O$2,FALSE)=DF48,DF48&lt;=IF(AND(Optimisation!$B$3="Yes",Optimisation!$B$4=1),Optimisation!$B$9)),VLOOKUP($DG$8,Treecost!$B$2:$AH$49,Treecost!$P$2,FALSE)*(1-CN48),0)*IF(DF48&gt;='Options and results'!$K$25,'Options and results'!$K$24,1),0))</f>
        <v>0</v>
      </c>
      <c r="EW48" s="889">
        <f>IF($DG$8=0,0,IF(DF48&lt;='Options and results'!$W$20,IF(AND(DF48&gt;VLOOKUP($DG$8,Treecost!$B$2:$AH$49,Treecost!$O$2,FALSE),DF48&lt;=IF(AND(Optimisation!$B$3="Yes",Optimisation!$B$4=1),Optimisation!$B$9,VLOOKUP($DG$8,Treecost!$B$2:$AH$49,Treecost!$R$2,FALSE))),VLOOKUP($DG$8,Treecost!$B$2:$AH$49,Treecost!$S$2,FALSE)*(1-CN48),0)*IF(DF48&gt;='Options and results'!$K$25,'Options and results'!$K$24,1),0))</f>
        <v>0</v>
      </c>
      <c r="EX48" s="740">
        <f>IF($DG$8=0,0,IF(DF48&lt;='Options and results'!$W$20,(IF(AND(VLOOKUP($DG$8,Treecost!$B$2:$AH$49,Treecost!$O$2,FALSE)=DF48,DF48&lt;=IF(AND(Optimisation!$B$3="Yes",Optimisation!$B$4=1),Optimisation!$B$9)),VLOOKUP($DG$8,Treecost!$B$2:$AH$49,Treecost!$Q$2,FALSE),0)*(1-CN48)+IF(AND(DF48&gt;VLOOKUP($DG$8,Treecost!$B$2:$AH$49,Treecost!$O$2,FALSE),DF48&lt;=IF(AND(Optimisation!$B$3="Yes",Optimisation!$B$4=1),Optimisation!$B$9,VLOOKUP($DG$8,Treecost!$B$2:$AH$49,Treecost!$R$2,FALSE))),VLOOKUP($DG$8,Treecost!$B$2:$AH$49,Treecost!$T$2,FALSE),0)*(1-CN48)+(EV48*$EI$16+EW48*$EI$17))*IF(DF48&gt;='Options and results'!$K$27,'Options and results'!$K$26,1),0))*IF(1+'Options and results'!$Q$21*(DF48-1)&gt;0,1+'Options and results'!$Q$21*(DF48-1),0)</f>
        <v>0</v>
      </c>
      <c r="EY48" s="894">
        <f>IF($DG$8=0,0,IF(DF48&lt;='Options and results'!$W$20,IF(AND(DF48&gt;=VLOOKUP($DG$8,Treecost!$B$2:$W$49,Treecost!$U$2,FALSE),DF48&lt;=VLOOKUP($DG$8,Treecost!$B$2:$W$49,Treecost!$V$2,FALSE)),(DL48*VLOOKUP($DG$8,Treecost!$B$2:$W$49,Treecost!$W$2,FALSE)/60),0)*IF(DF48&gt;='Options and results'!$K$25,'Options and results'!$K$24,1),0))</f>
        <v>0</v>
      </c>
      <c r="EZ48" s="740">
        <f>EY48*$EI$18*IF(DF48&gt;='Options and results'!$K$27,'Options and results'!$K$26,1)*IF(1+'Options and results'!$Q$21*(DF48-1)&gt;0,1+'Options and results'!$Q$21*(DF48-1),0)</f>
        <v>0</v>
      </c>
      <c r="FA48" s="1025">
        <f>IF(DF48&lt;='Options and results'!$W$20,IF(DL48&lt;=0,0,VLOOKUP($DG$8,Treecost!$B$6:$AH$49,Treecost!$AC$2,FALSE)+VLOOKUP($DG$8,Treecost!$B$6:$AH$49,Treecost!$AD$2,FALSE)+IF(AND(DF48&gt;=VLOOKUP($DG$8,Treecost!$B$2:$AK$49,Treecost!$AI$2,FALSE),DF48&lt;=VLOOKUP($DG$8,Treecost!$B$2:$AK$49,Treecost!$AJ$2,FALSE)),VLOOKUP($DG$8,Treecost!$B$2:$AK$49,Treecost!$AK$2,FALSE)*(1-CN48),0))*IF(DF48&gt;='Options and results'!$K$27,'Options and results'!$K$26,1),0)*IF(1+'Options and results'!$Q$22*(DF48-1)&gt;0,1+'Options and results'!$Q$22*(DF48-1),0)</f>
        <v>0</v>
      </c>
      <c r="FB48" s="894">
        <f>IF(DF48&lt;='Options and results'!$W$20,IF(DN48&gt;0,VLOOKUP($DG$8,Treecost!$B$6:$AH$49,Treecost!$AE$2,FALSE)/60*DN48,0)*IF(DF48&gt;='Options and results'!$K$25,'Options and results'!$K$24,1),0)</f>
        <v>0</v>
      </c>
      <c r="FC48" s="740">
        <f>IF(DF48&lt;='Options and results'!$W$20,IF(DN48&gt;0,VLOOKUP($DG$8,Treecost!$B$6:$AH$49,Treecost!$AF$2,FALSE)/60*DN48,0)*IF(DF48&gt;='Options and results'!$K$25,'Options and results'!$K$24,1),0)</f>
        <v>0</v>
      </c>
      <c r="FD48" s="740">
        <f>(FB48*$EI$20+FC48*$EI$21)*IF(DF48&gt;='Options and results'!$K$27,'Options and results'!$K$26,1)*IF(1+'Options and results'!$Q$21*(DF48-1)&gt;0,1+'Options and results'!$Q$21*(DF48-1),0)</f>
        <v>0</v>
      </c>
      <c r="FE48" s="894">
        <f>IF(DF48&lt;='Options and results'!$W$20,IF(DO48&gt;0,(VLOOKUP($DG$8,Treecost!$B$6:$AH$49,Treecost!$AG$2,FALSE)/60*DO48)*IF(DF48&gt;='Options and results'!$K$25,'Options and results'!$K$24,1),0),0)</f>
        <v>0</v>
      </c>
      <c r="FF48" s="740">
        <f>IF(DF48&lt;='Options and results'!$W$20,IF(DO48&gt;0,(VLOOKUP($DG$8,Treecost!$B$6:$AH$49,Treecost!$AH$2,FALSE)/60*DO48)*IF(DF48&gt;='Options and results'!$K$25,'Options and results'!$K$24,1),0),0)</f>
        <v>0</v>
      </c>
      <c r="FG48" s="740">
        <f>(FE48*$EI$22+FF48*$EI$23)*IF(DF48&gt;='Options and results'!$K$27,'Options and results'!$K$26,1)*IF(1+'Options and results'!$Q$21*(DF48-1)&gt;0,1+'Options and results'!$Q$21*(DF48-1),0)</f>
        <v>0</v>
      </c>
      <c r="FH48" s="894">
        <f t="shared" si="157"/>
        <v>0</v>
      </c>
      <c r="FI48" s="1027">
        <f t="shared" si="158"/>
        <v>0</v>
      </c>
      <c r="FJ48" s="1027">
        <f t="shared" si="159"/>
        <v>0</v>
      </c>
      <c r="FK48" s="1027">
        <f t="shared" si="160"/>
        <v>0</v>
      </c>
      <c r="FL48" s="1027">
        <f t="shared" si="190"/>
        <v>0</v>
      </c>
      <c r="FM48" s="1027">
        <f>IF($DF48&lt;='Options and results'!$W$20,SUM(FI$8:$FI48),0)</f>
        <v>0</v>
      </c>
      <c r="FN48" s="1027">
        <f>IF($DF48&lt;='Options and results'!$W$20,SUM($FJ$8:FJ48),0)</f>
        <v>0</v>
      </c>
      <c r="FO48" s="1027">
        <f>IF($DF48&lt;='Options and results'!$W$20,SUM($FK$8:FK48),0)</f>
        <v>0</v>
      </c>
      <c r="FP48" s="1027">
        <f>IF($DF48&lt;='Options and results'!$W$20,FM48+FN48-FO48,0)</f>
        <v>0</v>
      </c>
      <c r="FQ48" s="1027">
        <f t="shared" si="162"/>
        <v>0</v>
      </c>
      <c r="FR48" s="1027">
        <f t="shared" si="163"/>
        <v>0</v>
      </c>
      <c r="FS48" s="1027">
        <f t="shared" si="164"/>
        <v>0</v>
      </c>
      <c r="FT48" s="1189">
        <f>IF(DF48&lt;='Options and results'!$W$20,FP48+DZ48,0)</f>
        <v>0</v>
      </c>
      <c r="FU48" s="401"/>
      <c r="FV48" s="895">
        <f t="shared" si="165"/>
        <v>41</v>
      </c>
      <c r="FW48" s="894">
        <f>G48/(1+'Options and results'!$W$33)^(FV48-1)</f>
        <v>0</v>
      </c>
      <c r="FX48" s="740">
        <f>(AP48+AR48+AS48)/(1+'Options and results'!$W$33)^(FV48-1)</f>
        <v>0</v>
      </c>
      <c r="FY48" s="740">
        <f>CQ48/(1+'Options and results'!$W$33)^(FV48-1)</f>
        <v>0</v>
      </c>
      <c r="FZ48" s="740">
        <f>(EA48+EC48+ED48)/(1+'Options and results'!$W$33)^(FV48-1)</f>
        <v>0</v>
      </c>
      <c r="GA48" s="1019">
        <f t="shared" si="180"/>
        <v>0</v>
      </c>
      <c r="GB48" s="1026">
        <f>(AO48+AQ48)/(1+'Options and results'!$W$33)^(FV48-1)+FX48</f>
        <v>0</v>
      </c>
      <c r="GC48" s="1027">
        <f>IF(FV48&gt;'Options and results'!$W$27,0,GB48-GB47)</f>
        <v>0</v>
      </c>
      <c r="GD48" s="1027">
        <f>(DZ48+EB48)/(1+'Options and results'!$W$33)^(FV48-1)+FZ48</f>
        <v>0</v>
      </c>
      <c r="GE48" s="1379">
        <f>IF(FV48&gt;'Options and results'!$W$27,0,GD48-GD47)</f>
        <v>0</v>
      </c>
      <c r="GF48" s="894">
        <f>IF(FV48&lt;='Options and results'!$W$20,SUM(FW$8:FW48),0)</f>
        <v>0</v>
      </c>
      <c r="GG48" s="740">
        <f>IF(FV48&lt;='Options and results'!$W$20,SUM(FX$8:FX48), 0)</f>
        <v>0</v>
      </c>
      <c r="GH48" s="740">
        <f>IF(FV48&lt;='Options and results'!$W$20,SUM(FY$8:FY48),0)</f>
        <v>0</v>
      </c>
      <c r="GI48" s="740">
        <f>IF(FV48&lt;='Options and results'!$W$20,SUM(FZ$8:FZ48),0)</f>
        <v>0</v>
      </c>
      <c r="GJ48" s="1019">
        <f t="shared" si="166"/>
        <v>0</v>
      </c>
      <c r="GK48" s="894">
        <f>IF(FV48&gt;'Options and results'!$W$27,0,GG48+SUM(GC$8:GC48)-FX48)</f>
        <v>0</v>
      </c>
      <c r="GL48" s="740">
        <f>IF(FV48&lt;='Options and results'!$W$20,SUM(GD$8:GD48),0)</f>
        <v>0</v>
      </c>
      <c r="GM48" s="1034">
        <f t="shared" si="167"/>
        <v>0</v>
      </c>
      <c r="GN48" s="401"/>
      <c r="GO48" s="895">
        <f t="shared" si="168"/>
        <v>41</v>
      </c>
      <c r="GP48" s="894">
        <f>H48/(1+'Options and results'!$W$33)^(GO48-1)</f>
        <v>0</v>
      </c>
      <c r="GQ48" s="740">
        <f>SUM(AT48:AV48)/(1+'Options and results'!$W$33)^(GO48-1)</f>
        <v>0</v>
      </c>
      <c r="GR48" s="740">
        <f>CR48/(1+'Options and results'!$W$33)^(GO48-1)</f>
        <v>0</v>
      </c>
      <c r="GS48" s="740">
        <f>SUM(EE48:EG48)/(1+'Options and results'!$W$33)^(GO48-1)</f>
        <v>0</v>
      </c>
      <c r="GT48" s="1019">
        <f t="shared" si="181"/>
        <v>0</v>
      </c>
      <c r="GU48" s="894">
        <f>IF(GO48&lt;='Options and results'!$W$20,SUM(GP$8:GP48),0)</f>
        <v>0</v>
      </c>
      <c r="GV48" s="740">
        <f>IF(GO48&lt;='Options and results'!$W$20,SUM(GQ$8:GQ48),0)</f>
        <v>0</v>
      </c>
      <c r="GW48" s="740">
        <f>IF(GO48&lt;='Options and results'!$W$20,SUM(GR$8:GR48),0)</f>
        <v>0</v>
      </c>
      <c r="GX48" s="740">
        <f>IF(GO48&lt;='Options and results'!$W$20,SUM(GS$8:GS48),0)</f>
        <v>0</v>
      </c>
      <c r="GY48" s="1034">
        <f>IF(GO48&lt;='Options and results'!$W$20,SUM(GT$8:GT48),0)</f>
        <v>0</v>
      </c>
      <c r="GZ48" s="401"/>
      <c r="HA48" s="895">
        <f t="shared" si="169"/>
        <v>41</v>
      </c>
      <c r="HB48" s="1026">
        <f>(J48+L48+(M48*N48))/(1+'Options and results'!$W$33)^(HA48-1)</f>
        <v>0</v>
      </c>
      <c r="HC48" s="740">
        <f>BZ48/(1+'Options and results'!$W$33)^(HA48-1)</f>
        <v>0</v>
      </c>
      <c r="HD48" s="1027">
        <f>(CT48+CV48+(CW48*CX48))/(1+'Options and results'!$W$33)^(HA48-1)</f>
        <v>0</v>
      </c>
      <c r="HE48" s="740">
        <f>FK48/(1+'Options and results'!$W$33)^(HA48-1)</f>
        <v>0</v>
      </c>
      <c r="HF48" s="1019">
        <f t="shared" si="182"/>
        <v>0</v>
      </c>
      <c r="HG48" s="894">
        <f>IF(HA48&lt;='Options and results'!$W$20,SUM(HB$8:HB48),0)</f>
        <v>0</v>
      </c>
      <c r="HH48" s="740">
        <f>IF(HA48&lt;='Options and results'!$W$20,SUM(HC$8:HC48),0)</f>
        <v>0</v>
      </c>
      <c r="HI48" s="740">
        <f>IF(HA48&lt;='Options and results'!$W$20,SUM(HD$8:HD48),0)</f>
        <v>0</v>
      </c>
      <c r="HJ48" s="740">
        <f>IF(HA48&lt;='Options and results'!$W$20,SUM(HE$8:HE48),0)</f>
        <v>0</v>
      </c>
      <c r="HK48" s="1034">
        <f>IF(HA48&lt;='Options and results'!$W$20,SUM(HF$8:HF48),0)</f>
        <v>0</v>
      </c>
      <c r="HL48" s="405"/>
      <c r="HM48" s="895">
        <f t="shared" si="189"/>
        <v>41</v>
      </c>
      <c r="HN48" s="1026">
        <f t="shared" si="171"/>
        <v>0</v>
      </c>
      <c r="HO48" s="1027">
        <f t="shared" si="172"/>
        <v>0</v>
      </c>
      <c r="HP48" s="1027">
        <f t="shared" si="173"/>
        <v>0</v>
      </c>
      <c r="HQ48" s="1027">
        <f t="shared" si="174"/>
        <v>0</v>
      </c>
      <c r="HR48" s="1027">
        <f t="shared" si="175"/>
        <v>0</v>
      </c>
      <c r="HS48" s="1379">
        <f t="shared" si="176"/>
        <v>0</v>
      </c>
      <c r="HT48" s="1026">
        <f>IF($HM48&lt;='Options and results'!$W$20,SUM(HN$8:HN48),0)</f>
        <v>0</v>
      </c>
      <c r="HU48" s="1027">
        <f>IF($HM48&lt;='Options and results'!$W$20,SUM(HO$8:HO48),0)</f>
        <v>0</v>
      </c>
      <c r="HV48" s="1027">
        <f>IF($HM48&lt;='Options and results'!$W$20,SUM(HP$8:HP48),0)</f>
        <v>0</v>
      </c>
      <c r="HW48" s="1027">
        <f>IF($HM48&lt;='Options and results'!$W$20,SUM(HQ$8:HQ48),0)</f>
        <v>0</v>
      </c>
      <c r="HX48" s="1027">
        <f t="shared" si="177"/>
        <v>0</v>
      </c>
      <c r="HY48" s="1027">
        <f>IF($HM48&lt;='Options and results'!$W$20,SUM(HR$8:HR48),0)</f>
        <v>0</v>
      </c>
      <c r="HZ48" s="1027">
        <f>IF($HM48&lt;='Options and results'!$W$20,SUM(HS$8:HS48),0)</f>
        <v>0</v>
      </c>
      <c r="IA48" s="1189">
        <f t="shared" si="178"/>
        <v>0</v>
      </c>
    </row>
    <row r="49" spans="1:235" x14ac:dyDescent="0.25">
      <c r="A49" s="1010">
        <f t="shared" si="126"/>
        <v>42</v>
      </c>
      <c r="B49" s="1011" t="str">
        <f>IF('Options and results'!$C$17="None",0,CONCATENATE('Options and results'!$C$23," ",(HLOOKUP(CONCATENATE('Options and results'!$C$17," ",Arablesystem!$B$11),Arablesystem!$B$10:$ER$72,$A49+3,FALSE))))</f>
        <v xml:space="preserve">UK - Agriculture (BPS: from 2015) </v>
      </c>
      <c r="C49" s="1012">
        <f>IF(HLOOKUP(CONCATENATE('Options and results'!$C$17," ",Arablesystem!$C$11),Arablesystem!$B$10:$ER$72,$A49+3,FALSE)="T",(VLOOKUP(B49,Arablefinance!$Z$6:$AB$105,Arablefinance!$AB$2,FALSE)*E49+VLOOKUP(B49,Arablefinance!$Z$6:$AC$105,Arablefinance!$AC$2,FALSE)*F49)/VLOOKUP(B49,Arablefinance!$Z$6:$AA$105,Arablefinance!$AA$2,FALSE),0)</f>
        <v>0</v>
      </c>
      <c r="D49" s="1012">
        <f>IF(B49=0,0,HLOOKUP(CONCATENATE('Options and results'!$C$17," ",Arablesystem!$D$11),Arablesystem!$B$10:$ER$72,$A49+3,FALSE))</f>
        <v>0</v>
      </c>
      <c r="E49" s="1440">
        <f>IF(B49=0,0,HLOOKUP(CONCATENATE('Options and results'!$C$17," ",Arablesystem!$E$11),Arablesystem!$B$10:$ER$72,$A49+3,FALSE)*IF(A49&gt;='Options and results'!$H$19,'Options and results'!$H$18,1))</f>
        <v>0</v>
      </c>
      <c r="F49" s="1440">
        <f>IF(B49=0,0,HLOOKUP(CONCATENATE('Options and results'!$C$17," ",Arablesystem!$F$11),Arablesystem!$B$10:$ER$72,$A49+3,FALSE)*IF(A49&gt;='Options and results'!$H$19,'Options and results'!$H$18,1))</f>
        <v>0</v>
      </c>
      <c r="G49" s="1013">
        <f>IF(D49&lt;=0,0,IF(A49&lt;='Options and results'!$W$20,IF(C49&gt;0,VLOOKUP(B49,Arablefinance!$Z$6:$AE$105,Arablefinance!$AD$2,FALSE)*C49*D49,((VLOOKUP(B49,Arablefinance!$E$6:$G$126,Arablefinance!$F$2,FALSE)*(E49*D49)+VLOOKUP(B49,Arablefinance!$E$6:$G$126,Arablefinance!$G$2,FALSE)*(F49*D49)))),0)*IF(A49&gt;='Options and results'!$H$21,'Options and results'!$H$20,1))*IF(1+'Options and results'!$O$20*(A49-1)&gt;0,1+'Options and results'!$O$20*(A49-1),0)</f>
        <v>0</v>
      </c>
      <c r="H49" s="1441">
        <f>IF(D49&lt;=0,0,IF(A49&lt;='Options and results'!$W$20,IF(AND(C49&gt;0,VLOOKUP(B49,Arablefinance!$Z$6:$AI$105,Arablefinance!$AI$2,FALSE)=2),VLOOKUP(B49,Arablefinance!$Z$6:$AE$105,Arablefinance!$AE$2,FALSE)*C49*D49,(VLOOKUP(B49,Arablefinance!$E$6:$H$126,Arablefinance!$H$2,FALSE)*D49))*IF(A49&gt;='Options and results'!$H$23,'Options and results'!$H$22,1),0)*IF(AND(1+'Options and results'!$O$23*(A49-1)&gt;0,1+'Options and results'!$O$23*(A49-1)&gt;'Options and results'!$S$24),1+'Options and results'!$O$23*(A49-1),'Options and results'!$S$24))</f>
        <v>0</v>
      </c>
      <c r="I49" s="1441">
        <f t="shared" si="127"/>
        <v>0</v>
      </c>
      <c r="J49" s="1441">
        <f>IF(D49&lt;=0,0,IF(A49&lt;='Options and results'!$W$20,IF(C49&gt;0,VLOOKUP(B49,Arablefinance!$Z$6:$AF$105,Arablefinance!$AF$2,FALSE)*C49*D49,(VLOOKUP(B49,Arablefinance!$E$6:$X$126,Arablefinance!$R$2,FALSE))*D49),0)*IF(A49&gt;='Options and results'!$H$27,'Options and results'!$H$26,1))*IF(1+'Options and results'!$O$22*(A49-1)&gt;0,1+'Options and results'!$O$22*(A49-1),0)</f>
        <v>0</v>
      </c>
      <c r="K49" s="1441">
        <f t="shared" si="128"/>
        <v>0</v>
      </c>
      <c r="L49" s="1441">
        <f>IF(D49&lt;=0,0,IF(A49&lt;='Options and results'!$W$20,IF(C49&gt;0,VLOOKUP(B49,Arablefinance!$Z$6:$AG$105,Arablefinance!$AG$2,FALSE)*C49*D49,VLOOKUP(B49,Arablefinance!$E$6:$X$126,Arablefinance!$X$2,FALSE)*D49),0)*IF(A49&gt;='Options and results'!$H$27,'Options and results'!$H$26,1))*IF(1+'Options and results'!$O$22*(A49-1)&gt;0,1+'Options and results'!$O$22*(A49-1),0)</f>
        <v>0</v>
      </c>
      <c r="M49" s="1442">
        <f>IF(D49&lt;=0,0,IF(A49&lt;='Options and results'!$W$20,'Options and results'!$C$27,0)*IF(A49&gt;='Options and results'!$H$27,'Options and results'!$H$26,1))*IF(1+'Options and results'!$O$21*(A49-1)&gt;0,1+'Options and results'!$O$21*(A49-1),0)</f>
        <v>0</v>
      </c>
      <c r="N49" s="1442">
        <f>IF(D49&lt;=0,0,IF(A49&lt;='Options and results'!$W$20,IF(C49&gt;0,VLOOKUP(B49,Arablefinance!$Z$6:$AH$105,Arablefinance!$AH$2,FALSE)*C49*D49,VLOOKUP(B49,Arablefinance!$E$6:$W$126,Arablefinance!$V$2,FALSE)*D49),0)*IF(A49&gt;='Options and results'!$H$25,'Options and results'!$H$24,1))</f>
        <v>0</v>
      </c>
      <c r="O49" s="1013">
        <f t="shared" si="129"/>
        <v>0</v>
      </c>
      <c r="P49" s="1353">
        <f t="shared" si="130"/>
        <v>0</v>
      </c>
      <c r="Q49" s="1013">
        <f>IF(A49&lt;='Options and results'!$W$20,SUM(G$8:$G49),0)</f>
        <v>0</v>
      </c>
      <c r="R49" s="1441">
        <f>IF($A49&lt;='Options and results'!$W$20,SUM($H$8:H49),0)</f>
        <v>0</v>
      </c>
      <c r="S49" s="1441">
        <f>IF($A49&lt;='Options and results'!$W$20,SUM($O$8:O49),0)</f>
        <v>0</v>
      </c>
      <c r="T49" s="1032">
        <f>IF(A49&lt;='Options and results'!$W$20,Q49+R49-S49,0)</f>
        <v>0</v>
      </c>
      <c r="U49" s="405"/>
      <c r="V49" s="1010">
        <f t="shared" si="131"/>
        <v>42</v>
      </c>
      <c r="W49" s="173"/>
      <c r="X49" s="1036"/>
      <c r="Y49" s="1030">
        <f>IF(V49&lt;='Options and results'!$M$34,'Options and results'!$M$33,0)</f>
        <v>0</v>
      </c>
      <c r="Z49" s="1441">
        <f t="shared" si="132"/>
        <v>0</v>
      </c>
      <c r="AA49" s="1441">
        <f t="shared" si="133"/>
        <v>0</v>
      </c>
      <c r="AB49" s="1428">
        <f t="shared" si="134"/>
        <v>0</v>
      </c>
      <c r="AC49" s="1441">
        <f>IF($W$8=0,0,IF(HLOOKUP(CONCATENATE('Options and results'!$C$32," ",Forestrysystem!$C$8),Forestrysystem!$A$7:$IH$70,V49+4,FALSE)&lt;AB49,HLOOKUP(CONCATENATE('Options and results'!$C$32," ",Forestrysystem!$C$8),Forestrysystem!$A$7:$IH$70,V49+4,FALSE),0))</f>
        <v>0</v>
      </c>
      <c r="AD49" s="1441">
        <f>IF($W$8=0,0,IF(HLOOKUP(CONCATENATE('Options and results'!$C$32," ",Forestrysystem!$C$8),Forestrysystem!$A$7:$IH$70,V49+4,FALSE)&gt;=AB49,AB49,0))</f>
        <v>0</v>
      </c>
      <c r="AE49" s="1440">
        <f>IF($W$8=0,0,HLOOKUP(CONCATENATE('Options and results'!$C$32," ",Forestrysystem!$D$8),Forestrysystem!$A$7:$IH$70,$V49+4,FALSE))</f>
        <v>0</v>
      </c>
      <c r="AF49" s="1037"/>
      <c r="AG49" s="1440">
        <f>IF($W$8=0,0,IF(V49=1,'Options and results'!$M$36,0)+IF('Options and results'!$M$39="yes",IF(AND(AG48+'Options and results'!$M$37&lt;=$AF$8,AG48+'Options and results'!$M$37+IF(V49=1,'Options and results'!$M$36,0)&lt;='Options and results'!$M$38*AE49),AG48+'Options and results'!$M$37,AG48),(HLOOKUP(CONCATENATE('Options and results'!$C$32," ",Forestrysystem!$E$8),Forestrysystem!$A$7:$IH$70,V49+4,FALSE))-IF(V49=1,'Options and results'!$M$36,0)))</f>
        <v>0</v>
      </c>
      <c r="AH49" s="1442">
        <f>IF(OR($W$8=0,AB49&lt;=0),0,(HLOOKUP(CONCATENATE('Options and results'!$C$32," ",Forestrysystem!$F$8),Forestrysystem!$A$7:$IH$70,$V49+4,FALSE)) * IF(V49&gt;='Options and results'!$I$19,'Options and results'!$I$18,1) )</f>
        <v>0</v>
      </c>
      <c r="AI49" s="1452">
        <f t="shared" si="179"/>
        <v>0</v>
      </c>
      <c r="AJ49" s="1442">
        <f t="shared" si="135"/>
        <v>0</v>
      </c>
      <c r="AK49" s="1453">
        <f>IF(OR($W$8=0,AE49&lt;=0),0,(HLOOKUP(CONCATENATE('Options and results'!$C$32," ",Forestrysystem!$G$8),Forestrysystem!$A$7:$IH$70,$V49+4,FALSE)) * IF(Y49&gt;='Options and results'!$I$19,'Options and results'!$I$18,1) )</f>
        <v>0</v>
      </c>
      <c r="AL49" s="1453">
        <f>IF($W$8=0,0,HLOOKUP(CONCATENATE('Options and results'!$C$32," ",Forestrysystem!$H$8),Forestrysystem!$A$7:$IH$70,$V49+4,FALSE)*IF(V49&gt;='Options and results'!$I$19,'Options and results'!$I$18,1))</f>
        <v>0</v>
      </c>
      <c r="AM49" s="1383">
        <f>IF($W$8=0,0,HLOOKUP(CONCATENATE('Options and results'!$C$32," ",Forestrysystem!$I$8),Forestrysystem!$A$7:$IH$70,$V49+4,FALSE)*IF(V49&gt;='Options and results'!$I$19,'Options and results'!$I$18,1))</f>
        <v>0</v>
      </c>
      <c r="AN49" s="1382">
        <f>IF(AI49&gt;0,HLOOKUP(AI49,Treevalue!$I$4:$BC$34,'Options and results'!$C$39+1),0)*IF(V49&gt;='Options and results'!$I$21,'Options and results'!$I$20,1)*IF(1+'Options and results'!$Q$20*(V49-1)&gt;0,1+'Options and results'!$Q$20*(V49-1),0)</f>
        <v>0</v>
      </c>
      <c r="AO49" s="1454">
        <f t="shared" si="136"/>
        <v>0</v>
      </c>
      <c r="AP49" s="1454">
        <f t="shared" si="187"/>
        <v>0</v>
      </c>
      <c r="AQ49" s="1454">
        <f>(IF('Options and results'!$C$39&gt;0,IF(V49&lt;='Options and results'!$W$20,VLOOKUP('Options and results'!$C$39,Treevalue!$A$4:$F$34,5,FALSE),0),0)*AK49)*IF(V49&gt;='Options and results'!$I$21,'Options and results'!$I$20,1)*IF(1+'Options and results'!$Q$20*(V49-1)&gt;0,1+'Options and results'!$Q$20*(V49-1),0)-AR49</f>
        <v>0</v>
      </c>
      <c r="AR49" s="1441">
        <f>(IF('Options and results'!$C$39&gt;0,IF(V49&lt;='Options and results'!$W$20,VLOOKUP('Options and results'!$C$39,Treevalue!$A$4:$F$34,5,FALSE),0),0)*AL49)*IF(V49&gt;='Options and results'!$I$21,'Options and results'!$I$20,1)*IF(1+'Options and results'!$Q$20*(V49-1)&gt;0,1+'Options and results'!$Q$20*(V49-1),0)</f>
        <v>0</v>
      </c>
      <c r="AS49" s="1441">
        <f>(IF('Options and results'!$C$39&gt;0,IF(V49&lt;='Options and results'!$W$20,VLOOKUP('Options and results'!$C$39,Treevalue!$A$4:$F$34,6,FALSE),0),0)*AM49)*IF(V49&gt;='Options and results'!$I$21,'Options and results'!$I$20,1)*IF(1+'Options and results'!$Q$20*(V49-1)&gt;0,1+'Options and results'!$Q$20*(V49-1),0)</f>
        <v>0</v>
      </c>
      <c r="AT49" s="1441">
        <f>IF(V49&lt;='Options and results'!$W$20,(IF(AB49&lt;=0,0,IF('Options and results'!$C$43="cost",(IF(V49&lt;='Options and results'!$C$44,BZ49*SUM('Options and results'!$C$45:$C$46),0)),IF('Options and results'!$C$41&gt;0,(IF(VLOOKUP('Options and results'!$C$42,Treegrant!$B$6:$L$42,Treegrant!$C$2,FALSE)=V49,VLOOKUP('Options and results'!$C$42,Treegrant!$B$6:$L$42,Treegrant!$D$2,FALSE),0)+IF(VLOOKUP('Options and results'!$C$42,Treegrant!$B$6:$L$42,Treegrant!$E$2,FALSE)=V49,VLOOKUP('Options and results'!$C$42,Treegrant!$B$6:$L$42,Treegrant!$F$2,FALSE),0)+IF(VLOOKUP('Options and results'!$C$42,Treegrant!$B$6:$L$42,Treegrant!$G$2,FALSE)=V49,VLOOKUP('Options and results'!$C$42,Treegrant!$B$6:$L$42,Treegrant!$H$2,FALSE)))*IF('Options and results'!$C$43="area",1,'Options and results'!$C$43),0)))*IF(V49&gt;='Options and results'!$I$23,'Options and results'!$I$22,1)),0)*IF(1+'Options and results'!$Q$23*(V49-1)&gt;0,1+'Options and results'!$Q$23*(V49-1),0)</f>
        <v>0</v>
      </c>
      <c r="AU49" s="1441">
        <f>IF($W$8=0,0,IF(V49&lt;='Options and results'!$W$20,IF(AB49&lt;=0,0,IF('Options and results'!$C$41&gt;0,IF(AND(VLOOKUP('Options and results'!$C$42,Treegrant!$B$6:$L$42,Treegrant!$J$2,FALSE)&lt;=V49,VLOOKUP('Options and results'!$C$42,Treegrant!$B$6:$L$42,Treegrant!$K$2,FALSE)&gt;=V49),(VLOOKUP('Options and results'!$C$42,Treegrant!$B$6:$L$42,Treegrant!$L$2,FALSE)),0)*IF('Options and results'!$C$47="full",1,'Options and results'!$C$47))*IF(V49&gt;='Options and results'!$I$23,'Options and results'!$I$22,1)),0))*IF(1+'Options and results'!$Q$23*(V49-1)&gt;0,1+'Options and results'!$Q$23*(V49-1),0)</f>
        <v>0</v>
      </c>
      <c r="AV49" s="1032">
        <f>IF($W$8=0,0,IF(V49&lt;='Options and results'!$W$20,IF(AB49&lt;=0,0,(IF('Options and results'!$C$41&gt;0,(IF(AND(VLOOKUP('Options and results'!$C$42,Treegrant!$B$6:$O$42,Treegrant!$M$2,FALSE)&lt;=V49,VLOOKUP('Options and results'!$C$42,Treegrant!$B$6:$O$42,Treegrant!$N$2,FALSE)&gt;=V49),(VLOOKUP('Options and results'!$C$42,Treegrant!$B$6:$O$42,Treegrant!$O$2,FALSE)),0)*IF('Options and results'!$C$48="full",1,'Options and results'!$C$48))+(IF(AND(VLOOKUP('Options and results'!$C$42,Treegrant!$B$6:$R$42,Treegrant!$P$2,FALSE)&lt;=V49,VLOOKUP('Options and results'!$C$42,Treegrant!$B$6:$R$42,Treegrant!$Q$2,FALSE)&gt;=V49),(VLOOKUP('Options and results'!$C$42,Treegrant!$B$6:$R$42,Treegrant!$R$2,FALSE)),0))*IF('Options and results'!$C$49="full",1,'Options and results'!$C$49)))*IF(V49&gt;='Options and results'!$I$23,'Options and results'!$I$22,1)),0))*IF(1+'Options and results'!$Q$23*(V49-1)&gt;0,1+'Options and results'!$Q$23*(V49-1),0)</f>
        <v>0</v>
      </c>
      <c r="AW49" s="1041"/>
      <c r="AX49" s="1042"/>
      <c r="AY49" s="1419">
        <f>IF($W$8=0,0,IF(V49=1,VLOOKUP($W$8,Treecost!$B$6:$AH$49,Treecost!$E$2,FALSE),0)*IF(V49&gt;='Options and results'!$I$25,'Options and results'!$I$24,1))</f>
        <v>0</v>
      </c>
      <c r="AZ49" s="889">
        <f>IF($W$8=0,0,IF(V49=1,VLOOKUP($W$8,Treecost!$B$6:$AH$49,Treecost!$F$2,FALSE),0)*IF(V49&gt;='Options and results'!$I$25,'Options and results'!$I$24,1))</f>
        <v>0</v>
      </c>
      <c r="BA49" s="889">
        <f>IF($W$8=0,0,IF(V49=1,VLOOKUP($W$8,Treecost!$B$6:$AH$49,Treecost!$G$2,FALSE),0)*IF(V49&gt;='Options and results'!$I$25,'Options and results'!$I$24,1))</f>
        <v>0</v>
      </c>
      <c r="BB49" s="889">
        <f>IF($W$8=0,0,IF(V49&lt;='Options and results'!$W$20,((VLOOKUP($W$8,Treecost!$B$6:$AH$49,Treecost!$H$2,FALSE)*(X49+AA49))/60)*IF(V49&gt;='Options and results'!$I$25,'Options and results'!$I$24,1),0))</f>
        <v>0</v>
      </c>
      <c r="BC49" s="889">
        <f>IF($W$8=0,0,IF(V49&lt;='Options and results'!$W$20,(((VLOOKUP($W$8,Treecost!$B$6:$AH$49,Treecost!$I$2,FALSE))*(X49+AA49))/60)*IF(V49&gt;='Options and results'!$I$25,'Options and results'!$I$24,1),0))</f>
        <v>0</v>
      </c>
      <c r="BD49" s="889">
        <f>IF($W$8=0,0,IF(V49&lt;='Options and results'!$W$20,(((VLOOKUP($W$8,Treecost!$B$6:$AH$49,Treecost!$J$2,FALSE))/60)*(X49+AA49))*IF(V49&gt;='Options and results'!$I$25,'Options and results'!$I$24,1),0))</f>
        <v>0</v>
      </c>
      <c r="BE49" s="1019">
        <f>IF($W$8=0,0,IF(V49&lt;='Options and results'!$W$20,(((VLOOKUP($W$8,Treecost!$B$6:$AH$49,Treecost!$C$2,FALSE)+VLOOKUP($W$8,Treecost!$B$6:$AH$49,Treecost!$D$2,FALSE))*(X49+AA49)*IF(1+'Options and results'!$Q$22*(V49-1)&gt;0,1+'Options and results'!$Q$22*(V49-1),0))+((AY49*$AX$8+AZ49*$AX$9+BA49*$AX$10+BB49*$AX$11+BC49*$AX$12+BD49*$AX$13)*IF(1+'Options and results'!$Q$21*(V49-1)&gt;0,1+'Options and results'!$Q$21*(V49-1),0)))*IF(V49&gt;='Options and results'!$I$27,'Options and results'!$I$26,1),0))</f>
        <v>0</v>
      </c>
      <c r="BF49" s="889">
        <f>IF($W$8=0,0,IF(V49&lt;='Options and results'!$W$20,IF(AND(VLOOKUP($W$8,Treecost!$B$6:$AH$49,Treecost!$K$2,FALSE)&lt;=V49,V49&lt;=(VLOOKUP($W$8,Treecost!$B$6:$AH$49,Treecost!$L$2,FALSE))),VLOOKUP($W$8,Treecost!$B$6:$AH$49,Treecost!$M$2,FALSE)*AB49/60,0)*IF(V49&gt;='Options and results'!$I$25,'Options and results'!$I$24,1),0))</f>
        <v>0</v>
      </c>
      <c r="BG49" s="1019">
        <f>IF(BF49&gt;0,(VLOOKUP($W$8,Treecost!$B$6:$AH$49,Treecost!$N$2,FALSE)*AB49*IF(1+'Options and results'!$Q$22*(V49-1)&gt;0,1+'Options and results'!$Q$22*(V49-1),0)+BF49*$AX$14*IF(1+'Options and results'!$Q$21*(V49-1)&gt;0,1+'Options and results'!$Q$21*(V49-1),0)),0)*IF(V49&gt;='Options and results'!$I$27,'Options and results'!$I$26,1)</f>
        <v>0</v>
      </c>
      <c r="BH49" s="889">
        <f>IF(V49&lt;='Options and results'!$W$20,IF(AND(AG49-AG48&gt;0,AG49&gt;'Options and results'!$M$36),(AB49-AC49)*(VLOOKUP($W$8,Treecost!$B$6:$AH$49,Treecost!$Y$2,FALSE)+(VLOOKUP($W$8,Treecost!$B$6:$AH$49,Treecost!$AA$2,FALSE)-VLOOKUP($W$8,Treecost!$B$6:$AH$49,Treecost!$Y$2,FALSE))/(VLOOKUP($W$8,Treecost!$B$6:$AH$49,Treecost!$Z$2,FALSE)-VLOOKUP($W$8,Treecost!$B$6:$AH$49,Treecost!$X$2,FALSE))*(AG49-VLOOKUP($W$8,Treecost!$B$6:$AH$49,Treecost!$X$2,FALSE)))/60,0)*IF(V49&gt;='Options and results'!$I$25,'Options and results'!$I$24,1),0)</f>
        <v>0</v>
      </c>
      <c r="BI49" s="303">
        <f>IF(V49&lt;='Options and results'!$W$20,IF(BH49&gt;0,VLOOKUP($W$8,Treecost!$B$6:$AH$49,Treecost!$AB$2,FALSE)/60*AB49,0)*IF(V49&gt;='Options and results'!$I$25,'Options and results'!$I$24,1),0)*((BH49-(MIN($BH$8:$BH$67)))/((MAX($BH$8:$BH$67))-(MIN($BH$8:$BH$67))))</f>
        <v>0</v>
      </c>
      <c r="BJ49" s="740">
        <f>IF(BH49&gt;0,(BH49*$AX$15+BI49*$AX$19)*IF(1+'Options and results'!$Q$21*(V49-1)&gt;0,1+'Options and results'!$Q$21*(V49-1),0),0)*IF(V49&gt;='Options and results'!$I$27,'Options and results'!$I$26,1)</f>
        <v>0</v>
      </c>
      <c r="BK49" s="891">
        <f>IF($W$8=0,0,IF(V49&lt;='Options and results'!$W$20,IF(VLOOKUP($W$8,Treecost!$B$2:$AH$49,Treecost!$O$2,FALSE)=V49,VLOOKUP($W$8,Treecost!$B$2:$AH$49,Treecost!$P$2,FALSE),0)*IF(V49&gt;='Options and results'!$I$25,'Options and results'!$I$24,1),0))</f>
        <v>0</v>
      </c>
      <c r="BL49" s="889">
        <f>IF($W$8=0,0,IF(V49&lt;='Options and results'!$W$20,IF(AND(V49&gt;VLOOKUP($W$8,Treecost!$B$2:$AH$49,Treecost!$O$2,FALSE),V49&lt;=VLOOKUP($W$8,Treecost!$B$2:$AH$49,Treecost!$R$2,FALSE)),VLOOKUP($W$8,Treecost!$B$2:$AH$49,Treecost!$S$2,FALSE),0)*IF(V49&gt;='Options and results'!$I$25,'Options and results'!$I$24,1),0))</f>
        <v>0</v>
      </c>
      <c r="BM49" s="740">
        <f>IF($W$8=0,0,IF(V49&lt;='Options and results'!$W$20,((IF(VLOOKUP($W$8,Treecost!$B$2:$AH$49,Treecost!$O$2,FALSE)=V49,VLOOKUP($W$8,Treecost!$B$2:$AH$49,Treecost!$Q$2,FALSE),0)+IF(AND(V49&gt;VLOOKUP($W$8,Treecost!$B$2:$AH$49,Treecost!$O$2,FALSE),V49&lt;=VLOOKUP($W$8,Treecost!$B$2:$AH$49,Treecost!$R$2,FALSE)),VLOOKUP($W$8,Treecost!$B$2:$AH$49,Treecost!$T$2,FALSE),0)*IF(1+'Options and results'!$Q$22*(V49-1)&gt;0,1+'Options and results'!$Q$22*(V49-1),0))+(BK49*$AX$16+BL49*$AX$17)*IF(1+'Options and results'!$Q$21*(V49-1)&gt;0,1+'Options and results'!$Q$21*(V49-1),0))*IF(V49&gt;='Options and results'!$I$27,'Options and results'!$I$26,1),0))</f>
        <v>0</v>
      </c>
      <c r="BN49" s="894">
        <f>IF($W$8=0,0,IF(V49&lt;='Options and results'!$W$20,IF(AND(V49&gt;=VLOOKUP($W$8,Treecost!$B$2:$W$49,Treecost!$U$2,FALSE),V49&lt;=VLOOKUP($W$8,Treecost!$B$2:$W$49,Treecost!$V$2,FALSE)),(AB49*VLOOKUP($W$8,Treecost!$B$2:$W$49,Treecost!$W$2,FALSE)/60),0)*IF(V49&gt;='Options and results'!$I$25,'Options and results'!$I$24,1),0))</f>
        <v>0</v>
      </c>
      <c r="BO49" s="740">
        <f>BN49*$AX$18*IF(V49&gt;='Options and results'!$I$27,'Options and results'!$I$26,1)*IF(1+'Options and results'!$Q$21*(V49-1)&gt;0,1+'Options and results'!$Q$21*(V49-1),0)</f>
        <v>0</v>
      </c>
      <c r="BP49" s="894">
        <f>IF(V49&lt;='Options and results'!$W$20,IF(AB49&lt;=0,0,VLOOKUP($W$8,Treecost!$B$6:$AH$49,Treecost!$AC$2,FALSE)+VLOOKUP($W$8,Treecost!$B$6:$AH$49,Treecost!$AD$2,FALSE)+IF(AND(V49&gt;=VLOOKUP($W$8,Treecost!$B$2:$AK$49,Treecost!$AI$2,FALSE),V49&lt;=VLOOKUP($W$8,Treecost!$B$2:$AK$49,Treecost!$AJ$2,FALSE)),(VLOOKUP($W$8,Treecost!$B$2:$AK$49,Treecost!$AK$2,FALSE)),0))*IF(V49&gt;='Options and results'!$I$27,'Options and results'!$I$26,1),0)*IF(1+'Options and results'!$Q$22*(V49-1)&gt;0,1+'Options and results'!$Q$22*(V49-1),0)</f>
        <v>0</v>
      </c>
      <c r="BQ49" s="894">
        <f>IF(V49&lt;='Options and results'!$W$20,IF(AC49&gt;0,VLOOKUP($W$8,Treecost!$B$6:$AH$49,Treecost!$AE$2,FALSE)/60*AC49,0)*IF(V49&gt;='Options and results'!$I$25,'Options and results'!$I$24,1),0)</f>
        <v>0</v>
      </c>
      <c r="BR49" s="740">
        <f>IF(V49&lt;='Options and results'!$W$20,IF(AC49&gt;0,VLOOKUP($W$8,Treecost!$B$6:$AH$49,Treecost!$AF$2,FALSE)/60*AC49,0)*IF(V49&gt;='Options and results'!$I$25,'Options and results'!$I$24,1),0)</f>
        <v>0</v>
      </c>
      <c r="BS49" s="740">
        <f>(BQ49*$AX$20+BR49*$AX$21)*IF(V49&gt;='Options and results'!$I$27,'Options and results'!$I$26,1)*IF(1+'Options and results'!$Q$21*(V49-1)&gt;0,1+'Options and results'!$Q$21*(V49-1),0)</f>
        <v>0</v>
      </c>
      <c r="BT49" s="894">
        <f>IF(V49&lt;='Options and results'!$W$20,IF(AD49&gt;0,(VLOOKUP($W$8,Treecost!$B$6:$AH$49,Treecost!$AG$2,FALSE)/60*AD49)*IF(V49&gt;='Options and results'!$I$25,'Options and results'!$I$24,1),0),0)</f>
        <v>0</v>
      </c>
      <c r="BU49" s="740">
        <f>IF(V49&lt;='Options and results'!$W$20,IF(AD49&gt;0,(VLOOKUP($W$8,Treecost!$B$6:$AH$49,Treecost!$AH$2,FALSE)/60*AD49)*IF(V49&gt;='Options and results'!$I$25,'Options and results'!$I$24,1),0),0)</f>
        <v>0</v>
      </c>
      <c r="BV49" s="740">
        <f>(BT49*$AX$22+BU49*$AX$23)*IF(V49&gt;='Options and results'!$I$27,'Options and results'!$I$26,1)*IF(1+'Options and results'!$Q$21*(V49-1)&gt;0,1+'Options and results'!$Q$21*(V49-1),0)</f>
        <v>0</v>
      </c>
      <c r="BW49" s="1033">
        <f t="shared" si="138"/>
        <v>0</v>
      </c>
      <c r="BX49" s="1027">
        <f t="shared" si="139"/>
        <v>0</v>
      </c>
      <c r="BY49" s="1027">
        <f t="shared" si="140"/>
        <v>0</v>
      </c>
      <c r="BZ49" s="740">
        <f t="shared" si="188"/>
        <v>0</v>
      </c>
      <c r="CA49" s="740">
        <f t="shared" si="141"/>
        <v>0</v>
      </c>
      <c r="CB49" s="894">
        <f>IF($V49&lt;='Options and results'!$W$20,SUM(BX$8:$BX49),0)</f>
        <v>0</v>
      </c>
      <c r="CC49" s="740">
        <f>IF($V49&lt;='Options and results'!$W$20,SUM($BY$8:BY49),0)</f>
        <v>0</v>
      </c>
      <c r="CD49" s="740">
        <f>IF($V49&lt;='Options and results'!$W$20,SUM($BZ$8:BZ49),0)</f>
        <v>0</v>
      </c>
      <c r="CE49" s="740">
        <f>IF(V49&lt;='Options and results'!$W$20,CB49+CC49-CD49,0)</f>
        <v>0</v>
      </c>
      <c r="CF49" s="1381">
        <f t="shared" si="142"/>
        <v>0</v>
      </c>
      <c r="CG49" s="1027">
        <f t="shared" si="143"/>
        <v>0</v>
      </c>
      <c r="CH49" s="1027">
        <f t="shared" si="144"/>
        <v>0</v>
      </c>
      <c r="CI49" s="1189">
        <f>IF(V49&lt;='Options and results'!$W$20,CE49+AO49,0)</f>
        <v>0</v>
      </c>
      <c r="CJ49" s="1023"/>
      <c r="CK49" s="895">
        <f t="shared" si="145"/>
        <v>42</v>
      </c>
      <c r="CL49" s="1011" t="str">
        <f>IF('Options and results'!$C$54="None",0,IF(AND(CK49&gt;='Options and results'!$K$57,CK48&lt;'Options and results'!$W$20),'Options and results'!$K$56,IF(Optimisation!$B$3="No",CONCATENATE('Options and results'!$C$60," ",(HLOOKUP(CONCATENATE('Options and results'!$C$54," ",Agroforestrysystem!$B$12),Agroforestrysystem!$B$11:$IM$74,$CK49+4,FALSE))),Optimisation!AA69)))</f>
        <v xml:space="preserve">UK - Agriculture (BPS: from 2015) </v>
      </c>
      <c r="CM49" s="1012">
        <f>IF(HLOOKUP(CONCATENATE('Options and results'!$C$54," ",Agroforestrysystem!$C$12),Agroforestrysystem!$B$11:$IM$74,$CK49+4,FALSE)="T",(VLOOKUP(CL49,Arablefinance!$Z$6:$AB$105,Arablefinance!$AB$2,FALSE)*CO49+VLOOKUP(CL49,Arablefinance!$Z$6:$AC$105,Arablefinance!$AC$2,FALSE)*CP49)/VLOOKUP(CL49,Arablefinance!$Z$6:$AA$105,Arablefinance!$AA$2,FALSE),0)</f>
        <v>0</v>
      </c>
      <c r="CN49" s="1012">
        <f>IF(CL49=0,0,HLOOKUP(CONCATENATE('Options and results'!$C$54," ",Agroforestrysystem!$D$12),Agroforestrysystem!$B$11:$IM$74,$CK49+4,FALSE))</f>
        <v>0</v>
      </c>
      <c r="CO49" s="1440">
        <f ca="1">IF(CL49=0,0,IF(AND(Optimisation!$B$3="yes",Optimisation!$B$4=1,CK49&gt;Optimisation!$B$9),0,HLOOKUP(CONCATENATE('Options and results'!$C$54," ",Agroforestrysystem!$E$12),Agroforestrysystem!$B$11:$IM$74,$CK49+4,FALSE)*IF(CK49&gt;='Options and results'!$J$19,'Options and results'!$J$18,1)))</f>
        <v>0</v>
      </c>
      <c r="CP49" s="1440">
        <f ca="1">IF(CL49=0,0,IF(AND(Optimisation!$B$3="yes",Optimisation!$B$4=1,CK49&gt;Optimisation!$B$9),0,HLOOKUP(CONCATENATE('Options and results'!$C$54," ",Agroforestrysystem!$F$12),Agroforestrysystem!$B$11:$IM$74,$CK49+4,FALSE)*IF(CK49&gt;='Options and results'!$J$19,'Options and results'!$J$18,1)))</f>
        <v>0</v>
      </c>
      <c r="CQ49" s="1013">
        <f>IF(CN49&lt;=0,0,IF(CK49&lt;='Options and results'!$W$20,IF(CM49&gt;0,VLOOKUP(CL49,Arablefinance!$Z$6:$AE$105,Arablefinance!$AD$2,FALSE)*CM49*CN49,((VLOOKUP(CL49,Arablefinance!$E$6:$H$126,2,FALSE)*CO49+VLOOKUP(CL49,Arablefinance!$E$6:$H$126,3,FALSE)*CP49)*CN49)),0)*IF(CK49&gt;='Options and results'!$J$21,'Options and results'!$J$20,1))*IF(1+'Options and results'!$O$20*(CK49-1)&gt;0,1+'Options and results'!$O$20*(CK49-1),0)</f>
        <v>0</v>
      </c>
      <c r="CR49" s="1441">
        <f>IF(CN49&lt;=0,0,IF(AND(CM49&gt;0,VLOOKUP(CL49,Arablefinance!$Z$6:$AI$105,Arablefinance!$AI$2,FALSE)=2),VLOOKUP(CL49,Arablefinance!$Z$6:$AE$105,Arablefinance!$AE$2,FALSE)*CM49*CN49,IF('Options and results'!$C$62&gt;0,IF(VLOOKUP(CL49,Arablefinance!$E$6:$W$126,Arablefinance!$H$2,FALSE)*(1-Plot!DM49*'Options and results'!$C$62)&gt;0,VLOOKUP(CL49,Arablefinance!$E$6:$W$126,Arablefinance!$H$2,FALSE)*(1-Plot!DM49*'Options and results'!$C$62),0),IF(CK49&lt;='Options and results'!$W$20,(VLOOKUP(CL49,Arablefinance!$E$6:$W$126,Arablefinance!$H$2,FALSE)*IF('Options and results'!$C$61="area",CN49,'Options and results'!$C$61)),0)))*IF(CK49&gt;='Options and results'!$J$23,'Options and results'!$J$22,1))*IF(AND(1+'Options and results'!$O$23*(CK49-1)&gt;0,1+'Options and results'!$O$23*(CK49-1)&gt;'Options and results'!$S$24),1+'Options and results'!$O$23*(CK49-1),'Options and results'!$S$24)</f>
        <v>0</v>
      </c>
      <c r="CS49" s="1441">
        <f t="shared" si="185"/>
        <v>0</v>
      </c>
      <c r="CT49" s="1441">
        <f>IF(CN49&lt;=0,0,IF(CK49&lt;='Options and results'!$W$20,IF(CM49&gt;0,VLOOKUP(CL49,Arablefinance!$Z$6:$AF$105,Arablefinance!$AF$2,FALSE)*CM49*CN49,VLOOKUP(CL49,Arablefinance!$E$6:$X$126,Arablefinance!$R$2,FALSE)*CN49),0)*IF(CK49&gt;='Options and results'!$J$27,'Options and results'!$J$26,1))*IF(1+'Options and results'!$O$22*(CK49-1)&gt;0,1+'Options and results'!$O$22*(CK49-1),0)</f>
        <v>0</v>
      </c>
      <c r="CU49" s="1441">
        <f t="shared" si="186"/>
        <v>0</v>
      </c>
      <c r="CV49" s="1441">
        <f>IF(CN49&lt;=0,0,IF(CK49&lt;='Options and results'!$W$20,IF(CM49&gt;0,VLOOKUP(CL49,Arablefinance!$Z$6:$AG$105,Arablefinance!$AG$2,FALSE)*CM49*CN49,VLOOKUP(CL49,Arablefinance!$E$6:$X$126,Arablefinance!$X$2,FALSE)*CN49),0)*IF(CK49&gt;='Options and results'!$J$27,'Options and results'!$J$26,1))*IF(1+'Options and results'!$O$22*(CK49-1)&gt;0,1+'Options and results'!$O$22*(CK49-1),0)</f>
        <v>0</v>
      </c>
      <c r="CW49" s="1442">
        <f>IF(CN49&lt;=0,0,IF(CK49&lt;='Options and results'!$W$20,'Options and results'!$C$27*IF(CK49&gt;='Options and results'!$J$27,'Options and results'!$J$26,1),0))*IF(1+'Options and results'!$O$21*(CK49-1)&gt;0,1+'Options and results'!$O$21*(CK49-1),0)</f>
        <v>0</v>
      </c>
      <c r="CX49" s="1442">
        <f>IF(CN49&lt;=0,0,IF(CK49&lt;='Options and results'!$W$20,IF(CM49&gt;0,VLOOKUP(CL49,Arablefinance!$Z$6:$AH$105,Arablefinance!$AH$2,FALSE)*CM49*CN49,VLOOKUP(CL49,Arablefinance!$E$6:$W$126,Arablefinance!$V$2,FALSE)*CN49),0)*IF(CK49&gt;='Options and results'!$J$25,'Options and results'!$J$24,1))</f>
        <v>0</v>
      </c>
      <c r="CY49" s="1013">
        <f t="shared" si="148"/>
        <v>0</v>
      </c>
      <c r="CZ49" s="1353">
        <f t="shared" si="149"/>
        <v>0</v>
      </c>
      <c r="DA49" s="1013">
        <f>IF($CK49&lt;='Options and results'!$W$20,SUM($CQ$8:CQ49),0)</f>
        <v>0</v>
      </c>
      <c r="DB49" s="1441">
        <f>IF($CK49&lt;='Options and results'!$W$20,SUM($CR$8:CR49),0)</f>
        <v>0</v>
      </c>
      <c r="DC49" s="1441">
        <f>IF($CK49&lt;='Options and results'!$W$20,SUM($CY$8:CY49),0)</f>
        <v>0</v>
      </c>
      <c r="DD49" s="1189">
        <f>IF(CK49&lt;='Options and results'!$W$20,DA49+DB49-DC49,0)</f>
        <v>0</v>
      </c>
      <c r="DE49" s="401"/>
      <c r="DF49" s="895">
        <f t="shared" si="150"/>
        <v>42</v>
      </c>
      <c r="DG49" s="173"/>
      <c r="DH49" s="1422"/>
      <c r="DI49" s="1427">
        <f>IF(DF49&lt;='Options and results'!$M$61,'Options and results'!$M$60,0)</f>
        <v>0</v>
      </c>
      <c r="DJ49" s="740">
        <f t="shared" si="151"/>
        <v>0</v>
      </c>
      <c r="DK49" s="740">
        <f t="shared" si="152"/>
        <v>0</v>
      </c>
      <c r="DL49" s="1428">
        <f t="shared" si="153"/>
        <v>0</v>
      </c>
      <c r="DM49" s="1429">
        <f>IF($DG$8=0,0,HLOOKUP(CONCATENATE('Options and results'!$C$54," ",Agroforestrysystem!$J$12),Agroforestrysystem!$11:$74,DF49+3,FALSE))/100</f>
        <v>0</v>
      </c>
      <c r="DN49" s="740">
        <f>IF($DG$8=0,0,IF(HLOOKUP(CONCATENATE('Options and results'!$C$54," ",Agroforestrysystem!$H$12),Agroforestrysystem!$11:$74,DF49+4,FALSE)&lt;DL49,HLOOKUP(CONCATENATE('Options and results'!$C$54," ",Agroforestrysystem!$H$12),Agroforestrysystem!$11:$74,DF49+4,FALSE),0))</f>
        <v>0</v>
      </c>
      <c r="DO49" s="1027">
        <f>IF($DG$8=0,0,IF(HLOOKUP(CONCATENATE('Options and results'!$C$54," ",Agroforestrysystem!$H$12),Agroforestrysystem!$11:$74,DF49+4,FALSE)&gt;=DL49,DL49,0))</f>
        <v>0</v>
      </c>
      <c r="DP49" s="1430">
        <f>IF($DG$8=0,0,HLOOKUP(CONCATENATE('Options and results'!$C$54," ",Agroforestrysystem!$I$12),Agroforestrysystem!$11:$74,DF49+4,FALSE))</f>
        <v>0</v>
      </c>
      <c r="DQ49" s="1038"/>
      <c r="DR49" s="1430">
        <f>IF($DG$8=0,0,IF(DF49&gt;'Options and results'!$W$20,0,)+IF(DF49=1,'Options and results'!$M$64)+IF('Options and results'!$M$67="yes",IF(AND(DR48+'Options and results'!$M$65&lt;=$DQ$8,DR48+'Options and results'!$M$65+IF(DF49=1,'Options and results'!$M$64,0)&lt;='Options and results'!$M$66*DP49),DR48+'Options and results'!$M$65,DR48),(HLOOKUP(CONCATENATE('Options and results'!$C$54," ",Agroforestrysystem!$K$12),Agroforestrysystem!$11:$74,DF49+4,FALSE)-IF(DF49=1,'Options and results'!$M$64))))</f>
        <v>0</v>
      </c>
      <c r="DS49" s="1027">
        <f>IF(OR($DG$8=0,DL49=0),0,HLOOKUP(CONCATENATE('Options and results'!$C$54," ",Agroforestrysystem!$L$12),Agroforestrysystem!$11:$74,DF49+4,FALSE)*IF(DF49&gt;='Options and results'!$K$19,'Options and results'!$K$18,1))</f>
        <v>0</v>
      </c>
      <c r="DT49" s="1431">
        <f t="shared" si="154"/>
        <v>0</v>
      </c>
      <c r="DU49" s="889">
        <f t="shared" si="155"/>
        <v>0</v>
      </c>
      <c r="DV49" s="1027">
        <f>IF($DG$8=0,0,(HLOOKUP(CONCATENATE('Options and results'!$C$54," ",Agroforestrysystem!$M$12),Agroforestrysystem!$11:$74,DF49+4,FALSE))*IF(DF49&gt;='Options and results'!$K$19,'Options and results'!$K$18,1))-DW49</f>
        <v>0</v>
      </c>
      <c r="DW49" s="303">
        <f>IF($DG$8=0,0,(HLOOKUP(CONCATENATE('Options and results'!$C$54," ",Agroforestrysystem!$N$12),Agroforestrysystem!$11:$74,DF49+4,FALSE))*IF(DF49&gt;='Options and results'!$K$19,'Options and results'!$K$18,1))</f>
        <v>0</v>
      </c>
      <c r="DX49" s="303">
        <f>IF($DG$8=0,0,HLOOKUP(CONCATENATE('Options and results'!$C$54," ",Agroforestrysystem!$O$12),Agroforestrysystem!$11:$74,DF49+4,FALSE)*IF(DF49&gt;='Options and results'!$K$19,'Options and results'!$K$18,1))</f>
        <v>0</v>
      </c>
      <c r="DY49" s="1192">
        <f>IF(DT49&gt;0,HLOOKUP(DT49,Treevalue!$I$4:$BC$34,'Options and results'!$C$66+1),0)*IF(DF49&gt;='Options and results'!$K$21,'Options and results'!$K$20,1)*IF(1+'Options and results'!$Q$20*(DF49-1)&gt;0,1+'Options and results'!$Q$20*(DF49-1),0)</f>
        <v>0</v>
      </c>
      <c r="DZ49" s="1027">
        <f t="shared" si="156"/>
        <v>0</v>
      </c>
      <c r="EA49" s="1027">
        <f t="shared" si="125"/>
        <v>0</v>
      </c>
      <c r="EB49" s="1027">
        <f>(IF('Options and results'!$C$66&gt;0,IF(DF49&lt;='Options and results'!$W$20,VLOOKUP('Options and results'!$C$66,Treevalue!$A$4:$F$34,5,FALSE),0),0)*DV49)*IF(DF49&gt;='Options and results'!$K$21,'Options and results'!$K$20,1)*IF(1+'Options and results'!$Q$20*(DF49-1)&gt;0,1+'Options and results'!$Q$20*(DF49-1),0)</f>
        <v>0</v>
      </c>
      <c r="EC49" s="740">
        <f>(IF('Options and results'!$C$66&gt;0,IF(DF49&lt;='Options and results'!$W$20,VLOOKUP('Options and results'!$C$66,Treevalue!$A$4:$F$34,5,FALSE),0),0)*DW49)*IF(DF49&gt;='Options and results'!$K$21,'Options and results'!$K$20,1)*IF(1+'Options and results'!$Q$20*(DF49-1)&gt;0,1+'Options and results'!$Q$20*(DF49-1),0)</f>
        <v>0</v>
      </c>
      <c r="ED49" s="889">
        <f>(IF('Options and results'!$C$66&gt;0,IF(DF49&lt;='Options and results'!$W$20,VLOOKUP('Options and results'!$C$66,Treevalue!$A$4:$F$34,6,FALSE),0),0)*DX49)*IF(DF49&gt;='Options and results'!$K$21,'Options and results'!$K$20,1)*IF(1+'Options and results'!$Q$20*(DF49-1)&gt;0,1+'Options and results'!$Q$20*(DF49-1),0)</f>
        <v>0</v>
      </c>
      <c r="EE49" s="740">
        <f>IF(DF49&lt;='Options and results'!$W$20,IF(DL49&lt;=0,0,IF('Options and results'!$C$70="cost",(IF(DF49&lt;='Options and results'!$C$71,FK49*SUM('Options and results'!$C$72:$C$73),0)),IF('Options and results'!$C$68&gt;0,(IF(VLOOKUP('Options and results'!$C$69,Treegrant!$B$6:$L$42,Treegrant!$C$2,FALSE)=DF49,VLOOKUP('Options and results'!$C$69,Treegrant!$B$6:$L$42,Treegrant!$D$2,FALSE),0)+IF(VLOOKUP('Options and results'!$C$69,Treegrant!$B$6:$L$42,Treegrant!$E$2,FALSE)=DF49,VLOOKUP('Options and results'!$C$69,Treegrant!$B$6:$L$42,Treegrant!$F$2,FALSE),0)+IF(VLOOKUP('Options and results'!$C$69,Treegrant!$B$6:$L$42,Treegrant!$G$2,FALSE)=DF49,VLOOKUP('Options and results'!$C$69,Treegrant!$B$6:$L$42,Treegrant!$H$2,FALSE)))*IF('Options and results'!$C$70="area",Unit!C50,'Options and results'!$C$70),0))*IF(DF49&gt;='Options and results'!$K$23,'Options and results'!$K$22,1)),0)*IF(1+'Options and results'!$Q$23*(DF49-1)&gt;0,1+'Options and results'!$Q$23*(DF49-1),0)</f>
        <v>0</v>
      </c>
      <c r="EF49" s="740">
        <f>IF($DG$8=0,0,IF(DF49&lt;='Options and results'!$W$20,IF(DL49&lt;=0,0,IF('Options and results'!$C$68&gt;0,IF(AND(VLOOKUP('Options and results'!$C$69,Treegrant!$B$6:$L$42,Treegrant!$J$2,FALSE)&lt;=DF49,VLOOKUP('Options and results'!$C$69,Treegrant!$B$6:$L$42,Treegrant!$K$2,FALSE)&gt;=DF49),(VLOOKUP('Options and results'!$C$69,Treegrant!$B$6:$L$42,Treegrant!$L$2,FALSE)),0)*IF('Options and results'!$C$74="area",Unit!C50,'Options and results'!$C$74))*IF(DF49&gt;='Options and results'!$K$23,'Options and results'!$K$22,1)),0))*IF(1+'Options and results'!$Q$23*(DF49-1)&gt;0,1+'Options and results'!$Q$23*(DF49-1),0)</f>
        <v>0</v>
      </c>
      <c r="EG49" s="1034">
        <f>IF($DG$8=0,0,IF(DF49&lt;='Options and results'!$W$20,IF(DL49&lt;=0,0,IF('Options and results'!$C$68&gt;0,((IF(AND(VLOOKUP('Options and results'!$C$69,Treegrant!$B$6:$O$42,Treegrant!$M$2,FALSE)&lt;=DF49,VLOOKUP('Options and results'!$C$69,Treegrant!$B$6:$O$42,Treegrant!$N$2,FALSE)&gt;=DF49),(VLOOKUP('Options and results'!$C$69,Treegrant!$B$6:$O$42,Treegrant!$O$2,FALSE)),0)*IF('Options and results'!$C$75="area",Unit!C50,'Options and results'!$C$75))+(IF(AND(VLOOKUP('Options and results'!$C$69,Treegrant!$B$6:$R$42,Treegrant!$P$2,FALSE)&lt;=DF49,VLOOKUP('Options and results'!$C$69,Treegrant!$B$6:$R$42,Treegrant!$Q$2,FALSE)&gt;=DF49),(VLOOKUP('Options and results'!$C$69,Treegrant!$B$6:$R$42,Treegrant!$R$2,FALSE)),0))*IF('Options and results'!$C$76="area",Unit!C50,'Options and results'!$C$76)))*IF(DF49&gt;='Options and results'!$K$23,'Options and results'!$K$22,1)),0))*IF(1+'Options and results'!$Q$23*(DF49-1)&gt;0,1+'Options and results'!$Q$23*(DF49-1),0)</f>
        <v>0</v>
      </c>
      <c r="EH49" s="1041"/>
      <c r="EI49" s="1042"/>
      <c r="EJ49" s="1419">
        <f>IF($DH$8+DK49&lt;1,0,IF(DF49=1,VLOOKUP($DG$8,Treecost!$B$6:$AH$49,Treecost!$E$2,FALSE),0)*IF(DF49&gt;='Options and results'!$K$25,'Options and results'!$K$24,1))</f>
        <v>0</v>
      </c>
      <c r="EK49" s="889">
        <f>IF($DH$8+DK49&lt;1,0,IF(DF49=1,VLOOKUP($DG$8,Treecost!$B$6:$AH$49,Treecost!$F$2,FALSE),0)*IF(DF49&gt;='Options and results'!$K$25,'Options and results'!$K$24,1))</f>
        <v>0</v>
      </c>
      <c r="EL49" s="889">
        <f>IF($DH$8+DK49&lt;1,0,IF(DF49=1,VLOOKUP($DG$8,Treecost!$B$6:$AH$49,Treecost!$G$2,FALSE),0)*IF(DF49&gt;='Options and results'!$K$25,'Options and results'!$K$24,1))</f>
        <v>0</v>
      </c>
      <c r="EM49" s="889">
        <f>IF($DG$8=0,0,IF(DF49&lt;='Options and results'!$W$20,((VLOOKUP($DG$8,Treecost!$B$6:$AH$49,Treecost!$H$2,FALSE)*(DH49+DK49))/60)*IF(DF49&gt;='Options and results'!$K$25,'Options and results'!$K$24,1),0))</f>
        <v>0</v>
      </c>
      <c r="EN49" s="889">
        <f>IF($DG$8=0,0,IF(DF49&lt;='Options and results'!$W$20,(((VLOOKUP($DG$8,Treecost!$B$6:$AH$49,Treecost!$I$2,FALSE))*(DH49+DK49))/60)*IF(DF49&gt;='Options and results'!$K$25,'Options and results'!$K$24,1),0))</f>
        <v>0</v>
      </c>
      <c r="EO49" s="889">
        <f>IF($DG$8=0,0,IF(DF49&lt;='Options and results'!$W$20,(((VLOOKUP($DG$8,Treecost!$B$6:$AH$49,Treecost!$J$2,FALSE))/60)*(DH49+DK49))*IF(DF49&gt;='Options and results'!$K$25,'Options and results'!$K$24,1),0))</f>
        <v>0</v>
      </c>
      <c r="EP49" s="1019">
        <f>IF($DG$8=0,0,IF(DF49&lt;='Options and results'!$W$20,(((VLOOKUP($DG$8,Treecost!$B$6:$AH$49,Treecost!$C$2,FALSE)+VLOOKUP($DG$8,Treecost!$B$6:$AH$49,Treecost!$D$2,FALSE))*(DH49+DK49)*IF(1+'Options and results'!$Q$22*(DF49-1)&gt;0,1+'Options and results'!$Q$22*(DF49-1),0))+(EJ49*$EI$8+EK49*$EI$9+EL49*$EI$10+EM49*$EI$11+EN49*$EI$12+EO49*$EI$13)*IF(1+'Options and results'!$Q$21*(DF49-1)&gt;0,1+'Options and results'!$Q$21*(DF49-1),0))*IF(DF49&gt;='Options and results'!$K$27,'Options and results'!$K$26,1),0))</f>
        <v>0</v>
      </c>
      <c r="EQ49" s="740">
        <f>IF($DG$8=0,0,IF(DF49&lt;='Options and results'!$W$20,IF(AND(VLOOKUP($DG$8,Treecost!$B$6:$AH$49,Treecost!$K$2,FALSE)&lt;=DF49,DF49&lt;=(VLOOKUP($DG$8,Treecost!$B$6:$AH$49,Treecost!$L$2,FALSE))),VLOOKUP($DG$8,Treecost!$B$6:$AH$49,Treecost!$M$2,FALSE)*DL49/60,0)*IF(DF49&gt;='Options and results'!$K$25,'Options and results'!$K$24,1),0))</f>
        <v>0</v>
      </c>
      <c r="ER49" s="1019">
        <f>IF(EQ49&gt;0,(VLOOKUP($DG$8,Treecost!$B$6:$AH$49,Treecost!$N$2,FALSE)*DL49*IF(1+'Options and results'!$Q$22*(DF49-1)&gt;0,1+'Options and results'!$Q$22*(DF49-1),0)+EQ49*$EI$14*IF(1+'Options and results'!$Q$21*(DF49-1)&gt;0,1+'Options and results'!$Q$21*(DF49-1),0)),0)*IF(DF49&gt;='Options and results'!$K$27,'Options and results'!$K$26,1)</f>
        <v>0</v>
      </c>
      <c r="ES49" s="889">
        <f>IF(DF49&lt;='Options and results'!$W$20,IF(AND(DR49-DR48&gt;0,DR49&gt;'Options and results'!$M$64),(DL49-DN49)*(VLOOKUP($DG$8,Treecost!$B$6:$AH$49,Treecost!$Y$2,FALSE)+(VLOOKUP($DG$8,Treecost!$B$6:$AH$49,Treecost!$AA$2,FALSE)-VLOOKUP($DG$8,Treecost!$B$6:$AH$49,Treecost!$Y$2,FALSE))/(VLOOKUP($DG$8,Treecost!$B$6:$AH$49,Treecost!$Z$2,FALSE)-VLOOKUP($DG$8,Treecost!$B$6:$AH$49,Treecost!$X$2,FALSE))*(DR49-VLOOKUP($DG$8,Treecost!$B$6:$AH$49,Treecost!$X$2,FALSE)))/60,0)*IF(DF49&gt;='Options and results'!$K$25,'Options and results'!$K$24,1),0)</f>
        <v>0</v>
      </c>
      <c r="ET49" s="889">
        <f>IF(DF49&lt;='Options and results'!$W$20,IF(ES49&gt;0,VLOOKUP($DG$8,Treecost!$B$6:$AH$49,Treecost!$AB$2,FALSE)/60*DL49,0)*IF(DF49&gt;='Options and results'!$K$25,'Options and results'!$K$24,1),0)*((ES49-(MIN($ES$8:$ES$67)))/((MAX($ES$8:$ES$67))-(MIN($ES$8:$ES$67))))</f>
        <v>0</v>
      </c>
      <c r="EU49" s="740">
        <f>IF(ES49&gt;0,(ES49*$EI$15+ET49*$EI$19)*IF(1+'Options and results'!$Q$21*(DF49-1)&gt;0,1+'Options and results'!$Q$21*(DF49-1),0),0)*IF(DF49&gt;='Options and results'!$K$27,'Options and results'!$K$26,1)</f>
        <v>0</v>
      </c>
      <c r="EV49" s="891">
        <f>IF($DG$8=0,0,IF(DF49&lt;='Options and results'!$W$20,IF(AND(VLOOKUP($DG$8,Treecost!$B$2:$AH$49,Treecost!$O$2,FALSE)=DF49,DF49&lt;=IF(AND(Optimisation!$B$3="Yes",Optimisation!$B$4=1),Optimisation!$B$9)),VLOOKUP($DG$8,Treecost!$B$2:$AH$49,Treecost!$P$2,FALSE)*(1-CN49),0)*IF(DF49&gt;='Options and results'!$K$25,'Options and results'!$K$24,1),0))</f>
        <v>0</v>
      </c>
      <c r="EW49" s="889">
        <f>IF($DG$8=0,0,IF(DF49&lt;='Options and results'!$W$20,IF(AND(DF49&gt;VLOOKUP($DG$8,Treecost!$B$2:$AH$49,Treecost!$O$2,FALSE),DF49&lt;=IF(AND(Optimisation!$B$3="Yes",Optimisation!$B$4=1),Optimisation!$B$9,VLOOKUP($DG$8,Treecost!$B$2:$AH$49,Treecost!$R$2,FALSE))),VLOOKUP($DG$8,Treecost!$B$2:$AH$49,Treecost!$S$2,FALSE)*(1-CN49),0)*IF(DF49&gt;='Options and results'!$K$25,'Options and results'!$K$24,1),0))</f>
        <v>0</v>
      </c>
      <c r="EX49" s="740">
        <f>IF($DG$8=0,0,IF(DF49&lt;='Options and results'!$W$20,(IF(AND(VLOOKUP($DG$8,Treecost!$B$2:$AH$49,Treecost!$O$2,FALSE)=DF49,DF49&lt;=IF(AND(Optimisation!$B$3="Yes",Optimisation!$B$4=1),Optimisation!$B$9)),VLOOKUP($DG$8,Treecost!$B$2:$AH$49,Treecost!$Q$2,FALSE),0)*(1-CN49)+IF(AND(DF49&gt;VLOOKUP($DG$8,Treecost!$B$2:$AH$49,Treecost!$O$2,FALSE),DF49&lt;=IF(AND(Optimisation!$B$3="Yes",Optimisation!$B$4=1),Optimisation!$B$9,VLOOKUP($DG$8,Treecost!$B$2:$AH$49,Treecost!$R$2,FALSE))),VLOOKUP($DG$8,Treecost!$B$2:$AH$49,Treecost!$T$2,FALSE),0)*(1-CN49)+(EV49*$EI$16+EW49*$EI$17))*IF(DF49&gt;='Options and results'!$K$27,'Options and results'!$K$26,1),0))*IF(1+'Options and results'!$Q$21*(DF49-1)&gt;0,1+'Options and results'!$Q$21*(DF49-1),0)</f>
        <v>0</v>
      </c>
      <c r="EY49" s="894">
        <f>IF($DG$8=0,0,IF(DF49&lt;='Options and results'!$W$20,IF(AND(DF49&gt;=VLOOKUP($DG$8,Treecost!$B$2:$W$49,Treecost!$U$2,FALSE),DF49&lt;=VLOOKUP($DG$8,Treecost!$B$2:$W$49,Treecost!$V$2,FALSE)),(DL49*VLOOKUP($DG$8,Treecost!$B$2:$W$49,Treecost!$W$2,FALSE)/60),0)*IF(DF49&gt;='Options and results'!$K$25,'Options and results'!$K$24,1),0))</f>
        <v>0</v>
      </c>
      <c r="EZ49" s="740">
        <f>EY49*$EI$18*IF(DF49&gt;='Options and results'!$K$27,'Options and results'!$K$26,1)*IF(1+'Options and results'!$Q$21*(DF49-1)&gt;0,1+'Options and results'!$Q$21*(DF49-1),0)</f>
        <v>0</v>
      </c>
      <c r="FA49" s="1025">
        <f>IF(DF49&lt;='Options and results'!$W$20,IF(DL49&lt;=0,0,VLOOKUP($DG$8,Treecost!$B$6:$AH$49,Treecost!$AC$2,FALSE)+VLOOKUP($DG$8,Treecost!$B$6:$AH$49,Treecost!$AD$2,FALSE)+IF(AND(DF49&gt;=VLOOKUP($DG$8,Treecost!$B$2:$AK$49,Treecost!$AI$2,FALSE),DF49&lt;=VLOOKUP($DG$8,Treecost!$B$2:$AK$49,Treecost!$AJ$2,FALSE)),VLOOKUP($DG$8,Treecost!$B$2:$AK$49,Treecost!$AK$2,FALSE)*(1-CN49),0))*IF(DF49&gt;='Options and results'!$K$27,'Options and results'!$K$26,1),0)*IF(1+'Options and results'!$Q$22*(DF49-1)&gt;0,1+'Options and results'!$Q$22*(DF49-1),0)</f>
        <v>0</v>
      </c>
      <c r="FB49" s="894">
        <f>IF(DF49&lt;='Options and results'!$W$20,IF(DN49&gt;0,VLOOKUP($DG$8,Treecost!$B$6:$AH$49,Treecost!$AE$2,FALSE)/60*DN49,0)*IF(DF49&gt;='Options and results'!$K$25,'Options and results'!$K$24,1),0)</f>
        <v>0</v>
      </c>
      <c r="FC49" s="740">
        <f>IF(DF49&lt;='Options and results'!$W$20,IF(DN49&gt;0,VLOOKUP($DG$8,Treecost!$B$6:$AH$49,Treecost!$AF$2,FALSE)/60*DN49,0)*IF(DF49&gt;='Options and results'!$K$25,'Options and results'!$K$24,1),0)</f>
        <v>0</v>
      </c>
      <c r="FD49" s="740">
        <f>(FB49*$EI$20+FC49*$EI$21)*IF(DF49&gt;='Options and results'!$K$27,'Options and results'!$K$26,1)*IF(1+'Options and results'!$Q$21*(DF49-1)&gt;0,1+'Options and results'!$Q$21*(DF49-1),0)</f>
        <v>0</v>
      </c>
      <c r="FE49" s="894">
        <f>IF(DF49&lt;='Options and results'!$W$20,IF(DO49&gt;0,(VLOOKUP($DG$8,Treecost!$B$6:$AH$49,Treecost!$AG$2,FALSE)/60*DO49)*IF(DF49&gt;='Options and results'!$K$25,'Options and results'!$K$24,1),0),0)</f>
        <v>0</v>
      </c>
      <c r="FF49" s="740">
        <f>IF(DF49&lt;='Options and results'!$W$20,IF(DO49&gt;0,(VLOOKUP($DG$8,Treecost!$B$6:$AH$49,Treecost!$AH$2,FALSE)/60*DO49)*IF(DF49&gt;='Options and results'!$K$25,'Options and results'!$K$24,1),0),0)</f>
        <v>0</v>
      </c>
      <c r="FG49" s="740">
        <f>(FE49*$EI$22+FF49*$EI$23)*IF(DF49&gt;='Options and results'!$K$27,'Options and results'!$K$26,1)*IF(1+'Options and results'!$Q$21*(DF49-1)&gt;0,1+'Options and results'!$Q$21*(DF49-1),0)</f>
        <v>0</v>
      </c>
      <c r="FH49" s="894">
        <f t="shared" si="157"/>
        <v>0</v>
      </c>
      <c r="FI49" s="1027">
        <f t="shared" si="158"/>
        <v>0</v>
      </c>
      <c r="FJ49" s="1027">
        <f t="shared" si="159"/>
        <v>0</v>
      </c>
      <c r="FK49" s="1027">
        <f t="shared" si="160"/>
        <v>0</v>
      </c>
      <c r="FL49" s="1027">
        <f t="shared" si="190"/>
        <v>0</v>
      </c>
      <c r="FM49" s="1027">
        <f>IF($DF49&lt;='Options and results'!$W$20,SUM(FI$8:$FI49),0)</f>
        <v>0</v>
      </c>
      <c r="FN49" s="1027">
        <f>IF($DF49&lt;='Options and results'!$W$20,SUM($FJ$8:FJ49),0)</f>
        <v>0</v>
      </c>
      <c r="FO49" s="1027">
        <f>IF($DF49&lt;='Options and results'!$W$20,SUM($FK$8:FK49),0)</f>
        <v>0</v>
      </c>
      <c r="FP49" s="1027">
        <f>IF($DF49&lt;='Options and results'!$W$20,FM49+FN49-FO49,0)</f>
        <v>0</v>
      </c>
      <c r="FQ49" s="1027">
        <f t="shared" si="162"/>
        <v>0</v>
      </c>
      <c r="FR49" s="1027">
        <f t="shared" si="163"/>
        <v>0</v>
      </c>
      <c r="FS49" s="1027">
        <f t="shared" si="164"/>
        <v>0</v>
      </c>
      <c r="FT49" s="1189">
        <f>IF(DF49&lt;='Options and results'!$W$20,FP49+DZ49,0)</f>
        <v>0</v>
      </c>
      <c r="FU49" s="401"/>
      <c r="FV49" s="895">
        <f t="shared" si="165"/>
        <v>42</v>
      </c>
      <c r="FW49" s="894">
        <f>G49/(1+'Options and results'!$W$33)^(FV49-1)</f>
        <v>0</v>
      </c>
      <c r="FX49" s="740">
        <f>(AP49+AR49+AS49)/(1+'Options and results'!$W$33)^(FV49-1)</f>
        <v>0</v>
      </c>
      <c r="FY49" s="740">
        <f>CQ49/(1+'Options and results'!$W$33)^(FV49-1)</f>
        <v>0</v>
      </c>
      <c r="FZ49" s="740">
        <f>(EA49+EC49+ED49)/(1+'Options and results'!$W$33)^(FV49-1)</f>
        <v>0</v>
      </c>
      <c r="GA49" s="1019">
        <f t="shared" si="180"/>
        <v>0</v>
      </c>
      <c r="GB49" s="1026">
        <f>(AO49+AQ49)/(1+'Options and results'!$W$33)^(FV49-1)+FX49</f>
        <v>0</v>
      </c>
      <c r="GC49" s="1027">
        <f>IF(FV49&gt;'Options and results'!$W$27,0,GB49-GB48)</f>
        <v>0</v>
      </c>
      <c r="GD49" s="1027">
        <f>(DZ49+EB49)/(1+'Options and results'!$W$33)^(FV49-1)+FZ49</f>
        <v>0</v>
      </c>
      <c r="GE49" s="1379">
        <f>IF(FV49&gt;'Options and results'!$W$27,0,GD49-GD48)</f>
        <v>0</v>
      </c>
      <c r="GF49" s="894">
        <f>IF(FV49&lt;='Options and results'!$W$20,SUM(FW$8:FW49),0)</f>
        <v>0</v>
      </c>
      <c r="GG49" s="740">
        <f>IF(FV49&lt;='Options and results'!$W$20,SUM(FX$8:FX49), 0)</f>
        <v>0</v>
      </c>
      <c r="GH49" s="740">
        <f>IF(FV49&lt;='Options and results'!$W$20,SUM(FY$8:FY49),0)</f>
        <v>0</v>
      </c>
      <c r="GI49" s="740">
        <f>IF(FV49&lt;='Options and results'!$W$20,SUM(FZ$8:FZ49),0)</f>
        <v>0</v>
      </c>
      <c r="GJ49" s="1019">
        <f t="shared" si="166"/>
        <v>0</v>
      </c>
      <c r="GK49" s="894">
        <f>IF(FV49&gt;'Options and results'!$W$27,0,GG49+SUM(GC$8:GC49)-FX49)</f>
        <v>0</v>
      </c>
      <c r="GL49" s="740">
        <f>IF(FV49&lt;='Options and results'!$W$20,SUM(GD$8:GD49),0)</f>
        <v>0</v>
      </c>
      <c r="GM49" s="1034">
        <f t="shared" si="167"/>
        <v>0</v>
      </c>
      <c r="GN49" s="401"/>
      <c r="GO49" s="895">
        <f t="shared" si="168"/>
        <v>42</v>
      </c>
      <c r="GP49" s="894">
        <f>H49/(1+'Options and results'!$W$33)^(GO49-1)</f>
        <v>0</v>
      </c>
      <c r="GQ49" s="740">
        <f>SUM(AT49:AV49)/(1+'Options and results'!$W$33)^(GO49-1)</f>
        <v>0</v>
      </c>
      <c r="GR49" s="740">
        <f>CR49/(1+'Options and results'!$W$33)^(GO49-1)</f>
        <v>0</v>
      </c>
      <c r="GS49" s="740">
        <f>SUM(EE49:EG49)/(1+'Options and results'!$W$33)^(GO49-1)</f>
        <v>0</v>
      </c>
      <c r="GT49" s="1019">
        <f t="shared" si="181"/>
        <v>0</v>
      </c>
      <c r="GU49" s="894">
        <f>IF(GO49&lt;='Options and results'!$W$20,SUM(GP$8:GP49),0)</f>
        <v>0</v>
      </c>
      <c r="GV49" s="740">
        <f>IF(GO49&lt;='Options and results'!$W$20,SUM(GQ$8:GQ49),0)</f>
        <v>0</v>
      </c>
      <c r="GW49" s="740">
        <f>IF(GO49&lt;='Options and results'!$W$20,SUM(GR$8:GR49),0)</f>
        <v>0</v>
      </c>
      <c r="GX49" s="740">
        <f>IF(GO49&lt;='Options and results'!$W$20,SUM(GS$8:GS49),0)</f>
        <v>0</v>
      </c>
      <c r="GY49" s="1034">
        <f>IF(GO49&lt;='Options and results'!$W$20,SUM(GT$8:GT49),0)</f>
        <v>0</v>
      </c>
      <c r="GZ49" s="401"/>
      <c r="HA49" s="895">
        <f t="shared" si="169"/>
        <v>42</v>
      </c>
      <c r="HB49" s="1026">
        <f>(J49+L49+(M49*N49))/(1+'Options and results'!$W$33)^(HA49-1)</f>
        <v>0</v>
      </c>
      <c r="HC49" s="740">
        <f>BZ49/(1+'Options and results'!$W$33)^(HA49-1)</f>
        <v>0</v>
      </c>
      <c r="HD49" s="1027">
        <f>(CT49+CV49+(CW49*CX49))/(1+'Options and results'!$W$33)^(HA49-1)</f>
        <v>0</v>
      </c>
      <c r="HE49" s="740">
        <f>FK49/(1+'Options and results'!$W$33)^(HA49-1)</f>
        <v>0</v>
      </c>
      <c r="HF49" s="1019">
        <f t="shared" si="182"/>
        <v>0</v>
      </c>
      <c r="HG49" s="894">
        <f>IF(HA49&lt;='Options and results'!$W$20,SUM(HB$8:HB49),0)</f>
        <v>0</v>
      </c>
      <c r="HH49" s="740">
        <f>IF(HA49&lt;='Options and results'!$W$20,SUM(HC$8:HC49),0)</f>
        <v>0</v>
      </c>
      <c r="HI49" s="740">
        <f>IF(HA49&lt;='Options and results'!$W$20,SUM(HD$8:HD49),0)</f>
        <v>0</v>
      </c>
      <c r="HJ49" s="740">
        <f>IF(HA49&lt;='Options and results'!$W$20,SUM(HE$8:HE49),0)</f>
        <v>0</v>
      </c>
      <c r="HK49" s="1034">
        <f>IF(HA49&lt;='Options and results'!$W$20,SUM(HF$8:HF49),0)</f>
        <v>0</v>
      </c>
      <c r="HL49" s="405"/>
      <c r="HM49" s="895">
        <f t="shared" si="189"/>
        <v>42</v>
      </c>
      <c r="HN49" s="1026">
        <f t="shared" si="171"/>
        <v>0</v>
      </c>
      <c r="HO49" s="1027">
        <f t="shared" si="172"/>
        <v>0</v>
      </c>
      <c r="HP49" s="1027">
        <f t="shared" si="173"/>
        <v>0</v>
      </c>
      <c r="HQ49" s="1027">
        <f t="shared" si="174"/>
        <v>0</v>
      </c>
      <c r="HR49" s="1027">
        <f t="shared" si="175"/>
        <v>0</v>
      </c>
      <c r="HS49" s="1379">
        <f t="shared" si="176"/>
        <v>0</v>
      </c>
      <c r="HT49" s="1026">
        <f>IF($HM49&lt;='Options and results'!$W$20,SUM(HN$8:HN49),0)</f>
        <v>0</v>
      </c>
      <c r="HU49" s="1027">
        <f>IF($HM49&lt;='Options and results'!$W$20,SUM(HO$8:HO49),0)</f>
        <v>0</v>
      </c>
      <c r="HV49" s="1027">
        <f>IF($HM49&lt;='Options and results'!$W$20,SUM(HP$8:HP49),0)</f>
        <v>0</v>
      </c>
      <c r="HW49" s="1027">
        <f>IF($HM49&lt;='Options and results'!$W$20,SUM(HQ$8:HQ49),0)</f>
        <v>0</v>
      </c>
      <c r="HX49" s="1027">
        <f t="shared" si="177"/>
        <v>0</v>
      </c>
      <c r="HY49" s="1027">
        <f>IF($HM49&lt;='Options and results'!$W$20,SUM(HR$8:HR49),0)</f>
        <v>0</v>
      </c>
      <c r="HZ49" s="1027">
        <f>IF($HM49&lt;='Options and results'!$W$20,SUM(HS$8:HS49),0)</f>
        <v>0</v>
      </c>
      <c r="IA49" s="1189">
        <f t="shared" si="178"/>
        <v>0</v>
      </c>
    </row>
    <row r="50" spans="1:235" x14ac:dyDescent="0.25">
      <c r="A50" s="1010">
        <f t="shared" si="126"/>
        <v>43</v>
      </c>
      <c r="B50" s="1011" t="str">
        <f>IF('Options and results'!$C$17="None",0,CONCATENATE('Options and results'!$C$23," ",(HLOOKUP(CONCATENATE('Options and results'!$C$17," ",Arablesystem!$B$11),Arablesystem!$B$10:$ER$72,$A50+3,FALSE))))</f>
        <v xml:space="preserve">UK - Agriculture (BPS: from 2015) </v>
      </c>
      <c r="C50" s="1012">
        <f>IF(HLOOKUP(CONCATENATE('Options and results'!$C$17," ",Arablesystem!$C$11),Arablesystem!$B$10:$ER$72,$A50+3,FALSE)="T",(VLOOKUP(B50,Arablefinance!$Z$6:$AB$105,Arablefinance!$AB$2,FALSE)*E50+VLOOKUP(B50,Arablefinance!$Z$6:$AC$105,Arablefinance!$AC$2,FALSE)*F50)/VLOOKUP(B50,Arablefinance!$Z$6:$AA$105,Arablefinance!$AA$2,FALSE),0)</f>
        <v>0</v>
      </c>
      <c r="D50" s="1012">
        <f>IF(B50=0,0,HLOOKUP(CONCATENATE('Options and results'!$C$17," ",Arablesystem!$D$11),Arablesystem!$B$10:$ER$72,$A50+3,FALSE))</f>
        <v>0</v>
      </c>
      <c r="E50" s="1440">
        <f>IF(B50=0,0,HLOOKUP(CONCATENATE('Options and results'!$C$17," ",Arablesystem!$E$11),Arablesystem!$B$10:$ER$72,$A50+3,FALSE)*IF(A50&gt;='Options and results'!$H$19,'Options and results'!$H$18,1))</f>
        <v>0</v>
      </c>
      <c r="F50" s="1440">
        <f>IF(B50=0,0,HLOOKUP(CONCATENATE('Options and results'!$C$17," ",Arablesystem!$F$11),Arablesystem!$B$10:$ER$72,$A50+3,FALSE)*IF(A50&gt;='Options and results'!$H$19,'Options and results'!$H$18,1))</f>
        <v>0</v>
      </c>
      <c r="G50" s="1013">
        <f>IF(D50&lt;=0,0,IF(A50&lt;='Options and results'!$W$20,IF(C50&gt;0,VLOOKUP(B50,Arablefinance!$Z$6:$AE$105,Arablefinance!$AD$2,FALSE)*C50*D50,((VLOOKUP(B50,Arablefinance!$E$6:$G$126,Arablefinance!$F$2,FALSE)*(E50*D50)+VLOOKUP(B50,Arablefinance!$E$6:$G$126,Arablefinance!$G$2,FALSE)*(F50*D50)))),0)*IF(A50&gt;='Options and results'!$H$21,'Options and results'!$H$20,1))*IF(1+'Options and results'!$O$20*(A50-1)&gt;0,1+'Options and results'!$O$20*(A50-1),0)</f>
        <v>0</v>
      </c>
      <c r="H50" s="1441">
        <f>IF(D50&lt;=0,0,IF(A50&lt;='Options and results'!$W$20,IF(AND(C50&gt;0,VLOOKUP(B50,Arablefinance!$Z$6:$AI$105,Arablefinance!$AI$2,FALSE)=2),VLOOKUP(B50,Arablefinance!$Z$6:$AE$105,Arablefinance!$AE$2,FALSE)*C50*D50,(VLOOKUP(B50,Arablefinance!$E$6:$H$126,Arablefinance!$H$2,FALSE)*D50))*IF(A50&gt;='Options and results'!$H$23,'Options and results'!$H$22,1),0)*IF(AND(1+'Options and results'!$O$23*(A50-1)&gt;0,1+'Options and results'!$O$23*(A50-1)&gt;'Options and results'!$S$24),1+'Options and results'!$O$23*(A50-1),'Options and results'!$S$24))</f>
        <v>0</v>
      </c>
      <c r="I50" s="1441">
        <f t="shared" si="127"/>
        <v>0</v>
      </c>
      <c r="J50" s="1441">
        <f>IF(D50&lt;=0,0,IF(A50&lt;='Options and results'!$W$20,IF(C50&gt;0,VLOOKUP(B50,Arablefinance!$Z$6:$AF$105,Arablefinance!$AF$2,FALSE)*C50*D50,(VLOOKUP(B50,Arablefinance!$E$6:$X$126,Arablefinance!$R$2,FALSE))*D50),0)*IF(A50&gt;='Options and results'!$H$27,'Options and results'!$H$26,1))*IF(1+'Options and results'!$O$22*(A50-1)&gt;0,1+'Options and results'!$O$22*(A50-1),0)</f>
        <v>0</v>
      </c>
      <c r="K50" s="1441">
        <f t="shared" si="128"/>
        <v>0</v>
      </c>
      <c r="L50" s="1441">
        <f>IF(D50&lt;=0,0,IF(A50&lt;='Options and results'!$W$20,IF(C50&gt;0,VLOOKUP(B50,Arablefinance!$Z$6:$AG$105,Arablefinance!$AG$2,FALSE)*C50*D50,VLOOKUP(B50,Arablefinance!$E$6:$X$126,Arablefinance!$X$2,FALSE)*D50),0)*IF(A50&gt;='Options and results'!$H$27,'Options and results'!$H$26,1))*IF(1+'Options and results'!$O$22*(A50-1)&gt;0,1+'Options and results'!$O$22*(A50-1),0)</f>
        <v>0</v>
      </c>
      <c r="M50" s="1442">
        <f>IF(D50&lt;=0,0,IF(A50&lt;='Options and results'!$W$20,'Options and results'!$C$27,0)*IF(A50&gt;='Options and results'!$H$27,'Options and results'!$H$26,1))*IF(1+'Options and results'!$O$21*(A50-1)&gt;0,1+'Options and results'!$O$21*(A50-1),0)</f>
        <v>0</v>
      </c>
      <c r="N50" s="1442">
        <f>IF(D50&lt;=0,0,IF(A50&lt;='Options and results'!$W$20,IF(C50&gt;0,VLOOKUP(B50,Arablefinance!$Z$6:$AH$105,Arablefinance!$AH$2,FALSE)*C50*D50,VLOOKUP(B50,Arablefinance!$E$6:$W$126,Arablefinance!$V$2,FALSE)*D50),0)*IF(A50&gt;='Options and results'!$H$25,'Options and results'!$H$24,1))</f>
        <v>0</v>
      </c>
      <c r="O50" s="1013">
        <f t="shared" si="129"/>
        <v>0</v>
      </c>
      <c r="P50" s="1353">
        <f t="shared" si="130"/>
        <v>0</v>
      </c>
      <c r="Q50" s="1013">
        <f>IF(A50&lt;='Options and results'!$W$20,SUM(G$8:$G50),0)</f>
        <v>0</v>
      </c>
      <c r="R50" s="1441">
        <f>IF($A50&lt;='Options and results'!$W$20,SUM($H$8:H50),0)</f>
        <v>0</v>
      </c>
      <c r="S50" s="1441">
        <f>IF($A50&lt;='Options and results'!$W$20,SUM($O$8:O50),0)</f>
        <v>0</v>
      </c>
      <c r="T50" s="1032">
        <f>IF(A50&lt;='Options and results'!$W$20,Q50+R50-S50,0)</f>
        <v>0</v>
      </c>
      <c r="U50" s="405"/>
      <c r="V50" s="1010">
        <f t="shared" si="131"/>
        <v>43</v>
      </c>
      <c r="W50" s="173"/>
      <c r="X50" s="1036"/>
      <c r="Y50" s="1030">
        <f>IF(V50&lt;='Options and results'!$M$34,'Options and results'!$M$33,0)</f>
        <v>0</v>
      </c>
      <c r="Z50" s="1441">
        <f t="shared" si="132"/>
        <v>0</v>
      </c>
      <c r="AA50" s="1441">
        <f t="shared" si="133"/>
        <v>0</v>
      </c>
      <c r="AB50" s="1428">
        <f t="shared" si="134"/>
        <v>0</v>
      </c>
      <c r="AC50" s="1441">
        <f>IF($W$8=0,0,IF(HLOOKUP(CONCATENATE('Options and results'!$C$32," ",Forestrysystem!$C$8),Forestrysystem!$A$7:$IH$70,V50+4,FALSE)&lt;AB50,HLOOKUP(CONCATENATE('Options and results'!$C$32," ",Forestrysystem!$C$8),Forestrysystem!$A$7:$IH$70,V50+4,FALSE),0))</f>
        <v>0</v>
      </c>
      <c r="AD50" s="1441">
        <f>IF($W$8=0,0,IF(HLOOKUP(CONCATENATE('Options and results'!$C$32," ",Forestrysystem!$C$8),Forestrysystem!$A$7:$IH$70,V50+4,FALSE)&gt;=AB50,AB50,0))</f>
        <v>0</v>
      </c>
      <c r="AE50" s="1440">
        <f>IF($W$8=0,0,HLOOKUP(CONCATENATE('Options and results'!$C$32," ",Forestrysystem!$D$8),Forestrysystem!$A$7:$IH$70,$V50+4,FALSE))</f>
        <v>0</v>
      </c>
      <c r="AF50" s="1037"/>
      <c r="AG50" s="1440">
        <f>IF($W$8=0,0,IF(V50=1,'Options and results'!$M$36,0)+IF('Options and results'!$M$39="yes",IF(AND(AG49+'Options and results'!$M$37&lt;=$AF$8,AG49+'Options and results'!$M$37+IF(V50=1,'Options and results'!$M$36,0)&lt;='Options and results'!$M$38*AE50),AG49+'Options and results'!$M$37,AG49),(HLOOKUP(CONCATENATE('Options and results'!$C$32," ",Forestrysystem!$E$8),Forestrysystem!$A$7:$IH$70,V50+4,FALSE))-IF(V50=1,'Options and results'!$M$36,0)))</f>
        <v>0</v>
      </c>
      <c r="AH50" s="1442">
        <f>IF(OR($W$8=0,AB50&lt;=0),0,(HLOOKUP(CONCATENATE('Options and results'!$C$32," ",Forestrysystem!$F$8),Forestrysystem!$A$7:$IH$70,$V50+4,FALSE)) * IF(V50&gt;='Options and results'!$I$19,'Options and results'!$I$18,1) )</f>
        <v>0</v>
      </c>
      <c r="AI50" s="1452">
        <f t="shared" si="179"/>
        <v>0</v>
      </c>
      <c r="AJ50" s="1442">
        <f t="shared" si="135"/>
        <v>0</v>
      </c>
      <c r="AK50" s="1453">
        <f>IF(OR($W$8=0,AE50&lt;=0),0,(HLOOKUP(CONCATENATE('Options and results'!$C$32," ",Forestrysystem!$G$8),Forestrysystem!$A$7:$IH$70,$V50+4,FALSE)) * IF(Y50&gt;='Options and results'!$I$19,'Options and results'!$I$18,1) )</f>
        <v>0</v>
      </c>
      <c r="AL50" s="1453">
        <f>IF($W$8=0,0,HLOOKUP(CONCATENATE('Options and results'!$C$32," ",Forestrysystem!$H$8),Forestrysystem!$A$7:$IH$70,$V50+4,FALSE)*IF(V50&gt;='Options and results'!$I$19,'Options and results'!$I$18,1))</f>
        <v>0</v>
      </c>
      <c r="AM50" s="1383">
        <f>IF($W$8=0,0,HLOOKUP(CONCATENATE('Options and results'!$C$32," ",Forestrysystem!$I$8),Forestrysystem!$A$7:$IH$70,$V50+4,FALSE)*IF(V50&gt;='Options and results'!$I$19,'Options and results'!$I$18,1))</f>
        <v>0</v>
      </c>
      <c r="AN50" s="1382">
        <f>IF(AI50&gt;0,HLOOKUP(AI50,Treevalue!$I$4:$BC$34,'Options and results'!$C$39+1),0)*IF(V50&gt;='Options and results'!$I$21,'Options and results'!$I$20,1)*IF(1+'Options and results'!$Q$20*(V50-1)&gt;0,1+'Options and results'!$Q$20*(V50-1),0)</f>
        <v>0</v>
      </c>
      <c r="AO50" s="1454">
        <f t="shared" si="136"/>
        <v>0</v>
      </c>
      <c r="AP50" s="1454">
        <f t="shared" si="187"/>
        <v>0</v>
      </c>
      <c r="AQ50" s="1454">
        <f>(IF('Options and results'!$C$39&gt;0,IF(V50&lt;='Options and results'!$W$20,VLOOKUP('Options and results'!$C$39,Treevalue!$A$4:$F$34,5,FALSE),0),0)*AK50)*IF(V50&gt;='Options and results'!$I$21,'Options and results'!$I$20,1)*IF(1+'Options and results'!$Q$20*(V50-1)&gt;0,1+'Options and results'!$Q$20*(V50-1),0)-AR50</f>
        <v>0</v>
      </c>
      <c r="AR50" s="1441">
        <f>(IF('Options and results'!$C$39&gt;0,IF(V50&lt;='Options and results'!$W$20,VLOOKUP('Options and results'!$C$39,Treevalue!$A$4:$F$34,5,FALSE),0),0)*AL50)*IF(V50&gt;='Options and results'!$I$21,'Options and results'!$I$20,1)*IF(1+'Options and results'!$Q$20*(V50-1)&gt;0,1+'Options and results'!$Q$20*(V50-1),0)</f>
        <v>0</v>
      </c>
      <c r="AS50" s="1441">
        <f>(IF('Options and results'!$C$39&gt;0,IF(V50&lt;='Options and results'!$W$20,VLOOKUP('Options and results'!$C$39,Treevalue!$A$4:$F$34,6,FALSE),0),0)*AM50)*IF(V50&gt;='Options and results'!$I$21,'Options and results'!$I$20,1)*IF(1+'Options and results'!$Q$20*(V50-1)&gt;0,1+'Options and results'!$Q$20*(V50-1),0)</f>
        <v>0</v>
      </c>
      <c r="AT50" s="1441">
        <f>IF(V50&lt;='Options and results'!$W$20,(IF(AB50&lt;=0,0,IF('Options and results'!$C$43="cost",(IF(V50&lt;='Options and results'!$C$44,BZ50*SUM('Options and results'!$C$45:$C$46),0)),IF('Options and results'!$C$41&gt;0,(IF(VLOOKUP('Options and results'!$C$42,Treegrant!$B$6:$L$42,Treegrant!$C$2,FALSE)=V50,VLOOKUP('Options and results'!$C$42,Treegrant!$B$6:$L$42,Treegrant!$D$2,FALSE),0)+IF(VLOOKUP('Options and results'!$C$42,Treegrant!$B$6:$L$42,Treegrant!$E$2,FALSE)=V50,VLOOKUP('Options and results'!$C$42,Treegrant!$B$6:$L$42,Treegrant!$F$2,FALSE),0)+IF(VLOOKUP('Options and results'!$C$42,Treegrant!$B$6:$L$42,Treegrant!$G$2,FALSE)=V50,VLOOKUP('Options and results'!$C$42,Treegrant!$B$6:$L$42,Treegrant!$H$2,FALSE)))*IF('Options and results'!$C$43="area",1,'Options and results'!$C$43),0)))*IF(V50&gt;='Options and results'!$I$23,'Options and results'!$I$22,1)),0)*IF(1+'Options and results'!$Q$23*(V50-1)&gt;0,1+'Options and results'!$Q$23*(V50-1),0)</f>
        <v>0</v>
      </c>
      <c r="AU50" s="1441">
        <f>IF($W$8=0,0,IF(V50&lt;='Options and results'!$W$20,IF(AB50&lt;=0,0,IF('Options and results'!$C$41&gt;0,IF(AND(VLOOKUP('Options and results'!$C$42,Treegrant!$B$6:$L$42,Treegrant!$J$2,FALSE)&lt;=V50,VLOOKUP('Options and results'!$C$42,Treegrant!$B$6:$L$42,Treegrant!$K$2,FALSE)&gt;=V50),(VLOOKUP('Options and results'!$C$42,Treegrant!$B$6:$L$42,Treegrant!$L$2,FALSE)),0)*IF('Options and results'!$C$47="full",1,'Options and results'!$C$47))*IF(V50&gt;='Options and results'!$I$23,'Options and results'!$I$22,1)),0))*IF(1+'Options and results'!$Q$23*(V50-1)&gt;0,1+'Options and results'!$Q$23*(V50-1),0)</f>
        <v>0</v>
      </c>
      <c r="AV50" s="1032">
        <f>IF($W$8=0,0,IF(V50&lt;='Options and results'!$W$20,IF(AB50&lt;=0,0,(IF('Options and results'!$C$41&gt;0,(IF(AND(VLOOKUP('Options and results'!$C$42,Treegrant!$B$6:$O$42,Treegrant!$M$2,FALSE)&lt;=V50,VLOOKUP('Options and results'!$C$42,Treegrant!$B$6:$O$42,Treegrant!$N$2,FALSE)&gt;=V50),(VLOOKUP('Options and results'!$C$42,Treegrant!$B$6:$O$42,Treegrant!$O$2,FALSE)),0)*IF('Options and results'!$C$48="full",1,'Options and results'!$C$48))+(IF(AND(VLOOKUP('Options and results'!$C$42,Treegrant!$B$6:$R$42,Treegrant!$P$2,FALSE)&lt;=V50,VLOOKUP('Options and results'!$C$42,Treegrant!$B$6:$R$42,Treegrant!$Q$2,FALSE)&gt;=V50),(VLOOKUP('Options and results'!$C$42,Treegrant!$B$6:$R$42,Treegrant!$R$2,FALSE)),0))*IF('Options and results'!$C$49="full",1,'Options and results'!$C$49)))*IF(V50&gt;='Options and results'!$I$23,'Options and results'!$I$22,1)),0))*IF(1+'Options and results'!$Q$23*(V50-1)&gt;0,1+'Options and results'!$Q$23*(V50-1),0)</f>
        <v>0</v>
      </c>
      <c r="AW50" s="1041"/>
      <c r="AX50" s="1042"/>
      <c r="AY50" s="1419">
        <f>IF($W$8=0,0,IF(V50=1,VLOOKUP($W$8,Treecost!$B$6:$AH$49,Treecost!$E$2,FALSE),0)*IF(V50&gt;='Options and results'!$I$25,'Options and results'!$I$24,1))</f>
        <v>0</v>
      </c>
      <c r="AZ50" s="889">
        <f>IF($W$8=0,0,IF(V50=1,VLOOKUP($W$8,Treecost!$B$6:$AH$49,Treecost!$F$2,FALSE),0)*IF(V50&gt;='Options and results'!$I$25,'Options and results'!$I$24,1))</f>
        <v>0</v>
      </c>
      <c r="BA50" s="889">
        <f>IF($W$8=0,0,IF(V50=1,VLOOKUP($W$8,Treecost!$B$6:$AH$49,Treecost!$G$2,FALSE),0)*IF(V50&gt;='Options and results'!$I$25,'Options and results'!$I$24,1))</f>
        <v>0</v>
      </c>
      <c r="BB50" s="889">
        <f>IF($W$8=0,0,IF(V50&lt;='Options and results'!$W$20,((VLOOKUP($W$8,Treecost!$B$6:$AH$49,Treecost!$H$2,FALSE)*(X50+AA50))/60)*IF(V50&gt;='Options and results'!$I$25,'Options and results'!$I$24,1),0))</f>
        <v>0</v>
      </c>
      <c r="BC50" s="889">
        <f>IF($W$8=0,0,IF(V50&lt;='Options and results'!$W$20,(((VLOOKUP($W$8,Treecost!$B$6:$AH$49,Treecost!$I$2,FALSE))*(X50+AA50))/60)*IF(V50&gt;='Options and results'!$I$25,'Options and results'!$I$24,1),0))</f>
        <v>0</v>
      </c>
      <c r="BD50" s="889">
        <f>IF($W$8=0,0,IF(V50&lt;='Options and results'!$W$20,(((VLOOKUP($W$8,Treecost!$B$6:$AH$49,Treecost!$J$2,FALSE))/60)*(X50+AA50))*IF(V50&gt;='Options and results'!$I$25,'Options and results'!$I$24,1),0))</f>
        <v>0</v>
      </c>
      <c r="BE50" s="1019">
        <f>IF($W$8=0,0,IF(V50&lt;='Options and results'!$W$20,(((VLOOKUP($W$8,Treecost!$B$6:$AH$49,Treecost!$C$2,FALSE)+VLOOKUP($W$8,Treecost!$B$6:$AH$49,Treecost!$D$2,FALSE))*(X50+AA50)*IF(1+'Options and results'!$Q$22*(V50-1)&gt;0,1+'Options and results'!$Q$22*(V50-1),0))+((AY50*$AX$8+AZ50*$AX$9+BA50*$AX$10+BB50*$AX$11+BC50*$AX$12+BD50*$AX$13)*IF(1+'Options and results'!$Q$21*(V50-1)&gt;0,1+'Options and results'!$Q$21*(V50-1),0)))*IF(V50&gt;='Options and results'!$I$27,'Options and results'!$I$26,1),0))</f>
        <v>0</v>
      </c>
      <c r="BF50" s="889">
        <f>IF($W$8=0,0,IF(V50&lt;='Options and results'!$W$20,IF(AND(VLOOKUP($W$8,Treecost!$B$6:$AH$49,Treecost!$K$2,FALSE)&lt;=V50,V50&lt;=(VLOOKUP($W$8,Treecost!$B$6:$AH$49,Treecost!$L$2,FALSE))),VLOOKUP($W$8,Treecost!$B$6:$AH$49,Treecost!$M$2,FALSE)*AB50/60,0)*IF(V50&gt;='Options and results'!$I$25,'Options and results'!$I$24,1),0))</f>
        <v>0</v>
      </c>
      <c r="BG50" s="1019">
        <f>IF(BF50&gt;0,(VLOOKUP($W$8,Treecost!$B$6:$AH$49,Treecost!$N$2,FALSE)*AB50*IF(1+'Options and results'!$Q$22*(V50-1)&gt;0,1+'Options and results'!$Q$22*(V50-1),0)+BF50*$AX$14*IF(1+'Options and results'!$Q$21*(V50-1)&gt;0,1+'Options and results'!$Q$21*(V50-1),0)),0)*IF(V50&gt;='Options and results'!$I$27,'Options and results'!$I$26,1)</f>
        <v>0</v>
      </c>
      <c r="BH50" s="889">
        <f>IF(V50&lt;='Options and results'!$W$20,IF(AND(AG50-AG49&gt;0,AG50&gt;'Options and results'!$M$36),(AB50-AC50)*(VLOOKUP($W$8,Treecost!$B$6:$AH$49,Treecost!$Y$2,FALSE)+(VLOOKUP($W$8,Treecost!$B$6:$AH$49,Treecost!$AA$2,FALSE)-VLOOKUP($W$8,Treecost!$B$6:$AH$49,Treecost!$Y$2,FALSE))/(VLOOKUP($W$8,Treecost!$B$6:$AH$49,Treecost!$Z$2,FALSE)-VLOOKUP($W$8,Treecost!$B$6:$AH$49,Treecost!$X$2,FALSE))*(AG50-VLOOKUP($W$8,Treecost!$B$6:$AH$49,Treecost!$X$2,FALSE)))/60,0)*IF(V50&gt;='Options and results'!$I$25,'Options and results'!$I$24,1),0)</f>
        <v>0</v>
      </c>
      <c r="BI50" s="303">
        <f>IF(V50&lt;='Options and results'!$W$20,IF(BH50&gt;0,VLOOKUP($W$8,Treecost!$B$6:$AH$49,Treecost!$AB$2,FALSE)/60*AB50,0)*IF(V50&gt;='Options and results'!$I$25,'Options and results'!$I$24,1),0)*((BH50-(MIN($BH$8:$BH$67)))/((MAX($BH$8:$BH$67))-(MIN($BH$8:$BH$67))))</f>
        <v>0</v>
      </c>
      <c r="BJ50" s="740">
        <f>IF(BH50&gt;0,(BH50*$AX$15+BI50*$AX$19)*IF(1+'Options and results'!$Q$21*(V50-1)&gt;0,1+'Options and results'!$Q$21*(V50-1),0),0)*IF(V50&gt;='Options and results'!$I$27,'Options and results'!$I$26,1)</f>
        <v>0</v>
      </c>
      <c r="BK50" s="891">
        <f>IF($W$8=0,0,IF(V50&lt;='Options and results'!$W$20,IF(VLOOKUP($W$8,Treecost!$B$2:$AH$49,Treecost!$O$2,FALSE)=V50,VLOOKUP($W$8,Treecost!$B$2:$AH$49,Treecost!$P$2,FALSE),0)*IF(V50&gt;='Options and results'!$I$25,'Options and results'!$I$24,1),0))</f>
        <v>0</v>
      </c>
      <c r="BL50" s="889">
        <f>IF($W$8=0,0,IF(V50&lt;='Options and results'!$W$20,IF(AND(V50&gt;VLOOKUP($W$8,Treecost!$B$2:$AH$49,Treecost!$O$2,FALSE),V50&lt;=VLOOKUP($W$8,Treecost!$B$2:$AH$49,Treecost!$R$2,FALSE)),VLOOKUP($W$8,Treecost!$B$2:$AH$49,Treecost!$S$2,FALSE),0)*IF(V50&gt;='Options and results'!$I$25,'Options and results'!$I$24,1),0))</f>
        <v>0</v>
      </c>
      <c r="BM50" s="740">
        <f>IF($W$8=0,0,IF(V50&lt;='Options and results'!$W$20,((IF(VLOOKUP($W$8,Treecost!$B$2:$AH$49,Treecost!$O$2,FALSE)=V50,VLOOKUP($W$8,Treecost!$B$2:$AH$49,Treecost!$Q$2,FALSE),0)+IF(AND(V50&gt;VLOOKUP($W$8,Treecost!$B$2:$AH$49,Treecost!$O$2,FALSE),V50&lt;=VLOOKUP($W$8,Treecost!$B$2:$AH$49,Treecost!$R$2,FALSE)),VLOOKUP($W$8,Treecost!$B$2:$AH$49,Treecost!$T$2,FALSE),0)*IF(1+'Options and results'!$Q$22*(V50-1)&gt;0,1+'Options and results'!$Q$22*(V50-1),0))+(BK50*$AX$16+BL50*$AX$17)*IF(1+'Options and results'!$Q$21*(V50-1)&gt;0,1+'Options and results'!$Q$21*(V50-1),0))*IF(V50&gt;='Options and results'!$I$27,'Options and results'!$I$26,1),0))</f>
        <v>0</v>
      </c>
      <c r="BN50" s="894">
        <f>IF($W$8=0,0,IF(V50&lt;='Options and results'!$W$20,IF(AND(V50&gt;=VLOOKUP($W$8,Treecost!$B$2:$W$49,Treecost!$U$2,FALSE),V50&lt;=VLOOKUP($W$8,Treecost!$B$2:$W$49,Treecost!$V$2,FALSE)),(AB50*VLOOKUP($W$8,Treecost!$B$2:$W$49,Treecost!$W$2,FALSE)/60),0)*IF(V50&gt;='Options and results'!$I$25,'Options and results'!$I$24,1),0))</f>
        <v>0</v>
      </c>
      <c r="BO50" s="740">
        <f>BN50*$AX$18*IF(V50&gt;='Options and results'!$I$27,'Options and results'!$I$26,1)*IF(1+'Options and results'!$Q$21*(V50-1)&gt;0,1+'Options and results'!$Q$21*(V50-1),0)</f>
        <v>0</v>
      </c>
      <c r="BP50" s="894">
        <f>IF(V50&lt;='Options and results'!$W$20,IF(AB50&lt;=0,0,VLOOKUP($W$8,Treecost!$B$6:$AH$49,Treecost!$AC$2,FALSE)+VLOOKUP($W$8,Treecost!$B$6:$AH$49,Treecost!$AD$2,FALSE)+IF(AND(V50&gt;=VLOOKUP($W$8,Treecost!$B$2:$AK$49,Treecost!$AI$2,FALSE),V50&lt;=VLOOKUP($W$8,Treecost!$B$2:$AK$49,Treecost!$AJ$2,FALSE)),(VLOOKUP($W$8,Treecost!$B$2:$AK$49,Treecost!$AK$2,FALSE)),0))*IF(V50&gt;='Options and results'!$I$27,'Options and results'!$I$26,1),0)*IF(1+'Options and results'!$Q$22*(V50-1)&gt;0,1+'Options and results'!$Q$22*(V50-1),0)</f>
        <v>0</v>
      </c>
      <c r="BQ50" s="894">
        <f>IF(V50&lt;='Options and results'!$W$20,IF(AC50&gt;0,VLOOKUP($W$8,Treecost!$B$6:$AH$49,Treecost!$AE$2,FALSE)/60*AC50,0)*IF(V50&gt;='Options and results'!$I$25,'Options and results'!$I$24,1),0)</f>
        <v>0</v>
      </c>
      <c r="BR50" s="740">
        <f>IF(V50&lt;='Options and results'!$W$20,IF(AC50&gt;0,VLOOKUP($W$8,Treecost!$B$6:$AH$49,Treecost!$AF$2,FALSE)/60*AC50,0)*IF(V50&gt;='Options and results'!$I$25,'Options and results'!$I$24,1),0)</f>
        <v>0</v>
      </c>
      <c r="BS50" s="740">
        <f>(BQ50*$AX$20+BR50*$AX$21)*IF(V50&gt;='Options and results'!$I$27,'Options and results'!$I$26,1)*IF(1+'Options and results'!$Q$21*(V50-1)&gt;0,1+'Options and results'!$Q$21*(V50-1),0)</f>
        <v>0</v>
      </c>
      <c r="BT50" s="894">
        <f>IF(V50&lt;='Options and results'!$W$20,IF(AD50&gt;0,(VLOOKUP($W$8,Treecost!$B$6:$AH$49,Treecost!$AG$2,FALSE)/60*AD50)*IF(V50&gt;='Options and results'!$I$25,'Options and results'!$I$24,1),0),0)</f>
        <v>0</v>
      </c>
      <c r="BU50" s="740">
        <f>IF(V50&lt;='Options and results'!$W$20,IF(AD50&gt;0,(VLOOKUP($W$8,Treecost!$B$6:$AH$49,Treecost!$AH$2,FALSE)/60*AD50)*IF(V50&gt;='Options and results'!$I$25,'Options and results'!$I$24,1),0),0)</f>
        <v>0</v>
      </c>
      <c r="BV50" s="740">
        <f>(BT50*$AX$22+BU50*$AX$23)*IF(V50&gt;='Options and results'!$I$27,'Options and results'!$I$26,1)*IF(1+'Options and results'!$Q$21*(V50-1)&gt;0,1+'Options and results'!$Q$21*(V50-1),0)</f>
        <v>0</v>
      </c>
      <c r="BW50" s="1033">
        <f t="shared" si="138"/>
        <v>0</v>
      </c>
      <c r="BX50" s="1027">
        <f t="shared" si="139"/>
        <v>0</v>
      </c>
      <c r="BY50" s="1027">
        <f t="shared" si="140"/>
        <v>0</v>
      </c>
      <c r="BZ50" s="740">
        <f t="shared" si="188"/>
        <v>0</v>
      </c>
      <c r="CA50" s="740">
        <f t="shared" si="141"/>
        <v>0</v>
      </c>
      <c r="CB50" s="894">
        <f>IF($V50&lt;='Options and results'!$W$20,SUM(BX$8:$BX50),0)</f>
        <v>0</v>
      </c>
      <c r="CC50" s="740">
        <f>IF($V50&lt;='Options and results'!$W$20,SUM($BY$8:BY50),0)</f>
        <v>0</v>
      </c>
      <c r="CD50" s="740">
        <f>IF($V50&lt;='Options and results'!$W$20,SUM($BZ$8:BZ50),0)</f>
        <v>0</v>
      </c>
      <c r="CE50" s="740">
        <f>IF(V50&lt;='Options and results'!$W$20,CB50+CC50-CD50,0)</f>
        <v>0</v>
      </c>
      <c r="CF50" s="1381">
        <f t="shared" si="142"/>
        <v>0</v>
      </c>
      <c r="CG50" s="1027">
        <f t="shared" si="143"/>
        <v>0</v>
      </c>
      <c r="CH50" s="1027">
        <f t="shared" si="144"/>
        <v>0</v>
      </c>
      <c r="CI50" s="1189">
        <f>IF(V50&lt;='Options and results'!$W$20,CE50+AO50,0)</f>
        <v>0</v>
      </c>
      <c r="CJ50" s="1023"/>
      <c r="CK50" s="895">
        <f t="shared" si="145"/>
        <v>43</v>
      </c>
      <c r="CL50" s="1011" t="str">
        <f>IF('Options and results'!$C$54="None",0,IF(AND(CK50&gt;='Options and results'!$K$57,CK49&lt;'Options and results'!$W$20),'Options and results'!$K$56,IF(Optimisation!$B$3="No",CONCATENATE('Options and results'!$C$60," ",(HLOOKUP(CONCATENATE('Options and results'!$C$54," ",Agroforestrysystem!$B$12),Agroforestrysystem!$B$11:$IM$74,$CK50+4,FALSE))),Optimisation!AA70)))</f>
        <v xml:space="preserve">UK - Agriculture (BPS: from 2015) </v>
      </c>
      <c r="CM50" s="1012">
        <f>IF(HLOOKUP(CONCATENATE('Options and results'!$C$54," ",Agroforestrysystem!$C$12),Agroforestrysystem!$B$11:$IM$74,$CK50+4,FALSE)="T",(VLOOKUP(CL50,Arablefinance!$Z$6:$AB$105,Arablefinance!$AB$2,FALSE)*CO50+VLOOKUP(CL50,Arablefinance!$Z$6:$AC$105,Arablefinance!$AC$2,FALSE)*CP50)/VLOOKUP(CL50,Arablefinance!$Z$6:$AA$105,Arablefinance!$AA$2,FALSE),0)</f>
        <v>0</v>
      </c>
      <c r="CN50" s="1012">
        <f>IF(CL50=0,0,HLOOKUP(CONCATENATE('Options and results'!$C$54," ",Agroforestrysystem!$D$12),Agroforestrysystem!$B$11:$IM$74,$CK50+4,FALSE))</f>
        <v>0</v>
      </c>
      <c r="CO50" s="1440">
        <f ca="1">IF(CL50=0,0,IF(AND(Optimisation!$B$3="yes",Optimisation!$B$4=1,CK50&gt;Optimisation!$B$9),0,HLOOKUP(CONCATENATE('Options and results'!$C$54," ",Agroforestrysystem!$E$12),Agroforestrysystem!$B$11:$IM$74,$CK50+4,FALSE)*IF(CK50&gt;='Options and results'!$J$19,'Options and results'!$J$18,1)))</f>
        <v>0</v>
      </c>
      <c r="CP50" s="1440">
        <f ca="1">IF(CL50=0,0,IF(AND(Optimisation!$B$3="yes",Optimisation!$B$4=1,CK50&gt;Optimisation!$B$9),0,HLOOKUP(CONCATENATE('Options and results'!$C$54," ",Agroforestrysystem!$F$12),Agroforestrysystem!$B$11:$IM$74,$CK50+4,FALSE)*IF(CK50&gt;='Options and results'!$J$19,'Options and results'!$J$18,1)))</f>
        <v>0</v>
      </c>
      <c r="CQ50" s="1013">
        <f>IF(CN50&lt;=0,0,IF(CK50&lt;='Options and results'!$W$20,IF(CM50&gt;0,VLOOKUP(CL50,Arablefinance!$Z$6:$AE$105,Arablefinance!$AD$2,FALSE)*CM50*CN50,((VLOOKUP(CL50,Arablefinance!$E$6:$H$126,2,FALSE)*CO50+VLOOKUP(CL50,Arablefinance!$E$6:$H$126,3,FALSE)*CP50)*CN50)),0)*IF(CK50&gt;='Options and results'!$J$21,'Options and results'!$J$20,1))*IF(1+'Options and results'!$O$20*(CK50-1)&gt;0,1+'Options and results'!$O$20*(CK50-1),0)</f>
        <v>0</v>
      </c>
      <c r="CR50" s="1441">
        <f>IF(CN50&lt;=0,0,IF(AND(CM50&gt;0,VLOOKUP(CL50,Arablefinance!$Z$6:$AI$105,Arablefinance!$AI$2,FALSE)=2),VLOOKUP(CL50,Arablefinance!$Z$6:$AE$105,Arablefinance!$AE$2,FALSE)*CM50*CN50,IF('Options and results'!$C$62&gt;0,IF(VLOOKUP(CL50,Arablefinance!$E$6:$W$126,Arablefinance!$H$2,FALSE)*(1-Plot!DM50*'Options and results'!$C$62)&gt;0,VLOOKUP(CL50,Arablefinance!$E$6:$W$126,Arablefinance!$H$2,FALSE)*(1-Plot!DM50*'Options and results'!$C$62),0),IF(CK50&lt;='Options and results'!$W$20,(VLOOKUP(CL50,Arablefinance!$E$6:$W$126,Arablefinance!$H$2,FALSE)*IF('Options and results'!$C$61="area",CN50,'Options and results'!$C$61)),0)))*IF(CK50&gt;='Options and results'!$J$23,'Options and results'!$J$22,1))*IF(AND(1+'Options and results'!$O$23*(CK50-1)&gt;0,1+'Options and results'!$O$23*(CK50-1)&gt;'Options and results'!$S$24),1+'Options and results'!$O$23*(CK50-1),'Options and results'!$S$24)</f>
        <v>0</v>
      </c>
      <c r="CS50" s="1441">
        <f t="shared" si="185"/>
        <v>0</v>
      </c>
      <c r="CT50" s="1441">
        <f>IF(CN50&lt;=0,0,IF(CK50&lt;='Options and results'!$W$20,IF(CM50&gt;0,VLOOKUP(CL50,Arablefinance!$Z$6:$AF$105,Arablefinance!$AF$2,FALSE)*CM50*CN50,VLOOKUP(CL50,Arablefinance!$E$6:$X$126,Arablefinance!$R$2,FALSE)*CN50),0)*IF(CK50&gt;='Options and results'!$J$27,'Options and results'!$J$26,1))*IF(1+'Options and results'!$O$22*(CK50-1)&gt;0,1+'Options and results'!$O$22*(CK50-1),0)</f>
        <v>0</v>
      </c>
      <c r="CU50" s="1441">
        <f t="shared" si="186"/>
        <v>0</v>
      </c>
      <c r="CV50" s="1441">
        <f>IF(CN50&lt;=0,0,IF(CK50&lt;='Options and results'!$W$20,IF(CM50&gt;0,VLOOKUP(CL50,Arablefinance!$Z$6:$AG$105,Arablefinance!$AG$2,FALSE)*CM50*CN50,VLOOKUP(CL50,Arablefinance!$E$6:$X$126,Arablefinance!$X$2,FALSE)*CN50),0)*IF(CK50&gt;='Options and results'!$J$27,'Options and results'!$J$26,1))*IF(1+'Options and results'!$O$22*(CK50-1)&gt;0,1+'Options and results'!$O$22*(CK50-1),0)</f>
        <v>0</v>
      </c>
      <c r="CW50" s="1442">
        <f>IF(CN50&lt;=0,0,IF(CK50&lt;='Options and results'!$W$20,'Options and results'!$C$27*IF(CK50&gt;='Options and results'!$J$27,'Options and results'!$J$26,1),0))*IF(1+'Options and results'!$O$21*(CK50-1)&gt;0,1+'Options and results'!$O$21*(CK50-1),0)</f>
        <v>0</v>
      </c>
      <c r="CX50" s="1442">
        <f>IF(CN50&lt;=0,0,IF(CK50&lt;='Options and results'!$W$20,IF(CM50&gt;0,VLOOKUP(CL50,Arablefinance!$Z$6:$AH$105,Arablefinance!$AH$2,FALSE)*CM50*CN50,VLOOKUP(CL50,Arablefinance!$E$6:$W$126,Arablefinance!$V$2,FALSE)*CN50),0)*IF(CK50&gt;='Options and results'!$J$25,'Options and results'!$J$24,1))</f>
        <v>0</v>
      </c>
      <c r="CY50" s="1013">
        <f t="shared" si="148"/>
        <v>0</v>
      </c>
      <c r="CZ50" s="1353">
        <f t="shared" si="149"/>
        <v>0</v>
      </c>
      <c r="DA50" s="1013">
        <f>IF($CK50&lt;='Options and results'!$W$20,SUM($CQ$8:CQ50),0)</f>
        <v>0</v>
      </c>
      <c r="DB50" s="1441">
        <f>IF($CK50&lt;='Options and results'!$W$20,SUM($CR$8:CR50),0)</f>
        <v>0</v>
      </c>
      <c r="DC50" s="1441">
        <f>IF($CK50&lt;='Options and results'!$W$20,SUM($CY$8:CY50),0)</f>
        <v>0</v>
      </c>
      <c r="DD50" s="1189">
        <f>IF(CK50&lt;='Options and results'!$W$20,DA50+DB50-DC50,0)</f>
        <v>0</v>
      </c>
      <c r="DE50" s="401"/>
      <c r="DF50" s="895">
        <f t="shared" si="150"/>
        <v>43</v>
      </c>
      <c r="DG50" s="173"/>
      <c r="DH50" s="1422"/>
      <c r="DI50" s="1427">
        <f>IF(DF50&lt;='Options and results'!$M$61,'Options and results'!$M$60,0)</f>
        <v>0</v>
      </c>
      <c r="DJ50" s="740">
        <f t="shared" si="151"/>
        <v>0</v>
      </c>
      <c r="DK50" s="740">
        <f t="shared" si="152"/>
        <v>0</v>
      </c>
      <c r="DL50" s="1428">
        <f t="shared" si="153"/>
        <v>0</v>
      </c>
      <c r="DM50" s="1429">
        <f>IF($DG$8=0,0,HLOOKUP(CONCATENATE('Options and results'!$C$54," ",Agroforestrysystem!$J$12),Agroforestrysystem!$11:$74,DF50+3,FALSE))/100</f>
        <v>0</v>
      </c>
      <c r="DN50" s="740">
        <f>IF($DG$8=0,0,IF(HLOOKUP(CONCATENATE('Options and results'!$C$54," ",Agroforestrysystem!$H$12),Agroforestrysystem!$11:$74,DF50+4,FALSE)&lt;DL50,HLOOKUP(CONCATENATE('Options and results'!$C$54," ",Agroforestrysystem!$H$12),Agroforestrysystem!$11:$74,DF50+4,FALSE),0))</f>
        <v>0</v>
      </c>
      <c r="DO50" s="1027">
        <f>IF($DG$8=0,0,IF(HLOOKUP(CONCATENATE('Options and results'!$C$54," ",Agroforestrysystem!$H$12),Agroforestrysystem!$11:$74,DF50+4,FALSE)&gt;=DL50,DL50,0))</f>
        <v>0</v>
      </c>
      <c r="DP50" s="1430">
        <f>IF($DG$8=0,0,HLOOKUP(CONCATENATE('Options and results'!$C$54," ",Agroforestrysystem!$I$12),Agroforestrysystem!$11:$74,DF50+4,FALSE))</f>
        <v>0</v>
      </c>
      <c r="DQ50" s="1038"/>
      <c r="DR50" s="1430">
        <f>IF($DG$8=0,0,IF(DF50&gt;'Options and results'!$W$20,0,)+IF(DF50=1,'Options and results'!$M$64)+IF('Options and results'!$M$67="yes",IF(AND(DR49+'Options and results'!$M$65&lt;=$DQ$8,DR49+'Options and results'!$M$65+IF(DF50=1,'Options and results'!$M$64,0)&lt;='Options and results'!$M$66*DP50),DR49+'Options and results'!$M$65,DR49),(HLOOKUP(CONCATENATE('Options and results'!$C$54," ",Agroforestrysystem!$K$12),Agroforestrysystem!$11:$74,DF50+4,FALSE)-IF(DF50=1,'Options and results'!$M$64))))</f>
        <v>0</v>
      </c>
      <c r="DS50" s="1027">
        <f>IF(OR($DG$8=0,DL50=0),0,HLOOKUP(CONCATENATE('Options and results'!$C$54," ",Agroforestrysystem!$L$12),Agroforestrysystem!$11:$74,DF50+4,FALSE)*IF(DF50&gt;='Options and results'!$K$19,'Options and results'!$K$18,1))</f>
        <v>0</v>
      </c>
      <c r="DT50" s="1431">
        <f t="shared" si="154"/>
        <v>0</v>
      </c>
      <c r="DU50" s="889">
        <f t="shared" si="155"/>
        <v>0</v>
      </c>
      <c r="DV50" s="1027">
        <f>IF($DG$8=0,0,(HLOOKUP(CONCATENATE('Options and results'!$C$54," ",Agroforestrysystem!$M$12),Agroforestrysystem!$11:$74,DF50+4,FALSE))*IF(DF50&gt;='Options and results'!$K$19,'Options and results'!$K$18,1))-DW50</f>
        <v>0</v>
      </c>
      <c r="DW50" s="303">
        <f>IF($DG$8=0,0,(HLOOKUP(CONCATENATE('Options and results'!$C$54," ",Agroforestrysystem!$N$12),Agroforestrysystem!$11:$74,DF50+4,FALSE))*IF(DF50&gt;='Options and results'!$K$19,'Options and results'!$K$18,1))</f>
        <v>0</v>
      </c>
      <c r="DX50" s="303">
        <f>IF($DG$8=0,0,HLOOKUP(CONCATENATE('Options and results'!$C$54," ",Agroforestrysystem!$O$12),Agroforestrysystem!$11:$74,DF50+4,FALSE)*IF(DF50&gt;='Options and results'!$K$19,'Options and results'!$K$18,1))</f>
        <v>0</v>
      </c>
      <c r="DY50" s="1192">
        <f>IF(DT50&gt;0,HLOOKUP(DT50,Treevalue!$I$4:$BC$34,'Options and results'!$C$66+1),0)*IF(DF50&gt;='Options and results'!$K$21,'Options and results'!$K$20,1)*IF(1+'Options and results'!$Q$20*(DF50-1)&gt;0,1+'Options and results'!$Q$20*(DF50-1),0)</f>
        <v>0</v>
      </c>
      <c r="DZ50" s="1027">
        <f t="shared" si="156"/>
        <v>0</v>
      </c>
      <c r="EA50" s="1027">
        <f t="shared" si="125"/>
        <v>0</v>
      </c>
      <c r="EB50" s="1027">
        <f>(IF('Options and results'!$C$66&gt;0,IF(DF50&lt;='Options and results'!$W$20,VLOOKUP('Options and results'!$C$66,Treevalue!$A$4:$F$34,5,FALSE),0),0)*DV50)*IF(DF50&gt;='Options and results'!$K$21,'Options and results'!$K$20,1)*IF(1+'Options and results'!$Q$20*(DF50-1)&gt;0,1+'Options and results'!$Q$20*(DF50-1),0)</f>
        <v>0</v>
      </c>
      <c r="EC50" s="740">
        <f>(IF('Options and results'!$C$66&gt;0,IF(DF50&lt;='Options and results'!$W$20,VLOOKUP('Options and results'!$C$66,Treevalue!$A$4:$F$34,5,FALSE),0),0)*DW50)*IF(DF50&gt;='Options and results'!$K$21,'Options and results'!$K$20,1)*IF(1+'Options and results'!$Q$20*(DF50-1)&gt;0,1+'Options and results'!$Q$20*(DF50-1),0)</f>
        <v>0</v>
      </c>
      <c r="ED50" s="889">
        <f>(IF('Options and results'!$C$66&gt;0,IF(DF50&lt;='Options and results'!$W$20,VLOOKUP('Options and results'!$C$66,Treevalue!$A$4:$F$34,6,FALSE),0),0)*DX50)*IF(DF50&gt;='Options and results'!$K$21,'Options and results'!$K$20,1)*IF(1+'Options and results'!$Q$20*(DF50-1)&gt;0,1+'Options and results'!$Q$20*(DF50-1),0)</f>
        <v>0</v>
      </c>
      <c r="EE50" s="740">
        <f>IF(DF50&lt;='Options and results'!$W$20,IF(DL50&lt;=0,0,IF('Options and results'!$C$70="cost",(IF(DF50&lt;='Options and results'!$C$71,FK50*SUM('Options and results'!$C$72:$C$73),0)),IF('Options and results'!$C$68&gt;0,(IF(VLOOKUP('Options and results'!$C$69,Treegrant!$B$6:$L$42,Treegrant!$C$2,FALSE)=DF50,VLOOKUP('Options and results'!$C$69,Treegrant!$B$6:$L$42,Treegrant!$D$2,FALSE),0)+IF(VLOOKUP('Options and results'!$C$69,Treegrant!$B$6:$L$42,Treegrant!$E$2,FALSE)=DF50,VLOOKUP('Options and results'!$C$69,Treegrant!$B$6:$L$42,Treegrant!$F$2,FALSE),0)+IF(VLOOKUP('Options and results'!$C$69,Treegrant!$B$6:$L$42,Treegrant!$G$2,FALSE)=DF50,VLOOKUP('Options and results'!$C$69,Treegrant!$B$6:$L$42,Treegrant!$H$2,FALSE)))*IF('Options and results'!$C$70="area",Unit!C51,'Options and results'!$C$70),0))*IF(DF50&gt;='Options and results'!$K$23,'Options and results'!$K$22,1)),0)*IF(1+'Options and results'!$Q$23*(DF50-1)&gt;0,1+'Options and results'!$Q$23*(DF50-1),0)</f>
        <v>0</v>
      </c>
      <c r="EF50" s="740">
        <f>IF($DG$8=0,0,IF(DF50&lt;='Options and results'!$W$20,IF(DL50&lt;=0,0,IF('Options and results'!$C$68&gt;0,IF(AND(VLOOKUP('Options and results'!$C$69,Treegrant!$B$6:$L$42,Treegrant!$J$2,FALSE)&lt;=DF50,VLOOKUP('Options and results'!$C$69,Treegrant!$B$6:$L$42,Treegrant!$K$2,FALSE)&gt;=DF50),(VLOOKUP('Options and results'!$C$69,Treegrant!$B$6:$L$42,Treegrant!$L$2,FALSE)),0)*IF('Options and results'!$C$74="area",Unit!C51,'Options and results'!$C$74))*IF(DF50&gt;='Options and results'!$K$23,'Options and results'!$K$22,1)),0))*IF(1+'Options and results'!$Q$23*(DF50-1)&gt;0,1+'Options and results'!$Q$23*(DF50-1),0)</f>
        <v>0</v>
      </c>
      <c r="EG50" s="1034">
        <f>IF($DG$8=0,0,IF(DF50&lt;='Options and results'!$W$20,IF(DL50&lt;=0,0,IF('Options and results'!$C$68&gt;0,((IF(AND(VLOOKUP('Options and results'!$C$69,Treegrant!$B$6:$O$42,Treegrant!$M$2,FALSE)&lt;=DF50,VLOOKUP('Options and results'!$C$69,Treegrant!$B$6:$O$42,Treegrant!$N$2,FALSE)&gt;=DF50),(VLOOKUP('Options and results'!$C$69,Treegrant!$B$6:$O$42,Treegrant!$O$2,FALSE)),0)*IF('Options and results'!$C$75="area",Unit!C51,'Options and results'!$C$75))+(IF(AND(VLOOKUP('Options and results'!$C$69,Treegrant!$B$6:$R$42,Treegrant!$P$2,FALSE)&lt;=DF50,VLOOKUP('Options and results'!$C$69,Treegrant!$B$6:$R$42,Treegrant!$Q$2,FALSE)&gt;=DF50),(VLOOKUP('Options and results'!$C$69,Treegrant!$B$6:$R$42,Treegrant!$R$2,FALSE)),0))*IF('Options and results'!$C$76="area",Unit!C51,'Options and results'!$C$76)))*IF(DF50&gt;='Options and results'!$K$23,'Options and results'!$K$22,1)),0))*IF(1+'Options and results'!$Q$23*(DF50-1)&gt;0,1+'Options and results'!$Q$23*(DF50-1),0)</f>
        <v>0</v>
      </c>
      <c r="EH50" s="1041"/>
      <c r="EI50" s="1042"/>
      <c r="EJ50" s="1419">
        <f>IF($DH$8+DK50&lt;1,0,IF(DF50=1,VLOOKUP($DG$8,Treecost!$B$6:$AH$49,Treecost!$E$2,FALSE),0)*IF(DF50&gt;='Options and results'!$K$25,'Options and results'!$K$24,1))</f>
        <v>0</v>
      </c>
      <c r="EK50" s="889">
        <f>IF($DH$8+DK50&lt;1,0,IF(DF50=1,VLOOKUP($DG$8,Treecost!$B$6:$AH$49,Treecost!$F$2,FALSE),0)*IF(DF50&gt;='Options and results'!$K$25,'Options and results'!$K$24,1))</f>
        <v>0</v>
      </c>
      <c r="EL50" s="889">
        <f>IF($DH$8+DK50&lt;1,0,IF(DF50=1,VLOOKUP($DG$8,Treecost!$B$6:$AH$49,Treecost!$G$2,FALSE),0)*IF(DF50&gt;='Options and results'!$K$25,'Options and results'!$K$24,1))</f>
        <v>0</v>
      </c>
      <c r="EM50" s="889">
        <f>IF($DG$8=0,0,IF(DF50&lt;='Options and results'!$W$20,((VLOOKUP($DG$8,Treecost!$B$6:$AH$49,Treecost!$H$2,FALSE)*(DH50+DK50))/60)*IF(DF50&gt;='Options and results'!$K$25,'Options and results'!$K$24,1),0))</f>
        <v>0</v>
      </c>
      <c r="EN50" s="889">
        <f>IF($DG$8=0,0,IF(DF50&lt;='Options and results'!$W$20,(((VLOOKUP($DG$8,Treecost!$B$6:$AH$49,Treecost!$I$2,FALSE))*(DH50+DK50))/60)*IF(DF50&gt;='Options and results'!$K$25,'Options and results'!$K$24,1),0))</f>
        <v>0</v>
      </c>
      <c r="EO50" s="889">
        <f>IF($DG$8=0,0,IF(DF50&lt;='Options and results'!$W$20,(((VLOOKUP($DG$8,Treecost!$B$6:$AH$49,Treecost!$J$2,FALSE))/60)*(DH50+DK50))*IF(DF50&gt;='Options and results'!$K$25,'Options and results'!$K$24,1),0))</f>
        <v>0</v>
      </c>
      <c r="EP50" s="1019">
        <f>IF($DG$8=0,0,IF(DF50&lt;='Options and results'!$W$20,(((VLOOKUP($DG$8,Treecost!$B$6:$AH$49,Treecost!$C$2,FALSE)+VLOOKUP($DG$8,Treecost!$B$6:$AH$49,Treecost!$D$2,FALSE))*(DH50+DK50)*IF(1+'Options and results'!$Q$22*(DF50-1)&gt;0,1+'Options and results'!$Q$22*(DF50-1),0))+(EJ50*$EI$8+EK50*$EI$9+EL50*$EI$10+EM50*$EI$11+EN50*$EI$12+EO50*$EI$13)*IF(1+'Options and results'!$Q$21*(DF50-1)&gt;0,1+'Options and results'!$Q$21*(DF50-1),0))*IF(DF50&gt;='Options and results'!$K$27,'Options and results'!$K$26,1),0))</f>
        <v>0</v>
      </c>
      <c r="EQ50" s="740">
        <f>IF($DG$8=0,0,IF(DF50&lt;='Options and results'!$W$20,IF(AND(VLOOKUP($DG$8,Treecost!$B$6:$AH$49,Treecost!$K$2,FALSE)&lt;=DF50,DF50&lt;=(VLOOKUP($DG$8,Treecost!$B$6:$AH$49,Treecost!$L$2,FALSE))),VLOOKUP($DG$8,Treecost!$B$6:$AH$49,Treecost!$M$2,FALSE)*DL50/60,0)*IF(DF50&gt;='Options and results'!$K$25,'Options and results'!$K$24,1),0))</f>
        <v>0</v>
      </c>
      <c r="ER50" s="1019">
        <f>IF(EQ50&gt;0,(VLOOKUP($DG$8,Treecost!$B$6:$AH$49,Treecost!$N$2,FALSE)*DL50*IF(1+'Options and results'!$Q$22*(DF50-1)&gt;0,1+'Options and results'!$Q$22*(DF50-1),0)+EQ50*$EI$14*IF(1+'Options and results'!$Q$21*(DF50-1)&gt;0,1+'Options and results'!$Q$21*(DF50-1),0)),0)*IF(DF50&gt;='Options and results'!$K$27,'Options and results'!$K$26,1)</f>
        <v>0</v>
      </c>
      <c r="ES50" s="889">
        <f>IF(DF50&lt;='Options and results'!$W$20,IF(AND(DR50-DR49&gt;0,DR50&gt;'Options and results'!$M$64),(DL50-DN50)*(VLOOKUP($DG$8,Treecost!$B$6:$AH$49,Treecost!$Y$2,FALSE)+(VLOOKUP($DG$8,Treecost!$B$6:$AH$49,Treecost!$AA$2,FALSE)-VLOOKUP($DG$8,Treecost!$B$6:$AH$49,Treecost!$Y$2,FALSE))/(VLOOKUP($DG$8,Treecost!$B$6:$AH$49,Treecost!$Z$2,FALSE)-VLOOKUP($DG$8,Treecost!$B$6:$AH$49,Treecost!$X$2,FALSE))*(DR50-VLOOKUP($DG$8,Treecost!$B$6:$AH$49,Treecost!$X$2,FALSE)))/60,0)*IF(DF50&gt;='Options and results'!$K$25,'Options and results'!$K$24,1),0)</f>
        <v>0</v>
      </c>
      <c r="ET50" s="889">
        <f>IF(DF50&lt;='Options and results'!$W$20,IF(ES50&gt;0,VLOOKUP($DG$8,Treecost!$B$6:$AH$49,Treecost!$AB$2,FALSE)/60*DL50,0)*IF(DF50&gt;='Options and results'!$K$25,'Options and results'!$K$24,1),0)*((ES50-(MIN($ES$8:$ES$67)))/((MAX($ES$8:$ES$67))-(MIN($ES$8:$ES$67))))</f>
        <v>0</v>
      </c>
      <c r="EU50" s="740">
        <f>IF(ES50&gt;0,(ES50*$EI$15+ET50*$EI$19)*IF(1+'Options and results'!$Q$21*(DF50-1)&gt;0,1+'Options and results'!$Q$21*(DF50-1),0),0)*IF(DF50&gt;='Options and results'!$K$27,'Options and results'!$K$26,1)</f>
        <v>0</v>
      </c>
      <c r="EV50" s="891">
        <f>IF($DG$8=0,0,IF(DF50&lt;='Options and results'!$W$20,IF(AND(VLOOKUP($DG$8,Treecost!$B$2:$AH$49,Treecost!$O$2,FALSE)=DF50,DF50&lt;=IF(AND(Optimisation!$B$3="Yes",Optimisation!$B$4=1),Optimisation!$B$9)),VLOOKUP($DG$8,Treecost!$B$2:$AH$49,Treecost!$P$2,FALSE)*(1-CN50),0)*IF(DF50&gt;='Options and results'!$K$25,'Options and results'!$K$24,1),0))</f>
        <v>0</v>
      </c>
      <c r="EW50" s="889">
        <f>IF($DG$8=0,0,IF(DF50&lt;='Options and results'!$W$20,IF(AND(DF50&gt;VLOOKUP($DG$8,Treecost!$B$2:$AH$49,Treecost!$O$2,FALSE),DF50&lt;=IF(AND(Optimisation!$B$3="Yes",Optimisation!$B$4=1),Optimisation!$B$9,VLOOKUP($DG$8,Treecost!$B$2:$AH$49,Treecost!$R$2,FALSE))),VLOOKUP($DG$8,Treecost!$B$2:$AH$49,Treecost!$S$2,FALSE)*(1-CN50),0)*IF(DF50&gt;='Options and results'!$K$25,'Options and results'!$K$24,1),0))</f>
        <v>0</v>
      </c>
      <c r="EX50" s="740">
        <f>IF($DG$8=0,0,IF(DF50&lt;='Options and results'!$W$20,(IF(AND(VLOOKUP($DG$8,Treecost!$B$2:$AH$49,Treecost!$O$2,FALSE)=DF50,DF50&lt;=IF(AND(Optimisation!$B$3="Yes",Optimisation!$B$4=1),Optimisation!$B$9)),VLOOKUP($DG$8,Treecost!$B$2:$AH$49,Treecost!$Q$2,FALSE),0)*(1-CN50)+IF(AND(DF50&gt;VLOOKUP($DG$8,Treecost!$B$2:$AH$49,Treecost!$O$2,FALSE),DF50&lt;=IF(AND(Optimisation!$B$3="Yes",Optimisation!$B$4=1),Optimisation!$B$9,VLOOKUP($DG$8,Treecost!$B$2:$AH$49,Treecost!$R$2,FALSE))),VLOOKUP($DG$8,Treecost!$B$2:$AH$49,Treecost!$T$2,FALSE),0)*(1-CN50)+(EV50*$EI$16+EW50*$EI$17))*IF(DF50&gt;='Options and results'!$K$27,'Options and results'!$K$26,1),0))*IF(1+'Options and results'!$Q$21*(DF50-1)&gt;0,1+'Options and results'!$Q$21*(DF50-1),0)</f>
        <v>0</v>
      </c>
      <c r="EY50" s="894">
        <f>IF($DG$8=0,0,IF(DF50&lt;='Options and results'!$W$20,IF(AND(DF50&gt;=VLOOKUP($DG$8,Treecost!$B$2:$W$49,Treecost!$U$2,FALSE),DF50&lt;=VLOOKUP($DG$8,Treecost!$B$2:$W$49,Treecost!$V$2,FALSE)),(DL50*VLOOKUP($DG$8,Treecost!$B$2:$W$49,Treecost!$W$2,FALSE)/60),0)*IF(DF50&gt;='Options and results'!$K$25,'Options and results'!$K$24,1),0))</f>
        <v>0</v>
      </c>
      <c r="EZ50" s="740">
        <f>EY50*$EI$18*IF(DF50&gt;='Options and results'!$K$27,'Options and results'!$K$26,1)*IF(1+'Options and results'!$Q$21*(DF50-1)&gt;0,1+'Options and results'!$Q$21*(DF50-1),0)</f>
        <v>0</v>
      </c>
      <c r="FA50" s="1025">
        <f>IF(DF50&lt;='Options and results'!$W$20,IF(DL50&lt;=0,0,VLOOKUP($DG$8,Treecost!$B$6:$AH$49,Treecost!$AC$2,FALSE)+VLOOKUP($DG$8,Treecost!$B$6:$AH$49,Treecost!$AD$2,FALSE)+IF(AND(DF50&gt;=VLOOKUP($DG$8,Treecost!$B$2:$AK$49,Treecost!$AI$2,FALSE),DF50&lt;=VLOOKUP($DG$8,Treecost!$B$2:$AK$49,Treecost!$AJ$2,FALSE)),VLOOKUP($DG$8,Treecost!$B$2:$AK$49,Treecost!$AK$2,FALSE)*(1-CN50),0))*IF(DF50&gt;='Options and results'!$K$27,'Options and results'!$K$26,1),0)*IF(1+'Options and results'!$Q$22*(DF50-1)&gt;0,1+'Options and results'!$Q$22*(DF50-1),0)</f>
        <v>0</v>
      </c>
      <c r="FB50" s="894">
        <f>IF(DF50&lt;='Options and results'!$W$20,IF(DN50&gt;0,VLOOKUP($DG$8,Treecost!$B$6:$AH$49,Treecost!$AE$2,FALSE)/60*DN50,0)*IF(DF50&gt;='Options and results'!$K$25,'Options and results'!$K$24,1),0)</f>
        <v>0</v>
      </c>
      <c r="FC50" s="740">
        <f>IF(DF50&lt;='Options and results'!$W$20,IF(DN50&gt;0,VLOOKUP($DG$8,Treecost!$B$6:$AH$49,Treecost!$AF$2,FALSE)/60*DN50,0)*IF(DF50&gt;='Options and results'!$K$25,'Options and results'!$K$24,1),0)</f>
        <v>0</v>
      </c>
      <c r="FD50" s="740">
        <f>(FB50*$EI$20+FC50*$EI$21)*IF(DF50&gt;='Options and results'!$K$27,'Options and results'!$K$26,1)*IF(1+'Options and results'!$Q$21*(DF50-1)&gt;0,1+'Options and results'!$Q$21*(DF50-1),0)</f>
        <v>0</v>
      </c>
      <c r="FE50" s="894">
        <f>IF(DF50&lt;='Options and results'!$W$20,IF(DO50&gt;0,(VLOOKUP($DG$8,Treecost!$B$6:$AH$49,Treecost!$AG$2,FALSE)/60*DO50)*IF(DF50&gt;='Options and results'!$K$25,'Options and results'!$K$24,1),0),0)</f>
        <v>0</v>
      </c>
      <c r="FF50" s="740">
        <f>IF(DF50&lt;='Options and results'!$W$20,IF(DO50&gt;0,(VLOOKUP($DG$8,Treecost!$B$6:$AH$49,Treecost!$AH$2,FALSE)/60*DO50)*IF(DF50&gt;='Options and results'!$K$25,'Options and results'!$K$24,1),0),0)</f>
        <v>0</v>
      </c>
      <c r="FG50" s="740">
        <f>(FE50*$EI$22+FF50*$EI$23)*IF(DF50&gt;='Options and results'!$K$27,'Options and results'!$K$26,1)*IF(1+'Options and results'!$Q$21*(DF50-1)&gt;0,1+'Options and results'!$Q$21*(DF50-1),0)</f>
        <v>0</v>
      </c>
      <c r="FH50" s="894">
        <f t="shared" si="157"/>
        <v>0</v>
      </c>
      <c r="FI50" s="1027">
        <f t="shared" si="158"/>
        <v>0</v>
      </c>
      <c r="FJ50" s="1027">
        <f t="shared" si="159"/>
        <v>0</v>
      </c>
      <c r="FK50" s="1027">
        <f t="shared" si="160"/>
        <v>0</v>
      </c>
      <c r="FL50" s="1027">
        <f t="shared" si="190"/>
        <v>0</v>
      </c>
      <c r="FM50" s="1027">
        <f>IF($DF50&lt;='Options and results'!$W$20,SUM(FI$8:$FI50),0)</f>
        <v>0</v>
      </c>
      <c r="FN50" s="1027">
        <f>IF($DF50&lt;='Options and results'!$W$20,SUM($FJ$8:FJ50),0)</f>
        <v>0</v>
      </c>
      <c r="FO50" s="1027">
        <f>IF($DF50&lt;='Options and results'!$W$20,SUM($FK$8:FK50),0)</f>
        <v>0</v>
      </c>
      <c r="FP50" s="1027">
        <f>IF($DF50&lt;='Options and results'!$W$20,FM50+FN50-FO50,0)</f>
        <v>0</v>
      </c>
      <c r="FQ50" s="1027">
        <f t="shared" si="162"/>
        <v>0</v>
      </c>
      <c r="FR50" s="1027">
        <f t="shared" si="163"/>
        <v>0</v>
      </c>
      <c r="FS50" s="1027">
        <f t="shared" si="164"/>
        <v>0</v>
      </c>
      <c r="FT50" s="1189">
        <f>IF(DF50&lt;='Options and results'!$W$20,FP50+DZ50,0)</f>
        <v>0</v>
      </c>
      <c r="FU50" s="401"/>
      <c r="FV50" s="895">
        <f t="shared" si="165"/>
        <v>43</v>
      </c>
      <c r="FW50" s="894">
        <f>G50/(1+'Options and results'!$W$33)^(FV50-1)</f>
        <v>0</v>
      </c>
      <c r="FX50" s="740">
        <f>(AP50+AR50+AS50)/(1+'Options and results'!$W$33)^(FV50-1)</f>
        <v>0</v>
      </c>
      <c r="FY50" s="740">
        <f>CQ50/(1+'Options and results'!$W$33)^(FV50-1)</f>
        <v>0</v>
      </c>
      <c r="FZ50" s="740">
        <f>(EA50+EC50+ED50)/(1+'Options and results'!$W$33)^(FV50-1)</f>
        <v>0</v>
      </c>
      <c r="GA50" s="1019">
        <f t="shared" si="180"/>
        <v>0</v>
      </c>
      <c r="GB50" s="1026">
        <f>(AO50+AQ50)/(1+'Options and results'!$W$33)^(FV50-1)+FX50</f>
        <v>0</v>
      </c>
      <c r="GC50" s="1027">
        <f>IF(FV50&gt;'Options and results'!$W$27,0,GB50-GB49)</f>
        <v>0</v>
      </c>
      <c r="GD50" s="1027">
        <f>(DZ50+EB50)/(1+'Options and results'!$W$33)^(FV50-1)+FZ50</f>
        <v>0</v>
      </c>
      <c r="GE50" s="1379">
        <f>IF(FV50&gt;'Options and results'!$W$27,0,GD50-GD49)</f>
        <v>0</v>
      </c>
      <c r="GF50" s="894">
        <f>IF(FV50&lt;='Options and results'!$W$20,SUM(FW$8:FW50),0)</f>
        <v>0</v>
      </c>
      <c r="GG50" s="740">
        <f>IF(FV50&lt;='Options and results'!$W$20,SUM(FX$8:FX50), 0)</f>
        <v>0</v>
      </c>
      <c r="GH50" s="740">
        <f>IF(FV50&lt;='Options and results'!$W$20,SUM(FY$8:FY50),0)</f>
        <v>0</v>
      </c>
      <c r="GI50" s="740">
        <f>IF(FV50&lt;='Options and results'!$W$20,SUM(FZ$8:FZ50),0)</f>
        <v>0</v>
      </c>
      <c r="GJ50" s="1019">
        <f t="shared" si="166"/>
        <v>0</v>
      </c>
      <c r="GK50" s="894">
        <f>IF(FV50&gt;'Options and results'!$W$27,0,GG50+SUM(GC$8:GC50)-FX50)</f>
        <v>0</v>
      </c>
      <c r="GL50" s="740">
        <f>IF(FV50&lt;='Options and results'!$W$20,SUM(GD$8:GD50),0)</f>
        <v>0</v>
      </c>
      <c r="GM50" s="1034">
        <f t="shared" si="167"/>
        <v>0</v>
      </c>
      <c r="GN50" s="401"/>
      <c r="GO50" s="895">
        <f t="shared" si="168"/>
        <v>43</v>
      </c>
      <c r="GP50" s="894">
        <f>H50/(1+'Options and results'!$W$33)^(GO50-1)</f>
        <v>0</v>
      </c>
      <c r="GQ50" s="740">
        <f>SUM(AT50:AV50)/(1+'Options and results'!$W$33)^(GO50-1)</f>
        <v>0</v>
      </c>
      <c r="GR50" s="740">
        <f>CR50/(1+'Options and results'!$W$33)^(GO50-1)</f>
        <v>0</v>
      </c>
      <c r="GS50" s="740">
        <f>SUM(EE50:EG50)/(1+'Options and results'!$W$33)^(GO50-1)</f>
        <v>0</v>
      </c>
      <c r="GT50" s="1019">
        <f t="shared" si="181"/>
        <v>0</v>
      </c>
      <c r="GU50" s="894">
        <f>IF(GO50&lt;='Options and results'!$W$20,SUM(GP$8:GP50),0)</f>
        <v>0</v>
      </c>
      <c r="GV50" s="740">
        <f>IF(GO50&lt;='Options and results'!$W$20,SUM(GQ$8:GQ50),0)</f>
        <v>0</v>
      </c>
      <c r="GW50" s="740">
        <f>IF(GO50&lt;='Options and results'!$W$20,SUM(GR$8:GR50),0)</f>
        <v>0</v>
      </c>
      <c r="GX50" s="740">
        <f>IF(GO50&lt;='Options and results'!$W$20,SUM(GS$8:GS50),0)</f>
        <v>0</v>
      </c>
      <c r="GY50" s="1034">
        <f>IF(GO50&lt;='Options and results'!$W$20,SUM(GT$8:GT50),0)</f>
        <v>0</v>
      </c>
      <c r="GZ50" s="401"/>
      <c r="HA50" s="895">
        <f t="shared" si="169"/>
        <v>43</v>
      </c>
      <c r="HB50" s="1026">
        <f>(J50+L50+(M50*N50))/(1+'Options and results'!$W$33)^(HA50-1)</f>
        <v>0</v>
      </c>
      <c r="HC50" s="740">
        <f>BZ50/(1+'Options and results'!$W$33)^(HA50-1)</f>
        <v>0</v>
      </c>
      <c r="HD50" s="1027">
        <f>(CT50+CV50+(CW50*CX50))/(1+'Options and results'!$W$33)^(HA50-1)</f>
        <v>0</v>
      </c>
      <c r="HE50" s="740">
        <f>FK50/(1+'Options and results'!$W$33)^(HA50-1)</f>
        <v>0</v>
      </c>
      <c r="HF50" s="1019">
        <f t="shared" si="182"/>
        <v>0</v>
      </c>
      <c r="HG50" s="894">
        <f>IF(HA50&lt;='Options and results'!$W$20,SUM(HB$8:HB50),0)</f>
        <v>0</v>
      </c>
      <c r="HH50" s="740">
        <f>IF(HA50&lt;='Options and results'!$W$20,SUM(HC$8:HC50),0)</f>
        <v>0</v>
      </c>
      <c r="HI50" s="740">
        <f>IF(HA50&lt;='Options and results'!$W$20,SUM(HD$8:HD50),0)</f>
        <v>0</v>
      </c>
      <c r="HJ50" s="740">
        <f>IF(HA50&lt;='Options and results'!$W$20,SUM(HE$8:HE50),0)</f>
        <v>0</v>
      </c>
      <c r="HK50" s="1034">
        <f>IF(HA50&lt;='Options and results'!$W$20,SUM(HF$8:HF50),0)</f>
        <v>0</v>
      </c>
      <c r="HL50" s="405"/>
      <c r="HM50" s="895">
        <f t="shared" si="189"/>
        <v>43</v>
      </c>
      <c r="HN50" s="1026">
        <f t="shared" si="171"/>
        <v>0</v>
      </c>
      <c r="HO50" s="1027">
        <f t="shared" si="172"/>
        <v>0</v>
      </c>
      <c r="HP50" s="1027">
        <f t="shared" si="173"/>
        <v>0</v>
      </c>
      <c r="HQ50" s="1027">
        <f t="shared" si="174"/>
        <v>0</v>
      </c>
      <c r="HR50" s="1027">
        <f t="shared" si="175"/>
        <v>0</v>
      </c>
      <c r="HS50" s="1379">
        <f t="shared" si="176"/>
        <v>0</v>
      </c>
      <c r="HT50" s="1026">
        <f>IF($HM50&lt;='Options and results'!$W$20,SUM(HN$8:HN50),0)</f>
        <v>0</v>
      </c>
      <c r="HU50" s="1027">
        <f>IF($HM50&lt;='Options and results'!$W$20,SUM(HO$8:HO50),0)</f>
        <v>0</v>
      </c>
      <c r="HV50" s="1027">
        <f>IF($HM50&lt;='Options and results'!$W$20,SUM(HP$8:HP50),0)</f>
        <v>0</v>
      </c>
      <c r="HW50" s="1027">
        <f>IF($HM50&lt;='Options and results'!$W$20,SUM(HQ$8:HQ50),0)</f>
        <v>0</v>
      </c>
      <c r="HX50" s="1027">
        <f t="shared" si="177"/>
        <v>0</v>
      </c>
      <c r="HY50" s="1027">
        <f>IF($HM50&lt;='Options and results'!$W$20,SUM(HR$8:HR50),0)</f>
        <v>0</v>
      </c>
      <c r="HZ50" s="1027">
        <f>IF($HM50&lt;='Options and results'!$W$20,SUM(HS$8:HS50),0)</f>
        <v>0</v>
      </c>
      <c r="IA50" s="1189">
        <f t="shared" si="178"/>
        <v>0</v>
      </c>
    </row>
    <row r="51" spans="1:235" x14ac:dyDescent="0.25">
      <c r="A51" s="1010">
        <f t="shared" si="126"/>
        <v>44</v>
      </c>
      <c r="B51" s="1011" t="str">
        <f>IF('Options and results'!$C$17="None",0,CONCATENATE('Options and results'!$C$23," ",(HLOOKUP(CONCATENATE('Options and results'!$C$17," ",Arablesystem!$B$11),Arablesystem!$B$10:$ER$72,$A51+3,FALSE))))</f>
        <v xml:space="preserve">UK - Agriculture (BPS: from 2015) </v>
      </c>
      <c r="C51" s="1012">
        <f>IF(HLOOKUP(CONCATENATE('Options and results'!$C$17," ",Arablesystem!$C$11),Arablesystem!$B$10:$ER$72,$A51+3,FALSE)="T",(VLOOKUP(B51,Arablefinance!$Z$6:$AB$105,Arablefinance!$AB$2,FALSE)*E51+VLOOKUP(B51,Arablefinance!$Z$6:$AC$105,Arablefinance!$AC$2,FALSE)*F51)/VLOOKUP(B51,Arablefinance!$Z$6:$AA$105,Arablefinance!$AA$2,FALSE),0)</f>
        <v>0</v>
      </c>
      <c r="D51" s="1012">
        <f>IF(B51=0,0,HLOOKUP(CONCATENATE('Options and results'!$C$17," ",Arablesystem!$D$11),Arablesystem!$B$10:$ER$72,$A51+3,FALSE))</f>
        <v>0</v>
      </c>
      <c r="E51" s="1440">
        <f>IF(B51=0,0,HLOOKUP(CONCATENATE('Options and results'!$C$17," ",Arablesystem!$E$11),Arablesystem!$B$10:$ER$72,$A51+3,FALSE)*IF(A51&gt;='Options and results'!$H$19,'Options and results'!$H$18,1))</f>
        <v>0</v>
      </c>
      <c r="F51" s="1440">
        <f>IF(B51=0,0,HLOOKUP(CONCATENATE('Options and results'!$C$17," ",Arablesystem!$F$11),Arablesystem!$B$10:$ER$72,$A51+3,FALSE)*IF(A51&gt;='Options and results'!$H$19,'Options and results'!$H$18,1))</f>
        <v>0</v>
      </c>
      <c r="G51" s="1013">
        <f>IF(D51&lt;=0,0,IF(A51&lt;='Options and results'!$W$20,IF(C51&gt;0,VLOOKUP(B51,Arablefinance!$Z$6:$AE$105,Arablefinance!$AD$2,FALSE)*C51*D51,((VLOOKUP(B51,Arablefinance!$E$6:$G$126,Arablefinance!$F$2,FALSE)*(E51*D51)+VLOOKUP(B51,Arablefinance!$E$6:$G$126,Arablefinance!$G$2,FALSE)*(F51*D51)))),0)*IF(A51&gt;='Options and results'!$H$21,'Options and results'!$H$20,1))*IF(1+'Options and results'!$O$20*(A51-1)&gt;0,1+'Options and results'!$O$20*(A51-1),0)</f>
        <v>0</v>
      </c>
      <c r="H51" s="1441">
        <f>IF(D51&lt;=0,0,IF(A51&lt;='Options and results'!$W$20,IF(AND(C51&gt;0,VLOOKUP(B51,Arablefinance!$Z$6:$AI$105,Arablefinance!$AI$2,FALSE)=2),VLOOKUP(B51,Arablefinance!$Z$6:$AE$105,Arablefinance!$AE$2,FALSE)*C51*D51,(VLOOKUP(B51,Arablefinance!$E$6:$H$126,Arablefinance!$H$2,FALSE)*D51))*IF(A51&gt;='Options and results'!$H$23,'Options and results'!$H$22,1),0)*IF(AND(1+'Options and results'!$O$23*(A51-1)&gt;0,1+'Options and results'!$O$23*(A51-1)&gt;'Options and results'!$S$24),1+'Options and results'!$O$23*(A51-1),'Options and results'!$S$24))</f>
        <v>0</v>
      </c>
      <c r="I51" s="1441">
        <f t="shared" si="127"/>
        <v>0</v>
      </c>
      <c r="J51" s="1441">
        <f>IF(D51&lt;=0,0,IF(A51&lt;='Options and results'!$W$20,IF(C51&gt;0,VLOOKUP(B51,Arablefinance!$Z$6:$AF$105,Arablefinance!$AF$2,FALSE)*C51*D51,(VLOOKUP(B51,Arablefinance!$E$6:$X$126,Arablefinance!$R$2,FALSE))*D51),0)*IF(A51&gt;='Options and results'!$H$27,'Options and results'!$H$26,1))*IF(1+'Options and results'!$O$22*(A51-1)&gt;0,1+'Options and results'!$O$22*(A51-1),0)</f>
        <v>0</v>
      </c>
      <c r="K51" s="1441">
        <f t="shared" si="128"/>
        <v>0</v>
      </c>
      <c r="L51" s="1441">
        <f>IF(D51&lt;=0,0,IF(A51&lt;='Options and results'!$W$20,IF(C51&gt;0,VLOOKUP(B51,Arablefinance!$Z$6:$AG$105,Arablefinance!$AG$2,FALSE)*C51*D51,VLOOKUP(B51,Arablefinance!$E$6:$X$126,Arablefinance!$X$2,FALSE)*D51),0)*IF(A51&gt;='Options and results'!$H$27,'Options and results'!$H$26,1))*IF(1+'Options and results'!$O$22*(A51-1)&gt;0,1+'Options and results'!$O$22*(A51-1),0)</f>
        <v>0</v>
      </c>
      <c r="M51" s="1442">
        <f>IF(D51&lt;=0,0,IF(A51&lt;='Options and results'!$W$20,'Options and results'!$C$27,0)*IF(A51&gt;='Options and results'!$H$27,'Options and results'!$H$26,1))*IF(1+'Options and results'!$O$21*(A51-1)&gt;0,1+'Options and results'!$O$21*(A51-1),0)</f>
        <v>0</v>
      </c>
      <c r="N51" s="1442">
        <f>IF(D51&lt;=0,0,IF(A51&lt;='Options and results'!$W$20,IF(C51&gt;0,VLOOKUP(B51,Arablefinance!$Z$6:$AH$105,Arablefinance!$AH$2,FALSE)*C51*D51,VLOOKUP(B51,Arablefinance!$E$6:$W$126,Arablefinance!$V$2,FALSE)*D51),0)*IF(A51&gt;='Options and results'!$H$25,'Options and results'!$H$24,1))</f>
        <v>0</v>
      </c>
      <c r="O51" s="1013">
        <f t="shared" si="129"/>
        <v>0</v>
      </c>
      <c r="P51" s="1353">
        <f t="shared" si="130"/>
        <v>0</v>
      </c>
      <c r="Q51" s="1013">
        <f>IF(A51&lt;='Options and results'!$W$20,SUM(G$8:$G51),0)</f>
        <v>0</v>
      </c>
      <c r="R51" s="1441">
        <f>IF($A51&lt;='Options and results'!$W$20,SUM($H$8:H51),0)</f>
        <v>0</v>
      </c>
      <c r="S51" s="1441">
        <f>IF($A51&lt;='Options and results'!$W$20,SUM($O$8:O51),0)</f>
        <v>0</v>
      </c>
      <c r="T51" s="1032">
        <f>IF(A51&lt;='Options and results'!$W$20,Q51+R51-S51,0)</f>
        <v>0</v>
      </c>
      <c r="U51" s="405"/>
      <c r="V51" s="1010">
        <f t="shared" si="131"/>
        <v>44</v>
      </c>
      <c r="W51" s="173"/>
      <c r="X51" s="1036"/>
      <c r="Y51" s="1030">
        <f>IF(V51&lt;='Options and results'!$M$34,'Options and results'!$M$33,0)</f>
        <v>0</v>
      </c>
      <c r="Z51" s="1441">
        <f t="shared" si="132"/>
        <v>0</v>
      </c>
      <c r="AA51" s="1441">
        <f t="shared" si="133"/>
        <v>0</v>
      </c>
      <c r="AB51" s="1428">
        <f t="shared" si="134"/>
        <v>0</v>
      </c>
      <c r="AC51" s="1441">
        <f>IF($W$8=0,0,IF(HLOOKUP(CONCATENATE('Options and results'!$C$32," ",Forestrysystem!$C$8),Forestrysystem!$A$7:$IH$70,V51+4,FALSE)&lt;AB51,HLOOKUP(CONCATENATE('Options and results'!$C$32," ",Forestrysystem!$C$8),Forestrysystem!$A$7:$IH$70,V51+4,FALSE),0))</f>
        <v>0</v>
      </c>
      <c r="AD51" s="1441">
        <f>IF($W$8=0,0,IF(HLOOKUP(CONCATENATE('Options and results'!$C$32," ",Forestrysystem!$C$8),Forestrysystem!$A$7:$IH$70,V51+4,FALSE)&gt;=AB51,AB51,0))</f>
        <v>0</v>
      </c>
      <c r="AE51" s="1440">
        <f>IF($W$8=0,0,HLOOKUP(CONCATENATE('Options and results'!$C$32," ",Forestrysystem!$D$8),Forestrysystem!$A$7:$IH$70,$V51+4,FALSE))</f>
        <v>0</v>
      </c>
      <c r="AF51" s="1037"/>
      <c r="AG51" s="1440">
        <f>IF($W$8=0,0,IF(V51=1,'Options and results'!$M$36,0)+IF('Options and results'!$M$39="yes",IF(AND(AG50+'Options and results'!$M$37&lt;=$AF$8,AG50+'Options and results'!$M$37+IF(V51=1,'Options and results'!$M$36,0)&lt;='Options and results'!$M$38*AE51),AG50+'Options and results'!$M$37,AG50),(HLOOKUP(CONCATENATE('Options and results'!$C$32," ",Forestrysystem!$E$8),Forestrysystem!$A$7:$IH$70,V51+4,FALSE))-IF(V51=1,'Options and results'!$M$36,0)))</f>
        <v>0</v>
      </c>
      <c r="AH51" s="1442">
        <f>IF(OR($W$8=0,AB51&lt;=0),0,(HLOOKUP(CONCATENATE('Options and results'!$C$32," ",Forestrysystem!$F$8),Forestrysystem!$A$7:$IH$70,$V51+4,FALSE)) * IF(V51&gt;='Options and results'!$I$19,'Options and results'!$I$18,1) )</f>
        <v>0</v>
      </c>
      <c r="AI51" s="1452">
        <f t="shared" si="179"/>
        <v>0</v>
      </c>
      <c r="AJ51" s="1442">
        <f t="shared" si="135"/>
        <v>0</v>
      </c>
      <c r="AK51" s="1453">
        <f>IF(OR($W$8=0,AE51&lt;=0),0,(HLOOKUP(CONCATENATE('Options and results'!$C$32," ",Forestrysystem!$G$8),Forestrysystem!$A$7:$IH$70,$V51+4,FALSE)) * IF(Y51&gt;='Options and results'!$I$19,'Options and results'!$I$18,1) )</f>
        <v>0</v>
      </c>
      <c r="AL51" s="1453">
        <f>IF($W$8=0,0,HLOOKUP(CONCATENATE('Options and results'!$C$32," ",Forestrysystem!$H$8),Forestrysystem!$A$7:$IH$70,$V51+4,FALSE)*IF(V51&gt;='Options and results'!$I$19,'Options and results'!$I$18,1))</f>
        <v>0</v>
      </c>
      <c r="AM51" s="1383">
        <f>IF($W$8=0,0,HLOOKUP(CONCATENATE('Options and results'!$C$32," ",Forestrysystem!$I$8),Forestrysystem!$A$7:$IH$70,$V51+4,FALSE)*IF(V51&gt;='Options and results'!$I$19,'Options and results'!$I$18,1))</f>
        <v>0</v>
      </c>
      <c r="AN51" s="1382">
        <f>IF(AI51&gt;0,HLOOKUP(AI51,Treevalue!$I$4:$BC$34,'Options and results'!$C$39+1),0)*IF(V51&gt;='Options and results'!$I$21,'Options and results'!$I$20,1)*IF(1+'Options and results'!$Q$20*(V51-1)&gt;0,1+'Options and results'!$Q$20*(V51-1),0)</f>
        <v>0</v>
      </c>
      <c r="AO51" s="1454">
        <f t="shared" si="136"/>
        <v>0</v>
      </c>
      <c r="AP51" s="1454">
        <f t="shared" si="187"/>
        <v>0</v>
      </c>
      <c r="AQ51" s="1454">
        <f>(IF('Options and results'!$C$39&gt;0,IF(V51&lt;='Options and results'!$W$20,VLOOKUP('Options and results'!$C$39,Treevalue!$A$4:$F$34,5,FALSE),0),0)*AK51)*IF(V51&gt;='Options and results'!$I$21,'Options and results'!$I$20,1)*IF(1+'Options and results'!$Q$20*(V51-1)&gt;0,1+'Options and results'!$Q$20*(V51-1),0)-AR51</f>
        <v>0</v>
      </c>
      <c r="AR51" s="1441">
        <f>(IF('Options and results'!$C$39&gt;0,IF(V51&lt;='Options and results'!$W$20,VLOOKUP('Options and results'!$C$39,Treevalue!$A$4:$F$34,5,FALSE),0),0)*AL51)*IF(V51&gt;='Options and results'!$I$21,'Options and results'!$I$20,1)*IF(1+'Options and results'!$Q$20*(V51-1)&gt;0,1+'Options and results'!$Q$20*(V51-1),0)</f>
        <v>0</v>
      </c>
      <c r="AS51" s="1441">
        <f>(IF('Options and results'!$C$39&gt;0,IF(V51&lt;='Options and results'!$W$20,VLOOKUP('Options and results'!$C$39,Treevalue!$A$4:$F$34,6,FALSE),0),0)*AM51)*IF(V51&gt;='Options and results'!$I$21,'Options and results'!$I$20,1)*IF(1+'Options and results'!$Q$20*(V51-1)&gt;0,1+'Options and results'!$Q$20*(V51-1),0)</f>
        <v>0</v>
      </c>
      <c r="AT51" s="1441">
        <f>IF(V51&lt;='Options and results'!$W$20,(IF(AB51&lt;=0,0,IF('Options and results'!$C$43="cost",(IF(V51&lt;='Options and results'!$C$44,BZ51*SUM('Options and results'!$C$45:$C$46),0)),IF('Options and results'!$C$41&gt;0,(IF(VLOOKUP('Options and results'!$C$42,Treegrant!$B$6:$L$42,Treegrant!$C$2,FALSE)=V51,VLOOKUP('Options and results'!$C$42,Treegrant!$B$6:$L$42,Treegrant!$D$2,FALSE),0)+IF(VLOOKUP('Options and results'!$C$42,Treegrant!$B$6:$L$42,Treegrant!$E$2,FALSE)=V51,VLOOKUP('Options and results'!$C$42,Treegrant!$B$6:$L$42,Treegrant!$F$2,FALSE),0)+IF(VLOOKUP('Options and results'!$C$42,Treegrant!$B$6:$L$42,Treegrant!$G$2,FALSE)=V51,VLOOKUP('Options and results'!$C$42,Treegrant!$B$6:$L$42,Treegrant!$H$2,FALSE)))*IF('Options and results'!$C$43="area",1,'Options and results'!$C$43),0)))*IF(V51&gt;='Options and results'!$I$23,'Options and results'!$I$22,1)),0)*IF(1+'Options and results'!$Q$23*(V51-1)&gt;0,1+'Options and results'!$Q$23*(V51-1),0)</f>
        <v>0</v>
      </c>
      <c r="AU51" s="1441">
        <f>IF($W$8=0,0,IF(V51&lt;='Options and results'!$W$20,IF(AB51&lt;=0,0,IF('Options and results'!$C$41&gt;0,IF(AND(VLOOKUP('Options and results'!$C$42,Treegrant!$B$6:$L$42,Treegrant!$J$2,FALSE)&lt;=V51,VLOOKUP('Options and results'!$C$42,Treegrant!$B$6:$L$42,Treegrant!$K$2,FALSE)&gt;=V51),(VLOOKUP('Options and results'!$C$42,Treegrant!$B$6:$L$42,Treegrant!$L$2,FALSE)),0)*IF('Options and results'!$C$47="full",1,'Options and results'!$C$47))*IF(V51&gt;='Options and results'!$I$23,'Options and results'!$I$22,1)),0))*IF(1+'Options and results'!$Q$23*(V51-1)&gt;0,1+'Options and results'!$Q$23*(V51-1),0)</f>
        <v>0</v>
      </c>
      <c r="AV51" s="1032">
        <f>IF($W$8=0,0,IF(V51&lt;='Options and results'!$W$20,IF(AB51&lt;=0,0,(IF('Options and results'!$C$41&gt;0,(IF(AND(VLOOKUP('Options and results'!$C$42,Treegrant!$B$6:$O$42,Treegrant!$M$2,FALSE)&lt;=V51,VLOOKUP('Options and results'!$C$42,Treegrant!$B$6:$O$42,Treegrant!$N$2,FALSE)&gt;=V51),(VLOOKUP('Options and results'!$C$42,Treegrant!$B$6:$O$42,Treegrant!$O$2,FALSE)),0)*IF('Options and results'!$C$48="full",1,'Options and results'!$C$48))+(IF(AND(VLOOKUP('Options and results'!$C$42,Treegrant!$B$6:$R$42,Treegrant!$P$2,FALSE)&lt;=V51,VLOOKUP('Options and results'!$C$42,Treegrant!$B$6:$R$42,Treegrant!$Q$2,FALSE)&gt;=V51),(VLOOKUP('Options and results'!$C$42,Treegrant!$B$6:$R$42,Treegrant!$R$2,FALSE)),0))*IF('Options and results'!$C$49="full",1,'Options and results'!$C$49)))*IF(V51&gt;='Options and results'!$I$23,'Options and results'!$I$22,1)),0))*IF(1+'Options and results'!$Q$23*(V51-1)&gt;0,1+'Options and results'!$Q$23*(V51-1),0)</f>
        <v>0</v>
      </c>
      <c r="AW51" s="1041"/>
      <c r="AX51" s="1042"/>
      <c r="AY51" s="1419">
        <f>IF($W$8=0,0,IF(V51=1,VLOOKUP($W$8,Treecost!$B$6:$AH$49,Treecost!$E$2,FALSE),0)*IF(V51&gt;='Options and results'!$I$25,'Options and results'!$I$24,1))</f>
        <v>0</v>
      </c>
      <c r="AZ51" s="889">
        <f>IF($W$8=0,0,IF(V51=1,VLOOKUP($W$8,Treecost!$B$6:$AH$49,Treecost!$F$2,FALSE),0)*IF(V51&gt;='Options and results'!$I$25,'Options and results'!$I$24,1))</f>
        <v>0</v>
      </c>
      <c r="BA51" s="889">
        <f>IF($W$8=0,0,IF(V51=1,VLOOKUP($W$8,Treecost!$B$6:$AH$49,Treecost!$G$2,FALSE),0)*IF(V51&gt;='Options and results'!$I$25,'Options and results'!$I$24,1))</f>
        <v>0</v>
      </c>
      <c r="BB51" s="889">
        <f>IF($W$8=0,0,IF(V51&lt;='Options and results'!$W$20,((VLOOKUP($W$8,Treecost!$B$6:$AH$49,Treecost!$H$2,FALSE)*(X51+AA51))/60)*IF(V51&gt;='Options and results'!$I$25,'Options and results'!$I$24,1),0))</f>
        <v>0</v>
      </c>
      <c r="BC51" s="889">
        <f>IF($W$8=0,0,IF(V51&lt;='Options and results'!$W$20,(((VLOOKUP($W$8,Treecost!$B$6:$AH$49,Treecost!$I$2,FALSE))*(X51+AA51))/60)*IF(V51&gt;='Options and results'!$I$25,'Options and results'!$I$24,1),0))</f>
        <v>0</v>
      </c>
      <c r="BD51" s="889">
        <f>IF($W$8=0,0,IF(V51&lt;='Options and results'!$W$20,(((VLOOKUP($W$8,Treecost!$B$6:$AH$49,Treecost!$J$2,FALSE))/60)*(X51+AA51))*IF(V51&gt;='Options and results'!$I$25,'Options and results'!$I$24,1),0))</f>
        <v>0</v>
      </c>
      <c r="BE51" s="1019">
        <f>IF($W$8=0,0,IF(V51&lt;='Options and results'!$W$20,(((VLOOKUP($W$8,Treecost!$B$6:$AH$49,Treecost!$C$2,FALSE)+VLOOKUP($W$8,Treecost!$B$6:$AH$49,Treecost!$D$2,FALSE))*(X51+AA51)*IF(1+'Options and results'!$Q$22*(V51-1)&gt;0,1+'Options and results'!$Q$22*(V51-1),0))+((AY51*$AX$8+AZ51*$AX$9+BA51*$AX$10+BB51*$AX$11+BC51*$AX$12+BD51*$AX$13)*IF(1+'Options and results'!$Q$21*(V51-1)&gt;0,1+'Options and results'!$Q$21*(V51-1),0)))*IF(V51&gt;='Options and results'!$I$27,'Options and results'!$I$26,1),0))</f>
        <v>0</v>
      </c>
      <c r="BF51" s="889">
        <f>IF($W$8=0,0,IF(V51&lt;='Options and results'!$W$20,IF(AND(VLOOKUP($W$8,Treecost!$B$6:$AH$49,Treecost!$K$2,FALSE)&lt;=V51,V51&lt;=(VLOOKUP($W$8,Treecost!$B$6:$AH$49,Treecost!$L$2,FALSE))),VLOOKUP($W$8,Treecost!$B$6:$AH$49,Treecost!$M$2,FALSE)*AB51/60,0)*IF(V51&gt;='Options and results'!$I$25,'Options and results'!$I$24,1),0))</f>
        <v>0</v>
      </c>
      <c r="BG51" s="1019">
        <f>IF(BF51&gt;0,(VLOOKUP($W$8,Treecost!$B$6:$AH$49,Treecost!$N$2,FALSE)*AB51*IF(1+'Options and results'!$Q$22*(V51-1)&gt;0,1+'Options and results'!$Q$22*(V51-1),0)+BF51*$AX$14*IF(1+'Options and results'!$Q$21*(V51-1)&gt;0,1+'Options and results'!$Q$21*(V51-1),0)),0)*IF(V51&gt;='Options and results'!$I$27,'Options and results'!$I$26,1)</f>
        <v>0</v>
      </c>
      <c r="BH51" s="889">
        <f>IF(V51&lt;='Options and results'!$W$20,IF(AND(AG51-AG50&gt;0,AG51&gt;'Options and results'!$M$36),(AB51-AC51)*(VLOOKUP($W$8,Treecost!$B$6:$AH$49,Treecost!$Y$2,FALSE)+(VLOOKUP($W$8,Treecost!$B$6:$AH$49,Treecost!$AA$2,FALSE)-VLOOKUP($W$8,Treecost!$B$6:$AH$49,Treecost!$Y$2,FALSE))/(VLOOKUP($W$8,Treecost!$B$6:$AH$49,Treecost!$Z$2,FALSE)-VLOOKUP($W$8,Treecost!$B$6:$AH$49,Treecost!$X$2,FALSE))*(AG51-VLOOKUP($W$8,Treecost!$B$6:$AH$49,Treecost!$X$2,FALSE)))/60,0)*IF(V51&gt;='Options and results'!$I$25,'Options and results'!$I$24,1),0)</f>
        <v>0</v>
      </c>
      <c r="BI51" s="303">
        <f>IF(V51&lt;='Options and results'!$W$20,IF(BH51&gt;0,VLOOKUP($W$8,Treecost!$B$6:$AH$49,Treecost!$AB$2,FALSE)/60*AB51,0)*IF(V51&gt;='Options and results'!$I$25,'Options and results'!$I$24,1),0)*((BH51-(MIN($BH$8:$BH$67)))/((MAX($BH$8:$BH$67))-(MIN($BH$8:$BH$67))))</f>
        <v>0</v>
      </c>
      <c r="BJ51" s="740">
        <f>IF(BH51&gt;0,(BH51*$AX$15+BI51*$AX$19)*IF(1+'Options and results'!$Q$21*(V51-1)&gt;0,1+'Options and results'!$Q$21*(V51-1),0),0)*IF(V51&gt;='Options and results'!$I$27,'Options and results'!$I$26,1)</f>
        <v>0</v>
      </c>
      <c r="BK51" s="891">
        <f>IF($W$8=0,0,IF(V51&lt;='Options and results'!$W$20,IF(VLOOKUP($W$8,Treecost!$B$2:$AH$49,Treecost!$O$2,FALSE)=V51,VLOOKUP($W$8,Treecost!$B$2:$AH$49,Treecost!$P$2,FALSE),0)*IF(V51&gt;='Options and results'!$I$25,'Options and results'!$I$24,1),0))</f>
        <v>0</v>
      </c>
      <c r="BL51" s="889">
        <f>IF($W$8=0,0,IF(V51&lt;='Options and results'!$W$20,IF(AND(V51&gt;VLOOKUP($W$8,Treecost!$B$2:$AH$49,Treecost!$O$2,FALSE),V51&lt;=VLOOKUP($W$8,Treecost!$B$2:$AH$49,Treecost!$R$2,FALSE)),VLOOKUP($W$8,Treecost!$B$2:$AH$49,Treecost!$S$2,FALSE),0)*IF(V51&gt;='Options and results'!$I$25,'Options and results'!$I$24,1),0))</f>
        <v>0</v>
      </c>
      <c r="BM51" s="740">
        <f>IF($W$8=0,0,IF(V51&lt;='Options and results'!$W$20,((IF(VLOOKUP($W$8,Treecost!$B$2:$AH$49,Treecost!$O$2,FALSE)=V51,VLOOKUP($W$8,Treecost!$B$2:$AH$49,Treecost!$Q$2,FALSE),0)+IF(AND(V51&gt;VLOOKUP($W$8,Treecost!$B$2:$AH$49,Treecost!$O$2,FALSE),V51&lt;=VLOOKUP($W$8,Treecost!$B$2:$AH$49,Treecost!$R$2,FALSE)),VLOOKUP($W$8,Treecost!$B$2:$AH$49,Treecost!$T$2,FALSE),0)*IF(1+'Options and results'!$Q$22*(V51-1)&gt;0,1+'Options and results'!$Q$22*(V51-1),0))+(BK51*$AX$16+BL51*$AX$17)*IF(1+'Options and results'!$Q$21*(V51-1)&gt;0,1+'Options and results'!$Q$21*(V51-1),0))*IF(V51&gt;='Options and results'!$I$27,'Options and results'!$I$26,1),0))</f>
        <v>0</v>
      </c>
      <c r="BN51" s="894">
        <f>IF($W$8=0,0,IF(V51&lt;='Options and results'!$W$20,IF(AND(V51&gt;=VLOOKUP($W$8,Treecost!$B$2:$W$49,Treecost!$U$2,FALSE),V51&lt;=VLOOKUP($W$8,Treecost!$B$2:$W$49,Treecost!$V$2,FALSE)),(AB51*VLOOKUP($W$8,Treecost!$B$2:$W$49,Treecost!$W$2,FALSE)/60),0)*IF(V51&gt;='Options and results'!$I$25,'Options and results'!$I$24,1),0))</f>
        <v>0</v>
      </c>
      <c r="BO51" s="740">
        <f>BN51*$AX$18*IF(V51&gt;='Options and results'!$I$27,'Options and results'!$I$26,1)*IF(1+'Options and results'!$Q$21*(V51-1)&gt;0,1+'Options and results'!$Q$21*(V51-1),0)</f>
        <v>0</v>
      </c>
      <c r="BP51" s="894">
        <f>IF(V51&lt;='Options and results'!$W$20,IF(AB51&lt;=0,0,VLOOKUP($W$8,Treecost!$B$6:$AH$49,Treecost!$AC$2,FALSE)+VLOOKUP($W$8,Treecost!$B$6:$AH$49,Treecost!$AD$2,FALSE)+IF(AND(V51&gt;=VLOOKUP($W$8,Treecost!$B$2:$AK$49,Treecost!$AI$2,FALSE),V51&lt;=VLOOKUP($W$8,Treecost!$B$2:$AK$49,Treecost!$AJ$2,FALSE)),(VLOOKUP($W$8,Treecost!$B$2:$AK$49,Treecost!$AK$2,FALSE)),0))*IF(V51&gt;='Options and results'!$I$27,'Options and results'!$I$26,1),0)*IF(1+'Options and results'!$Q$22*(V51-1)&gt;0,1+'Options and results'!$Q$22*(V51-1),0)</f>
        <v>0</v>
      </c>
      <c r="BQ51" s="894">
        <f>IF(V51&lt;='Options and results'!$W$20,IF(AC51&gt;0,VLOOKUP($W$8,Treecost!$B$6:$AH$49,Treecost!$AE$2,FALSE)/60*AC51,0)*IF(V51&gt;='Options and results'!$I$25,'Options and results'!$I$24,1),0)</f>
        <v>0</v>
      </c>
      <c r="BR51" s="740">
        <f>IF(V51&lt;='Options and results'!$W$20,IF(AC51&gt;0,VLOOKUP($W$8,Treecost!$B$6:$AH$49,Treecost!$AF$2,FALSE)/60*AC51,0)*IF(V51&gt;='Options and results'!$I$25,'Options and results'!$I$24,1),0)</f>
        <v>0</v>
      </c>
      <c r="BS51" s="740">
        <f>(BQ51*$AX$20+BR51*$AX$21)*IF(V51&gt;='Options and results'!$I$27,'Options and results'!$I$26,1)*IF(1+'Options and results'!$Q$21*(V51-1)&gt;0,1+'Options and results'!$Q$21*(V51-1),0)</f>
        <v>0</v>
      </c>
      <c r="BT51" s="894">
        <f>IF(V51&lt;='Options and results'!$W$20,IF(AD51&gt;0,(VLOOKUP($W$8,Treecost!$B$6:$AH$49,Treecost!$AG$2,FALSE)/60*AD51)*IF(V51&gt;='Options and results'!$I$25,'Options and results'!$I$24,1),0),0)</f>
        <v>0</v>
      </c>
      <c r="BU51" s="740">
        <f>IF(V51&lt;='Options and results'!$W$20,IF(AD51&gt;0,(VLOOKUP($W$8,Treecost!$B$6:$AH$49,Treecost!$AH$2,FALSE)/60*AD51)*IF(V51&gt;='Options and results'!$I$25,'Options and results'!$I$24,1),0),0)</f>
        <v>0</v>
      </c>
      <c r="BV51" s="740">
        <f>(BT51*$AX$22+BU51*$AX$23)*IF(V51&gt;='Options and results'!$I$27,'Options and results'!$I$26,1)*IF(1+'Options and results'!$Q$21*(V51-1)&gt;0,1+'Options and results'!$Q$21*(V51-1),0)</f>
        <v>0</v>
      </c>
      <c r="BW51" s="1033">
        <f t="shared" si="138"/>
        <v>0</v>
      </c>
      <c r="BX51" s="1027">
        <f t="shared" si="139"/>
        <v>0</v>
      </c>
      <c r="BY51" s="1027">
        <f t="shared" si="140"/>
        <v>0</v>
      </c>
      <c r="BZ51" s="740">
        <f t="shared" si="188"/>
        <v>0</v>
      </c>
      <c r="CA51" s="740">
        <f t="shared" si="141"/>
        <v>0</v>
      </c>
      <c r="CB51" s="894">
        <f>IF($V51&lt;='Options and results'!$W$20,SUM(BX$8:$BX51),0)</f>
        <v>0</v>
      </c>
      <c r="CC51" s="740">
        <f>IF($V51&lt;='Options and results'!$W$20,SUM($BY$8:BY51),0)</f>
        <v>0</v>
      </c>
      <c r="CD51" s="740">
        <f>IF($V51&lt;='Options and results'!$W$20,SUM($BZ$8:BZ51),0)</f>
        <v>0</v>
      </c>
      <c r="CE51" s="740">
        <f>IF(V51&lt;='Options and results'!$W$20,CB51+CC51-CD51,0)</f>
        <v>0</v>
      </c>
      <c r="CF51" s="1381">
        <f t="shared" si="142"/>
        <v>0</v>
      </c>
      <c r="CG51" s="1027">
        <f t="shared" si="143"/>
        <v>0</v>
      </c>
      <c r="CH51" s="1027">
        <f t="shared" si="144"/>
        <v>0</v>
      </c>
      <c r="CI51" s="1189">
        <f>IF(V51&lt;='Options and results'!$W$20,CE51+AO51,0)</f>
        <v>0</v>
      </c>
      <c r="CJ51" s="1023"/>
      <c r="CK51" s="895">
        <f t="shared" si="145"/>
        <v>44</v>
      </c>
      <c r="CL51" s="1011" t="str">
        <f>IF('Options and results'!$C$54="None",0,IF(AND(CK51&gt;='Options and results'!$K$57,CK50&lt;'Options and results'!$W$20),'Options and results'!$K$56,IF(Optimisation!$B$3="No",CONCATENATE('Options and results'!$C$60," ",(HLOOKUP(CONCATENATE('Options and results'!$C$54," ",Agroforestrysystem!$B$12),Agroforestrysystem!$B$11:$IM$74,$CK51+4,FALSE))),Optimisation!AA71)))</f>
        <v xml:space="preserve">UK - Agriculture (BPS: from 2015) </v>
      </c>
      <c r="CM51" s="1012">
        <f>IF(HLOOKUP(CONCATENATE('Options and results'!$C$54," ",Agroforestrysystem!$C$12),Agroforestrysystem!$B$11:$IM$74,$CK51+4,FALSE)="T",(VLOOKUP(CL51,Arablefinance!$Z$6:$AB$105,Arablefinance!$AB$2,FALSE)*CO51+VLOOKUP(CL51,Arablefinance!$Z$6:$AC$105,Arablefinance!$AC$2,FALSE)*CP51)/VLOOKUP(CL51,Arablefinance!$Z$6:$AA$105,Arablefinance!$AA$2,FALSE),0)</f>
        <v>0</v>
      </c>
      <c r="CN51" s="1012">
        <f>IF(CL51=0,0,HLOOKUP(CONCATENATE('Options and results'!$C$54," ",Agroforestrysystem!$D$12),Agroforestrysystem!$B$11:$IM$74,$CK51+4,FALSE))</f>
        <v>0</v>
      </c>
      <c r="CO51" s="1440">
        <f ca="1">IF(CL51=0,0,IF(AND(Optimisation!$B$3="yes",Optimisation!$B$4=1,CK51&gt;Optimisation!$B$9),0,HLOOKUP(CONCATENATE('Options and results'!$C$54," ",Agroforestrysystem!$E$12),Agroforestrysystem!$B$11:$IM$74,$CK51+4,FALSE)*IF(CK51&gt;='Options and results'!$J$19,'Options and results'!$J$18,1)))</f>
        <v>0</v>
      </c>
      <c r="CP51" s="1440">
        <f ca="1">IF(CL51=0,0,IF(AND(Optimisation!$B$3="yes",Optimisation!$B$4=1,CK51&gt;Optimisation!$B$9),0,HLOOKUP(CONCATENATE('Options and results'!$C$54," ",Agroforestrysystem!$F$12),Agroforestrysystem!$B$11:$IM$74,$CK51+4,FALSE)*IF(CK51&gt;='Options and results'!$J$19,'Options and results'!$J$18,1)))</f>
        <v>0</v>
      </c>
      <c r="CQ51" s="1013">
        <f>IF(CN51&lt;=0,0,IF(CK51&lt;='Options and results'!$W$20,IF(CM51&gt;0,VLOOKUP(CL51,Arablefinance!$Z$6:$AE$105,Arablefinance!$AD$2,FALSE)*CM51*CN51,((VLOOKUP(CL51,Arablefinance!$E$6:$H$126,2,FALSE)*CO51+VLOOKUP(CL51,Arablefinance!$E$6:$H$126,3,FALSE)*CP51)*CN51)),0)*IF(CK51&gt;='Options and results'!$J$21,'Options and results'!$J$20,1))*IF(1+'Options and results'!$O$20*(CK51-1)&gt;0,1+'Options and results'!$O$20*(CK51-1),0)</f>
        <v>0</v>
      </c>
      <c r="CR51" s="1441">
        <f>IF(CN51&lt;=0,0,IF(AND(CM51&gt;0,VLOOKUP(CL51,Arablefinance!$Z$6:$AI$105,Arablefinance!$AI$2,FALSE)=2),VLOOKUP(CL51,Arablefinance!$Z$6:$AE$105,Arablefinance!$AE$2,FALSE)*CM51*CN51,IF('Options and results'!$C$62&gt;0,IF(VLOOKUP(CL51,Arablefinance!$E$6:$W$126,Arablefinance!$H$2,FALSE)*(1-Plot!DM51*'Options and results'!$C$62)&gt;0,VLOOKUP(CL51,Arablefinance!$E$6:$W$126,Arablefinance!$H$2,FALSE)*(1-Plot!DM51*'Options and results'!$C$62),0),IF(CK51&lt;='Options and results'!$W$20,(VLOOKUP(CL51,Arablefinance!$E$6:$W$126,Arablefinance!$H$2,FALSE)*IF('Options and results'!$C$61="area",CN51,'Options and results'!$C$61)),0)))*IF(CK51&gt;='Options and results'!$J$23,'Options and results'!$J$22,1))*IF(AND(1+'Options and results'!$O$23*(CK51-1)&gt;0,1+'Options and results'!$O$23*(CK51-1)&gt;'Options and results'!$S$24),1+'Options and results'!$O$23*(CK51-1),'Options and results'!$S$24)</f>
        <v>0</v>
      </c>
      <c r="CS51" s="1441">
        <f t="shared" si="185"/>
        <v>0</v>
      </c>
      <c r="CT51" s="1441">
        <f>IF(CN51&lt;=0,0,IF(CK51&lt;='Options and results'!$W$20,IF(CM51&gt;0,VLOOKUP(CL51,Arablefinance!$Z$6:$AF$105,Arablefinance!$AF$2,FALSE)*CM51*CN51,VLOOKUP(CL51,Arablefinance!$E$6:$X$126,Arablefinance!$R$2,FALSE)*CN51),0)*IF(CK51&gt;='Options and results'!$J$27,'Options and results'!$J$26,1))*IF(1+'Options and results'!$O$22*(CK51-1)&gt;0,1+'Options and results'!$O$22*(CK51-1),0)</f>
        <v>0</v>
      </c>
      <c r="CU51" s="1441">
        <f t="shared" si="186"/>
        <v>0</v>
      </c>
      <c r="CV51" s="1441">
        <f>IF(CN51&lt;=0,0,IF(CK51&lt;='Options and results'!$W$20,IF(CM51&gt;0,VLOOKUP(CL51,Arablefinance!$Z$6:$AG$105,Arablefinance!$AG$2,FALSE)*CM51*CN51,VLOOKUP(CL51,Arablefinance!$E$6:$X$126,Arablefinance!$X$2,FALSE)*CN51),0)*IF(CK51&gt;='Options and results'!$J$27,'Options and results'!$J$26,1))*IF(1+'Options and results'!$O$22*(CK51-1)&gt;0,1+'Options and results'!$O$22*(CK51-1),0)</f>
        <v>0</v>
      </c>
      <c r="CW51" s="1442">
        <f>IF(CN51&lt;=0,0,IF(CK51&lt;='Options and results'!$W$20,'Options and results'!$C$27*IF(CK51&gt;='Options and results'!$J$27,'Options and results'!$J$26,1),0))*IF(1+'Options and results'!$O$21*(CK51-1)&gt;0,1+'Options and results'!$O$21*(CK51-1),0)</f>
        <v>0</v>
      </c>
      <c r="CX51" s="1442">
        <f>IF(CN51&lt;=0,0,IF(CK51&lt;='Options and results'!$W$20,IF(CM51&gt;0,VLOOKUP(CL51,Arablefinance!$Z$6:$AH$105,Arablefinance!$AH$2,FALSE)*CM51*CN51,VLOOKUP(CL51,Arablefinance!$E$6:$W$126,Arablefinance!$V$2,FALSE)*CN51),0)*IF(CK51&gt;='Options and results'!$J$25,'Options and results'!$J$24,1))</f>
        <v>0</v>
      </c>
      <c r="CY51" s="1013">
        <f t="shared" si="148"/>
        <v>0</v>
      </c>
      <c r="CZ51" s="1353">
        <f t="shared" si="149"/>
        <v>0</v>
      </c>
      <c r="DA51" s="1013">
        <f>IF($CK51&lt;='Options and results'!$W$20,SUM($CQ$8:CQ51),0)</f>
        <v>0</v>
      </c>
      <c r="DB51" s="1441">
        <f>IF($CK51&lt;='Options and results'!$W$20,SUM($CR$8:CR51),0)</f>
        <v>0</v>
      </c>
      <c r="DC51" s="1441">
        <f>IF($CK51&lt;='Options and results'!$W$20,SUM($CY$8:CY51),0)</f>
        <v>0</v>
      </c>
      <c r="DD51" s="1189">
        <f>IF(CK51&lt;='Options and results'!$W$20,DA51+DB51-DC51,0)</f>
        <v>0</v>
      </c>
      <c r="DE51" s="401"/>
      <c r="DF51" s="895">
        <f t="shared" si="150"/>
        <v>44</v>
      </c>
      <c r="DG51" s="173"/>
      <c r="DH51" s="1422"/>
      <c r="DI51" s="1427">
        <f>IF(DF51&lt;='Options and results'!$M$61,'Options and results'!$M$60,0)</f>
        <v>0</v>
      </c>
      <c r="DJ51" s="740">
        <f t="shared" si="151"/>
        <v>0</v>
      </c>
      <c r="DK51" s="740">
        <f t="shared" si="152"/>
        <v>0</v>
      </c>
      <c r="DL51" s="1428">
        <f t="shared" si="153"/>
        <v>0</v>
      </c>
      <c r="DM51" s="1429">
        <f>IF($DG$8=0,0,HLOOKUP(CONCATENATE('Options and results'!$C$54," ",Agroforestrysystem!$J$12),Agroforestrysystem!$11:$74,DF51+3,FALSE))/100</f>
        <v>0</v>
      </c>
      <c r="DN51" s="740">
        <f>IF($DG$8=0,0,IF(HLOOKUP(CONCATENATE('Options and results'!$C$54," ",Agroforestrysystem!$H$12),Agroforestrysystem!$11:$74,DF51+4,FALSE)&lt;DL51,HLOOKUP(CONCATENATE('Options and results'!$C$54," ",Agroforestrysystem!$H$12),Agroforestrysystem!$11:$74,DF51+4,FALSE),0))</f>
        <v>0</v>
      </c>
      <c r="DO51" s="1027">
        <f>IF($DG$8=0,0,IF(HLOOKUP(CONCATENATE('Options and results'!$C$54," ",Agroforestrysystem!$H$12),Agroforestrysystem!$11:$74,DF51+4,FALSE)&gt;=DL51,DL51,0))</f>
        <v>0</v>
      </c>
      <c r="DP51" s="1430">
        <f>IF($DG$8=0,0,HLOOKUP(CONCATENATE('Options and results'!$C$54," ",Agroforestrysystem!$I$12),Agroforestrysystem!$11:$74,DF51+4,FALSE))</f>
        <v>0</v>
      </c>
      <c r="DQ51" s="1038"/>
      <c r="DR51" s="1430">
        <f>IF($DG$8=0,0,IF(DF51&gt;'Options and results'!$W$20,0,)+IF(DF51=1,'Options and results'!$M$64)+IF('Options and results'!$M$67="yes",IF(AND(DR50+'Options and results'!$M$65&lt;=$DQ$8,DR50+'Options and results'!$M$65+IF(DF51=1,'Options and results'!$M$64,0)&lt;='Options and results'!$M$66*DP51),DR50+'Options and results'!$M$65,DR50),(HLOOKUP(CONCATENATE('Options and results'!$C$54," ",Agroforestrysystem!$K$12),Agroforestrysystem!$11:$74,DF51+4,FALSE)-IF(DF51=1,'Options and results'!$M$64))))</f>
        <v>0</v>
      </c>
      <c r="DS51" s="1027">
        <f>IF(OR($DG$8=0,DL51=0),0,HLOOKUP(CONCATENATE('Options and results'!$C$54," ",Agroforestrysystem!$L$12),Agroforestrysystem!$11:$74,DF51+4,FALSE)*IF(DF51&gt;='Options and results'!$K$19,'Options and results'!$K$18,1))</f>
        <v>0</v>
      </c>
      <c r="DT51" s="1431">
        <f t="shared" si="154"/>
        <v>0</v>
      </c>
      <c r="DU51" s="889">
        <f t="shared" si="155"/>
        <v>0</v>
      </c>
      <c r="DV51" s="1027">
        <f>IF($DG$8=0,0,(HLOOKUP(CONCATENATE('Options and results'!$C$54," ",Agroforestrysystem!$M$12),Agroforestrysystem!$11:$74,DF51+4,FALSE))*IF(DF51&gt;='Options and results'!$K$19,'Options and results'!$K$18,1))-DW51</f>
        <v>0</v>
      </c>
      <c r="DW51" s="303">
        <f>IF($DG$8=0,0,(HLOOKUP(CONCATENATE('Options and results'!$C$54," ",Agroforestrysystem!$N$12),Agroforestrysystem!$11:$74,DF51+4,FALSE))*IF(DF51&gt;='Options and results'!$K$19,'Options and results'!$K$18,1))</f>
        <v>0</v>
      </c>
      <c r="DX51" s="303">
        <f>IF($DG$8=0,0,HLOOKUP(CONCATENATE('Options and results'!$C$54," ",Agroforestrysystem!$O$12),Agroforestrysystem!$11:$74,DF51+4,FALSE)*IF(DF51&gt;='Options and results'!$K$19,'Options and results'!$K$18,1))</f>
        <v>0</v>
      </c>
      <c r="DY51" s="1192">
        <f>IF(DT51&gt;0,HLOOKUP(DT51,Treevalue!$I$4:$BC$34,'Options and results'!$C$66+1),0)*IF(DF51&gt;='Options and results'!$K$21,'Options and results'!$K$20,1)*IF(1+'Options and results'!$Q$20*(DF51-1)&gt;0,1+'Options and results'!$Q$20*(DF51-1),0)</f>
        <v>0</v>
      </c>
      <c r="DZ51" s="1027">
        <f t="shared" si="156"/>
        <v>0</v>
      </c>
      <c r="EA51" s="1027">
        <f t="shared" si="125"/>
        <v>0</v>
      </c>
      <c r="EB51" s="1027">
        <f>(IF('Options and results'!$C$66&gt;0,IF(DF51&lt;='Options and results'!$W$20,VLOOKUP('Options and results'!$C$66,Treevalue!$A$4:$F$34,5,FALSE),0),0)*DV51)*IF(DF51&gt;='Options and results'!$K$21,'Options and results'!$K$20,1)*IF(1+'Options and results'!$Q$20*(DF51-1)&gt;0,1+'Options and results'!$Q$20*(DF51-1),0)</f>
        <v>0</v>
      </c>
      <c r="EC51" s="740">
        <f>(IF('Options and results'!$C$66&gt;0,IF(DF51&lt;='Options and results'!$W$20,VLOOKUP('Options and results'!$C$66,Treevalue!$A$4:$F$34,5,FALSE),0),0)*DW51)*IF(DF51&gt;='Options and results'!$K$21,'Options and results'!$K$20,1)*IF(1+'Options and results'!$Q$20*(DF51-1)&gt;0,1+'Options and results'!$Q$20*(DF51-1),0)</f>
        <v>0</v>
      </c>
      <c r="ED51" s="889">
        <f>(IF('Options and results'!$C$66&gt;0,IF(DF51&lt;='Options and results'!$W$20,VLOOKUP('Options and results'!$C$66,Treevalue!$A$4:$F$34,6,FALSE),0),0)*DX51)*IF(DF51&gt;='Options and results'!$K$21,'Options and results'!$K$20,1)*IF(1+'Options and results'!$Q$20*(DF51-1)&gt;0,1+'Options and results'!$Q$20*(DF51-1),0)</f>
        <v>0</v>
      </c>
      <c r="EE51" s="740">
        <f>IF(DF51&lt;='Options and results'!$W$20,IF(DL51&lt;=0,0,IF('Options and results'!$C$70="cost",(IF(DF51&lt;='Options and results'!$C$71,FK51*SUM('Options and results'!$C$72:$C$73),0)),IF('Options and results'!$C$68&gt;0,(IF(VLOOKUP('Options and results'!$C$69,Treegrant!$B$6:$L$42,Treegrant!$C$2,FALSE)=DF51,VLOOKUP('Options and results'!$C$69,Treegrant!$B$6:$L$42,Treegrant!$D$2,FALSE),0)+IF(VLOOKUP('Options and results'!$C$69,Treegrant!$B$6:$L$42,Treegrant!$E$2,FALSE)=DF51,VLOOKUP('Options and results'!$C$69,Treegrant!$B$6:$L$42,Treegrant!$F$2,FALSE),0)+IF(VLOOKUP('Options and results'!$C$69,Treegrant!$B$6:$L$42,Treegrant!$G$2,FALSE)=DF51,VLOOKUP('Options and results'!$C$69,Treegrant!$B$6:$L$42,Treegrant!$H$2,FALSE)))*IF('Options and results'!$C$70="area",Unit!C52,'Options and results'!$C$70),0))*IF(DF51&gt;='Options and results'!$K$23,'Options and results'!$K$22,1)),0)*IF(1+'Options and results'!$Q$23*(DF51-1)&gt;0,1+'Options and results'!$Q$23*(DF51-1),0)</f>
        <v>0</v>
      </c>
      <c r="EF51" s="740">
        <f>IF($DG$8=0,0,IF(DF51&lt;='Options and results'!$W$20,IF(DL51&lt;=0,0,IF('Options and results'!$C$68&gt;0,IF(AND(VLOOKUP('Options and results'!$C$69,Treegrant!$B$6:$L$42,Treegrant!$J$2,FALSE)&lt;=DF51,VLOOKUP('Options and results'!$C$69,Treegrant!$B$6:$L$42,Treegrant!$K$2,FALSE)&gt;=DF51),(VLOOKUP('Options and results'!$C$69,Treegrant!$B$6:$L$42,Treegrant!$L$2,FALSE)),0)*IF('Options and results'!$C$74="area",Unit!C52,'Options and results'!$C$74))*IF(DF51&gt;='Options and results'!$K$23,'Options and results'!$K$22,1)),0))*IF(1+'Options and results'!$Q$23*(DF51-1)&gt;0,1+'Options and results'!$Q$23*(DF51-1),0)</f>
        <v>0</v>
      </c>
      <c r="EG51" s="1034">
        <f>IF($DG$8=0,0,IF(DF51&lt;='Options and results'!$W$20,IF(DL51&lt;=0,0,IF('Options and results'!$C$68&gt;0,((IF(AND(VLOOKUP('Options and results'!$C$69,Treegrant!$B$6:$O$42,Treegrant!$M$2,FALSE)&lt;=DF51,VLOOKUP('Options and results'!$C$69,Treegrant!$B$6:$O$42,Treegrant!$N$2,FALSE)&gt;=DF51),(VLOOKUP('Options and results'!$C$69,Treegrant!$B$6:$O$42,Treegrant!$O$2,FALSE)),0)*IF('Options and results'!$C$75="area",Unit!C52,'Options and results'!$C$75))+(IF(AND(VLOOKUP('Options and results'!$C$69,Treegrant!$B$6:$R$42,Treegrant!$P$2,FALSE)&lt;=DF51,VLOOKUP('Options and results'!$C$69,Treegrant!$B$6:$R$42,Treegrant!$Q$2,FALSE)&gt;=DF51),(VLOOKUP('Options and results'!$C$69,Treegrant!$B$6:$R$42,Treegrant!$R$2,FALSE)),0))*IF('Options and results'!$C$76="area",Unit!C52,'Options and results'!$C$76)))*IF(DF51&gt;='Options and results'!$K$23,'Options and results'!$K$22,1)),0))*IF(1+'Options and results'!$Q$23*(DF51-1)&gt;0,1+'Options and results'!$Q$23*(DF51-1),0)</f>
        <v>0</v>
      </c>
      <c r="EH51" s="1041"/>
      <c r="EI51" s="1042"/>
      <c r="EJ51" s="1419">
        <f>IF($DH$8+DK51&lt;1,0,IF(DF51=1,VLOOKUP($DG$8,Treecost!$B$6:$AH$49,Treecost!$E$2,FALSE),0)*IF(DF51&gt;='Options and results'!$K$25,'Options and results'!$K$24,1))</f>
        <v>0</v>
      </c>
      <c r="EK51" s="889">
        <f>IF($DH$8+DK51&lt;1,0,IF(DF51=1,VLOOKUP($DG$8,Treecost!$B$6:$AH$49,Treecost!$F$2,FALSE),0)*IF(DF51&gt;='Options and results'!$K$25,'Options and results'!$K$24,1))</f>
        <v>0</v>
      </c>
      <c r="EL51" s="889">
        <f>IF($DH$8+DK51&lt;1,0,IF(DF51=1,VLOOKUP($DG$8,Treecost!$B$6:$AH$49,Treecost!$G$2,FALSE),0)*IF(DF51&gt;='Options and results'!$K$25,'Options and results'!$K$24,1))</f>
        <v>0</v>
      </c>
      <c r="EM51" s="889">
        <f>IF($DG$8=0,0,IF(DF51&lt;='Options and results'!$W$20,((VLOOKUP($DG$8,Treecost!$B$6:$AH$49,Treecost!$H$2,FALSE)*(DH51+DK51))/60)*IF(DF51&gt;='Options and results'!$K$25,'Options and results'!$K$24,1),0))</f>
        <v>0</v>
      </c>
      <c r="EN51" s="889">
        <f>IF($DG$8=0,0,IF(DF51&lt;='Options and results'!$W$20,(((VLOOKUP($DG$8,Treecost!$B$6:$AH$49,Treecost!$I$2,FALSE))*(DH51+DK51))/60)*IF(DF51&gt;='Options and results'!$K$25,'Options and results'!$K$24,1),0))</f>
        <v>0</v>
      </c>
      <c r="EO51" s="889">
        <f>IF($DG$8=0,0,IF(DF51&lt;='Options and results'!$W$20,(((VLOOKUP($DG$8,Treecost!$B$6:$AH$49,Treecost!$J$2,FALSE))/60)*(DH51+DK51))*IF(DF51&gt;='Options and results'!$K$25,'Options and results'!$K$24,1),0))</f>
        <v>0</v>
      </c>
      <c r="EP51" s="1019">
        <f>IF($DG$8=0,0,IF(DF51&lt;='Options and results'!$W$20,(((VLOOKUP($DG$8,Treecost!$B$6:$AH$49,Treecost!$C$2,FALSE)+VLOOKUP($DG$8,Treecost!$B$6:$AH$49,Treecost!$D$2,FALSE))*(DH51+DK51)*IF(1+'Options and results'!$Q$22*(DF51-1)&gt;0,1+'Options and results'!$Q$22*(DF51-1),0))+(EJ51*$EI$8+EK51*$EI$9+EL51*$EI$10+EM51*$EI$11+EN51*$EI$12+EO51*$EI$13)*IF(1+'Options and results'!$Q$21*(DF51-1)&gt;0,1+'Options and results'!$Q$21*(DF51-1),0))*IF(DF51&gt;='Options and results'!$K$27,'Options and results'!$K$26,1),0))</f>
        <v>0</v>
      </c>
      <c r="EQ51" s="740">
        <f>IF($DG$8=0,0,IF(DF51&lt;='Options and results'!$W$20,IF(AND(VLOOKUP($DG$8,Treecost!$B$6:$AH$49,Treecost!$K$2,FALSE)&lt;=DF51,DF51&lt;=(VLOOKUP($DG$8,Treecost!$B$6:$AH$49,Treecost!$L$2,FALSE))),VLOOKUP($DG$8,Treecost!$B$6:$AH$49,Treecost!$M$2,FALSE)*DL51/60,0)*IF(DF51&gt;='Options and results'!$K$25,'Options and results'!$K$24,1),0))</f>
        <v>0</v>
      </c>
      <c r="ER51" s="1019">
        <f>IF(EQ51&gt;0,(VLOOKUP($DG$8,Treecost!$B$6:$AH$49,Treecost!$N$2,FALSE)*DL51*IF(1+'Options and results'!$Q$22*(DF51-1)&gt;0,1+'Options and results'!$Q$22*(DF51-1),0)+EQ51*$EI$14*IF(1+'Options and results'!$Q$21*(DF51-1)&gt;0,1+'Options and results'!$Q$21*(DF51-1),0)),0)*IF(DF51&gt;='Options and results'!$K$27,'Options and results'!$K$26,1)</f>
        <v>0</v>
      </c>
      <c r="ES51" s="889">
        <f>IF(DF51&lt;='Options and results'!$W$20,IF(AND(DR51-DR50&gt;0,DR51&gt;'Options and results'!$M$64),(DL51-DN51)*(VLOOKUP($DG$8,Treecost!$B$6:$AH$49,Treecost!$Y$2,FALSE)+(VLOOKUP($DG$8,Treecost!$B$6:$AH$49,Treecost!$AA$2,FALSE)-VLOOKUP($DG$8,Treecost!$B$6:$AH$49,Treecost!$Y$2,FALSE))/(VLOOKUP($DG$8,Treecost!$B$6:$AH$49,Treecost!$Z$2,FALSE)-VLOOKUP($DG$8,Treecost!$B$6:$AH$49,Treecost!$X$2,FALSE))*(DR51-VLOOKUP($DG$8,Treecost!$B$6:$AH$49,Treecost!$X$2,FALSE)))/60,0)*IF(DF51&gt;='Options and results'!$K$25,'Options and results'!$K$24,1),0)</f>
        <v>0</v>
      </c>
      <c r="ET51" s="889">
        <f>IF(DF51&lt;='Options and results'!$W$20,IF(ES51&gt;0,VLOOKUP($DG$8,Treecost!$B$6:$AH$49,Treecost!$AB$2,FALSE)/60*DL51,0)*IF(DF51&gt;='Options and results'!$K$25,'Options and results'!$K$24,1),0)*((ES51-(MIN($ES$8:$ES$67)))/((MAX($ES$8:$ES$67))-(MIN($ES$8:$ES$67))))</f>
        <v>0</v>
      </c>
      <c r="EU51" s="740">
        <f>IF(ES51&gt;0,(ES51*$EI$15+ET51*$EI$19)*IF(1+'Options and results'!$Q$21*(DF51-1)&gt;0,1+'Options and results'!$Q$21*(DF51-1),0),0)*IF(DF51&gt;='Options and results'!$K$27,'Options and results'!$K$26,1)</f>
        <v>0</v>
      </c>
      <c r="EV51" s="891">
        <f>IF($DG$8=0,0,IF(DF51&lt;='Options and results'!$W$20,IF(AND(VLOOKUP($DG$8,Treecost!$B$2:$AH$49,Treecost!$O$2,FALSE)=DF51,DF51&lt;=IF(AND(Optimisation!$B$3="Yes",Optimisation!$B$4=1),Optimisation!$B$9)),VLOOKUP($DG$8,Treecost!$B$2:$AH$49,Treecost!$P$2,FALSE)*(1-CN51),0)*IF(DF51&gt;='Options and results'!$K$25,'Options and results'!$K$24,1),0))</f>
        <v>0</v>
      </c>
      <c r="EW51" s="889">
        <f>IF($DG$8=0,0,IF(DF51&lt;='Options and results'!$W$20,IF(AND(DF51&gt;VLOOKUP($DG$8,Treecost!$B$2:$AH$49,Treecost!$O$2,FALSE),DF51&lt;=IF(AND(Optimisation!$B$3="Yes",Optimisation!$B$4=1),Optimisation!$B$9,VLOOKUP($DG$8,Treecost!$B$2:$AH$49,Treecost!$R$2,FALSE))),VLOOKUP($DG$8,Treecost!$B$2:$AH$49,Treecost!$S$2,FALSE)*(1-CN51),0)*IF(DF51&gt;='Options and results'!$K$25,'Options and results'!$K$24,1),0))</f>
        <v>0</v>
      </c>
      <c r="EX51" s="740">
        <f>IF($DG$8=0,0,IF(DF51&lt;='Options and results'!$W$20,(IF(AND(VLOOKUP($DG$8,Treecost!$B$2:$AH$49,Treecost!$O$2,FALSE)=DF51,DF51&lt;=IF(AND(Optimisation!$B$3="Yes",Optimisation!$B$4=1),Optimisation!$B$9)),VLOOKUP($DG$8,Treecost!$B$2:$AH$49,Treecost!$Q$2,FALSE),0)*(1-CN51)+IF(AND(DF51&gt;VLOOKUP($DG$8,Treecost!$B$2:$AH$49,Treecost!$O$2,FALSE),DF51&lt;=IF(AND(Optimisation!$B$3="Yes",Optimisation!$B$4=1),Optimisation!$B$9,VLOOKUP($DG$8,Treecost!$B$2:$AH$49,Treecost!$R$2,FALSE))),VLOOKUP($DG$8,Treecost!$B$2:$AH$49,Treecost!$T$2,FALSE),0)*(1-CN51)+(EV51*$EI$16+EW51*$EI$17))*IF(DF51&gt;='Options and results'!$K$27,'Options and results'!$K$26,1),0))*IF(1+'Options and results'!$Q$21*(DF51-1)&gt;0,1+'Options and results'!$Q$21*(DF51-1),0)</f>
        <v>0</v>
      </c>
      <c r="EY51" s="894">
        <f>IF($DG$8=0,0,IF(DF51&lt;='Options and results'!$W$20,IF(AND(DF51&gt;=VLOOKUP($DG$8,Treecost!$B$2:$W$49,Treecost!$U$2,FALSE),DF51&lt;=VLOOKUP($DG$8,Treecost!$B$2:$W$49,Treecost!$V$2,FALSE)),(DL51*VLOOKUP($DG$8,Treecost!$B$2:$W$49,Treecost!$W$2,FALSE)/60),0)*IF(DF51&gt;='Options and results'!$K$25,'Options and results'!$K$24,1),0))</f>
        <v>0</v>
      </c>
      <c r="EZ51" s="740">
        <f>EY51*$EI$18*IF(DF51&gt;='Options and results'!$K$27,'Options and results'!$K$26,1)*IF(1+'Options and results'!$Q$21*(DF51-1)&gt;0,1+'Options and results'!$Q$21*(DF51-1),0)</f>
        <v>0</v>
      </c>
      <c r="FA51" s="1025">
        <f>IF(DF51&lt;='Options and results'!$W$20,IF(DL51&lt;=0,0,VLOOKUP($DG$8,Treecost!$B$6:$AH$49,Treecost!$AC$2,FALSE)+VLOOKUP($DG$8,Treecost!$B$6:$AH$49,Treecost!$AD$2,FALSE)+IF(AND(DF51&gt;=VLOOKUP($DG$8,Treecost!$B$2:$AK$49,Treecost!$AI$2,FALSE),DF51&lt;=VLOOKUP($DG$8,Treecost!$B$2:$AK$49,Treecost!$AJ$2,FALSE)),VLOOKUP($DG$8,Treecost!$B$2:$AK$49,Treecost!$AK$2,FALSE)*(1-CN51),0))*IF(DF51&gt;='Options and results'!$K$27,'Options and results'!$K$26,1),0)*IF(1+'Options and results'!$Q$22*(DF51-1)&gt;0,1+'Options and results'!$Q$22*(DF51-1),0)</f>
        <v>0</v>
      </c>
      <c r="FB51" s="894">
        <f>IF(DF51&lt;='Options and results'!$W$20,IF(DN51&gt;0,VLOOKUP($DG$8,Treecost!$B$6:$AH$49,Treecost!$AE$2,FALSE)/60*DN51,0)*IF(DF51&gt;='Options and results'!$K$25,'Options and results'!$K$24,1),0)</f>
        <v>0</v>
      </c>
      <c r="FC51" s="740">
        <f>IF(DF51&lt;='Options and results'!$W$20,IF(DN51&gt;0,VLOOKUP($DG$8,Treecost!$B$6:$AH$49,Treecost!$AF$2,FALSE)/60*DN51,0)*IF(DF51&gt;='Options and results'!$K$25,'Options and results'!$K$24,1),0)</f>
        <v>0</v>
      </c>
      <c r="FD51" s="740">
        <f>(FB51*$EI$20+FC51*$EI$21)*IF(DF51&gt;='Options and results'!$K$27,'Options and results'!$K$26,1)*IF(1+'Options and results'!$Q$21*(DF51-1)&gt;0,1+'Options and results'!$Q$21*(DF51-1),0)</f>
        <v>0</v>
      </c>
      <c r="FE51" s="894">
        <f>IF(DF51&lt;='Options and results'!$W$20,IF(DO51&gt;0,(VLOOKUP($DG$8,Treecost!$B$6:$AH$49,Treecost!$AG$2,FALSE)/60*DO51)*IF(DF51&gt;='Options and results'!$K$25,'Options and results'!$K$24,1),0),0)</f>
        <v>0</v>
      </c>
      <c r="FF51" s="740">
        <f>IF(DF51&lt;='Options and results'!$W$20,IF(DO51&gt;0,(VLOOKUP($DG$8,Treecost!$B$6:$AH$49,Treecost!$AH$2,FALSE)/60*DO51)*IF(DF51&gt;='Options and results'!$K$25,'Options and results'!$K$24,1),0),0)</f>
        <v>0</v>
      </c>
      <c r="FG51" s="740">
        <f>(FE51*$EI$22+FF51*$EI$23)*IF(DF51&gt;='Options and results'!$K$27,'Options and results'!$K$26,1)*IF(1+'Options and results'!$Q$21*(DF51-1)&gt;0,1+'Options and results'!$Q$21*(DF51-1),0)</f>
        <v>0</v>
      </c>
      <c r="FH51" s="894">
        <f t="shared" si="157"/>
        <v>0</v>
      </c>
      <c r="FI51" s="1027">
        <f t="shared" si="158"/>
        <v>0</v>
      </c>
      <c r="FJ51" s="1027">
        <f t="shared" si="159"/>
        <v>0</v>
      </c>
      <c r="FK51" s="1027">
        <f t="shared" si="160"/>
        <v>0</v>
      </c>
      <c r="FL51" s="1027">
        <f t="shared" si="190"/>
        <v>0</v>
      </c>
      <c r="FM51" s="1027">
        <f>IF($DF51&lt;='Options and results'!$W$20,SUM(FI$8:$FI51),0)</f>
        <v>0</v>
      </c>
      <c r="FN51" s="1027">
        <f>IF($DF51&lt;='Options and results'!$W$20,SUM($FJ$8:FJ51),0)</f>
        <v>0</v>
      </c>
      <c r="FO51" s="1027">
        <f>IF($DF51&lt;='Options and results'!$W$20,SUM($FK$8:FK51),0)</f>
        <v>0</v>
      </c>
      <c r="FP51" s="1027">
        <f>IF($DF51&lt;='Options and results'!$W$20,FM51+FN51-FO51,0)</f>
        <v>0</v>
      </c>
      <c r="FQ51" s="1027">
        <f t="shared" si="162"/>
        <v>0</v>
      </c>
      <c r="FR51" s="1027">
        <f t="shared" si="163"/>
        <v>0</v>
      </c>
      <c r="FS51" s="1027">
        <f t="shared" si="164"/>
        <v>0</v>
      </c>
      <c r="FT51" s="1189">
        <f>IF(DF51&lt;='Options and results'!$W$20,FP51+DZ51,0)</f>
        <v>0</v>
      </c>
      <c r="FU51" s="401"/>
      <c r="FV51" s="895">
        <f t="shared" si="165"/>
        <v>44</v>
      </c>
      <c r="FW51" s="894">
        <f>G51/(1+'Options and results'!$W$33)^(FV51-1)</f>
        <v>0</v>
      </c>
      <c r="FX51" s="740">
        <f>(AP51+AR51+AS51)/(1+'Options and results'!$W$33)^(FV51-1)</f>
        <v>0</v>
      </c>
      <c r="FY51" s="740">
        <f>CQ51/(1+'Options and results'!$W$33)^(FV51-1)</f>
        <v>0</v>
      </c>
      <c r="FZ51" s="740">
        <f>(EA51+EC51+ED51)/(1+'Options and results'!$W$33)^(FV51-1)</f>
        <v>0</v>
      </c>
      <c r="GA51" s="1019">
        <f t="shared" si="180"/>
        <v>0</v>
      </c>
      <c r="GB51" s="1026">
        <f>(AO51+AQ51)/(1+'Options and results'!$W$33)^(FV51-1)+FX51</f>
        <v>0</v>
      </c>
      <c r="GC51" s="1027">
        <f>IF(FV51&gt;'Options and results'!$W$27,0,GB51-GB50)</f>
        <v>0</v>
      </c>
      <c r="GD51" s="1027">
        <f>(DZ51+EB51)/(1+'Options and results'!$W$33)^(FV51-1)+FZ51</f>
        <v>0</v>
      </c>
      <c r="GE51" s="1379">
        <f>IF(FV51&gt;'Options and results'!$W$27,0,GD51-GD50)</f>
        <v>0</v>
      </c>
      <c r="GF51" s="894">
        <f>IF(FV51&lt;='Options and results'!$W$20,SUM(FW$8:FW51),0)</f>
        <v>0</v>
      </c>
      <c r="GG51" s="740">
        <f>IF(FV51&lt;='Options and results'!$W$20,SUM(FX$8:FX51), 0)</f>
        <v>0</v>
      </c>
      <c r="GH51" s="740">
        <f>IF(FV51&lt;='Options and results'!$W$20,SUM(FY$8:FY51),0)</f>
        <v>0</v>
      </c>
      <c r="GI51" s="740">
        <f>IF(FV51&lt;='Options and results'!$W$20,SUM(FZ$8:FZ51),0)</f>
        <v>0</v>
      </c>
      <c r="GJ51" s="1019">
        <f t="shared" si="166"/>
        <v>0</v>
      </c>
      <c r="GK51" s="894">
        <f>IF(FV51&gt;'Options and results'!$W$27,0,GG51+SUM(GC$8:GC51)-FX51)</f>
        <v>0</v>
      </c>
      <c r="GL51" s="740">
        <f>IF(FV51&lt;='Options and results'!$W$20,SUM(GD$8:GD51),0)</f>
        <v>0</v>
      </c>
      <c r="GM51" s="1034">
        <f t="shared" si="167"/>
        <v>0</v>
      </c>
      <c r="GN51" s="401"/>
      <c r="GO51" s="895">
        <f t="shared" si="168"/>
        <v>44</v>
      </c>
      <c r="GP51" s="894">
        <f>H51/(1+'Options and results'!$W$33)^(GO51-1)</f>
        <v>0</v>
      </c>
      <c r="GQ51" s="740">
        <f>SUM(AT51:AV51)/(1+'Options and results'!$W$33)^(GO51-1)</f>
        <v>0</v>
      </c>
      <c r="GR51" s="740">
        <f>CR51/(1+'Options and results'!$W$33)^(GO51-1)</f>
        <v>0</v>
      </c>
      <c r="GS51" s="740">
        <f>SUM(EE51:EG51)/(1+'Options and results'!$W$33)^(GO51-1)</f>
        <v>0</v>
      </c>
      <c r="GT51" s="1019">
        <f t="shared" si="181"/>
        <v>0</v>
      </c>
      <c r="GU51" s="894">
        <f>IF(GO51&lt;='Options and results'!$W$20,SUM(GP$8:GP51),0)</f>
        <v>0</v>
      </c>
      <c r="GV51" s="740">
        <f>IF(GO51&lt;='Options and results'!$W$20,SUM(GQ$8:GQ51),0)</f>
        <v>0</v>
      </c>
      <c r="GW51" s="740">
        <f>IF(GO51&lt;='Options and results'!$W$20,SUM(GR$8:GR51),0)</f>
        <v>0</v>
      </c>
      <c r="GX51" s="740">
        <f>IF(GO51&lt;='Options and results'!$W$20,SUM(GS$8:GS51),0)</f>
        <v>0</v>
      </c>
      <c r="GY51" s="1034">
        <f>IF(GO51&lt;='Options and results'!$W$20,SUM(GT$8:GT51),0)</f>
        <v>0</v>
      </c>
      <c r="GZ51" s="401"/>
      <c r="HA51" s="895">
        <f t="shared" si="169"/>
        <v>44</v>
      </c>
      <c r="HB51" s="1026">
        <f>(J51+L51+(M51*N51))/(1+'Options and results'!$W$33)^(HA51-1)</f>
        <v>0</v>
      </c>
      <c r="HC51" s="740">
        <f>BZ51/(1+'Options and results'!$W$33)^(HA51-1)</f>
        <v>0</v>
      </c>
      <c r="HD51" s="1027">
        <f>(CT51+CV51+(CW51*CX51))/(1+'Options and results'!$W$33)^(HA51-1)</f>
        <v>0</v>
      </c>
      <c r="HE51" s="740">
        <f>FK51/(1+'Options and results'!$W$33)^(HA51-1)</f>
        <v>0</v>
      </c>
      <c r="HF51" s="1019">
        <f t="shared" si="182"/>
        <v>0</v>
      </c>
      <c r="HG51" s="894">
        <f>IF(HA51&lt;='Options and results'!$W$20,SUM(HB$8:HB51),0)</f>
        <v>0</v>
      </c>
      <c r="HH51" s="740">
        <f>IF(HA51&lt;='Options and results'!$W$20,SUM(HC$8:HC51),0)</f>
        <v>0</v>
      </c>
      <c r="HI51" s="740">
        <f>IF(HA51&lt;='Options and results'!$W$20,SUM(HD$8:HD51),0)</f>
        <v>0</v>
      </c>
      <c r="HJ51" s="740">
        <f>IF(HA51&lt;='Options and results'!$W$20,SUM(HE$8:HE51),0)</f>
        <v>0</v>
      </c>
      <c r="HK51" s="1034">
        <f>IF(HA51&lt;='Options and results'!$W$20,SUM(HF$8:HF51),0)</f>
        <v>0</v>
      </c>
      <c r="HL51" s="405"/>
      <c r="HM51" s="895">
        <f t="shared" si="189"/>
        <v>44</v>
      </c>
      <c r="HN51" s="1026">
        <f t="shared" si="171"/>
        <v>0</v>
      </c>
      <c r="HO51" s="1027">
        <f t="shared" si="172"/>
        <v>0</v>
      </c>
      <c r="HP51" s="1027">
        <f t="shared" si="173"/>
        <v>0</v>
      </c>
      <c r="HQ51" s="1027">
        <f t="shared" si="174"/>
        <v>0</v>
      </c>
      <c r="HR51" s="1027">
        <f t="shared" si="175"/>
        <v>0</v>
      </c>
      <c r="HS51" s="1379">
        <f t="shared" si="176"/>
        <v>0</v>
      </c>
      <c r="HT51" s="1026">
        <f>IF($HM51&lt;='Options and results'!$W$20,SUM(HN$8:HN51),0)</f>
        <v>0</v>
      </c>
      <c r="HU51" s="1027">
        <f>IF($HM51&lt;='Options and results'!$W$20,SUM(HO$8:HO51),0)</f>
        <v>0</v>
      </c>
      <c r="HV51" s="1027">
        <f>IF($HM51&lt;='Options and results'!$W$20,SUM(HP$8:HP51),0)</f>
        <v>0</v>
      </c>
      <c r="HW51" s="1027">
        <f>IF($HM51&lt;='Options and results'!$W$20,SUM(HQ$8:HQ51),0)</f>
        <v>0</v>
      </c>
      <c r="HX51" s="1027">
        <f t="shared" si="177"/>
        <v>0</v>
      </c>
      <c r="HY51" s="1027">
        <f>IF($HM51&lt;='Options and results'!$W$20,SUM(HR$8:HR51),0)</f>
        <v>0</v>
      </c>
      <c r="HZ51" s="1027">
        <f>IF($HM51&lt;='Options and results'!$W$20,SUM(HS$8:HS51),0)</f>
        <v>0</v>
      </c>
      <c r="IA51" s="1189">
        <f t="shared" si="178"/>
        <v>0</v>
      </c>
    </row>
    <row r="52" spans="1:235" x14ac:dyDescent="0.25">
      <c r="A52" s="1010">
        <f t="shared" si="126"/>
        <v>45</v>
      </c>
      <c r="B52" s="1011" t="str">
        <f>IF('Options and results'!$C$17="None",0,CONCATENATE('Options and results'!$C$23," ",(HLOOKUP(CONCATENATE('Options and results'!$C$17," ",Arablesystem!$B$11),Arablesystem!$B$10:$ER$72,$A52+3,FALSE))))</f>
        <v xml:space="preserve">UK - Agriculture (BPS: from 2015) </v>
      </c>
      <c r="C52" s="1012">
        <f>IF(HLOOKUP(CONCATENATE('Options and results'!$C$17," ",Arablesystem!$C$11),Arablesystem!$B$10:$ER$72,$A52+3,FALSE)="T",(VLOOKUP(B52,Arablefinance!$Z$6:$AB$105,Arablefinance!$AB$2,FALSE)*E52+VLOOKUP(B52,Arablefinance!$Z$6:$AC$105,Arablefinance!$AC$2,FALSE)*F52)/VLOOKUP(B52,Arablefinance!$Z$6:$AA$105,Arablefinance!$AA$2,FALSE),0)</f>
        <v>0</v>
      </c>
      <c r="D52" s="1012">
        <f>IF(B52=0,0,HLOOKUP(CONCATENATE('Options and results'!$C$17," ",Arablesystem!$D$11),Arablesystem!$B$10:$ER$72,$A52+3,FALSE))</f>
        <v>0</v>
      </c>
      <c r="E52" s="1440">
        <f>IF(B52=0,0,HLOOKUP(CONCATENATE('Options and results'!$C$17," ",Arablesystem!$E$11),Arablesystem!$B$10:$ER$72,$A52+3,FALSE)*IF(A52&gt;='Options and results'!$H$19,'Options and results'!$H$18,1))</f>
        <v>0</v>
      </c>
      <c r="F52" s="1440">
        <f>IF(B52=0,0,HLOOKUP(CONCATENATE('Options and results'!$C$17," ",Arablesystem!$F$11),Arablesystem!$B$10:$ER$72,$A52+3,FALSE)*IF(A52&gt;='Options and results'!$H$19,'Options and results'!$H$18,1))</f>
        <v>0</v>
      </c>
      <c r="G52" s="1013">
        <f>IF(D52&lt;=0,0,IF(A52&lt;='Options and results'!$W$20,IF(C52&gt;0,VLOOKUP(B52,Arablefinance!$Z$6:$AE$105,Arablefinance!$AD$2,FALSE)*C52*D52,((VLOOKUP(B52,Arablefinance!$E$6:$G$126,Arablefinance!$F$2,FALSE)*(E52*D52)+VLOOKUP(B52,Arablefinance!$E$6:$G$126,Arablefinance!$G$2,FALSE)*(F52*D52)))),0)*IF(A52&gt;='Options and results'!$H$21,'Options and results'!$H$20,1))*IF(1+'Options and results'!$O$20*(A52-1)&gt;0,1+'Options and results'!$O$20*(A52-1),0)</f>
        <v>0</v>
      </c>
      <c r="H52" s="1441">
        <f>IF(D52&lt;=0,0,IF(A52&lt;='Options and results'!$W$20,IF(AND(C52&gt;0,VLOOKUP(B52,Arablefinance!$Z$6:$AI$105,Arablefinance!$AI$2,FALSE)=2),VLOOKUP(B52,Arablefinance!$Z$6:$AE$105,Arablefinance!$AE$2,FALSE)*C52*D52,(VLOOKUP(B52,Arablefinance!$E$6:$H$126,Arablefinance!$H$2,FALSE)*D52))*IF(A52&gt;='Options and results'!$H$23,'Options and results'!$H$22,1),0)*IF(AND(1+'Options and results'!$O$23*(A52-1)&gt;0,1+'Options and results'!$O$23*(A52-1)&gt;'Options and results'!$S$24),1+'Options and results'!$O$23*(A52-1),'Options and results'!$S$24))</f>
        <v>0</v>
      </c>
      <c r="I52" s="1441">
        <f t="shared" si="127"/>
        <v>0</v>
      </c>
      <c r="J52" s="1441">
        <f>IF(D52&lt;=0,0,IF(A52&lt;='Options and results'!$W$20,IF(C52&gt;0,VLOOKUP(B52,Arablefinance!$Z$6:$AF$105,Arablefinance!$AF$2,FALSE)*C52*D52,(VLOOKUP(B52,Arablefinance!$E$6:$X$126,Arablefinance!$R$2,FALSE))*D52),0)*IF(A52&gt;='Options and results'!$H$27,'Options and results'!$H$26,1))*IF(1+'Options and results'!$O$22*(A52-1)&gt;0,1+'Options and results'!$O$22*(A52-1),0)</f>
        <v>0</v>
      </c>
      <c r="K52" s="1441">
        <f t="shared" si="128"/>
        <v>0</v>
      </c>
      <c r="L52" s="1441">
        <f>IF(D52&lt;=0,0,IF(A52&lt;='Options and results'!$W$20,IF(C52&gt;0,VLOOKUP(B52,Arablefinance!$Z$6:$AG$105,Arablefinance!$AG$2,FALSE)*C52*D52,VLOOKUP(B52,Arablefinance!$E$6:$X$126,Arablefinance!$X$2,FALSE)*D52),0)*IF(A52&gt;='Options and results'!$H$27,'Options and results'!$H$26,1))*IF(1+'Options and results'!$O$22*(A52-1)&gt;0,1+'Options and results'!$O$22*(A52-1),0)</f>
        <v>0</v>
      </c>
      <c r="M52" s="1442">
        <f>IF(D52&lt;=0,0,IF(A52&lt;='Options and results'!$W$20,'Options and results'!$C$27,0)*IF(A52&gt;='Options and results'!$H$27,'Options and results'!$H$26,1))*IF(1+'Options and results'!$O$21*(A52-1)&gt;0,1+'Options and results'!$O$21*(A52-1),0)</f>
        <v>0</v>
      </c>
      <c r="N52" s="1442">
        <f>IF(D52&lt;=0,0,IF(A52&lt;='Options and results'!$W$20,IF(C52&gt;0,VLOOKUP(B52,Arablefinance!$Z$6:$AH$105,Arablefinance!$AH$2,FALSE)*C52*D52,VLOOKUP(B52,Arablefinance!$E$6:$W$126,Arablefinance!$V$2,FALSE)*D52),0)*IF(A52&gt;='Options and results'!$H$25,'Options and results'!$H$24,1))</f>
        <v>0</v>
      </c>
      <c r="O52" s="1013">
        <f t="shared" si="129"/>
        <v>0</v>
      </c>
      <c r="P52" s="1353">
        <f t="shared" si="130"/>
        <v>0</v>
      </c>
      <c r="Q52" s="1013">
        <f>IF(A52&lt;='Options and results'!$W$20,SUM(G$8:$G52),0)</f>
        <v>0</v>
      </c>
      <c r="R52" s="1441">
        <f>IF($A52&lt;='Options and results'!$W$20,SUM($H$8:H52),0)</f>
        <v>0</v>
      </c>
      <c r="S52" s="1441">
        <f>IF($A52&lt;='Options and results'!$W$20,SUM($O$8:O52),0)</f>
        <v>0</v>
      </c>
      <c r="T52" s="1032">
        <f>IF(A52&lt;='Options and results'!$W$20,Q52+R52-S52,0)</f>
        <v>0</v>
      </c>
      <c r="U52" s="405"/>
      <c r="V52" s="1010">
        <f t="shared" si="131"/>
        <v>45</v>
      </c>
      <c r="W52" s="173"/>
      <c r="X52" s="1036"/>
      <c r="Y52" s="1030">
        <f>IF(V52&lt;='Options and results'!$M$34,'Options and results'!$M$33,0)</f>
        <v>0</v>
      </c>
      <c r="Z52" s="1441">
        <f t="shared" si="132"/>
        <v>0</v>
      </c>
      <c r="AA52" s="1441">
        <f t="shared" si="133"/>
        <v>0</v>
      </c>
      <c r="AB52" s="1428">
        <f t="shared" si="134"/>
        <v>0</v>
      </c>
      <c r="AC52" s="1441">
        <f>IF($W$8=0,0,IF(HLOOKUP(CONCATENATE('Options and results'!$C$32," ",Forestrysystem!$C$8),Forestrysystem!$A$7:$IH$70,V52+4,FALSE)&lt;AB52,HLOOKUP(CONCATENATE('Options and results'!$C$32," ",Forestrysystem!$C$8),Forestrysystem!$A$7:$IH$70,V52+4,FALSE),0))</f>
        <v>0</v>
      </c>
      <c r="AD52" s="1441">
        <f>IF($W$8=0,0,IF(HLOOKUP(CONCATENATE('Options and results'!$C$32," ",Forestrysystem!$C$8),Forestrysystem!$A$7:$IH$70,V52+4,FALSE)&gt;=AB52,AB52,0))</f>
        <v>0</v>
      </c>
      <c r="AE52" s="1440">
        <f>IF($W$8=0,0,HLOOKUP(CONCATENATE('Options and results'!$C$32," ",Forestrysystem!$D$8),Forestrysystem!$A$7:$IH$70,$V52+4,FALSE))</f>
        <v>0</v>
      </c>
      <c r="AF52" s="1037"/>
      <c r="AG52" s="1440">
        <f>IF($W$8=0,0,IF(V52=1,'Options and results'!$M$36,0)+IF('Options and results'!$M$39="yes",IF(AND(AG51+'Options and results'!$M$37&lt;=$AF$8,AG51+'Options and results'!$M$37+IF(V52=1,'Options and results'!$M$36,0)&lt;='Options and results'!$M$38*AE52),AG51+'Options and results'!$M$37,AG51),(HLOOKUP(CONCATENATE('Options and results'!$C$32," ",Forestrysystem!$E$8),Forestrysystem!$A$7:$IH$70,V52+4,FALSE))-IF(V52=1,'Options and results'!$M$36,0)))</f>
        <v>0</v>
      </c>
      <c r="AH52" s="1442">
        <f>IF(OR($W$8=0,AB52&lt;=0),0,(HLOOKUP(CONCATENATE('Options and results'!$C$32," ",Forestrysystem!$F$8),Forestrysystem!$A$7:$IH$70,$V52+4,FALSE)) * IF(V52&gt;='Options and results'!$I$19,'Options and results'!$I$18,1) )</f>
        <v>0</v>
      </c>
      <c r="AI52" s="1452">
        <f t="shared" si="179"/>
        <v>0</v>
      </c>
      <c r="AJ52" s="1442">
        <f t="shared" si="135"/>
        <v>0</v>
      </c>
      <c r="AK52" s="1453">
        <f>IF(OR($W$8=0,AE52&lt;=0),0,(HLOOKUP(CONCATENATE('Options and results'!$C$32," ",Forestrysystem!$G$8),Forestrysystem!$A$7:$IH$70,$V52+4,FALSE)) * IF(Y52&gt;='Options and results'!$I$19,'Options and results'!$I$18,1) )</f>
        <v>0</v>
      </c>
      <c r="AL52" s="1453">
        <f>IF($W$8=0,0,HLOOKUP(CONCATENATE('Options and results'!$C$32," ",Forestrysystem!$H$8),Forestrysystem!$A$7:$IH$70,$V52+4,FALSE)*IF(V52&gt;='Options and results'!$I$19,'Options and results'!$I$18,1))</f>
        <v>0</v>
      </c>
      <c r="AM52" s="1383">
        <f>IF($W$8=0,0,HLOOKUP(CONCATENATE('Options and results'!$C$32," ",Forestrysystem!$I$8),Forestrysystem!$A$7:$IH$70,$V52+4,FALSE)*IF(V52&gt;='Options and results'!$I$19,'Options and results'!$I$18,1))</f>
        <v>0</v>
      </c>
      <c r="AN52" s="1382">
        <f>IF(AI52&gt;0,HLOOKUP(AI52,Treevalue!$I$4:$BC$34,'Options and results'!$C$39+1),0)*IF(V52&gt;='Options and results'!$I$21,'Options and results'!$I$20,1)*IF(1+'Options and results'!$Q$20*(V52-1)&gt;0,1+'Options and results'!$Q$20*(V52-1),0)</f>
        <v>0</v>
      </c>
      <c r="AO52" s="1454">
        <f t="shared" si="136"/>
        <v>0</v>
      </c>
      <c r="AP52" s="1454">
        <f t="shared" si="187"/>
        <v>0</v>
      </c>
      <c r="AQ52" s="1454">
        <f>(IF('Options and results'!$C$39&gt;0,IF(V52&lt;='Options and results'!$W$20,VLOOKUP('Options and results'!$C$39,Treevalue!$A$4:$F$34,5,FALSE),0),0)*AK52)*IF(V52&gt;='Options and results'!$I$21,'Options and results'!$I$20,1)*IF(1+'Options and results'!$Q$20*(V52-1)&gt;0,1+'Options and results'!$Q$20*(V52-1),0)-AR52</f>
        <v>0</v>
      </c>
      <c r="AR52" s="1441">
        <f>(IF('Options and results'!$C$39&gt;0,IF(V52&lt;='Options and results'!$W$20,VLOOKUP('Options and results'!$C$39,Treevalue!$A$4:$F$34,5,FALSE),0),0)*AL52)*IF(V52&gt;='Options and results'!$I$21,'Options and results'!$I$20,1)*IF(1+'Options and results'!$Q$20*(V52-1)&gt;0,1+'Options and results'!$Q$20*(V52-1),0)</f>
        <v>0</v>
      </c>
      <c r="AS52" s="1441">
        <f>(IF('Options and results'!$C$39&gt;0,IF(V52&lt;='Options and results'!$W$20,VLOOKUP('Options and results'!$C$39,Treevalue!$A$4:$F$34,6,FALSE),0),0)*AM52)*IF(V52&gt;='Options and results'!$I$21,'Options and results'!$I$20,1)*IF(1+'Options and results'!$Q$20*(V52-1)&gt;0,1+'Options and results'!$Q$20*(V52-1),0)</f>
        <v>0</v>
      </c>
      <c r="AT52" s="1441">
        <f>IF(V52&lt;='Options and results'!$W$20,(IF(AB52&lt;=0,0,IF('Options and results'!$C$43="cost",(IF(V52&lt;='Options and results'!$C$44,BZ52*SUM('Options and results'!$C$45:$C$46),0)),IF('Options and results'!$C$41&gt;0,(IF(VLOOKUP('Options and results'!$C$42,Treegrant!$B$6:$L$42,Treegrant!$C$2,FALSE)=V52,VLOOKUP('Options and results'!$C$42,Treegrant!$B$6:$L$42,Treegrant!$D$2,FALSE),0)+IF(VLOOKUP('Options and results'!$C$42,Treegrant!$B$6:$L$42,Treegrant!$E$2,FALSE)=V52,VLOOKUP('Options and results'!$C$42,Treegrant!$B$6:$L$42,Treegrant!$F$2,FALSE),0)+IF(VLOOKUP('Options and results'!$C$42,Treegrant!$B$6:$L$42,Treegrant!$G$2,FALSE)=V52,VLOOKUP('Options and results'!$C$42,Treegrant!$B$6:$L$42,Treegrant!$H$2,FALSE)))*IF('Options and results'!$C$43="area",1,'Options and results'!$C$43),0)))*IF(V52&gt;='Options and results'!$I$23,'Options and results'!$I$22,1)),0)*IF(1+'Options and results'!$Q$23*(V52-1)&gt;0,1+'Options and results'!$Q$23*(V52-1),0)</f>
        <v>0</v>
      </c>
      <c r="AU52" s="1441">
        <f>IF($W$8=0,0,IF(V52&lt;='Options and results'!$W$20,IF(AB52&lt;=0,0,IF('Options and results'!$C$41&gt;0,IF(AND(VLOOKUP('Options and results'!$C$42,Treegrant!$B$6:$L$42,Treegrant!$J$2,FALSE)&lt;=V52,VLOOKUP('Options and results'!$C$42,Treegrant!$B$6:$L$42,Treegrant!$K$2,FALSE)&gt;=V52),(VLOOKUP('Options and results'!$C$42,Treegrant!$B$6:$L$42,Treegrant!$L$2,FALSE)),0)*IF('Options and results'!$C$47="full",1,'Options and results'!$C$47))*IF(V52&gt;='Options and results'!$I$23,'Options and results'!$I$22,1)),0))*IF(1+'Options and results'!$Q$23*(V52-1)&gt;0,1+'Options and results'!$Q$23*(V52-1),0)</f>
        <v>0</v>
      </c>
      <c r="AV52" s="1032">
        <f>IF($W$8=0,0,IF(V52&lt;='Options and results'!$W$20,IF(AB52&lt;=0,0,(IF('Options and results'!$C$41&gt;0,(IF(AND(VLOOKUP('Options and results'!$C$42,Treegrant!$B$6:$O$42,Treegrant!$M$2,FALSE)&lt;=V52,VLOOKUP('Options and results'!$C$42,Treegrant!$B$6:$O$42,Treegrant!$N$2,FALSE)&gt;=V52),(VLOOKUP('Options and results'!$C$42,Treegrant!$B$6:$O$42,Treegrant!$O$2,FALSE)),0)*IF('Options and results'!$C$48="full",1,'Options and results'!$C$48))+(IF(AND(VLOOKUP('Options and results'!$C$42,Treegrant!$B$6:$R$42,Treegrant!$P$2,FALSE)&lt;=V52,VLOOKUP('Options and results'!$C$42,Treegrant!$B$6:$R$42,Treegrant!$Q$2,FALSE)&gt;=V52),(VLOOKUP('Options and results'!$C$42,Treegrant!$B$6:$R$42,Treegrant!$R$2,FALSE)),0))*IF('Options and results'!$C$49="full",1,'Options and results'!$C$49)))*IF(V52&gt;='Options and results'!$I$23,'Options and results'!$I$22,1)),0))*IF(1+'Options and results'!$Q$23*(V52-1)&gt;0,1+'Options and results'!$Q$23*(V52-1),0)</f>
        <v>0</v>
      </c>
      <c r="AW52" s="1041"/>
      <c r="AX52" s="1042"/>
      <c r="AY52" s="1419">
        <f>IF($W$8=0,0,IF(V52=1,VLOOKUP($W$8,Treecost!$B$6:$AH$49,Treecost!$E$2,FALSE),0)*IF(V52&gt;='Options and results'!$I$25,'Options and results'!$I$24,1))</f>
        <v>0</v>
      </c>
      <c r="AZ52" s="889">
        <f>IF($W$8=0,0,IF(V52=1,VLOOKUP($W$8,Treecost!$B$6:$AH$49,Treecost!$F$2,FALSE),0)*IF(V52&gt;='Options and results'!$I$25,'Options and results'!$I$24,1))</f>
        <v>0</v>
      </c>
      <c r="BA52" s="889">
        <f>IF($W$8=0,0,IF(V52=1,VLOOKUP($W$8,Treecost!$B$6:$AH$49,Treecost!$G$2,FALSE),0)*IF(V52&gt;='Options and results'!$I$25,'Options and results'!$I$24,1))</f>
        <v>0</v>
      </c>
      <c r="BB52" s="889">
        <f>IF($W$8=0,0,IF(V52&lt;='Options and results'!$W$20,((VLOOKUP($W$8,Treecost!$B$6:$AH$49,Treecost!$H$2,FALSE)*(X52+AA52))/60)*IF(V52&gt;='Options and results'!$I$25,'Options and results'!$I$24,1),0))</f>
        <v>0</v>
      </c>
      <c r="BC52" s="889">
        <f>IF($W$8=0,0,IF(V52&lt;='Options and results'!$W$20,(((VLOOKUP($W$8,Treecost!$B$6:$AH$49,Treecost!$I$2,FALSE))*(X52+AA52))/60)*IF(V52&gt;='Options and results'!$I$25,'Options and results'!$I$24,1),0))</f>
        <v>0</v>
      </c>
      <c r="BD52" s="889">
        <f>IF($W$8=0,0,IF(V52&lt;='Options and results'!$W$20,(((VLOOKUP($W$8,Treecost!$B$6:$AH$49,Treecost!$J$2,FALSE))/60)*(X52+AA52))*IF(V52&gt;='Options and results'!$I$25,'Options and results'!$I$24,1),0))</f>
        <v>0</v>
      </c>
      <c r="BE52" s="1019">
        <f>IF($W$8=0,0,IF(V52&lt;='Options and results'!$W$20,(((VLOOKUP($W$8,Treecost!$B$6:$AH$49,Treecost!$C$2,FALSE)+VLOOKUP($W$8,Treecost!$B$6:$AH$49,Treecost!$D$2,FALSE))*(X52+AA52)*IF(1+'Options and results'!$Q$22*(V52-1)&gt;0,1+'Options and results'!$Q$22*(V52-1),0))+((AY52*$AX$8+AZ52*$AX$9+BA52*$AX$10+BB52*$AX$11+BC52*$AX$12+BD52*$AX$13)*IF(1+'Options and results'!$Q$21*(V52-1)&gt;0,1+'Options and results'!$Q$21*(V52-1),0)))*IF(V52&gt;='Options and results'!$I$27,'Options and results'!$I$26,1),0))</f>
        <v>0</v>
      </c>
      <c r="BF52" s="889">
        <f>IF($W$8=0,0,IF(V52&lt;='Options and results'!$W$20,IF(AND(VLOOKUP($W$8,Treecost!$B$6:$AH$49,Treecost!$K$2,FALSE)&lt;=V52,V52&lt;=(VLOOKUP($W$8,Treecost!$B$6:$AH$49,Treecost!$L$2,FALSE))),VLOOKUP($W$8,Treecost!$B$6:$AH$49,Treecost!$M$2,FALSE)*AB52/60,0)*IF(V52&gt;='Options and results'!$I$25,'Options and results'!$I$24,1),0))</f>
        <v>0</v>
      </c>
      <c r="BG52" s="1019">
        <f>IF(BF52&gt;0,(VLOOKUP($W$8,Treecost!$B$6:$AH$49,Treecost!$N$2,FALSE)*AB52*IF(1+'Options and results'!$Q$22*(V52-1)&gt;0,1+'Options and results'!$Q$22*(V52-1),0)+BF52*$AX$14*IF(1+'Options and results'!$Q$21*(V52-1)&gt;0,1+'Options and results'!$Q$21*(V52-1),0)),0)*IF(V52&gt;='Options and results'!$I$27,'Options and results'!$I$26,1)</f>
        <v>0</v>
      </c>
      <c r="BH52" s="889">
        <f>IF(V52&lt;='Options and results'!$W$20,IF(AND(AG52-AG51&gt;0,AG52&gt;'Options and results'!$M$36),(AB52-AC52)*(VLOOKUP($W$8,Treecost!$B$6:$AH$49,Treecost!$Y$2,FALSE)+(VLOOKUP($W$8,Treecost!$B$6:$AH$49,Treecost!$AA$2,FALSE)-VLOOKUP($W$8,Treecost!$B$6:$AH$49,Treecost!$Y$2,FALSE))/(VLOOKUP($W$8,Treecost!$B$6:$AH$49,Treecost!$Z$2,FALSE)-VLOOKUP($W$8,Treecost!$B$6:$AH$49,Treecost!$X$2,FALSE))*(AG52-VLOOKUP($W$8,Treecost!$B$6:$AH$49,Treecost!$X$2,FALSE)))/60,0)*IF(V52&gt;='Options and results'!$I$25,'Options and results'!$I$24,1),0)</f>
        <v>0</v>
      </c>
      <c r="BI52" s="303">
        <f>IF(V52&lt;='Options and results'!$W$20,IF(BH52&gt;0,VLOOKUP($W$8,Treecost!$B$6:$AH$49,Treecost!$AB$2,FALSE)/60*AB52,0)*IF(V52&gt;='Options and results'!$I$25,'Options and results'!$I$24,1),0)*((BH52-(MIN($BH$8:$BH$67)))/((MAX($BH$8:$BH$67))-(MIN($BH$8:$BH$67))))</f>
        <v>0</v>
      </c>
      <c r="BJ52" s="740">
        <f>IF(BH52&gt;0,(BH52*$AX$15+BI52*$AX$19)*IF(1+'Options and results'!$Q$21*(V52-1)&gt;0,1+'Options and results'!$Q$21*(V52-1),0),0)*IF(V52&gt;='Options and results'!$I$27,'Options and results'!$I$26,1)</f>
        <v>0</v>
      </c>
      <c r="BK52" s="891">
        <f>IF($W$8=0,0,IF(V52&lt;='Options and results'!$W$20,IF(VLOOKUP($W$8,Treecost!$B$2:$AH$49,Treecost!$O$2,FALSE)=V52,VLOOKUP($W$8,Treecost!$B$2:$AH$49,Treecost!$P$2,FALSE),0)*IF(V52&gt;='Options and results'!$I$25,'Options and results'!$I$24,1),0))</f>
        <v>0</v>
      </c>
      <c r="BL52" s="889">
        <f>IF($W$8=0,0,IF(V52&lt;='Options and results'!$W$20,IF(AND(V52&gt;VLOOKUP($W$8,Treecost!$B$2:$AH$49,Treecost!$O$2,FALSE),V52&lt;=VLOOKUP($W$8,Treecost!$B$2:$AH$49,Treecost!$R$2,FALSE)),VLOOKUP($W$8,Treecost!$B$2:$AH$49,Treecost!$S$2,FALSE),0)*IF(V52&gt;='Options and results'!$I$25,'Options and results'!$I$24,1),0))</f>
        <v>0</v>
      </c>
      <c r="BM52" s="740">
        <f>IF($W$8=0,0,IF(V52&lt;='Options and results'!$W$20,((IF(VLOOKUP($W$8,Treecost!$B$2:$AH$49,Treecost!$O$2,FALSE)=V52,VLOOKUP($W$8,Treecost!$B$2:$AH$49,Treecost!$Q$2,FALSE),0)+IF(AND(V52&gt;VLOOKUP($W$8,Treecost!$B$2:$AH$49,Treecost!$O$2,FALSE),V52&lt;=VLOOKUP($W$8,Treecost!$B$2:$AH$49,Treecost!$R$2,FALSE)),VLOOKUP($W$8,Treecost!$B$2:$AH$49,Treecost!$T$2,FALSE),0)*IF(1+'Options and results'!$Q$22*(V52-1)&gt;0,1+'Options and results'!$Q$22*(V52-1),0))+(BK52*$AX$16+BL52*$AX$17)*IF(1+'Options and results'!$Q$21*(V52-1)&gt;0,1+'Options and results'!$Q$21*(V52-1),0))*IF(V52&gt;='Options and results'!$I$27,'Options and results'!$I$26,1),0))</f>
        <v>0</v>
      </c>
      <c r="BN52" s="894">
        <f>IF($W$8=0,0,IF(V52&lt;='Options and results'!$W$20,IF(AND(V52&gt;=VLOOKUP($W$8,Treecost!$B$2:$W$49,Treecost!$U$2,FALSE),V52&lt;=VLOOKUP($W$8,Treecost!$B$2:$W$49,Treecost!$V$2,FALSE)),(AB52*VLOOKUP($W$8,Treecost!$B$2:$W$49,Treecost!$W$2,FALSE)/60),0)*IF(V52&gt;='Options and results'!$I$25,'Options and results'!$I$24,1),0))</f>
        <v>0</v>
      </c>
      <c r="BO52" s="740">
        <f>BN52*$AX$18*IF(V52&gt;='Options and results'!$I$27,'Options and results'!$I$26,1)*IF(1+'Options and results'!$Q$21*(V52-1)&gt;0,1+'Options and results'!$Q$21*(V52-1),0)</f>
        <v>0</v>
      </c>
      <c r="BP52" s="894">
        <f>IF(V52&lt;='Options and results'!$W$20,IF(AB52&lt;=0,0,VLOOKUP($W$8,Treecost!$B$6:$AH$49,Treecost!$AC$2,FALSE)+VLOOKUP($W$8,Treecost!$B$6:$AH$49,Treecost!$AD$2,FALSE)+IF(AND(V52&gt;=VLOOKUP($W$8,Treecost!$B$2:$AK$49,Treecost!$AI$2,FALSE),V52&lt;=VLOOKUP($W$8,Treecost!$B$2:$AK$49,Treecost!$AJ$2,FALSE)),(VLOOKUP($W$8,Treecost!$B$2:$AK$49,Treecost!$AK$2,FALSE)),0))*IF(V52&gt;='Options and results'!$I$27,'Options and results'!$I$26,1),0)*IF(1+'Options and results'!$Q$22*(V52-1)&gt;0,1+'Options and results'!$Q$22*(V52-1),0)</f>
        <v>0</v>
      </c>
      <c r="BQ52" s="894">
        <f>IF(V52&lt;='Options and results'!$W$20,IF(AC52&gt;0,VLOOKUP($W$8,Treecost!$B$6:$AH$49,Treecost!$AE$2,FALSE)/60*AC52,0)*IF(V52&gt;='Options and results'!$I$25,'Options and results'!$I$24,1),0)</f>
        <v>0</v>
      </c>
      <c r="BR52" s="740">
        <f>IF(V52&lt;='Options and results'!$W$20,IF(AC52&gt;0,VLOOKUP($W$8,Treecost!$B$6:$AH$49,Treecost!$AF$2,FALSE)/60*AC52,0)*IF(V52&gt;='Options and results'!$I$25,'Options and results'!$I$24,1),0)</f>
        <v>0</v>
      </c>
      <c r="BS52" s="740">
        <f>(BQ52*$AX$20+BR52*$AX$21)*IF(V52&gt;='Options and results'!$I$27,'Options and results'!$I$26,1)*IF(1+'Options and results'!$Q$21*(V52-1)&gt;0,1+'Options and results'!$Q$21*(V52-1),0)</f>
        <v>0</v>
      </c>
      <c r="BT52" s="894">
        <f>IF(V52&lt;='Options and results'!$W$20,IF(AD52&gt;0,(VLOOKUP($W$8,Treecost!$B$6:$AH$49,Treecost!$AG$2,FALSE)/60*AD52)*IF(V52&gt;='Options and results'!$I$25,'Options and results'!$I$24,1),0),0)</f>
        <v>0</v>
      </c>
      <c r="BU52" s="740">
        <f>IF(V52&lt;='Options and results'!$W$20,IF(AD52&gt;0,(VLOOKUP($W$8,Treecost!$B$6:$AH$49,Treecost!$AH$2,FALSE)/60*AD52)*IF(V52&gt;='Options and results'!$I$25,'Options and results'!$I$24,1),0),0)</f>
        <v>0</v>
      </c>
      <c r="BV52" s="740">
        <f>(BT52*$AX$22+BU52*$AX$23)*IF(V52&gt;='Options and results'!$I$27,'Options and results'!$I$26,1)*IF(1+'Options and results'!$Q$21*(V52-1)&gt;0,1+'Options and results'!$Q$21*(V52-1),0)</f>
        <v>0</v>
      </c>
      <c r="BW52" s="1033">
        <f t="shared" si="138"/>
        <v>0</v>
      </c>
      <c r="BX52" s="1027">
        <f t="shared" si="139"/>
        <v>0</v>
      </c>
      <c r="BY52" s="1027">
        <f t="shared" si="140"/>
        <v>0</v>
      </c>
      <c r="BZ52" s="740">
        <f t="shared" si="188"/>
        <v>0</v>
      </c>
      <c r="CA52" s="740">
        <f t="shared" si="141"/>
        <v>0</v>
      </c>
      <c r="CB52" s="894">
        <f>IF($V52&lt;='Options and results'!$W$20,SUM(BX$8:$BX52),0)</f>
        <v>0</v>
      </c>
      <c r="CC52" s="740">
        <f>IF($V52&lt;='Options and results'!$W$20,SUM($BY$8:BY52),0)</f>
        <v>0</v>
      </c>
      <c r="CD52" s="740">
        <f>IF($V52&lt;='Options and results'!$W$20,SUM($BZ$8:BZ52),0)</f>
        <v>0</v>
      </c>
      <c r="CE52" s="740">
        <f>IF(V52&lt;='Options and results'!$W$20,CB52+CC52-CD52,0)</f>
        <v>0</v>
      </c>
      <c r="CF52" s="1381">
        <f t="shared" si="142"/>
        <v>0</v>
      </c>
      <c r="CG52" s="1027">
        <f t="shared" si="143"/>
        <v>0</v>
      </c>
      <c r="CH52" s="1027">
        <f t="shared" si="144"/>
        <v>0</v>
      </c>
      <c r="CI52" s="1189">
        <f>IF(V52&lt;='Options and results'!$W$20,CE52+AO52,0)</f>
        <v>0</v>
      </c>
      <c r="CJ52" s="1023"/>
      <c r="CK52" s="895">
        <f t="shared" si="145"/>
        <v>45</v>
      </c>
      <c r="CL52" s="1011" t="str">
        <f>IF('Options and results'!$C$54="None",0,IF(AND(CK52&gt;='Options and results'!$K$57,CK51&lt;'Options and results'!$W$20),'Options and results'!$K$56,IF(Optimisation!$B$3="No",CONCATENATE('Options and results'!$C$60," ",(HLOOKUP(CONCATENATE('Options and results'!$C$54," ",Agroforestrysystem!$B$12),Agroforestrysystem!$B$11:$IM$74,$CK52+4,FALSE))),Optimisation!AA72)))</f>
        <v xml:space="preserve">UK - Agriculture (BPS: from 2015) </v>
      </c>
      <c r="CM52" s="1012">
        <f>IF(HLOOKUP(CONCATENATE('Options and results'!$C$54," ",Agroforestrysystem!$C$12),Agroforestrysystem!$B$11:$IM$74,$CK52+4,FALSE)="T",(VLOOKUP(CL52,Arablefinance!$Z$6:$AB$105,Arablefinance!$AB$2,FALSE)*CO52+VLOOKUP(CL52,Arablefinance!$Z$6:$AC$105,Arablefinance!$AC$2,FALSE)*CP52)/VLOOKUP(CL52,Arablefinance!$Z$6:$AA$105,Arablefinance!$AA$2,FALSE),0)</f>
        <v>0</v>
      </c>
      <c r="CN52" s="1012">
        <f>IF(CL52=0,0,HLOOKUP(CONCATENATE('Options and results'!$C$54," ",Agroforestrysystem!$D$12),Agroforestrysystem!$B$11:$IM$74,$CK52+4,FALSE))</f>
        <v>0</v>
      </c>
      <c r="CO52" s="1440">
        <f ca="1">IF(CL52=0,0,IF(AND(Optimisation!$B$3="yes",Optimisation!$B$4=1,CK52&gt;Optimisation!$B$9),0,HLOOKUP(CONCATENATE('Options and results'!$C$54," ",Agroforestrysystem!$E$12),Agroforestrysystem!$B$11:$IM$74,$CK52+4,FALSE)*IF(CK52&gt;='Options and results'!$J$19,'Options and results'!$J$18,1)))</f>
        <v>0</v>
      </c>
      <c r="CP52" s="1440">
        <f ca="1">IF(CL52=0,0,IF(AND(Optimisation!$B$3="yes",Optimisation!$B$4=1,CK52&gt;Optimisation!$B$9),0,HLOOKUP(CONCATENATE('Options and results'!$C$54," ",Agroforestrysystem!$F$12),Agroforestrysystem!$B$11:$IM$74,$CK52+4,FALSE)*IF(CK52&gt;='Options and results'!$J$19,'Options and results'!$J$18,1)))</f>
        <v>0</v>
      </c>
      <c r="CQ52" s="1013">
        <f>IF(CN52&lt;=0,0,IF(CK52&lt;='Options and results'!$W$20,IF(CM52&gt;0,VLOOKUP(CL52,Arablefinance!$Z$6:$AE$105,Arablefinance!$AD$2,FALSE)*CM52*CN52,((VLOOKUP(CL52,Arablefinance!$E$6:$H$126,2,FALSE)*CO52+VLOOKUP(CL52,Arablefinance!$E$6:$H$126,3,FALSE)*CP52)*CN52)),0)*IF(CK52&gt;='Options and results'!$J$21,'Options and results'!$J$20,1))*IF(1+'Options and results'!$O$20*(CK52-1)&gt;0,1+'Options and results'!$O$20*(CK52-1),0)</f>
        <v>0</v>
      </c>
      <c r="CR52" s="1441">
        <f>IF(CN52&lt;=0,0,IF(AND(CM52&gt;0,VLOOKUP(CL52,Arablefinance!$Z$6:$AI$105,Arablefinance!$AI$2,FALSE)=2),VLOOKUP(CL52,Arablefinance!$Z$6:$AE$105,Arablefinance!$AE$2,FALSE)*CM52*CN52,IF('Options and results'!$C$62&gt;0,IF(VLOOKUP(CL52,Arablefinance!$E$6:$W$126,Arablefinance!$H$2,FALSE)*(1-Plot!DM52*'Options and results'!$C$62)&gt;0,VLOOKUP(CL52,Arablefinance!$E$6:$W$126,Arablefinance!$H$2,FALSE)*(1-Plot!DM52*'Options and results'!$C$62),0),IF(CK52&lt;='Options and results'!$W$20,(VLOOKUP(CL52,Arablefinance!$E$6:$W$126,Arablefinance!$H$2,FALSE)*IF('Options and results'!$C$61="area",CN52,'Options and results'!$C$61)),0)))*IF(CK52&gt;='Options and results'!$J$23,'Options and results'!$J$22,1))*IF(AND(1+'Options and results'!$O$23*(CK52-1)&gt;0,1+'Options and results'!$O$23*(CK52-1)&gt;'Options and results'!$S$24),1+'Options and results'!$O$23*(CK52-1),'Options and results'!$S$24)</f>
        <v>0</v>
      </c>
      <c r="CS52" s="1441">
        <f t="shared" si="185"/>
        <v>0</v>
      </c>
      <c r="CT52" s="1441">
        <f>IF(CN52&lt;=0,0,IF(CK52&lt;='Options and results'!$W$20,IF(CM52&gt;0,VLOOKUP(CL52,Arablefinance!$Z$6:$AF$105,Arablefinance!$AF$2,FALSE)*CM52*CN52,VLOOKUP(CL52,Arablefinance!$E$6:$X$126,Arablefinance!$R$2,FALSE)*CN52),0)*IF(CK52&gt;='Options and results'!$J$27,'Options and results'!$J$26,1))*IF(1+'Options and results'!$O$22*(CK52-1)&gt;0,1+'Options and results'!$O$22*(CK52-1),0)</f>
        <v>0</v>
      </c>
      <c r="CU52" s="1441">
        <f t="shared" si="186"/>
        <v>0</v>
      </c>
      <c r="CV52" s="1441">
        <f>IF(CN52&lt;=0,0,IF(CK52&lt;='Options and results'!$W$20,IF(CM52&gt;0,VLOOKUP(CL52,Arablefinance!$Z$6:$AG$105,Arablefinance!$AG$2,FALSE)*CM52*CN52,VLOOKUP(CL52,Arablefinance!$E$6:$X$126,Arablefinance!$X$2,FALSE)*CN52),0)*IF(CK52&gt;='Options and results'!$J$27,'Options and results'!$J$26,1))*IF(1+'Options and results'!$O$22*(CK52-1)&gt;0,1+'Options and results'!$O$22*(CK52-1),0)</f>
        <v>0</v>
      </c>
      <c r="CW52" s="1442">
        <f>IF(CN52&lt;=0,0,IF(CK52&lt;='Options and results'!$W$20,'Options and results'!$C$27*IF(CK52&gt;='Options and results'!$J$27,'Options and results'!$J$26,1),0))*IF(1+'Options and results'!$O$21*(CK52-1)&gt;0,1+'Options and results'!$O$21*(CK52-1),0)</f>
        <v>0</v>
      </c>
      <c r="CX52" s="1442">
        <f>IF(CN52&lt;=0,0,IF(CK52&lt;='Options and results'!$W$20,IF(CM52&gt;0,VLOOKUP(CL52,Arablefinance!$Z$6:$AH$105,Arablefinance!$AH$2,FALSE)*CM52*CN52,VLOOKUP(CL52,Arablefinance!$E$6:$W$126,Arablefinance!$V$2,FALSE)*CN52),0)*IF(CK52&gt;='Options and results'!$J$25,'Options and results'!$J$24,1))</f>
        <v>0</v>
      </c>
      <c r="CY52" s="1013">
        <f t="shared" si="148"/>
        <v>0</v>
      </c>
      <c r="CZ52" s="1353">
        <f t="shared" si="149"/>
        <v>0</v>
      </c>
      <c r="DA52" s="1013">
        <f>IF($CK52&lt;='Options and results'!$W$20,SUM($CQ$8:CQ52),0)</f>
        <v>0</v>
      </c>
      <c r="DB52" s="1441">
        <f>IF($CK52&lt;='Options and results'!$W$20,SUM($CR$8:CR52),0)</f>
        <v>0</v>
      </c>
      <c r="DC52" s="1441">
        <f>IF($CK52&lt;='Options and results'!$W$20,SUM($CY$8:CY52),0)</f>
        <v>0</v>
      </c>
      <c r="DD52" s="1189">
        <f>IF(CK52&lt;='Options and results'!$W$20,DA52+DB52-DC52,0)</f>
        <v>0</v>
      </c>
      <c r="DE52" s="401"/>
      <c r="DF52" s="895">
        <f t="shared" si="150"/>
        <v>45</v>
      </c>
      <c r="DG52" s="173"/>
      <c r="DH52" s="1422"/>
      <c r="DI52" s="1427">
        <f>IF(DF52&lt;='Options and results'!$M$61,'Options and results'!$M$60,0)</f>
        <v>0</v>
      </c>
      <c r="DJ52" s="740">
        <f t="shared" si="151"/>
        <v>0</v>
      </c>
      <c r="DK52" s="740">
        <f t="shared" si="152"/>
        <v>0</v>
      </c>
      <c r="DL52" s="1428">
        <f t="shared" si="153"/>
        <v>0</v>
      </c>
      <c r="DM52" s="1429">
        <f>IF($DG$8=0,0,HLOOKUP(CONCATENATE('Options and results'!$C$54," ",Agroforestrysystem!$J$12),Agroforestrysystem!$11:$74,DF52+3,FALSE))/100</f>
        <v>0</v>
      </c>
      <c r="DN52" s="740">
        <f>IF($DG$8=0,0,IF(HLOOKUP(CONCATENATE('Options and results'!$C$54," ",Agroforestrysystem!$H$12),Agroforestrysystem!$11:$74,DF52+4,FALSE)&lt;DL52,HLOOKUP(CONCATENATE('Options and results'!$C$54," ",Agroforestrysystem!$H$12),Agroforestrysystem!$11:$74,DF52+4,FALSE),0))</f>
        <v>0</v>
      </c>
      <c r="DO52" s="1027">
        <f>IF($DG$8=0,0,IF(HLOOKUP(CONCATENATE('Options and results'!$C$54," ",Agroforestrysystem!$H$12),Agroforestrysystem!$11:$74,DF52+4,FALSE)&gt;=DL52,DL52,0))</f>
        <v>0</v>
      </c>
      <c r="DP52" s="1430">
        <f>IF($DG$8=0,0,HLOOKUP(CONCATENATE('Options and results'!$C$54," ",Agroforestrysystem!$I$12),Agroforestrysystem!$11:$74,DF52+4,FALSE))</f>
        <v>0</v>
      </c>
      <c r="DQ52" s="1038"/>
      <c r="DR52" s="1430">
        <f>IF($DG$8=0,0,IF(DF52&gt;'Options and results'!$W$20,0,)+IF(DF52=1,'Options and results'!$M$64)+IF('Options and results'!$M$67="yes",IF(AND(DR51+'Options and results'!$M$65&lt;=$DQ$8,DR51+'Options and results'!$M$65+IF(DF52=1,'Options and results'!$M$64,0)&lt;='Options and results'!$M$66*DP52),DR51+'Options and results'!$M$65,DR51),(HLOOKUP(CONCATENATE('Options and results'!$C$54," ",Agroforestrysystem!$K$12),Agroforestrysystem!$11:$74,DF52+4,FALSE)-IF(DF52=1,'Options and results'!$M$64))))</f>
        <v>0</v>
      </c>
      <c r="DS52" s="1027">
        <f>IF(OR($DG$8=0,DL52=0),0,HLOOKUP(CONCATENATE('Options and results'!$C$54," ",Agroforestrysystem!$L$12),Agroforestrysystem!$11:$74,DF52+4,FALSE)*IF(DF52&gt;='Options and results'!$K$19,'Options and results'!$K$18,1))</f>
        <v>0</v>
      </c>
      <c r="DT52" s="1431">
        <f t="shared" si="154"/>
        <v>0</v>
      </c>
      <c r="DU52" s="889">
        <f t="shared" si="155"/>
        <v>0</v>
      </c>
      <c r="DV52" s="1027">
        <f>IF($DG$8=0,0,(HLOOKUP(CONCATENATE('Options and results'!$C$54," ",Agroforestrysystem!$M$12),Agroforestrysystem!$11:$74,DF52+4,FALSE))*IF(DF52&gt;='Options and results'!$K$19,'Options and results'!$K$18,1))-DW52</f>
        <v>0</v>
      </c>
      <c r="DW52" s="303">
        <f>IF($DG$8=0,0,(HLOOKUP(CONCATENATE('Options and results'!$C$54," ",Agroforestrysystem!$N$12),Agroforestrysystem!$11:$74,DF52+4,FALSE))*IF(DF52&gt;='Options and results'!$K$19,'Options and results'!$K$18,1))</f>
        <v>0</v>
      </c>
      <c r="DX52" s="303">
        <f>IF($DG$8=0,0,HLOOKUP(CONCATENATE('Options and results'!$C$54," ",Agroforestrysystem!$O$12),Agroforestrysystem!$11:$74,DF52+4,FALSE)*IF(DF52&gt;='Options and results'!$K$19,'Options and results'!$K$18,1))</f>
        <v>0</v>
      </c>
      <c r="DY52" s="1192">
        <f>IF(DT52&gt;0,HLOOKUP(DT52,Treevalue!$I$4:$BC$34,'Options and results'!$C$66+1),0)*IF(DF52&gt;='Options and results'!$K$21,'Options and results'!$K$20,1)*IF(1+'Options and results'!$Q$20*(DF52-1)&gt;0,1+'Options and results'!$Q$20*(DF52-1),0)</f>
        <v>0</v>
      </c>
      <c r="DZ52" s="1027">
        <f t="shared" si="156"/>
        <v>0</v>
      </c>
      <c r="EA52" s="1027">
        <f t="shared" si="125"/>
        <v>0</v>
      </c>
      <c r="EB52" s="1027">
        <f>(IF('Options and results'!$C$66&gt;0,IF(DF52&lt;='Options and results'!$W$20,VLOOKUP('Options and results'!$C$66,Treevalue!$A$4:$F$34,5,FALSE),0),0)*DV52)*IF(DF52&gt;='Options and results'!$K$21,'Options and results'!$K$20,1)*IF(1+'Options and results'!$Q$20*(DF52-1)&gt;0,1+'Options and results'!$Q$20*(DF52-1),0)</f>
        <v>0</v>
      </c>
      <c r="EC52" s="740">
        <f>(IF('Options and results'!$C$66&gt;0,IF(DF52&lt;='Options and results'!$W$20,VLOOKUP('Options and results'!$C$66,Treevalue!$A$4:$F$34,5,FALSE),0),0)*DW52)*IF(DF52&gt;='Options and results'!$K$21,'Options and results'!$K$20,1)*IF(1+'Options and results'!$Q$20*(DF52-1)&gt;0,1+'Options and results'!$Q$20*(DF52-1),0)</f>
        <v>0</v>
      </c>
      <c r="ED52" s="889">
        <f>(IF('Options and results'!$C$66&gt;0,IF(DF52&lt;='Options and results'!$W$20,VLOOKUP('Options and results'!$C$66,Treevalue!$A$4:$F$34,6,FALSE),0),0)*DX52)*IF(DF52&gt;='Options and results'!$K$21,'Options and results'!$K$20,1)*IF(1+'Options and results'!$Q$20*(DF52-1)&gt;0,1+'Options and results'!$Q$20*(DF52-1),0)</f>
        <v>0</v>
      </c>
      <c r="EE52" s="740">
        <f>IF(DF52&lt;='Options and results'!$W$20,IF(DL52&lt;=0,0,IF('Options and results'!$C$70="cost",(IF(DF52&lt;='Options and results'!$C$71,FK52*SUM('Options and results'!$C$72:$C$73),0)),IF('Options and results'!$C$68&gt;0,(IF(VLOOKUP('Options and results'!$C$69,Treegrant!$B$6:$L$42,Treegrant!$C$2,FALSE)=DF52,VLOOKUP('Options and results'!$C$69,Treegrant!$B$6:$L$42,Treegrant!$D$2,FALSE),0)+IF(VLOOKUP('Options and results'!$C$69,Treegrant!$B$6:$L$42,Treegrant!$E$2,FALSE)=DF52,VLOOKUP('Options and results'!$C$69,Treegrant!$B$6:$L$42,Treegrant!$F$2,FALSE),0)+IF(VLOOKUP('Options and results'!$C$69,Treegrant!$B$6:$L$42,Treegrant!$G$2,FALSE)=DF52,VLOOKUP('Options and results'!$C$69,Treegrant!$B$6:$L$42,Treegrant!$H$2,FALSE)))*IF('Options and results'!$C$70="area",Unit!C53,'Options and results'!$C$70),0))*IF(DF52&gt;='Options and results'!$K$23,'Options and results'!$K$22,1)),0)*IF(1+'Options and results'!$Q$23*(DF52-1)&gt;0,1+'Options and results'!$Q$23*(DF52-1),0)</f>
        <v>0</v>
      </c>
      <c r="EF52" s="740">
        <f>IF($DG$8=0,0,IF(DF52&lt;='Options and results'!$W$20,IF(DL52&lt;=0,0,IF('Options and results'!$C$68&gt;0,IF(AND(VLOOKUP('Options and results'!$C$69,Treegrant!$B$6:$L$42,Treegrant!$J$2,FALSE)&lt;=DF52,VLOOKUP('Options and results'!$C$69,Treegrant!$B$6:$L$42,Treegrant!$K$2,FALSE)&gt;=DF52),(VLOOKUP('Options and results'!$C$69,Treegrant!$B$6:$L$42,Treegrant!$L$2,FALSE)),0)*IF('Options and results'!$C$74="area",Unit!C53,'Options and results'!$C$74))*IF(DF52&gt;='Options and results'!$K$23,'Options and results'!$K$22,1)),0))*IF(1+'Options and results'!$Q$23*(DF52-1)&gt;0,1+'Options and results'!$Q$23*(DF52-1),0)</f>
        <v>0</v>
      </c>
      <c r="EG52" s="1034">
        <f>IF($DG$8=0,0,IF(DF52&lt;='Options and results'!$W$20,IF(DL52&lt;=0,0,IF('Options and results'!$C$68&gt;0,((IF(AND(VLOOKUP('Options and results'!$C$69,Treegrant!$B$6:$O$42,Treegrant!$M$2,FALSE)&lt;=DF52,VLOOKUP('Options and results'!$C$69,Treegrant!$B$6:$O$42,Treegrant!$N$2,FALSE)&gt;=DF52),(VLOOKUP('Options and results'!$C$69,Treegrant!$B$6:$O$42,Treegrant!$O$2,FALSE)),0)*IF('Options and results'!$C$75="area",Unit!C53,'Options and results'!$C$75))+(IF(AND(VLOOKUP('Options and results'!$C$69,Treegrant!$B$6:$R$42,Treegrant!$P$2,FALSE)&lt;=DF52,VLOOKUP('Options and results'!$C$69,Treegrant!$B$6:$R$42,Treegrant!$Q$2,FALSE)&gt;=DF52),(VLOOKUP('Options and results'!$C$69,Treegrant!$B$6:$R$42,Treegrant!$R$2,FALSE)),0))*IF('Options and results'!$C$76="area",Unit!C53,'Options and results'!$C$76)))*IF(DF52&gt;='Options and results'!$K$23,'Options and results'!$K$22,1)),0))*IF(1+'Options and results'!$Q$23*(DF52-1)&gt;0,1+'Options and results'!$Q$23*(DF52-1),0)</f>
        <v>0</v>
      </c>
      <c r="EH52" s="1041"/>
      <c r="EI52" s="1042"/>
      <c r="EJ52" s="1419">
        <f>IF($DH$8+DK52&lt;1,0,IF(DF52=1,VLOOKUP($DG$8,Treecost!$B$6:$AH$49,Treecost!$E$2,FALSE),0)*IF(DF52&gt;='Options and results'!$K$25,'Options and results'!$K$24,1))</f>
        <v>0</v>
      </c>
      <c r="EK52" s="889">
        <f>IF($DH$8+DK52&lt;1,0,IF(DF52=1,VLOOKUP($DG$8,Treecost!$B$6:$AH$49,Treecost!$F$2,FALSE),0)*IF(DF52&gt;='Options and results'!$K$25,'Options and results'!$K$24,1))</f>
        <v>0</v>
      </c>
      <c r="EL52" s="889">
        <f>IF($DH$8+DK52&lt;1,0,IF(DF52=1,VLOOKUP($DG$8,Treecost!$B$6:$AH$49,Treecost!$G$2,FALSE),0)*IF(DF52&gt;='Options and results'!$K$25,'Options and results'!$K$24,1))</f>
        <v>0</v>
      </c>
      <c r="EM52" s="889">
        <f>IF($DG$8=0,0,IF(DF52&lt;='Options and results'!$W$20,((VLOOKUP($DG$8,Treecost!$B$6:$AH$49,Treecost!$H$2,FALSE)*(DH52+DK52))/60)*IF(DF52&gt;='Options and results'!$K$25,'Options and results'!$K$24,1),0))</f>
        <v>0</v>
      </c>
      <c r="EN52" s="889">
        <f>IF($DG$8=0,0,IF(DF52&lt;='Options and results'!$W$20,(((VLOOKUP($DG$8,Treecost!$B$6:$AH$49,Treecost!$I$2,FALSE))*(DH52+DK52))/60)*IF(DF52&gt;='Options and results'!$K$25,'Options and results'!$K$24,1),0))</f>
        <v>0</v>
      </c>
      <c r="EO52" s="889">
        <f>IF($DG$8=0,0,IF(DF52&lt;='Options and results'!$W$20,(((VLOOKUP($DG$8,Treecost!$B$6:$AH$49,Treecost!$J$2,FALSE))/60)*(DH52+DK52))*IF(DF52&gt;='Options and results'!$K$25,'Options and results'!$K$24,1),0))</f>
        <v>0</v>
      </c>
      <c r="EP52" s="1019">
        <f>IF($DG$8=0,0,IF(DF52&lt;='Options and results'!$W$20,(((VLOOKUP($DG$8,Treecost!$B$6:$AH$49,Treecost!$C$2,FALSE)+VLOOKUP($DG$8,Treecost!$B$6:$AH$49,Treecost!$D$2,FALSE))*(DH52+DK52)*IF(1+'Options and results'!$Q$22*(DF52-1)&gt;0,1+'Options and results'!$Q$22*(DF52-1),0))+(EJ52*$EI$8+EK52*$EI$9+EL52*$EI$10+EM52*$EI$11+EN52*$EI$12+EO52*$EI$13)*IF(1+'Options and results'!$Q$21*(DF52-1)&gt;0,1+'Options and results'!$Q$21*(DF52-1),0))*IF(DF52&gt;='Options and results'!$K$27,'Options and results'!$K$26,1),0))</f>
        <v>0</v>
      </c>
      <c r="EQ52" s="740">
        <f>IF($DG$8=0,0,IF(DF52&lt;='Options and results'!$W$20,IF(AND(VLOOKUP($DG$8,Treecost!$B$6:$AH$49,Treecost!$K$2,FALSE)&lt;=DF52,DF52&lt;=(VLOOKUP($DG$8,Treecost!$B$6:$AH$49,Treecost!$L$2,FALSE))),VLOOKUP($DG$8,Treecost!$B$6:$AH$49,Treecost!$M$2,FALSE)*DL52/60,0)*IF(DF52&gt;='Options and results'!$K$25,'Options and results'!$K$24,1),0))</f>
        <v>0</v>
      </c>
      <c r="ER52" s="1019">
        <f>IF(EQ52&gt;0,(VLOOKUP($DG$8,Treecost!$B$6:$AH$49,Treecost!$N$2,FALSE)*DL52*IF(1+'Options and results'!$Q$22*(DF52-1)&gt;0,1+'Options and results'!$Q$22*(DF52-1),0)+EQ52*$EI$14*IF(1+'Options and results'!$Q$21*(DF52-1)&gt;0,1+'Options and results'!$Q$21*(DF52-1),0)),0)*IF(DF52&gt;='Options and results'!$K$27,'Options and results'!$K$26,1)</f>
        <v>0</v>
      </c>
      <c r="ES52" s="889">
        <f>IF(DF52&lt;='Options and results'!$W$20,IF(AND(DR52-DR51&gt;0,DR52&gt;'Options and results'!$M$64),(DL52-DN52)*(VLOOKUP($DG$8,Treecost!$B$6:$AH$49,Treecost!$Y$2,FALSE)+(VLOOKUP($DG$8,Treecost!$B$6:$AH$49,Treecost!$AA$2,FALSE)-VLOOKUP($DG$8,Treecost!$B$6:$AH$49,Treecost!$Y$2,FALSE))/(VLOOKUP($DG$8,Treecost!$B$6:$AH$49,Treecost!$Z$2,FALSE)-VLOOKUP($DG$8,Treecost!$B$6:$AH$49,Treecost!$X$2,FALSE))*(DR52-VLOOKUP($DG$8,Treecost!$B$6:$AH$49,Treecost!$X$2,FALSE)))/60,0)*IF(DF52&gt;='Options and results'!$K$25,'Options and results'!$K$24,1),0)</f>
        <v>0</v>
      </c>
      <c r="ET52" s="889">
        <f>IF(DF52&lt;='Options and results'!$W$20,IF(ES52&gt;0,VLOOKUP($DG$8,Treecost!$B$6:$AH$49,Treecost!$AB$2,FALSE)/60*DL52,0)*IF(DF52&gt;='Options and results'!$K$25,'Options and results'!$K$24,1),0)*((ES52-(MIN($ES$8:$ES$67)))/((MAX($ES$8:$ES$67))-(MIN($ES$8:$ES$67))))</f>
        <v>0</v>
      </c>
      <c r="EU52" s="740">
        <f>IF(ES52&gt;0,(ES52*$EI$15+ET52*$EI$19)*IF(1+'Options and results'!$Q$21*(DF52-1)&gt;0,1+'Options and results'!$Q$21*(DF52-1),0),0)*IF(DF52&gt;='Options and results'!$K$27,'Options and results'!$K$26,1)</f>
        <v>0</v>
      </c>
      <c r="EV52" s="891">
        <f>IF($DG$8=0,0,IF(DF52&lt;='Options and results'!$W$20,IF(AND(VLOOKUP($DG$8,Treecost!$B$2:$AH$49,Treecost!$O$2,FALSE)=DF52,DF52&lt;=IF(AND(Optimisation!$B$3="Yes",Optimisation!$B$4=1),Optimisation!$B$9)),VLOOKUP($DG$8,Treecost!$B$2:$AH$49,Treecost!$P$2,FALSE)*(1-CN52),0)*IF(DF52&gt;='Options and results'!$K$25,'Options and results'!$K$24,1),0))</f>
        <v>0</v>
      </c>
      <c r="EW52" s="889">
        <f>IF($DG$8=0,0,IF(DF52&lt;='Options and results'!$W$20,IF(AND(DF52&gt;VLOOKUP($DG$8,Treecost!$B$2:$AH$49,Treecost!$O$2,FALSE),DF52&lt;=IF(AND(Optimisation!$B$3="Yes",Optimisation!$B$4=1),Optimisation!$B$9,VLOOKUP($DG$8,Treecost!$B$2:$AH$49,Treecost!$R$2,FALSE))),VLOOKUP($DG$8,Treecost!$B$2:$AH$49,Treecost!$S$2,FALSE)*(1-CN52),0)*IF(DF52&gt;='Options and results'!$K$25,'Options and results'!$K$24,1),0))</f>
        <v>0</v>
      </c>
      <c r="EX52" s="740">
        <f>IF($DG$8=0,0,IF(DF52&lt;='Options and results'!$W$20,(IF(AND(VLOOKUP($DG$8,Treecost!$B$2:$AH$49,Treecost!$O$2,FALSE)=DF52,DF52&lt;=IF(AND(Optimisation!$B$3="Yes",Optimisation!$B$4=1),Optimisation!$B$9)),VLOOKUP($DG$8,Treecost!$B$2:$AH$49,Treecost!$Q$2,FALSE),0)*(1-CN52)+IF(AND(DF52&gt;VLOOKUP($DG$8,Treecost!$B$2:$AH$49,Treecost!$O$2,FALSE),DF52&lt;=IF(AND(Optimisation!$B$3="Yes",Optimisation!$B$4=1),Optimisation!$B$9,VLOOKUP($DG$8,Treecost!$B$2:$AH$49,Treecost!$R$2,FALSE))),VLOOKUP($DG$8,Treecost!$B$2:$AH$49,Treecost!$T$2,FALSE),0)*(1-CN52)+(EV52*$EI$16+EW52*$EI$17))*IF(DF52&gt;='Options and results'!$K$27,'Options and results'!$K$26,1),0))*IF(1+'Options and results'!$Q$21*(DF52-1)&gt;0,1+'Options and results'!$Q$21*(DF52-1),0)</f>
        <v>0</v>
      </c>
      <c r="EY52" s="894">
        <f>IF($DG$8=0,0,IF(DF52&lt;='Options and results'!$W$20,IF(AND(DF52&gt;=VLOOKUP($DG$8,Treecost!$B$2:$W$49,Treecost!$U$2,FALSE),DF52&lt;=VLOOKUP($DG$8,Treecost!$B$2:$W$49,Treecost!$V$2,FALSE)),(DL52*VLOOKUP($DG$8,Treecost!$B$2:$W$49,Treecost!$W$2,FALSE)/60),0)*IF(DF52&gt;='Options and results'!$K$25,'Options and results'!$K$24,1),0))</f>
        <v>0</v>
      </c>
      <c r="EZ52" s="740">
        <f>EY52*$EI$18*IF(DF52&gt;='Options and results'!$K$27,'Options and results'!$K$26,1)*IF(1+'Options and results'!$Q$21*(DF52-1)&gt;0,1+'Options and results'!$Q$21*(DF52-1),0)</f>
        <v>0</v>
      </c>
      <c r="FA52" s="1025">
        <f>IF(DF52&lt;='Options and results'!$W$20,IF(DL52&lt;=0,0,VLOOKUP($DG$8,Treecost!$B$6:$AH$49,Treecost!$AC$2,FALSE)+VLOOKUP($DG$8,Treecost!$B$6:$AH$49,Treecost!$AD$2,FALSE)+IF(AND(DF52&gt;=VLOOKUP($DG$8,Treecost!$B$2:$AK$49,Treecost!$AI$2,FALSE),DF52&lt;=VLOOKUP($DG$8,Treecost!$B$2:$AK$49,Treecost!$AJ$2,FALSE)),VLOOKUP($DG$8,Treecost!$B$2:$AK$49,Treecost!$AK$2,FALSE)*(1-CN52),0))*IF(DF52&gt;='Options and results'!$K$27,'Options and results'!$K$26,1),0)*IF(1+'Options and results'!$Q$22*(DF52-1)&gt;0,1+'Options and results'!$Q$22*(DF52-1),0)</f>
        <v>0</v>
      </c>
      <c r="FB52" s="894">
        <f>IF(DF52&lt;='Options and results'!$W$20,IF(DN52&gt;0,VLOOKUP($DG$8,Treecost!$B$6:$AH$49,Treecost!$AE$2,FALSE)/60*DN52,0)*IF(DF52&gt;='Options and results'!$K$25,'Options and results'!$K$24,1),0)</f>
        <v>0</v>
      </c>
      <c r="FC52" s="740">
        <f>IF(DF52&lt;='Options and results'!$W$20,IF(DN52&gt;0,VLOOKUP($DG$8,Treecost!$B$6:$AH$49,Treecost!$AF$2,FALSE)/60*DN52,0)*IF(DF52&gt;='Options and results'!$K$25,'Options and results'!$K$24,1),0)</f>
        <v>0</v>
      </c>
      <c r="FD52" s="740">
        <f>(FB52*$EI$20+FC52*$EI$21)*IF(DF52&gt;='Options and results'!$K$27,'Options and results'!$K$26,1)*IF(1+'Options and results'!$Q$21*(DF52-1)&gt;0,1+'Options and results'!$Q$21*(DF52-1),0)</f>
        <v>0</v>
      </c>
      <c r="FE52" s="894">
        <f>IF(DF52&lt;='Options and results'!$W$20,IF(DO52&gt;0,(VLOOKUP($DG$8,Treecost!$B$6:$AH$49,Treecost!$AG$2,FALSE)/60*DO52)*IF(DF52&gt;='Options and results'!$K$25,'Options and results'!$K$24,1),0),0)</f>
        <v>0</v>
      </c>
      <c r="FF52" s="740">
        <f>IF(DF52&lt;='Options and results'!$W$20,IF(DO52&gt;0,(VLOOKUP($DG$8,Treecost!$B$6:$AH$49,Treecost!$AH$2,FALSE)/60*DO52)*IF(DF52&gt;='Options and results'!$K$25,'Options and results'!$K$24,1),0),0)</f>
        <v>0</v>
      </c>
      <c r="FG52" s="740">
        <f>(FE52*$EI$22+FF52*$EI$23)*IF(DF52&gt;='Options and results'!$K$27,'Options and results'!$K$26,1)*IF(1+'Options and results'!$Q$21*(DF52-1)&gt;0,1+'Options and results'!$Q$21*(DF52-1),0)</f>
        <v>0</v>
      </c>
      <c r="FH52" s="894">
        <f t="shared" si="157"/>
        <v>0</v>
      </c>
      <c r="FI52" s="1027">
        <f t="shared" si="158"/>
        <v>0</v>
      </c>
      <c r="FJ52" s="1027">
        <f t="shared" si="159"/>
        <v>0</v>
      </c>
      <c r="FK52" s="1027">
        <f t="shared" si="160"/>
        <v>0</v>
      </c>
      <c r="FL52" s="1027">
        <f t="shared" si="190"/>
        <v>0</v>
      </c>
      <c r="FM52" s="1027">
        <f>IF($DF52&lt;='Options and results'!$W$20,SUM(FI$8:$FI52),0)</f>
        <v>0</v>
      </c>
      <c r="FN52" s="1027">
        <f>IF($DF52&lt;='Options and results'!$W$20,SUM($FJ$8:FJ52),0)</f>
        <v>0</v>
      </c>
      <c r="FO52" s="1027">
        <f>IF($DF52&lt;='Options and results'!$W$20,SUM($FK$8:FK52),0)</f>
        <v>0</v>
      </c>
      <c r="FP52" s="1027">
        <f>IF($DF52&lt;='Options and results'!$W$20,FM52+FN52-FO52,0)</f>
        <v>0</v>
      </c>
      <c r="FQ52" s="1027">
        <f t="shared" si="162"/>
        <v>0</v>
      </c>
      <c r="FR52" s="1027">
        <f t="shared" si="163"/>
        <v>0</v>
      </c>
      <c r="FS52" s="1027">
        <f t="shared" si="164"/>
        <v>0</v>
      </c>
      <c r="FT52" s="1189">
        <f>IF(DF52&lt;='Options and results'!$W$20,FP52+DZ52,0)</f>
        <v>0</v>
      </c>
      <c r="FU52" s="401"/>
      <c r="FV52" s="895">
        <f t="shared" si="165"/>
        <v>45</v>
      </c>
      <c r="FW52" s="894">
        <f>G52/(1+'Options and results'!$W$33)^(FV52-1)</f>
        <v>0</v>
      </c>
      <c r="FX52" s="740">
        <f>(AP52+AR52+AS52)/(1+'Options and results'!$W$33)^(FV52-1)</f>
        <v>0</v>
      </c>
      <c r="FY52" s="740">
        <f>CQ52/(1+'Options and results'!$W$33)^(FV52-1)</f>
        <v>0</v>
      </c>
      <c r="FZ52" s="740">
        <f>(EA52+EC52+ED52)/(1+'Options and results'!$W$33)^(FV52-1)</f>
        <v>0</v>
      </c>
      <c r="GA52" s="1019">
        <f t="shared" si="180"/>
        <v>0</v>
      </c>
      <c r="GB52" s="1026">
        <f>(AO52+AQ52)/(1+'Options and results'!$W$33)^(FV52-1)+FX52</f>
        <v>0</v>
      </c>
      <c r="GC52" s="1027">
        <f>IF(FV52&gt;'Options and results'!$W$27,0,GB52-GB51)</f>
        <v>0</v>
      </c>
      <c r="GD52" s="1027">
        <f>(DZ52+EB52)/(1+'Options and results'!$W$33)^(FV52-1)+FZ52</f>
        <v>0</v>
      </c>
      <c r="GE52" s="1379">
        <f>IF(FV52&gt;'Options and results'!$W$27,0,GD52-GD51)</f>
        <v>0</v>
      </c>
      <c r="GF52" s="894">
        <f>IF(FV52&lt;='Options and results'!$W$20,SUM(FW$8:FW52),0)</f>
        <v>0</v>
      </c>
      <c r="GG52" s="740">
        <f>IF(FV52&lt;='Options and results'!$W$20,SUM(FX$8:FX52), 0)</f>
        <v>0</v>
      </c>
      <c r="GH52" s="740">
        <f>IF(FV52&lt;='Options and results'!$W$20,SUM(FY$8:FY52),0)</f>
        <v>0</v>
      </c>
      <c r="GI52" s="740">
        <f>IF(FV52&lt;='Options and results'!$W$20,SUM(FZ$8:FZ52),0)</f>
        <v>0</v>
      </c>
      <c r="GJ52" s="1019">
        <f t="shared" si="166"/>
        <v>0</v>
      </c>
      <c r="GK52" s="894">
        <f>IF(FV52&gt;'Options and results'!$W$27,0,GG52+SUM(GC$8:GC52)-FX52)</f>
        <v>0</v>
      </c>
      <c r="GL52" s="740">
        <f>IF(FV52&lt;='Options and results'!$W$20,SUM(GD$8:GD52),0)</f>
        <v>0</v>
      </c>
      <c r="GM52" s="1034">
        <f t="shared" si="167"/>
        <v>0</v>
      </c>
      <c r="GN52" s="401"/>
      <c r="GO52" s="895">
        <f t="shared" si="168"/>
        <v>45</v>
      </c>
      <c r="GP52" s="894">
        <f>H52/(1+'Options and results'!$W$33)^(GO52-1)</f>
        <v>0</v>
      </c>
      <c r="GQ52" s="740">
        <f>SUM(AT52:AV52)/(1+'Options and results'!$W$33)^(GO52-1)</f>
        <v>0</v>
      </c>
      <c r="GR52" s="740">
        <f>CR52/(1+'Options and results'!$W$33)^(GO52-1)</f>
        <v>0</v>
      </c>
      <c r="GS52" s="740">
        <f>SUM(EE52:EG52)/(1+'Options and results'!$W$33)^(GO52-1)</f>
        <v>0</v>
      </c>
      <c r="GT52" s="1019">
        <f t="shared" si="181"/>
        <v>0</v>
      </c>
      <c r="GU52" s="894">
        <f>IF(GO52&lt;='Options and results'!$W$20,SUM(GP$8:GP52),0)</f>
        <v>0</v>
      </c>
      <c r="GV52" s="740">
        <f>IF(GO52&lt;='Options and results'!$W$20,SUM(GQ$8:GQ52),0)</f>
        <v>0</v>
      </c>
      <c r="GW52" s="740">
        <f>IF(GO52&lt;='Options and results'!$W$20,SUM(GR$8:GR52),0)</f>
        <v>0</v>
      </c>
      <c r="GX52" s="740">
        <f>IF(GO52&lt;='Options and results'!$W$20,SUM(GS$8:GS52),0)</f>
        <v>0</v>
      </c>
      <c r="GY52" s="1034">
        <f>IF(GO52&lt;='Options and results'!$W$20,SUM(GT$8:GT52),0)</f>
        <v>0</v>
      </c>
      <c r="GZ52" s="401"/>
      <c r="HA52" s="895">
        <f t="shared" si="169"/>
        <v>45</v>
      </c>
      <c r="HB52" s="1026">
        <f>(J52+L52+(M52*N52))/(1+'Options and results'!$W$33)^(HA52-1)</f>
        <v>0</v>
      </c>
      <c r="HC52" s="740">
        <f>BZ52/(1+'Options and results'!$W$33)^(HA52-1)</f>
        <v>0</v>
      </c>
      <c r="HD52" s="1027">
        <f>(CT52+CV52+(CW52*CX52))/(1+'Options and results'!$W$33)^(HA52-1)</f>
        <v>0</v>
      </c>
      <c r="HE52" s="740">
        <f>FK52/(1+'Options and results'!$W$33)^(HA52-1)</f>
        <v>0</v>
      </c>
      <c r="HF52" s="1019">
        <f t="shared" si="182"/>
        <v>0</v>
      </c>
      <c r="HG52" s="894">
        <f>IF(HA52&lt;='Options and results'!$W$20,SUM(HB$8:HB52),0)</f>
        <v>0</v>
      </c>
      <c r="HH52" s="740">
        <f>IF(HA52&lt;='Options and results'!$W$20,SUM(HC$8:HC52),0)</f>
        <v>0</v>
      </c>
      <c r="HI52" s="740">
        <f>IF(HA52&lt;='Options and results'!$W$20,SUM(HD$8:HD52),0)</f>
        <v>0</v>
      </c>
      <c r="HJ52" s="740">
        <f>IF(HA52&lt;='Options and results'!$W$20,SUM(HE$8:HE52),0)</f>
        <v>0</v>
      </c>
      <c r="HK52" s="1034">
        <f>IF(HA52&lt;='Options and results'!$W$20,SUM(HF$8:HF52),0)</f>
        <v>0</v>
      </c>
      <c r="HL52" s="405"/>
      <c r="HM52" s="895">
        <f t="shared" si="189"/>
        <v>45</v>
      </c>
      <c r="HN52" s="1026">
        <f t="shared" si="171"/>
        <v>0</v>
      </c>
      <c r="HO52" s="1027">
        <f t="shared" si="172"/>
        <v>0</v>
      </c>
      <c r="HP52" s="1027">
        <f t="shared" si="173"/>
        <v>0</v>
      </c>
      <c r="HQ52" s="1027">
        <f t="shared" si="174"/>
        <v>0</v>
      </c>
      <c r="HR52" s="1027">
        <f t="shared" si="175"/>
        <v>0</v>
      </c>
      <c r="HS52" s="1379">
        <f t="shared" si="176"/>
        <v>0</v>
      </c>
      <c r="HT52" s="1026">
        <f>IF($HM52&lt;='Options and results'!$W$20,SUM(HN$8:HN52),0)</f>
        <v>0</v>
      </c>
      <c r="HU52" s="1027">
        <f>IF($HM52&lt;='Options and results'!$W$20,SUM(HO$8:HO52),0)</f>
        <v>0</v>
      </c>
      <c r="HV52" s="1027">
        <f>IF($HM52&lt;='Options and results'!$W$20,SUM(HP$8:HP52),0)</f>
        <v>0</v>
      </c>
      <c r="HW52" s="1027">
        <f>IF($HM52&lt;='Options and results'!$W$20,SUM(HQ$8:HQ52),0)</f>
        <v>0</v>
      </c>
      <c r="HX52" s="1027">
        <f t="shared" si="177"/>
        <v>0</v>
      </c>
      <c r="HY52" s="1027">
        <f>IF($HM52&lt;='Options and results'!$W$20,SUM(HR$8:HR52),0)</f>
        <v>0</v>
      </c>
      <c r="HZ52" s="1027">
        <f>IF($HM52&lt;='Options and results'!$W$20,SUM(HS$8:HS52),0)</f>
        <v>0</v>
      </c>
      <c r="IA52" s="1189">
        <f t="shared" si="178"/>
        <v>0</v>
      </c>
    </row>
    <row r="53" spans="1:235" x14ac:dyDescent="0.25">
      <c r="A53" s="1010">
        <f t="shared" si="126"/>
        <v>46</v>
      </c>
      <c r="B53" s="1011" t="str">
        <f>IF('Options and results'!$C$17="None",0,CONCATENATE('Options and results'!$C$23," ",(HLOOKUP(CONCATENATE('Options and results'!$C$17," ",Arablesystem!$B$11),Arablesystem!$B$10:$ER$72,$A53+3,FALSE))))</f>
        <v xml:space="preserve">UK - Agriculture (BPS: from 2015) </v>
      </c>
      <c r="C53" s="1012">
        <f>IF(HLOOKUP(CONCATENATE('Options and results'!$C$17," ",Arablesystem!$C$11),Arablesystem!$B$10:$ER$72,$A53+3,FALSE)="T",(VLOOKUP(B53,Arablefinance!$Z$6:$AB$105,Arablefinance!$AB$2,FALSE)*E53+VLOOKUP(B53,Arablefinance!$Z$6:$AC$105,Arablefinance!$AC$2,FALSE)*F53)/VLOOKUP(B53,Arablefinance!$Z$6:$AA$105,Arablefinance!$AA$2,FALSE),0)</f>
        <v>0</v>
      </c>
      <c r="D53" s="1012">
        <f>IF(B53=0,0,HLOOKUP(CONCATENATE('Options and results'!$C$17," ",Arablesystem!$D$11),Arablesystem!$B$10:$ER$72,$A53+3,FALSE))</f>
        <v>0</v>
      </c>
      <c r="E53" s="1440">
        <f>IF(B53=0,0,HLOOKUP(CONCATENATE('Options and results'!$C$17," ",Arablesystem!$E$11),Arablesystem!$B$10:$ER$72,$A53+3,FALSE)*IF(A53&gt;='Options and results'!$H$19,'Options and results'!$H$18,1))</f>
        <v>0</v>
      </c>
      <c r="F53" s="1440">
        <f>IF(B53=0,0,HLOOKUP(CONCATENATE('Options and results'!$C$17," ",Arablesystem!$F$11),Arablesystem!$B$10:$ER$72,$A53+3,FALSE)*IF(A53&gt;='Options and results'!$H$19,'Options and results'!$H$18,1))</f>
        <v>0</v>
      </c>
      <c r="G53" s="1013">
        <f>IF(D53&lt;=0,0,IF(A53&lt;='Options and results'!$W$20,IF(C53&gt;0,VLOOKUP(B53,Arablefinance!$Z$6:$AE$105,Arablefinance!$AD$2,FALSE)*C53*D53,((VLOOKUP(B53,Arablefinance!$E$6:$G$126,Arablefinance!$F$2,FALSE)*(E53*D53)+VLOOKUP(B53,Arablefinance!$E$6:$G$126,Arablefinance!$G$2,FALSE)*(F53*D53)))),0)*IF(A53&gt;='Options and results'!$H$21,'Options and results'!$H$20,1))*IF(1+'Options and results'!$O$20*(A53-1)&gt;0,1+'Options and results'!$O$20*(A53-1),0)</f>
        <v>0</v>
      </c>
      <c r="H53" s="1441">
        <f>IF(D53&lt;=0,0,IF(A53&lt;='Options and results'!$W$20,IF(AND(C53&gt;0,VLOOKUP(B53,Arablefinance!$Z$6:$AI$105,Arablefinance!$AI$2,FALSE)=2),VLOOKUP(B53,Arablefinance!$Z$6:$AE$105,Arablefinance!$AE$2,FALSE)*C53*D53,(VLOOKUP(B53,Arablefinance!$E$6:$H$126,Arablefinance!$H$2,FALSE)*D53))*IF(A53&gt;='Options and results'!$H$23,'Options and results'!$H$22,1),0)*IF(AND(1+'Options and results'!$O$23*(A53-1)&gt;0,1+'Options and results'!$O$23*(A53-1)&gt;'Options and results'!$S$24),1+'Options and results'!$O$23*(A53-1),'Options and results'!$S$24))</f>
        <v>0</v>
      </c>
      <c r="I53" s="1441">
        <f t="shared" si="127"/>
        <v>0</v>
      </c>
      <c r="J53" s="1441">
        <f>IF(D53&lt;=0,0,IF(A53&lt;='Options and results'!$W$20,IF(C53&gt;0,VLOOKUP(B53,Arablefinance!$Z$6:$AF$105,Arablefinance!$AF$2,FALSE)*C53*D53,(VLOOKUP(B53,Arablefinance!$E$6:$X$126,Arablefinance!$R$2,FALSE))*D53),0)*IF(A53&gt;='Options and results'!$H$27,'Options and results'!$H$26,1))*IF(1+'Options and results'!$O$22*(A53-1)&gt;0,1+'Options and results'!$O$22*(A53-1),0)</f>
        <v>0</v>
      </c>
      <c r="K53" s="1441">
        <f t="shared" si="128"/>
        <v>0</v>
      </c>
      <c r="L53" s="1441">
        <f>IF(D53&lt;=0,0,IF(A53&lt;='Options and results'!$W$20,IF(C53&gt;0,VLOOKUP(B53,Arablefinance!$Z$6:$AG$105,Arablefinance!$AG$2,FALSE)*C53*D53,VLOOKUP(B53,Arablefinance!$E$6:$X$126,Arablefinance!$X$2,FALSE)*D53),0)*IF(A53&gt;='Options and results'!$H$27,'Options and results'!$H$26,1))*IF(1+'Options and results'!$O$22*(A53-1)&gt;0,1+'Options and results'!$O$22*(A53-1),0)</f>
        <v>0</v>
      </c>
      <c r="M53" s="1442">
        <f>IF(D53&lt;=0,0,IF(A53&lt;='Options and results'!$W$20,'Options and results'!$C$27,0)*IF(A53&gt;='Options and results'!$H$27,'Options and results'!$H$26,1))*IF(1+'Options and results'!$O$21*(A53-1)&gt;0,1+'Options and results'!$O$21*(A53-1),0)</f>
        <v>0</v>
      </c>
      <c r="N53" s="1442">
        <f>IF(D53&lt;=0,0,IF(A53&lt;='Options and results'!$W$20,IF(C53&gt;0,VLOOKUP(B53,Arablefinance!$Z$6:$AH$105,Arablefinance!$AH$2,FALSE)*C53*D53,VLOOKUP(B53,Arablefinance!$E$6:$W$126,Arablefinance!$V$2,FALSE)*D53),0)*IF(A53&gt;='Options and results'!$H$25,'Options and results'!$H$24,1))</f>
        <v>0</v>
      </c>
      <c r="O53" s="1013">
        <f t="shared" si="129"/>
        <v>0</v>
      </c>
      <c r="P53" s="1353">
        <f t="shared" si="130"/>
        <v>0</v>
      </c>
      <c r="Q53" s="1013">
        <f>IF(A53&lt;='Options and results'!$W$20,SUM(G$8:$G53),0)</f>
        <v>0</v>
      </c>
      <c r="R53" s="1441">
        <f>IF($A53&lt;='Options and results'!$W$20,SUM($H$8:H53),0)</f>
        <v>0</v>
      </c>
      <c r="S53" s="1441">
        <f>IF($A53&lt;='Options and results'!$W$20,SUM($O$8:O53),0)</f>
        <v>0</v>
      </c>
      <c r="T53" s="1032">
        <f>IF(A53&lt;='Options and results'!$W$20,Q53+R53-S53,0)</f>
        <v>0</v>
      </c>
      <c r="U53" s="405"/>
      <c r="V53" s="1010">
        <f t="shared" si="131"/>
        <v>46</v>
      </c>
      <c r="W53" s="173"/>
      <c r="X53" s="1036"/>
      <c r="Y53" s="1030">
        <f>IF(V53&lt;='Options and results'!$M$34,'Options and results'!$M$33,0)</f>
        <v>0</v>
      </c>
      <c r="Z53" s="1441">
        <f t="shared" si="132"/>
        <v>0</v>
      </c>
      <c r="AA53" s="1441">
        <f t="shared" si="133"/>
        <v>0</v>
      </c>
      <c r="AB53" s="1428">
        <f t="shared" si="134"/>
        <v>0</v>
      </c>
      <c r="AC53" s="1441">
        <f>IF($W$8=0,0,IF(HLOOKUP(CONCATENATE('Options and results'!$C$32," ",Forestrysystem!$C$8),Forestrysystem!$A$7:$IH$70,V53+4,FALSE)&lt;AB53,HLOOKUP(CONCATENATE('Options and results'!$C$32," ",Forestrysystem!$C$8),Forestrysystem!$A$7:$IH$70,V53+4,FALSE),0))</f>
        <v>0</v>
      </c>
      <c r="AD53" s="1441">
        <f>IF($W$8=0,0,IF(HLOOKUP(CONCATENATE('Options and results'!$C$32," ",Forestrysystem!$C$8),Forestrysystem!$A$7:$IH$70,V53+4,FALSE)&gt;=AB53,AB53,0))</f>
        <v>0</v>
      </c>
      <c r="AE53" s="1440">
        <f>IF($W$8=0,0,HLOOKUP(CONCATENATE('Options and results'!$C$32," ",Forestrysystem!$D$8),Forestrysystem!$A$7:$IH$70,$V53+4,FALSE))</f>
        <v>0</v>
      </c>
      <c r="AF53" s="1037"/>
      <c r="AG53" s="1440">
        <f>IF($W$8=0,0,IF(V53=1,'Options and results'!$M$36,0)+IF('Options and results'!$M$39="yes",IF(AND(AG52+'Options and results'!$M$37&lt;=$AF$8,AG52+'Options and results'!$M$37+IF(V53=1,'Options and results'!$M$36,0)&lt;='Options and results'!$M$38*AE53),AG52+'Options and results'!$M$37,AG52),(HLOOKUP(CONCATENATE('Options and results'!$C$32," ",Forestrysystem!$E$8),Forestrysystem!$A$7:$IH$70,V53+4,FALSE))-IF(V53=1,'Options and results'!$M$36,0)))</f>
        <v>0</v>
      </c>
      <c r="AH53" s="1442">
        <f>IF(OR($W$8=0,AB53&lt;=0),0,(HLOOKUP(CONCATENATE('Options and results'!$C$32," ",Forestrysystem!$F$8),Forestrysystem!$A$7:$IH$70,$V53+4,FALSE)) * IF(V53&gt;='Options and results'!$I$19,'Options and results'!$I$18,1) )</f>
        <v>0</v>
      </c>
      <c r="AI53" s="1452">
        <f t="shared" si="179"/>
        <v>0</v>
      </c>
      <c r="AJ53" s="1442">
        <f t="shared" si="135"/>
        <v>0</v>
      </c>
      <c r="AK53" s="1453">
        <f>IF(OR($W$8=0,AE53&lt;=0),0,(HLOOKUP(CONCATENATE('Options and results'!$C$32," ",Forestrysystem!$G$8),Forestrysystem!$A$7:$IH$70,$V53+4,FALSE)) * IF(Y53&gt;='Options and results'!$I$19,'Options and results'!$I$18,1) )</f>
        <v>0</v>
      </c>
      <c r="AL53" s="1453">
        <f>IF($W$8=0,0,HLOOKUP(CONCATENATE('Options and results'!$C$32," ",Forestrysystem!$H$8),Forestrysystem!$A$7:$IH$70,$V53+4,FALSE)*IF(V53&gt;='Options and results'!$I$19,'Options and results'!$I$18,1))</f>
        <v>0</v>
      </c>
      <c r="AM53" s="1383">
        <f>IF($W$8=0,0,HLOOKUP(CONCATENATE('Options and results'!$C$32," ",Forestrysystem!$I$8),Forestrysystem!$A$7:$IH$70,$V53+4,FALSE)*IF(V53&gt;='Options and results'!$I$19,'Options and results'!$I$18,1))</f>
        <v>0</v>
      </c>
      <c r="AN53" s="1382">
        <f>IF(AI53&gt;0,HLOOKUP(AI53,Treevalue!$I$4:$BC$34,'Options and results'!$C$39+1),0)*IF(V53&gt;='Options and results'!$I$21,'Options and results'!$I$20,1)*IF(1+'Options and results'!$Q$20*(V53-1)&gt;0,1+'Options and results'!$Q$20*(V53-1),0)</f>
        <v>0</v>
      </c>
      <c r="AO53" s="1454">
        <f t="shared" si="136"/>
        <v>0</v>
      </c>
      <c r="AP53" s="1454">
        <f t="shared" si="187"/>
        <v>0</v>
      </c>
      <c r="AQ53" s="1454">
        <f>(IF('Options and results'!$C$39&gt;0,IF(V53&lt;='Options and results'!$W$20,VLOOKUP('Options and results'!$C$39,Treevalue!$A$4:$F$34,5,FALSE),0),0)*AK53)*IF(V53&gt;='Options and results'!$I$21,'Options and results'!$I$20,1)*IF(1+'Options and results'!$Q$20*(V53-1)&gt;0,1+'Options and results'!$Q$20*(V53-1),0)-AR53</f>
        <v>0</v>
      </c>
      <c r="AR53" s="1441">
        <f>(IF('Options and results'!$C$39&gt;0,IF(V53&lt;='Options and results'!$W$20,VLOOKUP('Options and results'!$C$39,Treevalue!$A$4:$F$34,5,FALSE),0),0)*AL53)*IF(V53&gt;='Options and results'!$I$21,'Options and results'!$I$20,1)*IF(1+'Options and results'!$Q$20*(V53-1)&gt;0,1+'Options and results'!$Q$20*(V53-1),0)</f>
        <v>0</v>
      </c>
      <c r="AS53" s="1441">
        <f>(IF('Options and results'!$C$39&gt;0,IF(V53&lt;='Options and results'!$W$20,VLOOKUP('Options and results'!$C$39,Treevalue!$A$4:$F$34,6,FALSE),0),0)*AM53)*IF(V53&gt;='Options and results'!$I$21,'Options and results'!$I$20,1)*IF(1+'Options and results'!$Q$20*(V53-1)&gt;0,1+'Options and results'!$Q$20*(V53-1),0)</f>
        <v>0</v>
      </c>
      <c r="AT53" s="1441">
        <f>IF(V53&lt;='Options and results'!$W$20,(IF(AB53&lt;=0,0,IF('Options and results'!$C$43="cost",(IF(V53&lt;='Options and results'!$C$44,BZ53*SUM('Options and results'!$C$45:$C$46),0)),IF('Options and results'!$C$41&gt;0,(IF(VLOOKUP('Options and results'!$C$42,Treegrant!$B$6:$L$42,Treegrant!$C$2,FALSE)=V53,VLOOKUP('Options and results'!$C$42,Treegrant!$B$6:$L$42,Treegrant!$D$2,FALSE),0)+IF(VLOOKUP('Options and results'!$C$42,Treegrant!$B$6:$L$42,Treegrant!$E$2,FALSE)=V53,VLOOKUP('Options and results'!$C$42,Treegrant!$B$6:$L$42,Treegrant!$F$2,FALSE),0)+IF(VLOOKUP('Options and results'!$C$42,Treegrant!$B$6:$L$42,Treegrant!$G$2,FALSE)=V53,VLOOKUP('Options and results'!$C$42,Treegrant!$B$6:$L$42,Treegrant!$H$2,FALSE)))*IF('Options and results'!$C$43="area",1,'Options and results'!$C$43),0)))*IF(V53&gt;='Options and results'!$I$23,'Options and results'!$I$22,1)),0)*IF(1+'Options and results'!$Q$23*(V53-1)&gt;0,1+'Options and results'!$Q$23*(V53-1),0)</f>
        <v>0</v>
      </c>
      <c r="AU53" s="1441">
        <f>IF($W$8=0,0,IF(V53&lt;='Options and results'!$W$20,IF(AB53&lt;=0,0,IF('Options and results'!$C$41&gt;0,IF(AND(VLOOKUP('Options and results'!$C$42,Treegrant!$B$6:$L$42,Treegrant!$J$2,FALSE)&lt;=V53,VLOOKUP('Options and results'!$C$42,Treegrant!$B$6:$L$42,Treegrant!$K$2,FALSE)&gt;=V53),(VLOOKUP('Options and results'!$C$42,Treegrant!$B$6:$L$42,Treegrant!$L$2,FALSE)),0)*IF('Options and results'!$C$47="full",1,'Options and results'!$C$47))*IF(V53&gt;='Options and results'!$I$23,'Options and results'!$I$22,1)),0))*IF(1+'Options and results'!$Q$23*(V53-1)&gt;0,1+'Options and results'!$Q$23*(V53-1),0)</f>
        <v>0</v>
      </c>
      <c r="AV53" s="1032">
        <f>IF($W$8=0,0,IF(V53&lt;='Options and results'!$W$20,IF(AB53&lt;=0,0,(IF('Options and results'!$C$41&gt;0,(IF(AND(VLOOKUP('Options and results'!$C$42,Treegrant!$B$6:$O$42,Treegrant!$M$2,FALSE)&lt;=V53,VLOOKUP('Options and results'!$C$42,Treegrant!$B$6:$O$42,Treegrant!$N$2,FALSE)&gt;=V53),(VLOOKUP('Options and results'!$C$42,Treegrant!$B$6:$O$42,Treegrant!$O$2,FALSE)),0)*IF('Options and results'!$C$48="full",1,'Options and results'!$C$48))+(IF(AND(VLOOKUP('Options and results'!$C$42,Treegrant!$B$6:$R$42,Treegrant!$P$2,FALSE)&lt;=V53,VLOOKUP('Options and results'!$C$42,Treegrant!$B$6:$R$42,Treegrant!$Q$2,FALSE)&gt;=V53),(VLOOKUP('Options and results'!$C$42,Treegrant!$B$6:$R$42,Treegrant!$R$2,FALSE)),0))*IF('Options and results'!$C$49="full",1,'Options and results'!$C$49)))*IF(V53&gt;='Options and results'!$I$23,'Options and results'!$I$22,1)),0))*IF(1+'Options and results'!$Q$23*(V53-1)&gt;0,1+'Options and results'!$Q$23*(V53-1),0)</f>
        <v>0</v>
      </c>
      <c r="AW53" s="1041"/>
      <c r="AX53" s="1042"/>
      <c r="AY53" s="1419">
        <f>IF($W$8=0,0,IF(V53=1,VLOOKUP($W$8,Treecost!$B$6:$AH$49,Treecost!$E$2,FALSE),0)*IF(V53&gt;='Options and results'!$I$25,'Options and results'!$I$24,1))</f>
        <v>0</v>
      </c>
      <c r="AZ53" s="889">
        <f>IF($W$8=0,0,IF(V53=1,VLOOKUP($W$8,Treecost!$B$6:$AH$49,Treecost!$F$2,FALSE),0)*IF(V53&gt;='Options and results'!$I$25,'Options and results'!$I$24,1))</f>
        <v>0</v>
      </c>
      <c r="BA53" s="889">
        <f>IF($W$8=0,0,IF(V53=1,VLOOKUP($W$8,Treecost!$B$6:$AH$49,Treecost!$G$2,FALSE),0)*IF(V53&gt;='Options and results'!$I$25,'Options and results'!$I$24,1))</f>
        <v>0</v>
      </c>
      <c r="BB53" s="889">
        <f>IF($W$8=0,0,IF(V53&lt;='Options and results'!$W$20,((VLOOKUP($W$8,Treecost!$B$6:$AH$49,Treecost!$H$2,FALSE)*(X53+AA53))/60)*IF(V53&gt;='Options and results'!$I$25,'Options and results'!$I$24,1),0))</f>
        <v>0</v>
      </c>
      <c r="BC53" s="889">
        <f>IF($W$8=0,0,IF(V53&lt;='Options and results'!$W$20,(((VLOOKUP($W$8,Treecost!$B$6:$AH$49,Treecost!$I$2,FALSE))*(X53+AA53))/60)*IF(V53&gt;='Options and results'!$I$25,'Options and results'!$I$24,1),0))</f>
        <v>0</v>
      </c>
      <c r="BD53" s="889">
        <f>IF($W$8=0,0,IF(V53&lt;='Options and results'!$W$20,(((VLOOKUP($W$8,Treecost!$B$6:$AH$49,Treecost!$J$2,FALSE))/60)*(X53+AA53))*IF(V53&gt;='Options and results'!$I$25,'Options and results'!$I$24,1),0))</f>
        <v>0</v>
      </c>
      <c r="BE53" s="1019">
        <f>IF($W$8=0,0,IF(V53&lt;='Options and results'!$W$20,(((VLOOKUP($W$8,Treecost!$B$6:$AH$49,Treecost!$C$2,FALSE)+VLOOKUP($W$8,Treecost!$B$6:$AH$49,Treecost!$D$2,FALSE))*(X53+AA53)*IF(1+'Options and results'!$Q$22*(V53-1)&gt;0,1+'Options and results'!$Q$22*(V53-1),0))+((AY53*$AX$8+AZ53*$AX$9+BA53*$AX$10+BB53*$AX$11+BC53*$AX$12+BD53*$AX$13)*IF(1+'Options and results'!$Q$21*(V53-1)&gt;0,1+'Options and results'!$Q$21*(V53-1),0)))*IF(V53&gt;='Options and results'!$I$27,'Options and results'!$I$26,1),0))</f>
        <v>0</v>
      </c>
      <c r="BF53" s="889">
        <f>IF($W$8=0,0,IF(V53&lt;='Options and results'!$W$20,IF(AND(VLOOKUP($W$8,Treecost!$B$6:$AH$49,Treecost!$K$2,FALSE)&lt;=V53,V53&lt;=(VLOOKUP($W$8,Treecost!$B$6:$AH$49,Treecost!$L$2,FALSE))),VLOOKUP($W$8,Treecost!$B$6:$AH$49,Treecost!$M$2,FALSE)*AB53/60,0)*IF(V53&gt;='Options and results'!$I$25,'Options and results'!$I$24,1),0))</f>
        <v>0</v>
      </c>
      <c r="BG53" s="1019">
        <f>IF(BF53&gt;0,(VLOOKUP($W$8,Treecost!$B$6:$AH$49,Treecost!$N$2,FALSE)*AB53*IF(1+'Options and results'!$Q$22*(V53-1)&gt;0,1+'Options and results'!$Q$22*(V53-1),0)+BF53*$AX$14*IF(1+'Options and results'!$Q$21*(V53-1)&gt;0,1+'Options and results'!$Q$21*(V53-1),0)),0)*IF(V53&gt;='Options and results'!$I$27,'Options and results'!$I$26,1)</f>
        <v>0</v>
      </c>
      <c r="BH53" s="889">
        <f>IF(V53&lt;='Options and results'!$W$20,IF(AND(AG53-AG52&gt;0,AG53&gt;'Options and results'!$M$36),(AB53-AC53)*(VLOOKUP($W$8,Treecost!$B$6:$AH$49,Treecost!$Y$2,FALSE)+(VLOOKUP($W$8,Treecost!$B$6:$AH$49,Treecost!$AA$2,FALSE)-VLOOKUP($W$8,Treecost!$B$6:$AH$49,Treecost!$Y$2,FALSE))/(VLOOKUP($W$8,Treecost!$B$6:$AH$49,Treecost!$Z$2,FALSE)-VLOOKUP($W$8,Treecost!$B$6:$AH$49,Treecost!$X$2,FALSE))*(AG53-VLOOKUP($W$8,Treecost!$B$6:$AH$49,Treecost!$X$2,FALSE)))/60,0)*IF(V53&gt;='Options and results'!$I$25,'Options and results'!$I$24,1),0)</f>
        <v>0</v>
      </c>
      <c r="BI53" s="303">
        <f>IF(V53&lt;='Options and results'!$W$20,IF(BH53&gt;0,VLOOKUP($W$8,Treecost!$B$6:$AH$49,Treecost!$AB$2,FALSE)/60*AB53,0)*IF(V53&gt;='Options and results'!$I$25,'Options and results'!$I$24,1),0)*((BH53-(MIN($BH$8:$BH$67)))/((MAX($BH$8:$BH$67))-(MIN($BH$8:$BH$67))))</f>
        <v>0</v>
      </c>
      <c r="BJ53" s="740">
        <f>IF(BH53&gt;0,(BH53*$AX$15+BI53*$AX$19)*IF(1+'Options and results'!$Q$21*(V53-1)&gt;0,1+'Options and results'!$Q$21*(V53-1),0),0)*IF(V53&gt;='Options and results'!$I$27,'Options and results'!$I$26,1)</f>
        <v>0</v>
      </c>
      <c r="BK53" s="891">
        <f>IF($W$8=0,0,IF(V53&lt;='Options and results'!$W$20,IF(VLOOKUP($W$8,Treecost!$B$2:$AH$49,Treecost!$O$2,FALSE)=V53,VLOOKUP($W$8,Treecost!$B$2:$AH$49,Treecost!$P$2,FALSE),0)*IF(V53&gt;='Options and results'!$I$25,'Options and results'!$I$24,1),0))</f>
        <v>0</v>
      </c>
      <c r="BL53" s="889">
        <f>IF($W$8=0,0,IF(V53&lt;='Options and results'!$W$20,IF(AND(V53&gt;VLOOKUP($W$8,Treecost!$B$2:$AH$49,Treecost!$O$2,FALSE),V53&lt;=VLOOKUP($W$8,Treecost!$B$2:$AH$49,Treecost!$R$2,FALSE)),VLOOKUP($W$8,Treecost!$B$2:$AH$49,Treecost!$S$2,FALSE),0)*IF(V53&gt;='Options and results'!$I$25,'Options and results'!$I$24,1),0))</f>
        <v>0</v>
      </c>
      <c r="BM53" s="740">
        <f>IF($W$8=0,0,IF(V53&lt;='Options and results'!$W$20,((IF(VLOOKUP($W$8,Treecost!$B$2:$AH$49,Treecost!$O$2,FALSE)=V53,VLOOKUP($W$8,Treecost!$B$2:$AH$49,Treecost!$Q$2,FALSE),0)+IF(AND(V53&gt;VLOOKUP($W$8,Treecost!$B$2:$AH$49,Treecost!$O$2,FALSE),V53&lt;=VLOOKUP($W$8,Treecost!$B$2:$AH$49,Treecost!$R$2,FALSE)),VLOOKUP($W$8,Treecost!$B$2:$AH$49,Treecost!$T$2,FALSE),0)*IF(1+'Options and results'!$Q$22*(V53-1)&gt;0,1+'Options and results'!$Q$22*(V53-1),0))+(BK53*$AX$16+BL53*$AX$17)*IF(1+'Options and results'!$Q$21*(V53-1)&gt;0,1+'Options and results'!$Q$21*(V53-1),0))*IF(V53&gt;='Options and results'!$I$27,'Options and results'!$I$26,1),0))</f>
        <v>0</v>
      </c>
      <c r="BN53" s="894">
        <f>IF($W$8=0,0,IF(V53&lt;='Options and results'!$W$20,IF(AND(V53&gt;=VLOOKUP($W$8,Treecost!$B$2:$W$49,Treecost!$U$2,FALSE),V53&lt;=VLOOKUP($W$8,Treecost!$B$2:$W$49,Treecost!$V$2,FALSE)),(AB53*VLOOKUP($W$8,Treecost!$B$2:$W$49,Treecost!$W$2,FALSE)/60),0)*IF(V53&gt;='Options and results'!$I$25,'Options and results'!$I$24,1),0))</f>
        <v>0</v>
      </c>
      <c r="BO53" s="740">
        <f>BN53*$AX$18*IF(V53&gt;='Options and results'!$I$27,'Options and results'!$I$26,1)*IF(1+'Options and results'!$Q$21*(V53-1)&gt;0,1+'Options and results'!$Q$21*(V53-1),0)</f>
        <v>0</v>
      </c>
      <c r="BP53" s="894">
        <f>IF(V53&lt;='Options and results'!$W$20,IF(AB53&lt;=0,0,VLOOKUP($W$8,Treecost!$B$6:$AH$49,Treecost!$AC$2,FALSE)+VLOOKUP($W$8,Treecost!$B$6:$AH$49,Treecost!$AD$2,FALSE)+IF(AND(V53&gt;=VLOOKUP($W$8,Treecost!$B$2:$AK$49,Treecost!$AI$2,FALSE),V53&lt;=VLOOKUP($W$8,Treecost!$B$2:$AK$49,Treecost!$AJ$2,FALSE)),(VLOOKUP($W$8,Treecost!$B$2:$AK$49,Treecost!$AK$2,FALSE)),0))*IF(V53&gt;='Options and results'!$I$27,'Options and results'!$I$26,1),0)*IF(1+'Options and results'!$Q$22*(V53-1)&gt;0,1+'Options and results'!$Q$22*(V53-1),0)</f>
        <v>0</v>
      </c>
      <c r="BQ53" s="894">
        <f>IF(V53&lt;='Options and results'!$W$20,IF(AC53&gt;0,VLOOKUP($W$8,Treecost!$B$6:$AH$49,Treecost!$AE$2,FALSE)/60*AC53,0)*IF(V53&gt;='Options and results'!$I$25,'Options and results'!$I$24,1),0)</f>
        <v>0</v>
      </c>
      <c r="BR53" s="740">
        <f>IF(V53&lt;='Options and results'!$W$20,IF(AC53&gt;0,VLOOKUP($W$8,Treecost!$B$6:$AH$49,Treecost!$AF$2,FALSE)/60*AC53,0)*IF(V53&gt;='Options and results'!$I$25,'Options and results'!$I$24,1),0)</f>
        <v>0</v>
      </c>
      <c r="BS53" s="740">
        <f>(BQ53*$AX$20+BR53*$AX$21)*IF(V53&gt;='Options and results'!$I$27,'Options and results'!$I$26,1)*IF(1+'Options and results'!$Q$21*(V53-1)&gt;0,1+'Options and results'!$Q$21*(V53-1),0)</f>
        <v>0</v>
      </c>
      <c r="BT53" s="894">
        <f>IF(V53&lt;='Options and results'!$W$20,IF(AD53&gt;0,(VLOOKUP($W$8,Treecost!$B$6:$AH$49,Treecost!$AG$2,FALSE)/60*AD53)*IF(V53&gt;='Options and results'!$I$25,'Options and results'!$I$24,1),0),0)</f>
        <v>0</v>
      </c>
      <c r="BU53" s="740">
        <f>IF(V53&lt;='Options and results'!$W$20,IF(AD53&gt;0,(VLOOKUP($W$8,Treecost!$B$6:$AH$49,Treecost!$AH$2,FALSE)/60*AD53)*IF(V53&gt;='Options and results'!$I$25,'Options and results'!$I$24,1),0),0)</f>
        <v>0</v>
      </c>
      <c r="BV53" s="740">
        <f>(BT53*$AX$22+BU53*$AX$23)*IF(V53&gt;='Options and results'!$I$27,'Options and results'!$I$26,1)*IF(1+'Options and results'!$Q$21*(V53-1)&gt;0,1+'Options and results'!$Q$21*(V53-1),0)</f>
        <v>0</v>
      </c>
      <c r="BW53" s="1033">
        <f t="shared" si="138"/>
        <v>0</v>
      </c>
      <c r="BX53" s="1027">
        <f t="shared" si="139"/>
        <v>0</v>
      </c>
      <c r="BY53" s="1027">
        <f t="shared" si="140"/>
        <v>0</v>
      </c>
      <c r="BZ53" s="740">
        <f t="shared" si="188"/>
        <v>0</v>
      </c>
      <c r="CA53" s="740">
        <f t="shared" si="141"/>
        <v>0</v>
      </c>
      <c r="CB53" s="894">
        <f>IF($V53&lt;='Options and results'!$W$20,SUM(BX$8:$BX53),0)</f>
        <v>0</v>
      </c>
      <c r="CC53" s="740">
        <f>IF($V53&lt;='Options and results'!$W$20,SUM($BY$8:BY53),0)</f>
        <v>0</v>
      </c>
      <c r="CD53" s="740">
        <f>IF($V53&lt;='Options and results'!$W$20,SUM($BZ$8:BZ53),0)</f>
        <v>0</v>
      </c>
      <c r="CE53" s="740">
        <f>IF(V53&lt;='Options and results'!$W$20,CB53+CC53-CD53,0)</f>
        <v>0</v>
      </c>
      <c r="CF53" s="1381">
        <f t="shared" si="142"/>
        <v>0</v>
      </c>
      <c r="CG53" s="1027">
        <f t="shared" si="143"/>
        <v>0</v>
      </c>
      <c r="CH53" s="1027">
        <f t="shared" si="144"/>
        <v>0</v>
      </c>
      <c r="CI53" s="1189">
        <f>IF(V53&lt;='Options and results'!$W$20,CE53+AO53,0)</f>
        <v>0</v>
      </c>
      <c r="CJ53" s="1023"/>
      <c r="CK53" s="895">
        <f t="shared" si="145"/>
        <v>46</v>
      </c>
      <c r="CL53" s="1011" t="str">
        <f>IF('Options and results'!$C$54="None",0,IF(AND(CK53&gt;='Options and results'!$K$57,CK52&lt;'Options and results'!$W$20),'Options and results'!$K$56,IF(Optimisation!$B$3="No",CONCATENATE('Options and results'!$C$60," ",(HLOOKUP(CONCATENATE('Options and results'!$C$54," ",Agroforestrysystem!$B$12),Agroforestrysystem!$B$11:$IM$74,$CK53+4,FALSE))),Optimisation!AA73)))</f>
        <v xml:space="preserve">UK - Agriculture (BPS: from 2015) </v>
      </c>
      <c r="CM53" s="1012">
        <f>IF(HLOOKUP(CONCATENATE('Options and results'!$C$54," ",Agroforestrysystem!$C$12),Agroforestrysystem!$B$11:$IM$74,$CK53+4,FALSE)="T",(VLOOKUP(CL53,Arablefinance!$Z$6:$AB$105,Arablefinance!$AB$2,FALSE)*CO53+VLOOKUP(CL53,Arablefinance!$Z$6:$AC$105,Arablefinance!$AC$2,FALSE)*CP53)/VLOOKUP(CL53,Arablefinance!$Z$6:$AA$105,Arablefinance!$AA$2,FALSE),0)</f>
        <v>0</v>
      </c>
      <c r="CN53" s="1012">
        <f>IF(CL53=0,0,HLOOKUP(CONCATENATE('Options and results'!$C$54," ",Agroforestrysystem!$D$12),Agroforestrysystem!$B$11:$IM$74,$CK53+4,FALSE))</f>
        <v>0</v>
      </c>
      <c r="CO53" s="1440">
        <f ca="1">IF(CL53=0,0,IF(AND(Optimisation!$B$3="yes",Optimisation!$B$4=1,CK53&gt;Optimisation!$B$9),0,HLOOKUP(CONCATENATE('Options and results'!$C$54," ",Agroforestrysystem!$E$12),Agroforestrysystem!$B$11:$IM$74,$CK53+4,FALSE)*IF(CK53&gt;='Options and results'!$J$19,'Options and results'!$J$18,1)))</f>
        <v>0</v>
      </c>
      <c r="CP53" s="1440">
        <f ca="1">IF(CL53=0,0,IF(AND(Optimisation!$B$3="yes",Optimisation!$B$4=1,CK53&gt;Optimisation!$B$9),0,HLOOKUP(CONCATENATE('Options and results'!$C$54," ",Agroforestrysystem!$F$12),Agroforestrysystem!$B$11:$IM$74,$CK53+4,FALSE)*IF(CK53&gt;='Options and results'!$J$19,'Options and results'!$J$18,1)))</f>
        <v>0</v>
      </c>
      <c r="CQ53" s="1013">
        <f>IF(CN53&lt;=0,0,IF(CK53&lt;='Options and results'!$W$20,IF(CM53&gt;0,VLOOKUP(CL53,Arablefinance!$Z$6:$AE$105,Arablefinance!$AD$2,FALSE)*CM53*CN53,((VLOOKUP(CL53,Arablefinance!$E$6:$H$126,2,FALSE)*CO53+VLOOKUP(CL53,Arablefinance!$E$6:$H$126,3,FALSE)*CP53)*CN53)),0)*IF(CK53&gt;='Options and results'!$J$21,'Options and results'!$J$20,1))*IF(1+'Options and results'!$O$20*(CK53-1)&gt;0,1+'Options and results'!$O$20*(CK53-1),0)</f>
        <v>0</v>
      </c>
      <c r="CR53" s="1441">
        <f>IF(CN53&lt;=0,0,IF(AND(CM53&gt;0,VLOOKUP(CL53,Arablefinance!$Z$6:$AI$105,Arablefinance!$AI$2,FALSE)=2),VLOOKUP(CL53,Arablefinance!$Z$6:$AE$105,Arablefinance!$AE$2,FALSE)*CM53*CN53,IF('Options and results'!$C$62&gt;0,IF(VLOOKUP(CL53,Arablefinance!$E$6:$W$126,Arablefinance!$H$2,FALSE)*(1-Plot!DM53*'Options and results'!$C$62)&gt;0,VLOOKUP(CL53,Arablefinance!$E$6:$W$126,Arablefinance!$H$2,FALSE)*(1-Plot!DM53*'Options and results'!$C$62),0),IF(CK53&lt;='Options and results'!$W$20,(VLOOKUP(CL53,Arablefinance!$E$6:$W$126,Arablefinance!$H$2,FALSE)*IF('Options and results'!$C$61="area",CN53,'Options and results'!$C$61)),0)))*IF(CK53&gt;='Options and results'!$J$23,'Options and results'!$J$22,1))*IF(AND(1+'Options and results'!$O$23*(CK53-1)&gt;0,1+'Options and results'!$O$23*(CK53-1)&gt;'Options and results'!$S$24),1+'Options and results'!$O$23*(CK53-1),'Options and results'!$S$24)</f>
        <v>0</v>
      </c>
      <c r="CS53" s="1441">
        <f t="shared" si="185"/>
        <v>0</v>
      </c>
      <c r="CT53" s="1441">
        <f>IF(CN53&lt;=0,0,IF(CK53&lt;='Options and results'!$W$20,IF(CM53&gt;0,VLOOKUP(CL53,Arablefinance!$Z$6:$AF$105,Arablefinance!$AF$2,FALSE)*CM53*CN53,VLOOKUP(CL53,Arablefinance!$E$6:$X$126,Arablefinance!$R$2,FALSE)*CN53),0)*IF(CK53&gt;='Options and results'!$J$27,'Options and results'!$J$26,1))*IF(1+'Options and results'!$O$22*(CK53-1)&gt;0,1+'Options and results'!$O$22*(CK53-1),0)</f>
        <v>0</v>
      </c>
      <c r="CU53" s="1441">
        <f t="shared" si="186"/>
        <v>0</v>
      </c>
      <c r="CV53" s="1441">
        <f>IF(CN53&lt;=0,0,IF(CK53&lt;='Options and results'!$W$20,IF(CM53&gt;0,VLOOKUP(CL53,Arablefinance!$Z$6:$AG$105,Arablefinance!$AG$2,FALSE)*CM53*CN53,VLOOKUP(CL53,Arablefinance!$E$6:$X$126,Arablefinance!$X$2,FALSE)*CN53),0)*IF(CK53&gt;='Options and results'!$J$27,'Options and results'!$J$26,1))*IF(1+'Options and results'!$O$22*(CK53-1)&gt;0,1+'Options and results'!$O$22*(CK53-1),0)</f>
        <v>0</v>
      </c>
      <c r="CW53" s="1442">
        <f>IF(CN53&lt;=0,0,IF(CK53&lt;='Options and results'!$W$20,'Options and results'!$C$27*IF(CK53&gt;='Options and results'!$J$27,'Options and results'!$J$26,1),0))*IF(1+'Options and results'!$O$21*(CK53-1)&gt;0,1+'Options and results'!$O$21*(CK53-1),0)</f>
        <v>0</v>
      </c>
      <c r="CX53" s="1442">
        <f>IF(CN53&lt;=0,0,IF(CK53&lt;='Options and results'!$W$20,IF(CM53&gt;0,VLOOKUP(CL53,Arablefinance!$Z$6:$AH$105,Arablefinance!$AH$2,FALSE)*CM53*CN53,VLOOKUP(CL53,Arablefinance!$E$6:$W$126,Arablefinance!$V$2,FALSE)*CN53),0)*IF(CK53&gt;='Options and results'!$J$25,'Options and results'!$J$24,1))</f>
        <v>0</v>
      </c>
      <c r="CY53" s="1013">
        <f t="shared" si="148"/>
        <v>0</v>
      </c>
      <c r="CZ53" s="1353">
        <f t="shared" si="149"/>
        <v>0</v>
      </c>
      <c r="DA53" s="1013">
        <f>IF($CK53&lt;='Options and results'!$W$20,SUM($CQ$8:CQ53),0)</f>
        <v>0</v>
      </c>
      <c r="DB53" s="1441">
        <f>IF($CK53&lt;='Options and results'!$W$20,SUM($CR$8:CR53),0)</f>
        <v>0</v>
      </c>
      <c r="DC53" s="1441">
        <f>IF($CK53&lt;='Options and results'!$W$20,SUM($CY$8:CY53),0)</f>
        <v>0</v>
      </c>
      <c r="DD53" s="1189">
        <f>IF(CK53&lt;='Options and results'!$W$20,DA53+DB53-DC53,0)</f>
        <v>0</v>
      </c>
      <c r="DE53" s="401"/>
      <c r="DF53" s="895">
        <f t="shared" si="150"/>
        <v>46</v>
      </c>
      <c r="DG53" s="173"/>
      <c r="DH53" s="1422"/>
      <c r="DI53" s="1427">
        <f>IF(DF53&lt;='Options and results'!$M$61,'Options and results'!$M$60,0)</f>
        <v>0</v>
      </c>
      <c r="DJ53" s="740">
        <f t="shared" si="151"/>
        <v>0</v>
      </c>
      <c r="DK53" s="740">
        <f t="shared" si="152"/>
        <v>0</v>
      </c>
      <c r="DL53" s="1428">
        <f t="shared" si="153"/>
        <v>0</v>
      </c>
      <c r="DM53" s="1429">
        <f>IF($DG$8=0,0,HLOOKUP(CONCATENATE('Options and results'!$C$54," ",Agroforestrysystem!$J$12),Agroforestrysystem!$11:$74,DF53+3,FALSE))/100</f>
        <v>0</v>
      </c>
      <c r="DN53" s="740">
        <f>IF($DG$8=0,0,IF(HLOOKUP(CONCATENATE('Options and results'!$C$54," ",Agroforestrysystem!$H$12),Agroforestrysystem!$11:$74,DF53+4,FALSE)&lt;DL53,HLOOKUP(CONCATENATE('Options and results'!$C$54," ",Agroforestrysystem!$H$12),Agroforestrysystem!$11:$74,DF53+4,FALSE),0))</f>
        <v>0</v>
      </c>
      <c r="DO53" s="1027">
        <f>IF($DG$8=0,0,IF(HLOOKUP(CONCATENATE('Options and results'!$C$54," ",Agroforestrysystem!$H$12),Agroforestrysystem!$11:$74,DF53+4,FALSE)&gt;=DL53,DL53,0))</f>
        <v>0</v>
      </c>
      <c r="DP53" s="1430">
        <f>IF($DG$8=0,0,HLOOKUP(CONCATENATE('Options and results'!$C$54," ",Agroforestrysystem!$I$12),Agroforestrysystem!$11:$74,DF53+4,FALSE))</f>
        <v>0</v>
      </c>
      <c r="DQ53" s="1038"/>
      <c r="DR53" s="1430">
        <f>IF($DG$8=0,0,IF(DF53&gt;'Options and results'!$W$20,0,)+IF(DF53=1,'Options and results'!$M$64)+IF('Options and results'!$M$67="yes",IF(AND(DR52+'Options and results'!$M$65&lt;=$DQ$8,DR52+'Options and results'!$M$65+IF(DF53=1,'Options and results'!$M$64,0)&lt;='Options and results'!$M$66*DP53),DR52+'Options and results'!$M$65,DR52),(HLOOKUP(CONCATENATE('Options and results'!$C$54," ",Agroforestrysystem!$K$12),Agroforestrysystem!$11:$74,DF53+4,FALSE)-IF(DF53=1,'Options and results'!$M$64))))</f>
        <v>0</v>
      </c>
      <c r="DS53" s="1027">
        <f>IF(OR($DG$8=0,DL53=0),0,HLOOKUP(CONCATENATE('Options and results'!$C$54," ",Agroforestrysystem!$L$12),Agroforestrysystem!$11:$74,DF53+4,FALSE)*IF(DF53&gt;='Options and results'!$K$19,'Options and results'!$K$18,1))</f>
        <v>0</v>
      </c>
      <c r="DT53" s="1431">
        <f t="shared" si="154"/>
        <v>0</v>
      </c>
      <c r="DU53" s="889">
        <f t="shared" si="155"/>
        <v>0</v>
      </c>
      <c r="DV53" s="1027">
        <f>IF($DG$8=0,0,(HLOOKUP(CONCATENATE('Options and results'!$C$54," ",Agroforestrysystem!$M$12),Agroforestrysystem!$11:$74,DF53+4,FALSE))*IF(DF53&gt;='Options and results'!$K$19,'Options and results'!$K$18,1))-DW53</f>
        <v>0</v>
      </c>
      <c r="DW53" s="303">
        <f>IF($DG$8=0,0,(HLOOKUP(CONCATENATE('Options and results'!$C$54," ",Agroforestrysystem!$N$12),Agroforestrysystem!$11:$74,DF53+4,FALSE))*IF(DF53&gt;='Options and results'!$K$19,'Options and results'!$K$18,1))</f>
        <v>0</v>
      </c>
      <c r="DX53" s="303">
        <f>IF($DG$8=0,0,HLOOKUP(CONCATENATE('Options and results'!$C$54," ",Agroforestrysystem!$O$12),Agroforestrysystem!$11:$74,DF53+4,FALSE)*IF(DF53&gt;='Options and results'!$K$19,'Options and results'!$K$18,1))</f>
        <v>0</v>
      </c>
      <c r="DY53" s="1192">
        <f>IF(DT53&gt;0,HLOOKUP(DT53,Treevalue!$I$4:$BC$34,'Options and results'!$C$66+1),0)*IF(DF53&gt;='Options and results'!$K$21,'Options and results'!$K$20,1)*IF(1+'Options and results'!$Q$20*(DF53-1)&gt;0,1+'Options and results'!$Q$20*(DF53-1),0)</f>
        <v>0</v>
      </c>
      <c r="DZ53" s="1027">
        <f t="shared" si="156"/>
        <v>0</v>
      </c>
      <c r="EA53" s="1027">
        <f t="shared" si="125"/>
        <v>0</v>
      </c>
      <c r="EB53" s="1027">
        <f>(IF('Options and results'!$C$66&gt;0,IF(DF53&lt;='Options and results'!$W$20,VLOOKUP('Options and results'!$C$66,Treevalue!$A$4:$F$34,5,FALSE),0),0)*DV53)*IF(DF53&gt;='Options and results'!$K$21,'Options and results'!$K$20,1)*IF(1+'Options and results'!$Q$20*(DF53-1)&gt;0,1+'Options and results'!$Q$20*(DF53-1),0)</f>
        <v>0</v>
      </c>
      <c r="EC53" s="740">
        <f>(IF('Options and results'!$C$66&gt;0,IF(DF53&lt;='Options and results'!$W$20,VLOOKUP('Options and results'!$C$66,Treevalue!$A$4:$F$34,5,FALSE),0),0)*DW53)*IF(DF53&gt;='Options and results'!$K$21,'Options and results'!$K$20,1)*IF(1+'Options and results'!$Q$20*(DF53-1)&gt;0,1+'Options and results'!$Q$20*(DF53-1),0)</f>
        <v>0</v>
      </c>
      <c r="ED53" s="889">
        <f>(IF('Options and results'!$C$66&gt;0,IF(DF53&lt;='Options and results'!$W$20,VLOOKUP('Options and results'!$C$66,Treevalue!$A$4:$F$34,6,FALSE),0),0)*DX53)*IF(DF53&gt;='Options and results'!$K$21,'Options and results'!$K$20,1)*IF(1+'Options and results'!$Q$20*(DF53-1)&gt;0,1+'Options and results'!$Q$20*(DF53-1),0)</f>
        <v>0</v>
      </c>
      <c r="EE53" s="740">
        <f>IF(DF53&lt;='Options and results'!$W$20,IF(DL53&lt;=0,0,IF('Options and results'!$C$70="cost",(IF(DF53&lt;='Options and results'!$C$71,FK53*SUM('Options and results'!$C$72:$C$73),0)),IF('Options and results'!$C$68&gt;0,(IF(VLOOKUP('Options and results'!$C$69,Treegrant!$B$6:$L$42,Treegrant!$C$2,FALSE)=DF53,VLOOKUP('Options and results'!$C$69,Treegrant!$B$6:$L$42,Treegrant!$D$2,FALSE),0)+IF(VLOOKUP('Options and results'!$C$69,Treegrant!$B$6:$L$42,Treegrant!$E$2,FALSE)=DF53,VLOOKUP('Options and results'!$C$69,Treegrant!$B$6:$L$42,Treegrant!$F$2,FALSE),0)+IF(VLOOKUP('Options and results'!$C$69,Treegrant!$B$6:$L$42,Treegrant!$G$2,FALSE)=DF53,VLOOKUP('Options and results'!$C$69,Treegrant!$B$6:$L$42,Treegrant!$H$2,FALSE)))*IF('Options and results'!$C$70="area",Unit!C54,'Options and results'!$C$70),0))*IF(DF53&gt;='Options and results'!$K$23,'Options and results'!$K$22,1)),0)*IF(1+'Options and results'!$Q$23*(DF53-1)&gt;0,1+'Options and results'!$Q$23*(DF53-1),0)</f>
        <v>0</v>
      </c>
      <c r="EF53" s="740">
        <f>IF($DG$8=0,0,IF(DF53&lt;='Options and results'!$W$20,IF(DL53&lt;=0,0,IF('Options and results'!$C$68&gt;0,IF(AND(VLOOKUP('Options and results'!$C$69,Treegrant!$B$6:$L$42,Treegrant!$J$2,FALSE)&lt;=DF53,VLOOKUP('Options and results'!$C$69,Treegrant!$B$6:$L$42,Treegrant!$K$2,FALSE)&gt;=DF53),(VLOOKUP('Options and results'!$C$69,Treegrant!$B$6:$L$42,Treegrant!$L$2,FALSE)),0)*IF('Options and results'!$C$74="area",Unit!C54,'Options and results'!$C$74))*IF(DF53&gt;='Options and results'!$K$23,'Options and results'!$K$22,1)),0))*IF(1+'Options and results'!$Q$23*(DF53-1)&gt;0,1+'Options and results'!$Q$23*(DF53-1),0)</f>
        <v>0</v>
      </c>
      <c r="EG53" s="1034">
        <f>IF($DG$8=0,0,IF(DF53&lt;='Options and results'!$W$20,IF(DL53&lt;=0,0,IF('Options and results'!$C$68&gt;0,((IF(AND(VLOOKUP('Options and results'!$C$69,Treegrant!$B$6:$O$42,Treegrant!$M$2,FALSE)&lt;=DF53,VLOOKUP('Options and results'!$C$69,Treegrant!$B$6:$O$42,Treegrant!$N$2,FALSE)&gt;=DF53),(VLOOKUP('Options and results'!$C$69,Treegrant!$B$6:$O$42,Treegrant!$O$2,FALSE)),0)*IF('Options and results'!$C$75="area",Unit!C54,'Options and results'!$C$75))+(IF(AND(VLOOKUP('Options and results'!$C$69,Treegrant!$B$6:$R$42,Treegrant!$P$2,FALSE)&lt;=DF53,VLOOKUP('Options and results'!$C$69,Treegrant!$B$6:$R$42,Treegrant!$Q$2,FALSE)&gt;=DF53),(VLOOKUP('Options and results'!$C$69,Treegrant!$B$6:$R$42,Treegrant!$R$2,FALSE)),0))*IF('Options and results'!$C$76="area",Unit!C54,'Options and results'!$C$76)))*IF(DF53&gt;='Options and results'!$K$23,'Options and results'!$K$22,1)),0))*IF(1+'Options and results'!$Q$23*(DF53-1)&gt;0,1+'Options and results'!$Q$23*(DF53-1),0)</f>
        <v>0</v>
      </c>
      <c r="EH53" s="1041"/>
      <c r="EI53" s="1042"/>
      <c r="EJ53" s="1419">
        <f>IF($DH$8+DK53&lt;1,0,IF(DF53=1,VLOOKUP($DG$8,Treecost!$B$6:$AH$49,Treecost!$E$2,FALSE),0)*IF(DF53&gt;='Options and results'!$K$25,'Options and results'!$K$24,1))</f>
        <v>0</v>
      </c>
      <c r="EK53" s="889">
        <f>IF($DH$8+DK53&lt;1,0,IF(DF53=1,VLOOKUP($DG$8,Treecost!$B$6:$AH$49,Treecost!$F$2,FALSE),0)*IF(DF53&gt;='Options and results'!$K$25,'Options and results'!$K$24,1))</f>
        <v>0</v>
      </c>
      <c r="EL53" s="889">
        <f>IF($DH$8+DK53&lt;1,0,IF(DF53=1,VLOOKUP($DG$8,Treecost!$B$6:$AH$49,Treecost!$G$2,FALSE),0)*IF(DF53&gt;='Options and results'!$K$25,'Options and results'!$K$24,1))</f>
        <v>0</v>
      </c>
      <c r="EM53" s="889">
        <f>IF($DG$8=0,0,IF(DF53&lt;='Options and results'!$W$20,((VLOOKUP($DG$8,Treecost!$B$6:$AH$49,Treecost!$H$2,FALSE)*(DH53+DK53))/60)*IF(DF53&gt;='Options and results'!$K$25,'Options and results'!$K$24,1),0))</f>
        <v>0</v>
      </c>
      <c r="EN53" s="889">
        <f>IF($DG$8=0,0,IF(DF53&lt;='Options and results'!$W$20,(((VLOOKUP($DG$8,Treecost!$B$6:$AH$49,Treecost!$I$2,FALSE))*(DH53+DK53))/60)*IF(DF53&gt;='Options and results'!$K$25,'Options and results'!$K$24,1),0))</f>
        <v>0</v>
      </c>
      <c r="EO53" s="889">
        <f>IF($DG$8=0,0,IF(DF53&lt;='Options and results'!$W$20,(((VLOOKUP($DG$8,Treecost!$B$6:$AH$49,Treecost!$J$2,FALSE))/60)*(DH53+DK53))*IF(DF53&gt;='Options and results'!$K$25,'Options and results'!$K$24,1),0))</f>
        <v>0</v>
      </c>
      <c r="EP53" s="1019">
        <f>IF($DG$8=0,0,IF(DF53&lt;='Options and results'!$W$20,(((VLOOKUP($DG$8,Treecost!$B$6:$AH$49,Treecost!$C$2,FALSE)+VLOOKUP($DG$8,Treecost!$B$6:$AH$49,Treecost!$D$2,FALSE))*(DH53+DK53)*IF(1+'Options and results'!$Q$22*(DF53-1)&gt;0,1+'Options and results'!$Q$22*(DF53-1),0))+(EJ53*$EI$8+EK53*$EI$9+EL53*$EI$10+EM53*$EI$11+EN53*$EI$12+EO53*$EI$13)*IF(1+'Options and results'!$Q$21*(DF53-1)&gt;0,1+'Options and results'!$Q$21*(DF53-1),0))*IF(DF53&gt;='Options and results'!$K$27,'Options and results'!$K$26,1),0))</f>
        <v>0</v>
      </c>
      <c r="EQ53" s="740">
        <f>IF($DG$8=0,0,IF(DF53&lt;='Options and results'!$W$20,IF(AND(VLOOKUP($DG$8,Treecost!$B$6:$AH$49,Treecost!$K$2,FALSE)&lt;=DF53,DF53&lt;=(VLOOKUP($DG$8,Treecost!$B$6:$AH$49,Treecost!$L$2,FALSE))),VLOOKUP($DG$8,Treecost!$B$6:$AH$49,Treecost!$M$2,FALSE)*DL53/60,0)*IF(DF53&gt;='Options and results'!$K$25,'Options and results'!$K$24,1),0))</f>
        <v>0</v>
      </c>
      <c r="ER53" s="1019">
        <f>IF(EQ53&gt;0,(VLOOKUP($DG$8,Treecost!$B$6:$AH$49,Treecost!$N$2,FALSE)*DL53*IF(1+'Options and results'!$Q$22*(DF53-1)&gt;0,1+'Options and results'!$Q$22*(DF53-1),0)+EQ53*$EI$14*IF(1+'Options and results'!$Q$21*(DF53-1)&gt;0,1+'Options and results'!$Q$21*(DF53-1),0)),0)*IF(DF53&gt;='Options and results'!$K$27,'Options and results'!$K$26,1)</f>
        <v>0</v>
      </c>
      <c r="ES53" s="889">
        <f>IF(DF53&lt;='Options and results'!$W$20,IF(AND(DR53-DR52&gt;0,DR53&gt;'Options and results'!$M$64),(DL53-DN53)*(VLOOKUP($DG$8,Treecost!$B$6:$AH$49,Treecost!$Y$2,FALSE)+(VLOOKUP($DG$8,Treecost!$B$6:$AH$49,Treecost!$AA$2,FALSE)-VLOOKUP($DG$8,Treecost!$B$6:$AH$49,Treecost!$Y$2,FALSE))/(VLOOKUP($DG$8,Treecost!$B$6:$AH$49,Treecost!$Z$2,FALSE)-VLOOKUP($DG$8,Treecost!$B$6:$AH$49,Treecost!$X$2,FALSE))*(DR53-VLOOKUP($DG$8,Treecost!$B$6:$AH$49,Treecost!$X$2,FALSE)))/60,0)*IF(DF53&gt;='Options and results'!$K$25,'Options and results'!$K$24,1),0)</f>
        <v>0</v>
      </c>
      <c r="ET53" s="889">
        <f>IF(DF53&lt;='Options and results'!$W$20,IF(ES53&gt;0,VLOOKUP($DG$8,Treecost!$B$6:$AH$49,Treecost!$AB$2,FALSE)/60*DL53,0)*IF(DF53&gt;='Options and results'!$K$25,'Options and results'!$K$24,1),0)*((ES53-(MIN($ES$8:$ES$67)))/((MAX($ES$8:$ES$67))-(MIN($ES$8:$ES$67))))</f>
        <v>0</v>
      </c>
      <c r="EU53" s="740">
        <f>IF(ES53&gt;0,(ES53*$EI$15+ET53*$EI$19)*IF(1+'Options and results'!$Q$21*(DF53-1)&gt;0,1+'Options and results'!$Q$21*(DF53-1),0),0)*IF(DF53&gt;='Options and results'!$K$27,'Options and results'!$K$26,1)</f>
        <v>0</v>
      </c>
      <c r="EV53" s="891">
        <f>IF($DG$8=0,0,IF(DF53&lt;='Options and results'!$W$20,IF(AND(VLOOKUP($DG$8,Treecost!$B$2:$AH$49,Treecost!$O$2,FALSE)=DF53,DF53&lt;=IF(AND(Optimisation!$B$3="Yes",Optimisation!$B$4=1),Optimisation!$B$9)),VLOOKUP($DG$8,Treecost!$B$2:$AH$49,Treecost!$P$2,FALSE)*(1-CN53),0)*IF(DF53&gt;='Options and results'!$K$25,'Options and results'!$K$24,1),0))</f>
        <v>0</v>
      </c>
      <c r="EW53" s="889">
        <f>IF($DG$8=0,0,IF(DF53&lt;='Options and results'!$W$20,IF(AND(DF53&gt;VLOOKUP($DG$8,Treecost!$B$2:$AH$49,Treecost!$O$2,FALSE),DF53&lt;=IF(AND(Optimisation!$B$3="Yes",Optimisation!$B$4=1),Optimisation!$B$9,VLOOKUP($DG$8,Treecost!$B$2:$AH$49,Treecost!$R$2,FALSE))),VLOOKUP($DG$8,Treecost!$B$2:$AH$49,Treecost!$S$2,FALSE)*(1-CN53),0)*IF(DF53&gt;='Options and results'!$K$25,'Options and results'!$K$24,1),0))</f>
        <v>0</v>
      </c>
      <c r="EX53" s="740">
        <f>IF($DG$8=0,0,IF(DF53&lt;='Options and results'!$W$20,(IF(AND(VLOOKUP($DG$8,Treecost!$B$2:$AH$49,Treecost!$O$2,FALSE)=DF53,DF53&lt;=IF(AND(Optimisation!$B$3="Yes",Optimisation!$B$4=1),Optimisation!$B$9)),VLOOKUP($DG$8,Treecost!$B$2:$AH$49,Treecost!$Q$2,FALSE),0)*(1-CN53)+IF(AND(DF53&gt;VLOOKUP($DG$8,Treecost!$B$2:$AH$49,Treecost!$O$2,FALSE),DF53&lt;=IF(AND(Optimisation!$B$3="Yes",Optimisation!$B$4=1),Optimisation!$B$9,VLOOKUP($DG$8,Treecost!$B$2:$AH$49,Treecost!$R$2,FALSE))),VLOOKUP($DG$8,Treecost!$B$2:$AH$49,Treecost!$T$2,FALSE),0)*(1-CN53)+(EV53*$EI$16+EW53*$EI$17))*IF(DF53&gt;='Options and results'!$K$27,'Options and results'!$K$26,1),0))*IF(1+'Options and results'!$Q$21*(DF53-1)&gt;0,1+'Options and results'!$Q$21*(DF53-1),0)</f>
        <v>0</v>
      </c>
      <c r="EY53" s="894">
        <f>IF($DG$8=0,0,IF(DF53&lt;='Options and results'!$W$20,IF(AND(DF53&gt;=VLOOKUP($DG$8,Treecost!$B$2:$W$49,Treecost!$U$2,FALSE),DF53&lt;=VLOOKUP($DG$8,Treecost!$B$2:$W$49,Treecost!$V$2,FALSE)),(DL53*VLOOKUP($DG$8,Treecost!$B$2:$W$49,Treecost!$W$2,FALSE)/60),0)*IF(DF53&gt;='Options and results'!$K$25,'Options and results'!$K$24,1),0))</f>
        <v>0</v>
      </c>
      <c r="EZ53" s="740">
        <f>EY53*$EI$18*IF(DF53&gt;='Options and results'!$K$27,'Options and results'!$K$26,1)*IF(1+'Options and results'!$Q$21*(DF53-1)&gt;0,1+'Options and results'!$Q$21*(DF53-1),0)</f>
        <v>0</v>
      </c>
      <c r="FA53" s="1025">
        <f>IF(DF53&lt;='Options and results'!$W$20,IF(DL53&lt;=0,0,VLOOKUP($DG$8,Treecost!$B$6:$AH$49,Treecost!$AC$2,FALSE)+VLOOKUP($DG$8,Treecost!$B$6:$AH$49,Treecost!$AD$2,FALSE)+IF(AND(DF53&gt;=VLOOKUP($DG$8,Treecost!$B$2:$AK$49,Treecost!$AI$2,FALSE),DF53&lt;=VLOOKUP($DG$8,Treecost!$B$2:$AK$49,Treecost!$AJ$2,FALSE)),VLOOKUP($DG$8,Treecost!$B$2:$AK$49,Treecost!$AK$2,FALSE)*(1-CN53),0))*IF(DF53&gt;='Options and results'!$K$27,'Options and results'!$K$26,1),0)*IF(1+'Options and results'!$Q$22*(DF53-1)&gt;0,1+'Options and results'!$Q$22*(DF53-1),0)</f>
        <v>0</v>
      </c>
      <c r="FB53" s="894">
        <f>IF(DF53&lt;='Options and results'!$W$20,IF(DN53&gt;0,VLOOKUP($DG$8,Treecost!$B$6:$AH$49,Treecost!$AE$2,FALSE)/60*DN53,0)*IF(DF53&gt;='Options and results'!$K$25,'Options and results'!$K$24,1),0)</f>
        <v>0</v>
      </c>
      <c r="FC53" s="740">
        <f>IF(DF53&lt;='Options and results'!$W$20,IF(DN53&gt;0,VLOOKUP($DG$8,Treecost!$B$6:$AH$49,Treecost!$AF$2,FALSE)/60*DN53,0)*IF(DF53&gt;='Options and results'!$K$25,'Options and results'!$K$24,1),0)</f>
        <v>0</v>
      </c>
      <c r="FD53" s="740">
        <f>(FB53*$EI$20+FC53*$EI$21)*IF(DF53&gt;='Options and results'!$K$27,'Options and results'!$K$26,1)*IF(1+'Options and results'!$Q$21*(DF53-1)&gt;0,1+'Options and results'!$Q$21*(DF53-1),0)</f>
        <v>0</v>
      </c>
      <c r="FE53" s="894">
        <f>IF(DF53&lt;='Options and results'!$W$20,IF(DO53&gt;0,(VLOOKUP($DG$8,Treecost!$B$6:$AH$49,Treecost!$AG$2,FALSE)/60*DO53)*IF(DF53&gt;='Options and results'!$K$25,'Options and results'!$K$24,1),0),0)</f>
        <v>0</v>
      </c>
      <c r="FF53" s="740">
        <f>IF(DF53&lt;='Options and results'!$W$20,IF(DO53&gt;0,(VLOOKUP($DG$8,Treecost!$B$6:$AH$49,Treecost!$AH$2,FALSE)/60*DO53)*IF(DF53&gt;='Options and results'!$K$25,'Options and results'!$K$24,1),0),0)</f>
        <v>0</v>
      </c>
      <c r="FG53" s="740">
        <f>(FE53*$EI$22+FF53*$EI$23)*IF(DF53&gt;='Options and results'!$K$27,'Options and results'!$K$26,1)*IF(1+'Options and results'!$Q$21*(DF53-1)&gt;0,1+'Options and results'!$Q$21*(DF53-1),0)</f>
        <v>0</v>
      </c>
      <c r="FH53" s="894">
        <f t="shared" si="157"/>
        <v>0</v>
      </c>
      <c r="FI53" s="1027">
        <f t="shared" si="158"/>
        <v>0</v>
      </c>
      <c r="FJ53" s="1027">
        <f t="shared" si="159"/>
        <v>0</v>
      </c>
      <c r="FK53" s="1027">
        <f t="shared" si="160"/>
        <v>0</v>
      </c>
      <c r="FL53" s="1027">
        <f t="shared" si="190"/>
        <v>0</v>
      </c>
      <c r="FM53" s="1027">
        <f>IF($DF53&lt;='Options and results'!$W$20,SUM(FI$8:$FI53),0)</f>
        <v>0</v>
      </c>
      <c r="FN53" s="1027">
        <f>IF($DF53&lt;='Options and results'!$W$20,SUM($FJ$8:FJ53),0)</f>
        <v>0</v>
      </c>
      <c r="FO53" s="1027">
        <f>IF($DF53&lt;='Options and results'!$W$20,SUM($FK$8:FK53),0)</f>
        <v>0</v>
      </c>
      <c r="FP53" s="1027">
        <f>IF($DF53&lt;='Options and results'!$W$20,FM53+FN53-FO53,0)</f>
        <v>0</v>
      </c>
      <c r="FQ53" s="1027">
        <f t="shared" si="162"/>
        <v>0</v>
      </c>
      <c r="FR53" s="1027">
        <f t="shared" si="163"/>
        <v>0</v>
      </c>
      <c r="FS53" s="1027">
        <f t="shared" si="164"/>
        <v>0</v>
      </c>
      <c r="FT53" s="1189">
        <f>IF(DF53&lt;='Options and results'!$W$20,FP53+DZ53,0)</f>
        <v>0</v>
      </c>
      <c r="FU53" s="401"/>
      <c r="FV53" s="895">
        <f t="shared" si="165"/>
        <v>46</v>
      </c>
      <c r="FW53" s="894">
        <f>G53/(1+'Options and results'!$W$33)^(FV53-1)</f>
        <v>0</v>
      </c>
      <c r="FX53" s="740">
        <f>(AP53+AR53+AS53)/(1+'Options and results'!$W$33)^(FV53-1)</f>
        <v>0</v>
      </c>
      <c r="FY53" s="740">
        <f>CQ53/(1+'Options and results'!$W$33)^(FV53-1)</f>
        <v>0</v>
      </c>
      <c r="FZ53" s="740">
        <f>(EA53+EC53+ED53)/(1+'Options and results'!$W$33)^(FV53-1)</f>
        <v>0</v>
      </c>
      <c r="GA53" s="1019">
        <f t="shared" si="180"/>
        <v>0</v>
      </c>
      <c r="GB53" s="1026">
        <f>(AO53+AQ53)/(1+'Options and results'!$W$33)^(FV53-1)+FX53</f>
        <v>0</v>
      </c>
      <c r="GC53" s="1027">
        <f>IF(FV53&gt;'Options and results'!$W$27,0,GB53-GB52)</f>
        <v>0</v>
      </c>
      <c r="GD53" s="1027">
        <f>(DZ53+EB53)/(1+'Options and results'!$W$33)^(FV53-1)+FZ53</f>
        <v>0</v>
      </c>
      <c r="GE53" s="1379">
        <f>IF(FV53&gt;'Options and results'!$W$27,0,GD53-GD52)</f>
        <v>0</v>
      </c>
      <c r="GF53" s="894">
        <f>IF(FV53&lt;='Options and results'!$W$20,SUM(FW$8:FW53),0)</f>
        <v>0</v>
      </c>
      <c r="GG53" s="740">
        <f>IF(FV53&lt;='Options and results'!$W$20,SUM(FX$8:FX53), 0)</f>
        <v>0</v>
      </c>
      <c r="GH53" s="740">
        <f>IF(FV53&lt;='Options and results'!$W$20,SUM(FY$8:FY53),0)</f>
        <v>0</v>
      </c>
      <c r="GI53" s="740">
        <f>IF(FV53&lt;='Options and results'!$W$20,SUM(FZ$8:FZ53),0)</f>
        <v>0</v>
      </c>
      <c r="GJ53" s="1019">
        <f t="shared" si="166"/>
        <v>0</v>
      </c>
      <c r="GK53" s="894">
        <f>IF(FV53&gt;'Options and results'!$W$27,0,GG53+SUM(GC$8:GC53)-FX53)</f>
        <v>0</v>
      </c>
      <c r="GL53" s="740">
        <f>IF(FV53&lt;='Options and results'!$W$20,SUM(GD$8:GD53),0)</f>
        <v>0</v>
      </c>
      <c r="GM53" s="1034">
        <f t="shared" si="167"/>
        <v>0</v>
      </c>
      <c r="GN53" s="401"/>
      <c r="GO53" s="895">
        <f t="shared" si="168"/>
        <v>46</v>
      </c>
      <c r="GP53" s="894">
        <f>H53/(1+'Options and results'!$W$33)^(GO53-1)</f>
        <v>0</v>
      </c>
      <c r="GQ53" s="740">
        <f>SUM(AT53:AV53)/(1+'Options and results'!$W$33)^(GO53-1)</f>
        <v>0</v>
      </c>
      <c r="GR53" s="740">
        <f>CR53/(1+'Options and results'!$W$33)^(GO53-1)</f>
        <v>0</v>
      </c>
      <c r="GS53" s="740">
        <f>SUM(EE53:EG53)/(1+'Options and results'!$W$33)^(GO53-1)</f>
        <v>0</v>
      </c>
      <c r="GT53" s="1019">
        <f t="shared" si="181"/>
        <v>0</v>
      </c>
      <c r="GU53" s="894">
        <f>IF(GO53&lt;='Options and results'!$W$20,SUM(GP$8:GP53),0)</f>
        <v>0</v>
      </c>
      <c r="GV53" s="740">
        <f>IF(GO53&lt;='Options and results'!$W$20,SUM(GQ$8:GQ53),0)</f>
        <v>0</v>
      </c>
      <c r="GW53" s="740">
        <f>IF(GO53&lt;='Options and results'!$W$20,SUM(GR$8:GR53),0)</f>
        <v>0</v>
      </c>
      <c r="GX53" s="740">
        <f>IF(GO53&lt;='Options and results'!$W$20,SUM(GS$8:GS53),0)</f>
        <v>0</v>
      </c>
      <c r="GY53" s="1034">
        <f>IF(GO53&lt;='Options and results'!$W$20,SUM(GT$8:GT53),0)</f>
        <v>0</v>
      </c>
      <c r="GZ53" s="401"/>
      <c r="HA53" s="895">
        <f t="shared" si="169"/>
        <v>46</v>
      </c>
      <c r="HB53" s="1026">
        <f>(J53+L53+(M53*N53))/(1+'Options and results'!$W$33)^(HA53-1)</f>
        <v>0</v>
      </c>
      <c r="HC53" s="740">
        <f>BZ53/(1+'Options and results'!$W$33)^(HA53-1)</f>
        <v>0</v>
      </c>
      <c r="HD53" s="1027">
        <f>(CT53+CV53+(CW53*CX53))/(1+'Options and results'!$W$33)^(HA53-1)</f>
        <v>0</v>
      </c>
      <c r="HE53" s="740">
        <f>FK53/(1+'Options and results'!$W$33)^(HA53-1)</f>
        <v>0</v>
      </c>
      <c r="HF53" s="1019">
        <f t="shared" si="182"/>
        <v>0</v>
      </c>
      <c r="HG53" s="894">
        <f>IF(HA53&lt;='Options and results'!$W$20,SUM(HB$8:HB53),0)</f>
        <v>0</v>
      </c>
      <c r="HH53" s="740">
        <f>IF(HA53&lt;='Options and results'!$W$20,SUM(HC$8:HC53),0)</f>
        <v>0</v>
      </c>
      <c r="HI53" s="740">
        <f>IF(HA53&lt;='Options and results'!$W$20,SUM(HD$8:HD53),0)</f>
        <v>0</v>
      </c>
      <c r="HJ53" s="740">
        <f>IF(HA53&lt;='Options and results'!$W$20,SUM(HE$8:HE53),0)</f>
        <v>0</v>
      </c>
      <c r="HK53" s="1034">
        <f>IF(HA53&lt;='Options and results'!$W$20,SUM(HF$8:HF53),0)</f>
        <v>0</v>
      </c>
      <c r="HL53" s="405"/>
      <c r="HM53" s="895">
        <f t="shared" si="189"/>
        <v>46</v>
      </c>
      <c r="HN53" s="1026">
        <f t="shared" si="171"/>
        <v>0</v>
      </c>
      <c r="HO53" s="1027">
        <f t="shared" si="172"/>
        <v>0</v>
      </c>
      <c r="HP53" s="1027">
        <f t="shared" si="173"/>
        <v>0</v>
      </c>
      <c r="HQ53" s="1027">
        <f t="shared" si="174"/>
        <v>0</v>
      </c>
      <c r="HR53" s="1027">
        <f t="shared" si="175"/>
        <v>0</v>
      </c>
      <c r="HS53" s="1379">
        <f t="shared" si="176"/>
        <v>0</v>
      </c>
      <c r="HT53" s="1026">
        <f>IF($HM53&lt;='Options and results'!$W$20,SUM(HN$8:HN53),0)</f>
        <v>0</v>
      </c>
      <c r="HU53" s="1027">
        <f>IF($HM53&lt;='Options and results'!$W$20,SUM(HO$8:HO53),0)</f>
        <v>0</v>
      </c>
      <c r="HV53" s="1027">
        <f>IF($HM53&lt;='Options and results'!$W$20,SUM(HP$8:HP53),0)</f>
        <v>0</v>
      </c>
      <c r="HW53" s="1027">
        <f>IF($HM53&lt;='Options and results'!$W$20,SUM(HQ$8:HQ53),0)</f>
        <v>0</v>
      </c>
      <c r="HX53" s="1027">
        <f t="shared" si="177"/>
        <v>0</v>
      </c>
      <c r="HY53" s="1027">
        <f>IF($HM53&lt;='Options and results'!$W$20,SUM(HR$8:HR53),0)</f>
        <v>0</v>
      </c>
      <c r="HZ53" s="1027">
        <f>IF($HM53&lt;='Options and results'!$W$20,SUM(HS$8:HS53),0)</f>
        <v>0</v>
      </c>
      <c r="IA53" s="1189">
        <f t="shared" si="178"/>
        <v>0</v>
      </c>
    </row>
    <row r="54" spans="1:235" x14ac:dyDescent="0.25">
      <c r="A54" s="1010">
        <f t="shared" si="126"/>
        <v>47</v>
      </c>
      <c r="B54" s="1011" t="str">
        <f>IF('Options and results'!$C$17="None",0,CONCATENATE('Options and results'!$C$23," ",(HLOOKUP(CONCATENATE('Options and results'!$C$17," ",Arablesystem!$B$11),Arablesystem!$B$10:$ER$72,$A54+3,FALSE))))</f>
        <v xml:space="preserve">UK - Agriculture (BPS: from 2015) </v>
      </c>
      <c r="C54" s="1012">
        <f>IF(HLOOKUP(CONCATENATE('Options and results'!$C$17," ",Arablesystem!$C$11),Arablesystem!$B$10:$ER$72,$A54+3,FALSE)="T",(VLOOKUP(B54,Arablefinance!$Z$6:$AB$105,Arablefinance!$AB$2,FALSE)*E54+VLOOKUP(B54,Arablefinance!$Z$6:$AC$105,Arablefinance!$AC$2,FALSE)*F54)/VLOOKUP(B54,Arablefinance!$Z$6:$AA$105,Arablefinance!$AA$2,FALSE),0)</f>
        <v>0</v>
      </c>
      <c r="D54" s="1012">
        <f>IF(B54=0,0,HLOOKUP(CONCATENATE('Options and results'!$C$17," ",Arablesystem!$D$11),Arablesystem!$B$10:$ER$72,$A54+3,FALSE))</f>
        <v>0</v>
      </c>
      <c r="E54" s="1440">
        <f>IF(B54=0,0,HLOOKUP(CONCATENATE('Options and results'!$C$17," ",Arablesystem!$E$11),Arablesystem!$B$10:$ER$72,$A54+3,FALSE)*IF(A54&gt;='Options and results'!$H$19,'Options and results'!$H$18,1))</f>
        <v>0</v>
      </c>
      <c r="F54" s="1440">
        <f>IF(B54=0,0,HLOOKUP(CONCATENATE('Options and results'!$C$17," ",Arablesystem!$F$11),Arablesystem!$B$10:$ER$72,$A54+3,FALSE)*IF(A54&gt;='Options and results'!$H$19,'Options and results'!$H$18,1))</f>
        <v>0</v>
      </c>
      <c r="G54" s="1013">
        <f>IF(D54&lt;=0,0,IF(A54&lt;='Options and results'!$W$20,IF(C54&gt;0,VLOOKUP(B54,Arablefinance!$Z$6:$AE$105,Arablefinance!$AD$2,FALSE)*C54*D54,((VLOOKUP(B54,Arablefinance!$E$6:$G$126,Arablefinance!$F$2,FALSE)*(E54*D54)+VLOOKUP(B54,Arablefinance!$E$6:$G$126,Arablefinance!$G$2,FALSE)*(F54*D54)))),0)*IF(A54&gt;='Options and results'!$H$21,'Options and results'!$H$20,1))*IF(1+'Options and results'!$O$20*(A54-1)&gt;0,1+'Options and results'!$O$20*(A54-1),0)</f>
        <v>0</v>
      </c>
      <c r="H54" s="1441">
        <f>IF(D54&lt;=0,0,IF(A54&lt;='Options and results'!$W$20,IF(AND(C54&gt;0,VLOOKUP(B54,Arablefinance!$Z$6:$AI$105,Arablefinance!$AI$2,FALSE)=2),VLOOKUP(B54,Arablefinance!$Z$6:$AE$105,Arablefinance!$AE$2,FALSE)*C54*D54,(VLOOKUP(B54,Arablefinance!$E$6:$H$126,Arablefinance!$H$2,FALSE)*D54))*IF(A54&gt;='Options and results'!$H$23,'Options and results'!$H$22,1),0)*IF(AND(1+'Options and results'!$O$23*(A54-1)&gt;0,1+'Options and results'!$O$23*(A54-1)&gt;'Options and results'!$S$24),1+'Options and results'!$O$23*(A54-1),'Options and results'!$S$24))</f>
        <v>0</v>
      </c>
      <c r="I54" s="1441">
        <f t="shared" si="127"/>
        <v>0</v>
      </c>
      <c r="J54" s="1441">
        <f>IF(D54&lt;=0,0,IF(A54&lt;='Options and results'!$W$20,IF(C54&gt;0,VLOOKUP(B54,Arablefinance!$Z$6:$AF$105,Arablefinance!$AF$2,FALSE)*C54*D54,(VLOOKUP(B54,Arablefinance!$E$6:$X$126,Arablefinance!$R$2,FALSE))*D54),0)*IF(A54&gt;='Options and results'!$H$27,'Options and results'!$H$26,1))*IF(1+'Options and results'!$O$22*(A54-1)&gt;0,1+'Options and results'!$O$22*(A54-1),0)</f>
        <v>0</v>
      </c>
      <c r="K54" s="1441">
        <f t="shared" si="128"/>
        <v>0</v>
      </c>
      <c r="L54" s="1441">
        <f>IF(D54&lt;=0,0,IF(A54&lt;='Options and results'!$W$20,IF(C54&gt;0,VLOOKUP(B54,Arablefinance!$Z$6:$AG$105,Arablefinance!$AG$2,FALSE)*C54*D54,VLOOKUP(B54,Arablefinance!$E$6:$X$126,Arablefinance!$X$2,FALSE)*D54),0)*IF(A54&gt;='Options and results'!$H$27,'Options and results'!$H$26,1))*IF(1+'Options and results'!$O$22*(A54-1)&gt;0,1+'Options and results'!$O$22*(A54-1),0)</f>
        <v>0</v>
      </c>
      <c r="M54" s="1442">
        <f>IF(D54&lt;=0,0,IF(A54&lt;='Options and results'!$W$20,'Options and results'!$C$27,0)*IF(A54&gt;='Options and results'!$H$27,'Options and results'!$H$26,1))*IF(1+'Options and results'!$O$21*(A54-1)&gt;0,1+'Options and results'!$O$21*(A54-1),0)</f>
        <v>0</v>
      </c>
      <c r="N54" s="1442">
        <f>IF(D54&lt;=0,0,IF(A54&lt;='Options and results'!$W$20,IF(C54&gt;0,VLOOKUP(B54,Arablefinance!$Z$6:$AH$105,Arablefinance!$AH$2,FALSE)*C54*D54,VLOOKUP(B54,Arablefinance!$E$6:$W$126,Arablefinance!$V$2,FALSE)*D54),0)*IF(A54&gt;='Options and results'!$H$25,'Options and results'!$H$24,1))</f>
        <v>0</v>
      </c>
      <c r="O54" s="1013">
        <f t="shared" si="129"/>
        <v>0</v>
      </c>
      <c r="P54" s="1353">
        <f t="shared" si="130"/>
        <v>0</v>
      </c>
      <c r="Q54" s="1013">
        <f>IF(A54&lt;='Options and results'!$W$20,SUM(G$8:$G54),0)</f>
        <v>0</v>
      </c>
      <c r="R54" s="1441">
        <f>IF($A54&lt;='Options and results'!$W$20,SUM($H$8:H54),0)</f>
        <v>0</v>
      </c>
      <c r="S54" s="1441">
        <f>IF($A54&lt;='Options and results'!$W$20,SUM($O$8:O54),0)</f>
        <v>0</v>
      </c>
      <c r="T54" s="1032">
        <f>IF(A54&lt;='Options and results'!$W$20,Q54+R54-S54,0)</f>
        <v>0</v>
      </c>
      <c r="U54" s="405"/>
      <c r="V54" s="1010">
        <f t="shared" si="131"/>
        <v>47</v>
      </c>
      <c r="W54" s="173"/>
      <c r="X54" s="1036"/>
      <c r="Y54" s="1030">
        <f>IF(V54&lt;='Options and results'!$M$34,'Options and results'!$M$33,0)</f>
        <v>0</v>
      </c>
      <c r="Z54" s="1441">
        <f t="shared" si="132"/>
        <v>0</v>
      </c>
      <c r="AA54" s="1441">
        <f t="shared" si="133"/>
        <v>0</v>
      </c>
      <c r="AB54" s="1428">
        <f t="shared" si="134"/>
        <v>0</v>
      </c>
      <c r="AC54" s="1441">
        <f>IF($W$8=0,0,IF(HLOOKUP(CONCATENATE('Options and results'!$C$32," ",Forestrysystem!$C$8),Forestrysystem!$A$7:$IH$70,V54+4,FALSE)&lt;AB54,HLOOKUP(CONCATENATE('Options and results'!$C$32," ",Forestrysystem!$C$8),Forestrysystem!$A$7:$IH$70,V54+4,FALSE),0))</f>
        <v>0</v>
      </c>
      <c r="AD54" s="1441">
        <f>IF($W$8=0,0,IF(HLOOKUP(CONCATENATE('Options and results'!$C$32," ",Forestrysystem!$C$8),Forestrysystem!$A$7:$IH$70,V54+4,FALSE)&gt;=AB54,AB54,0))</f>
        <v>0</v>
      </c>
      <c r="AE54" s="1440">
        <f>IF($W$8=0,0,HLOOKUP(CONCATENATE('Options and results'!$C$32," ",Forestrysystem!$D$8),Forestrysystem!$A$7:$IH$70,$V54+4,FALSE))</f>
        <v>0</v>
      </c>
      <c r="AF54" s="1037"/>
      <c r="AG54" s="1440">
        <f>IF($W$8=0,0,IF(V54=1,'Options and results'!$M$36,0)+IF('Options and results'!$M$39="yes",IF(AND(AG53+'Options and results'!$M$37&lt;=$AF$8,AG53+'Options and results'!$M$37+IF(V54=1,'Options and results'!$M$36,0)&lt;='Options and results'!$M$38*AE54),AG53+'Options and results'!$M$37,AG53),(HLOOKUP(CONCATENATE('Options and results'!$C$32," ",Forestrysystem!$E$8),Forestrysystem!$A$7:$IH$70,V54+4,FALSE))-IF(V54=1,'Options and results'!$M$36,0)))</f>
        <v>0</v>
      </c>
      <c r="AH54" s="1442">
        <f>IF(OR($W$8=0,AB54&lt;=0),0,(HLOOKUP(CONCATENATE('Options and results'!$C$32," ",Forestrysystem!$F$8),Forestrysystem!$A$7:$IH$70,$V54+4,FALSE)) * IF(V54&gt;='Options and results'!$I$19,'Options and results'!$I$18,1) )</f>
        <v>0</v>
      </c>
      <c r="AI54" s="1452">
        <f t="shared" si="179"/>
        <v>0</v>
      </c>
      <c r="AJ54" s="1442">
        <f t="shared" si="135"/>
        <v>0</v>
      </c>
      <c r="AK54" s="1453">
        <f>IF(OR($W$8=0,AE54&lt;=0),0,(HLOOKUP(CONCATENATE('Options and results'!$C$32," ",Forestrysystem!$G$8),Forestrysystem!$A$7:$IH$70,$V54+4,FALSE)) * IF(Y54&gt;='Options and results'!$I$19,'Options and results'!$I$18,1) )</f>
        <v>0</v>
      </c>
      <c r="AL54" s="1453">
        <f>IF($W$8=0,0,HLOOKUP(CONCATENATE('Options and results'!$C$32," ",Forestrysystem!$H$8),Forestrysystem!$A$7:$IH$70,$V54+4,FALSE)*IF(V54&gt;='Options and results'!$I$19,'Options and results'!$I$18,1))</f>
        <v>0</v>
      </c>
      <c r="AM54" s="1383">
        <f>IF($W$8=0,0,HLOOKUP(CONCATENATE('Options and results'!$C$32," ",Forestrysystem!$I$8),Forestrysystem!$A$7:$IH$70,$V54+4,FALSE)*IF(V54&gt;='Options and results'!$I$19,'Options and results'!$I$18,1))</f>
        <v>0</v>
      </c>
      <c r="AN54" s="1382">
        <f>IF(AI54&gt;0,HLOOKUP(AI54,Treevalue!$I$4:$BC$34,'Options and results'!$C$39+1),0)*IF(V54&gt;='Options and results'!$I$21,'Options and results'!$I$20,1)*IF(1+'Options and results'!$Q$20*(V54-1)&gt;0,1+'Options and results'!$Q$20*(V54-1),0)</f>
        <v>0</v>
      </c>
      <c r="AO54" s="1454">
        <f t="shared" si="136"/>
        <v>0</v>
      </c>
      <c r="AP54" s="1454">
        <f t="shared" si="187"/>
        <v>0</v>
      </c>
      <c r="AQ54" s="1454">
        <f>(IF('Options and results'!$C$39&gt;0,IF(V54&lt;='Options and results'!$W$20,VLOOKUP('Options and results'!$C$39,Treevalue!$A$4:$F$34,5,FALSE),0),0)*AK54)*IF(V54&gt;='Options and results'!$I$21,'Options and results'!$I$20,1)*IF(1+'Options and results'!$Q$20*(V54-1)&gt;0,1+'Options and results'!$Q$20*(V54-1),0)-AR54</f>
        <v>0</v>
      </c>
      <c r="AR54" s="1441">
        <f>(IF('Options and results'!$C$39&gt;0,IF(V54&lt;='Options and results'!$W$20,VLOOKUP('Options and results'!$C$39,Treevalue!$A$4:$F$34,5,FALSE),0),0)*AL54)*IF(V54&gt;='Options and results'!$I$21,'Options and results'!$I$20,1)*IF(1+'Options and results'!$Q$20*(V54-1)&gt;0,1+'Options and results'!$Q$20*(V54-1),0)</f>
        <v>0</v>
      </c>
      <c r="AS54" s="1441">
        <f>(IF('Options and results'!$C$39&gt;0,IF(V54&lt;='Options and results'!$W$20,VLOOKUP('Options and results'!$C$39,Treevalue!$A$4:$F$34,6,FALSE),0),0)*AM54)*IF(V54&gt;='Options and results'!$I$21,'Options and results'!$I$20,1)*IF(1+'Options and results'!$Q$20*(V54-1)&gt;0,1+'Options and results'!$Q$20*(V54-1),0)</f>
        <v>0</v>
      </c>
      <c r="AT54" s="1441">
        <f>IF(V54&lt;='Options and results'!$W$20,(IF(AB54&lt;=0,0,IF('Options and results'!$C$43="cost",(IF(V54&lt;='Options and results'!$C$44,BZ54*SUM('Options and results'!$C$45:$C$46),0)),IF('Options and results'!$C$41&gt;0,(IF(VLOOKUP('Options and results'!$C$42,Treegrant!$B$6:$L$42,Treegrant!$C$2,FALSE)=V54,VLOOKUP('Options and results'!$C$42,Treegrant!$B$6:$L$42,Treegrant!$D$2,FALSE),0)+IF(VLOOKUP('Options and results'!$C$42,Treegrant!$B$6:$L$42,Treegrant!$E$2,FALSE)=V54,VLOOKUP('Options and results'!$C$42,Treegrant!$B$6:$L$42,Treegrant!$F$2,FALSE),0)+IF(VLOOKUP('Options and results'!$C$42,Treegrant!$B$6:$L$42,Treegrant!$G$2,FALSE)=V54,VLOOKUP('Options and results'!$C$42,Treegrant!$B$6:$L$42,Treegrant!$H$2,FALSE)))*IF('Options and results'!$C$43="area",1,'Options and results'!$C$43),0)))*IF(V54&gt;='Options and results'!$I$23,'Options and results'!$I$22,1)),0)*IF(1+'Options and results'!$Q$23*(V54-1)&gt;0,1+'Options and results'!$Q$23*(V54-1),0)</f>
        <v>0</v>
      </c>
      <c r="AU54" s="1441">
        <f>IF($W$8=0,0,IF(V54&lt;='Options and results'!$W$20,IF(AB54&lt;=0,0,IF('Options and results'!$C$41&gt;0,IF(AND(VLOOKUP('Options and results'!$C$42,Treegrant!$B$6:$L$42,Treegrant!$J$2,FALSE)&lt;=V54,VLOOKUP('Options and results'!$C$42,Treegrant!$B$6:$L$42,Treegrant!$K$2,FALSE)&gt;=V54),(VLOOKUP('Options and results'!$C$42,Treegrant!$B$6:$L$42,Treegrant!$L$2,FALSE)),0)*IF('Options and results'!$C$47="full",1,'Options and results'!$C$47))*IF(V54&gt;='Options and results'!$I$23,'Options and results'!$I$22,1)),0))*IF(1+'Options and results'!$Q$23*(V54-1)&gt;0,1+'Options and results'!$Q$23*(V54-1),0)</f>
        <v>0</v>
      </c>
      <c r="AV54" s="1032">
        <f>IF($W$8=0,0,IF(V54&lt;='Options and results'!$W$20,IF(AB54&lt;=0,0,(IF('Options and results'!$C$41&gt;0,(IF(AND(VLOOKUP('Options and results'!$C$42,Treegrant!$B$6:$O$42,Treegrant!$M$2,FALSE)&lt;=V54,VLOOKUP('Options and results'!$C$42,Treegrant!$B$6:$O$42,Treegrant!$N$2,FALSE)&gt;=V54),(VLOOKUP('Options and results'!$C$42,Treegrant!$B$6:$O$42,Treegrant!$O$2,FALSE)),0)*IF('Options and results'!$C$48="full",1,'Options and results'!$C$48))+(IF(AND(VLOOKUP('Options and results'!$C$42,Treegrant!$B$6:$R$42,Treegrant!$P$2,FALSE)&lt;=V54,VLOOKUP('Options and results'!$C$42,Treegrant!$B$6:$R$42,Treegrant!$Q$2,FALSE)&gt;=V54),(VLOOKUP('Options and results'!$C$42,Treegrant!$B$6:$R$42,Treegrant!$R$2,FALSE)),0))*IF('Options and results'!$C$49="full",1,'Options and results'!$C$49)))*IF(V54&gt;='Options and results'!$I$23,'Options and results'!$I$22,1)),0))*IF(1+'Options and results'!$Q$23*(V54-1)&gt;0,1+'Options and results'!$Q$23*(V54-1),0)</f>
        <v>0</v>
      </c>
      <c r="AW54" s="1041"/>
      <c r="AX54" s="1042"/>
      <c r="AY54" s="1419">
        <f>IF($W$8=0,0,IF(V54=1,VLOOKUP($W$8,Treecost!$B$6:$AH$49,Treecost!$E$2,FALSE),0)*IF(V54&gt;='Options and results'!$I$25,'Options and results'!$I$24,1))</f>
        <v>0</v>
      </c>
      <c r="AZ54" s="889">
        <f>IF($W$8=0,0,IF(V54=1,VLOOKUP($W$8,Treecost!$B$6:$AH$49,Treecost!$F$2,FALSE),0)*IF(V54&gt;='Options and results'!$I$25,'Options and results'!$I$24,1))</f>
        <v>0</v>
      </c>
      <c r="BA54" s="889">
        <f>IF($W$8=0,0,IF(V54=1,VLOOKUP($W$8,Treecost!$B$6:$AH$49,Treecost!$G$2,FALSE),0)*IF(V54&gt;='Options and results'!$I$25,'Options and results'!$I$24,1))</f>
        <v>0</v>
      </c>
      <c r="BB54" s="889">
        <f>IF($W$8=0,0,IF(V54&lt;='Options and results'!$W$20,((VLOOKUP($W$8,Treecost!$B$6:$AH$49,Treecost!$H$2,FALSE)*(X54+AA54))/60)*IF(V54&gt;='Options and results'!$I$25,'Options and results'!$I$24,1),0))</f>
        <v>0</v>
      </c>
      <c r="BC54" s="889">
        <f>IF($W$8=0,0,IF(V54&lt;='Options and results'!$W$20,(((VLOOKUP($W$8,Treecost!$B$6:$AH$49,Treecost!$I$2,FALSE))*(X54+AA54))/60)*IF(V54&gt;='Options and results'!$I$25,'Options and results'!$I$24,1),0))</f>
        <v>0</v>
      </c>
      <c r="BD54" s="889">
        <f>IF($W$8=0,0,IF(V54&lt;='Options and results'!$W$20,(((VLOOKUP($W$8,Treecost!$B$6:$AH$49,Treecost!$J$2,FALSE))/60)*(X54+AA54))*IF(V54&gt;='Options and results'!$I$25,'Options and results'!$I$24,1),0))</f>
        <v>0</v>
      </c>
      <c r="BE54" s="1019">
        <f>IF($W$8=0,0,IF(V54&lt;='Options and results'!$W$20,(((VLOOKUP($W$8,Treecost!$B$6:$AH$49,Treecost!$C$2,FALSE)+VLOOKUP($W$8,Treecost!$B$6:$AH$49,Treecost!$D$2,FALSE))*(X54+AA54)*IF(1+'Options and results'!$Q$22*(V54-1)&gt;0,1+'Options and results'!$Q$22*(V54-1),0))+((AY54*$AX$8+AZ54*$AX$9+BA54*$AX$10+BB54*$AX$11+BC54*$AX$12+BD54*$AX$13)*IF(1+'Options and results'!$Q$21*(V54-1)&gt;0,1+'Options and results'!$Q$21*(V54-1),0)))*IF(V54&gt;='Options and results'!$I$27,'Options and results'!$I$26,1),0))</f>
        <v>0</v>
      </c>
      <c r="BF54" s="889">
        <f>IF($W$8=0,0,IF(V54&lt;='Options and results'!$W$20,IF(AND(VLOOKUP($W$8,Treecost!$B$6:$AH$49,Treecost!$K$2,FALSE)&lt;=V54,V54&lt;=(VLOOKUP($W$8,Treecost!$B$6:$AH$49,Treecost!$L$2,FALSE))),VLOOKUP($W$8,Treecost!$B$6:$AH$49,Treecost!$M$2,FALSE)*AB54/60,0)*IF(V54&gt;='Options and results'!$I$25,'Options and results'!$I$24,1),0))</f>
        <v>0</v>
      </c>
      <c r="BG54" s="1019">
        <f>IF(BF54&gt;0,(VLOOKUP($W$8,Treecost!$B$6:$AH$49,Treecost!$N$2,FALSE)*AB54*IF(1+'Options and results'!$Q$22*(V54-1)&gt;0,1+'Options and results'!$Q$22*(V54-1),0)+BF54*$AX$14*IF(1+'Options and results'!$Q$21*(V54-1)&gt;0,1+'Options and results'!$Q$21*(V54-1),0)),0)*IF(V54&gt;='Options and results'!$I$27,'Options and results'!$I$26,1)</f>
        <v>0</v>
      </c>
      <c r="BH54" s="889">
        <f>IF(V54&lt;='Options and results'!$W$20,IF(AND(AG54-AG53&gt;0,AG54&gt;'Options and results'!$M$36),(AB54-AC54)*(VLOOKUP($W$8,Treecost!$B$6:$AH$49,Treecost!$Y$2,FALSE)+(VLOOKUP($W$8,Treecost!$B$6:$AH$49,Treecost!$AA$2,FALSE)-VLOOKUP($W$8,Treecost!$B$6:$AH$49,Treecost!$Y$2,FALSE))/(VLOOKUP($W$8,Treecost!$B$6:$AH$49,Treecost!$Z$2,FALSE)-VLOOKUP($W$8,Treecost!$B$6:$AH$49,Treecost!$X$2,FALSE))*(AG54-VLOOKUP($W$8,Treecost!$B$6:$AH$49,Treecost!$X$2,FALSE)))/60,0)*IF(V54&gt;='Options and results'!$I$25,'Options and results'!$I$24,1),0)</f>
        <v>0</v>
      </c>
      <c r="BI54" s="303">
        <f>IF(V54&lt;='Options and results'!$W$20,IF(BH54&gt;0,VLOOKUP($W$8,Treecost!$B$6:$AH$49,Treecost!$AB$2,FALSE)/60*AB54,0)*IF(V54&gt;='Options and results'!$I$25,'Options and results'!$I$24,1),0)*((BH54-(MIN($BH$8:$BH$67)))/((MAX($BH$8:$BH$67))-(MIN($BH$8:$BH$67))))</f>
        <v>0</v>
      </c>
      <c r="BJ54" s="740">
        <f>IF(BH54&gt;0,(BH54*$AX$15+BI54*$AX$19)*IF(1+'Options and results'!$Q$21*(V54-1)&gt;0,1+'Options and results'!$Q$21*(V54-1),0),0)*IF(V54&gt;='Options and results'!$I$27,'Options and results'!$I$26,1)</f>
        <v>0</v>
      </c>
      <c r="BK54" s="891">
        <f>IF($W$8=0,0,IF(V54&lt;='Options and results'!$W$20,IF(VLOOKUP($W$8,Treecost!$B$2:$AH$49,Treecost!$O$2,FALSE)=V54,VLOOKUP($W$8,Treecost!$B$2:$AH$49,Treecost!$P$2,FALSE),0)*IF(V54&gt;='Options and results'!$I$25,'Options and results'!$I$24,1),0))</f>
        <v>0</v>
      </c>
      <c r="BL54" s="889">
        <f>IF($W$8=0,0,IF(V54&lt;='Options and results'!$W$20,IF(AND(V54&gt;VLOOKUP($W$8,Treecost!$B$2:$AH$49,Treecost!$O$2,FALSE),V54&lt;=VLOOKUP($W$8,Treecost!$B$2:$AH$49,Treecost!$R$2,FALSE)),VLOOKUP($W$8,Treecost!$B$2:$AH$49,Treecost!$S$2,FALSE),0)*IF(V54&gt;='Options and results'!$I$25,'Options and results'!$I$24,1),0))</f>
        <v>0</v>
      </c>
      <c r="BM54" s="740">
        <f>IF($W$8=0,0,IF(V54&lt;='Options and results'!$W$20,((IF(VLOOKUP($W$8,Treecost!$B$2:$AH$49,Treecost!$O$2,FALSE)=V54,VLOOKUP($W$8,Treecost!$B$2:$AH$49,Treecost!$Q$2,FALSE),0)+IF(AND(V54&gt;VLOOKUP($W$8,Treecost!$B$2:$AH$49,Treecost!$O$2,FALSE),V54&lt;=VLOOKUP($W$8,Treecost!$B$2:$AH$49,Treecost!$R$2,FALSE)),VLOOKUP($W$8,Treecost!$B$2:$AH$49,Treecost!$T$2,FALSE),0)*IF(1+'Options and results'!$Q$22*(V54-1)&gt;0,1+'Options and results'!$Q$22*(V54-1),0))+(BK54*$AX$16+BL54*$AX$17)*IF(1+'Options and results'!$Q$21*(V54-1)&gt;0,1+'Options and results'!$Q$21*(V54-1),0))*IF(V54&gt;='Options and results'!$I$27,'Options and results'!$I$26,1),0))</f>
        <v>0</v>
      </c>
      <c r="BN54" s="894">
        <f>IF($W$8=0,0,IF(V54&lt;='Options and results'!$W$20,IF(AND(V54&gt;=VLOOKUP($W$8,Treecost!$B$2:$W$49,Treecost!$U$2,FALSE),V54&lt;=VLOOKUP($W$8,Treecost!$B$2:$W$49,Treecost!$V$2,FALSE)),(AB54*VLOOKUP($W$8,Treecost!$B$2:$W$49,Treecost!$W$2,FALSE)/60),0)*IF(V54&gt;='Options and results'!$I$25,'Options and results'!$I$24,1),0))</f>
        <v>0</v>
      </c>
      <c r="BO54" s="740">
        <f>BN54*$AX$18*IF(V54&gt;='Options and results'!$I$27,'Options and results'!$I$26,1)*IF(1+'Options and results'!$Q$21*(V54-1)&gt;0,1+'Options and results'!$Q$21*(V54-1),0)</f>
        <v>0</v>
      </c>
      <c r="BP54" s="894">
        <f>IF(V54&lt;='Options and results'!$W$20,IF(AB54&lt;=0,0,VLOOKUP($W$8,Treecost!$B$6:$AH$49,Treecost!$AC$2,FALSE)+VLOOKUP($W$8,Treecost!$B$6:$AH$49,Treecost!$AD$2,FALSE)+IF(AND(V54&gt;=VLOOKUP($W$8,Treecost!$B$2:$AK$49,Treecost!$AI$2,FALSE),V54&lt;=VLOOKUP($W$8,Treecost!$B$2:$AK$49,Treecost!$AJ$2,FALSE)),(VLOOKUP($W$8,Treecost!$B$2:$AK$49,Treecost!$AK$2,FALSE)),0))*IF(V54&gt;='Options and results'!$I$27,'Options and results'!$I$26,1),0)*IF(1+'Options and results'!$Q$22*(V54-1)&gt;0,1+'Options and results'!$Q$22*(V54-1),0)</f>
        <v>0</v>
      </c>
      <c r="BQ54" s="894">
        <f>IF(V54&lt;='Options and results'!$W$20,IF(AC54&gt;0,VLOOKUP($W$8,Treecost!$B$6:$AH$49,Treecost!$AE$2,FALSE)/60*AC54,0)*IF(V54&gt;='Options and results'!$I$25,'Options and results'!$I$24,1),0)</f>
        <v>0</v>
      </c>
      <c r="BR54" s="740">
        <f>IF(V54&lt;='Options and results'!$W$20,IF(AC54&gt;0,VLOOKUP($W$8,Treecost!$B$6:$AH$49,Treecost!$AF$2,FALSE)/60*AC54,0)*IF(V54&gt;='Options and results'!$I$25,'Options and results'!$I$24,1),0)</f>
        <v>0</v>
      </c>
      <c r="BS54" s="740">
        <f>(BQ54*$AX$20+BR54*$AX$21)*IF(V54&gt;='Options and results'!$I$27,'Options and results'!$I$26,1)*IF(1+'Options and results'!$Q$21*(V54-1)&gt;0,1+'Options and results'!$Q$21*(V54-1),0)</f>
        <v>0</v>
      </c>
      <c r="BT54" s="894">
        <f>IF(V54&lt;='Options and results'!$W$20,IF(AD54&gt;0,(VLOOKUP($W$8,Treecost!$B$6:$AH$49,Treecost!$AG$2,FALSE)/60*AD54)*IF(V54&gt;='Options and results'!$I$25,'Options and results'!$I$24,1),0),0)</f>
        <v>0</v>
      </c>
      <c r="BU54" s="740">
        <f>IF(V54&lt;='Options and results'!$W$20,IF(AD54&gt;0,(VLOOKUP($W$8,Treecost!$B$6:$AH$49,Treecost!$AH$2,FALSE)/60*AD54)*IF(V54&gt;='Options and results'!$I$25,'Options and results'!$I$24,1),0),0)</f>
        <v>0</v>
      </c>
      <c r="BV54" s="740">
        <f>(BT54*$AX$22+BU54*$AX$23)*IF(V54&gt;='Options and results'!$I$27,'Options and results'!$I$26,1)*IF(1+'Options and results'!$Q$21*(V54-1)&gt;0,1+'Options and results'!$Q$21*(V54-1),0)</f>
        <v>0</v>
      </c>
      <c r="BW54" s="1033">
        <f t="shared" si="138"/>
        <v>0</v>
      </c>
      <c r="BX54" s="1027">
        <f t="shared" si="139"/>
        <v>0</v>
      </c>
      <c r="BY54" s="1027">
        <f t="shared" si="140"/>
        <v>0</v>
      </c>
      <c r="BZ54" s="740">
        <f t="shared" si="188"/>
        <v>0</v>
      </c>
      <c r="CA54" s="740">
        <f t="shared" si="141"/>
        <v>0</v>
      </c>
      <c r="CB54" s="894">
        <f>IF($V54&lt;='Options and results'!$W$20,SUM(BX$8:$BX54),0)</f>
        <v>0</v>
      </c>
      <c r="CC54" s="740">
        <f>IF($V54&lt;='Options and results'!$W$20,SUM($BY$8:BY54),0)</f>
        <v>0</v>
      </c>
      <c r="CD54" s="740">
        <f>IF($V54&lt;='Options and results'!$W$20,SUM($BZ$8:BZ54),0)</f>
        <v>0</v>
      </c>
      <c r="CE54" s="740">
        <f>IF(V54&lt;='Options and results'!$W$20,CB54+CC54-CD54,0)</f>
        <v>0</v>
      </c>
      <c r="CF54" s="1381">
        <f t="shared" si="142"/>
        <v>0</v>
      </c>
      <c r="CG54" s="1027">
        <f t="shared" si="143"/>
        <v>0</v>
      </c>
      <c r="CH54" s="1027">
        <f t="shared" si="144"/>
        <v>0</v>
      </c>
      <c r="CI54" s="1189">
        <f>IF(V54&lt;='Options and results'!$W$20,CE54+AO54,0)</f>
        <v>0</v>
      </c>
      <c r="CJ54" s="1023"/>
      <c r="CK54" s="895">
        <f t="shared" si="145"/>
        <v>47</v>
      </c>
      <c r="CL54" s="1011" t="str">
        <f>IF('Options and results'!$C$54="None",0,IF(AND(CK54&gt;='Options and results'!$K$57,CK53&lt;'Options and results'!$W$20),'Options and results'!$K$56,IF(Optimisation!$B$3="No",CONCATENATE('Options and results'!$C$60," ",(HLOOKUP(CONCATENATE('Options and results'!$C$54," ",Agroforestrysystem!$B$12),Agroforestrysystem!$B$11:$IM$74,$CK54+4,FALSE))),Optimisation!AA74)))</f>
        <v xml:space="preserve">UK - Agriculture (BPS: from 2015) </v>
      </c>
      <c r="CM54" s="1012">
        <f>IF(HLOOKUP(CONCATENATE('Options and results'!$C$54," ",Agroforestrysystem!$C$12),Agroforestrysystem!$B$11:$IM$74,$CK54+4,FALSE)="T",(VLOOKUP(CL54,Arablefinance!$Z$6:$AB$105,Arablefinance!$AB$2,FALSE)*CO54+VLOOKUP(CL54,Arablefinance!$Z$6:$AC$105,Arablefinance!$AC$2,FALSE)*CP54)/VLOOKUP(CL54,Arablefinance!$Z$6:$AA$105,Arablefinance!$AA$2,FALSE),0)</f>
        <v>0</v>
      </c>
      <c r="CN54" s="1012">
        <f>IF(CL54=0,0,HLOOKUP(CONCATENATE('Options and results'!$C$54," ",Agroforestrysystem!$D$12),Agroforestrysystem!$B$11:$IM$74,$CK54+4,FALSE))</f>
        <v>0</v>
      </c>
      <c r="CO54" s="1440">
        <f ca="1">IF(CL54=0,0,IF(AND(Optimisation!$B$3="yes",Optimisation!$B$4=1,CK54&gt;Optimisation!$B$9),0,HLOOKUP(CONCATENATE('Options and results'!$C$54," ",Agroforestrysystem!$E$12),Agroforestrysystem!$B$11:$IM$74,$CK54+4,FALSE)*IF(CK54&gt;='Options and results'!$J$19,'Options and results'!$J$18,1)))</f>
        <v>0</v>
      </c>
      <c r="CP54" s="1440">
        <f ca="1">IF(CL54=0,0,IF(AND(Optimisation!$B$3="yes",Optimisation!$B$4=1,CK54&gt;Optimisation!$B$9),0,HLOOKUP(CONCATENATE('Options and results'!$C$54," ",Agroforestrysystem!$F$12),Agroforestrysystem!$B$11:$IM$74,$CK54+4,FALSE)*IF(CK54&gt;='Options and results'!$J$19,'Options and results'!$J$18,1)))</f>
        <v>0</v>
      </c>
      <c r="CQ54" s="1013">
        <f>IF(CN54&lt;=0,0,IF(CK54&lt;='Options and results'!$W$20,IF(CM54&gt;0,VLOOKUP(CL54,Arablefinance!$Z$6:$AE$105,Arablefinance!$AD$2,FALSE)*CM54*CN54,((VLOOKUP(CL54,Arablefinance!$E$6:$H$126,2,FALSE)*CO54+VLOOKUP(CL54,Arablefinance!$E$6:$H$126,3,FALSE)*CP54)*CN54)),0)*IF(CK54&gt;='Options and results'!$J$21,'Options and results'!$J$20,1))*IF(1+'Options and results'!$O$20*(CK54-1)&gt;0,1+'Options and results'!$O$20*(CK54-1),0)</f>
        <v>0</v>
      </c>
      <c r="CR54" s="1441">
        <f>IF(CN54&lt;=0,0,IF(AND(CM54&gt;0,VLOOKUP(CL54,Arablefinance!$Z$6:$AI$105,Arablefinance!$AI$2,FALSE)=2),VLOOKUP(CL54,Arablefinance!$Z$6:$AE$105,Arablefinance!$AE$2,FALSE)*CM54*CN54,IF('Options and results'!$C$62&gt;0,IF(VLOOKUP(CL54,Arablefinance!$E$6:$W$126,Arablefinance!$H$2,FALSE)*(1-Plot!DM54*'Options and results'!$C$62)&gt;0,VLOOKUP(CL54,Arablefinance!$E$6:$W$126,Arablefinance!$H$2,FALSE)*(1-Plot!DM54*'Options and results'!$C$62),0),IF(CK54&lt;='Options and results'!$W$20,(VLOOKUP(CL54,Arablefinance!$E$6:$W$126,Arablefinance!$H$2,FALSE)*IF('Options and results'!$C$61="area",CN54,'Options and results'!$C$61)),0)))*IF(CK54&gt;='Options and results'!$J$23,'Options and results'!$J$22,1))*IF(AND(1+'Options and results'!$O$23*(CK54-1)&gt;0,1+'Options and results'!$O$23*(CK54-1)&gt;'Options and results'!$S$24),1+'Options and results'!$O$23*(CK54-1),'Options and results'!$S$24)</f>
        <v>0</v>
      </c>
      <c r="CS54" s="1441">
        <f t="shared" si="185"/>
        <v>0</v>
      </c>
      <c r="CT54" s="1441">
        <f>IF(CN54&lt;=0,0,IF(CK54&lt;='Options and results'!$W$20,IF(CM54&gt;0,VLOOKUP(CL54,Arablefinance!$Z$6:$AF$105,Arablefinance!$AF$2,FALSE)*CM54*CN54,VLOOKUP(CL54,Arablefinance!$E$6:$X$126,Arablefinance!$R$2,FALSE)*CN54),0)*IF(CK54&gt;='Options and results'!$J$27,'Options and results'!$J$26,1))*IF(1+'Options and results'!$O$22*(CK54-1)&gt;0,1+'Options and results'!$O$22*(CK54-1),0)</f>
        <v>0</v>
      </c>
      <c r="CU54" s="1441">
        <f t="shared" si="186"/>
        <v>0</v>
      </c>
      <c r="CV54" s="1441">
        <f>IF(CN54&lt;=0,0,IF(CK54&lt;='Options and results'!$W$20,IF(CM54&gt;0,VLOOKUP(CL54,Arablefinance!$Z$6:$AG$105,Arablefinance!$AG$2,FALSE)*CM54*CN54,VLOOKUP(CL54,Arablefinance!$E$6:$X$126,Arablefinance!$X$2,FALSE)*CN54),0)*IF(CK54&gt;='Options and results'!$J$27,'Options and results'!$J$26,1))*IF(1+'Options and results'!$O$22*(CK54-1)&gt;0,1+'Options and results'!$O$22*(CK54-1),0)</f>
        <v>0</v>
      </c>
      <c r="CW54" s="1442">
        <f>IF(CN54&lt;=0,0,IF(CK54&lt;='Options and results'!$W$20,'Options and results'!$C$27*IF(CK54&gt;='Options and results'!$J$27,'Options and results'!$J$26,1),0))*IF(1+'Options and results'!$O$21*(CK54-1)&gt;0,1+'Options and results'!$O$21*(CK54-1),0)</f>
        <v>0</v>
      </c>
      <c r="CX54" s="1442">
        <f>IF(CN54&lt;=0,0,IF(CK54&lt;='Options and results'!$W$20,IF(CM54&gt;0,VLOOKUP(CL54,Arablefinance!$Z$6:$AH$105,Arablefinance!$AH$2,FALSE)*CM54*CN54,VLOOKUP(CL54,Arablefinance!$E$6:$W$126,Arablefinance!$V$2,FALSE)*CN54),0)*IF(CK54&gt;='Options and results'!$J$25,'Options and results'!$J$24,1))</f>
        <v>0</v>
      </c>
      <c r="CY54" s="1013">
        <f t="shared" si="148"/>
        <v>0</v>
      </c>
      <c r="CZ54" s="1353">
        <f t="shared" si="149"/>
        <v>0</v>
      </c>
      <c r="DA54" s="1013">
        <f>IF($CK54&lt;='Options and results'!$W$20,SUM($CQ$8:CQ54),0)</f>
        <v>0</v>
      </c>
      <c r="DB54" s="1441">
        <f>IF($CK54&lt;='Options and results'!$W$20,SUM($CR$8:CR54),0)</f>
        <v>0</v>
      </c>
      <c r="DC54" s="1441">
        <f>IF($CK54&lt;='Options and results'!$W$20,SUM($CY$8:CY54),0)</f>
        <v>0</v>
      </c>
      <c r="DD54" s="1189">
        <f>IF(CK54&lt;='Options and results'!$W$20,DA54+DB54-DC54,0)</f>
        <v>0</v>
      </c>
      <c r="DE54" s="401"/>
      <c r="DF54" s="895">
        <f t="shared" si="150"/>
        <v>47</v>
      </c>
      <c r="DG54" s="173"/>
      <c r="DH54" s="1422"/>
      <c r="DI54" s="1427">
        <f>IF(DF54&lt;='Options and results'!$M$61,'Options and results'!$M$60,0)</f>
        <v>0</v>
      </c>
      <c r="DJ54" s="740">
        <f t="shared" si="151"/>
        <v>0</v>
      </c>
      <c r="DK54" s="740">
        <f t="shared" si="152"/>
        <v>0</v>
      </c>
      <c r="DL54" s="1428">
        <f t="shared" si="153"/>
        <v>0</v>
      </c>
      <c r="DM54" s="1429">
        <f>IF($DG$8=0,0,HLOOKUP(CONCATENATE('Options and results'!$C$54," ",Agroforestrysystem!$J$12),Agroforestrysystem!$11:$74,DF54+3,FALSE))/100</f>
        <v>0</v>
      </c>
      <c r="DN54" s="740">
        <f>IF($DG$8=0,0,IF(HLOOKUP(CONCATENATE('Options and results'!$C$54," ",Agroforestrysystem!$H$12),Agroforestrysystem!$11:$74,DF54+4,FALSE)&lt;DL54,HLOOKUP(CONCATENATE('Options and results'!$C$54," ",Agroforestrysystem!$H$12),Agroforestrysystem!$11:$74,DF54+4,FALSE),0))</f>
        <v>0</v>
      </c>
      <c r="DO54" s="1027">
        <f>IF($DG$8=0,0,IF(HLOOKUP(CONCATENATE('Options and results'!$C$54," ",Agroforestrysystem!$H$12),Agroforestrysystem!$11:$74,DF54+4,FALSE)&gt;=DL54,DL54,0))</f>
        <v>0</v>
      </c>
      <c r="DP54" s="1430">
        <f>IF($DG$8=0,0,HLOOKUP(CONCATENATE('Options and results'!$C$54," ",Agroforestrysystem!$I$12),Agroforestrysystem!$11:$74,DF54+4,FALSE))</f>
        <v>0</v>
      </c>
      <c r="DQ54" s="1038"/>
      <c r="DR54" s="1430">
        <f>IF($DG$8=0,0,IF(DF54&gt;'Options and results'!$W$20,0,)+IF(DF54=1,'Options and results'!$M$64)+IF('Options and results'!$M$67="yes",IF(AND(DR53+'Options and results'!$M$65&lt;=$DQ$8,DR53+'Options and results'!$M$65+IF(DF54=1,'Options and results'!$M$64,0)&lt;='Options and results'!$M$66*DP54),DR53+'Options and results'!$M$65,DR53),(HLOOKUP(CONCATENATE('Options and results'!$C$54," ",Agroforestrysystem!$K$12),Agroforestrysystem!$11:$74,DF54+4,FALSE)-IF(DF54=1,'Options and results'!$M$64))))</f>
        <v>0</v>
      </c>
      <c r="DS54" s="1027">
        <f>IF(OR($DG$8=0,DL54=0),0,HLOOKUP(CONCATENATE('Options and results'!$C$54," ",Agroforestrysystem!$L$12),Agroforestrysystem!$11:$74,DF54+4,FALSE)*IF(DF54&gt;='Options and results'!$K$19,'Options and results'!$K$18,1))</f>
        <v>0</v>
      </c>
      <c r="DT54" s="1431">
        <f t="shared" si="154"/>
        <v>0</v>
      </c>
      <c r="DU54" s="889">
        <f t="shared" si="155"/>
        <v>0</v>
      </c>
      <c r="DV54" s="1027">
        <f>IF($DG$8=0,0,(HLOOKUP(CONCATENATE('Options and results'!$C$54," ",Agroforestrysystem!$M$12),Agroforestrysystem!$11:$74,DF54+4,FALSE))*IF(DF54&gt;='Options and results'!$K$19,'Options and results'!$K$18,1))-DW54</f>
        <v>0</v>
      </c>
      <c r="DW54" s="303">
        <f>IF($DG$8=0,0,(HLOOKUP(CONCATENATE('Options and results'!$C$54," ",Agroforestrysystem!$N$12),Agroforestrysystem!$11:$74,DF54+4,FALSE))*IF(DF54&gt;='Options and results'!$K$19,'Options and results'!$K$18,1))</f>
        <v>0</v>
      </c>
      <c r="DX54" s="303">
        <f>IF($DG$8=0,0,HLOOKUP(CONCATENATE('Options and results'!$C$54," ",Agroforestrysystem!$O$12),Agroforestrysystem!$11:$74,DF54+4,FALSE)*IF(DF54&gt;='Options and results'!$K$19,'Options and results'!$K$18,1))</f>
        <v>0</v>
      </c>
      <c r="DY54" s="1192">
        <f>IF(DT54&gt;0,HLOOKUP(DT54,Treevalue!$I$4:$BC$34,'Options and results'!$C$66+1),0)*IF(DF54&gt;='Options and results'!$K$21,'Options and results'!$K$20,1)*IF(1+'Options and results'!$Q$20*(DF54-1)&gt;0,1+'Options and results'!$Q$20*(DF54-1),0)</f>
        <v>0</v>
      </c>
      <c r="DZ54" s="1027">
        <f t="shared" si="156"/>
        <v>0</v>
      </c>
      <c r="EA54" s="1027">
        <f t="shared" si="125"/>
        <v>0</v>
      </c>
      <c r="EB54" s="1027">
        <f>(IF('Options and results'!$C$66&gt;0,IF(DF54&lt;='Options and results'!$W$20,VLOOKUP('Options and results'!$C$66,Treevalue!$A$4:$F$34,5,FALSE),0),0)*DV54)*IF(DF54&gt;='Options and results'!$K$21,'Options and results'!$K$20,1)*IF(1+'Options and results'!$Q$20*(DF54-1)&gt;0,1+'Options and results'!$Q$20*(DF54-1),0)</f>
        <v>0</v>
      </c>
      <c r="EC54" s="740">
        <f>(IF('Options and results'!$C$66&gt;0,IF(DF54&lt;='Options and results'!$W$20,VLOOKUP('Options and results'!$C$66,Treevalue!$A$4:$F$34,5,FALSE),0),0)*DW54)*IF(DF54&gt;='Options and results'!$K$21,'Options and results'!$K$20,1)*IF(1+'Options and results'!$Q$20*(DF54-1)&gt;0,1+'Options and results'!$Q$20*(DF54-1),0)</f>
        <v>0</v>
      </c>
      <c r="ED54" s="889">
        <f>(IF('Options and results'!$C$66&gt;0,IF(DF54&lt;='Options and results'!$W$20,VLOOKUP('Options and results'!$C$66,Treevalue!$A$4:$F$34,6,FALSE),0),0)*DX54)*IF(DF54&gt;='Options and results'!$K$21,'Options and results'!$K$20,1)*IF(1+'Options and results'!$Q$20*(DF54-1)&gt;0,1+'Options and results'!$Q$20*(DF54-1),0)</f>
        <v>0</v>
      </c>
      <c r="EE54" s="740">
        <f>IF(DF54&lt;='Options and results'!$W$20,IF(DL54&lt;=0,0,IF('Options and results'!$C$70="cost",(IF(DF54&lt;='Options and results'!$C$71,FK54*SUM('Options and results'!$C$72:$C$73),0)),IF('Options and results'!$C$68&gt;0,(IF(VLOOKUP('Options and results'!$C$69,Treegrant!$B$6:$L$42,Treegrant!$C$2,FALSE)=DF54,VLOOKUP('Options and results'!$C$69,Treegrant!$B$6:$L$42,Treegrant!$D$2,FALSE),0)+IF(VLOOKUP('Options and results'!$C$69,Treegrant!$B$6:$L$42,Treegrant!$E$2,FALSE)=DF54,VLOOKUP('Options and results'!$C$69,Treegrant!$B$6:$L$42,Treegrant!$F$2,FALSE),0)+IF(VLOOKUP('Options and results'!$C$69,Treegrant!$B$6:$L$42,Treegrant!$G$2,FALSE)=DF54,VLOOKUP('Options and results'!$C$69,Treegrant!$B$6:$L$42,Treegrant!$H$2,FALSE)))*IF('Options and results'!$C$70="area",Unit!C55,'Options and results'!$C$70),0))*IF(DF54&gt;='Options and results'!$K$23,'Options and results'!$K$22,1)),0)*IF(1+'Options and results'!$Q$23*(DF54-1)&gt;0,1+'Options and results'!$Q$23*(DF54-1),0)</f>
        <v>0</v>
      </c>
      <c r="EF54" s="740">
        <f>IF($DG$8=0,0,IF(DF54&lt;='Options and results'!$W$20,IF(DL54&lt;=0,0,IF('Options and results'!$C$68&gt;0,IF(AND(VLOOKUP('Options and results'!$C$69,Treegrant!$B$6:$L$42,Treegrant!$J$2,FALSE)&lt;=DF54,VLOOKUP('Options and results'!$C$69,Treegrant!$B$6:$L$42,Treegrant!$K$2,FALSE)&gt;=DF54),(VLOOKUP('Options and results'!$C$69,Treegrant!$B$6:$L$42,Treegrant!$L$2,FALSE)),0)*IF('Options and results'!$C$74="area",Unit!C55,'Options and results'!$C$74))*IF(DF54&gt;='Options and results'!$K$23,'Options and results'!$K$22,1)),0))*IF(1+'Options and results'!$Q$23*(DF54-1)&gt;0,1+'Options and results'!$Q$23*(DF54-1),0)</f>
        <v>0</v>
      </c>
      <c r="EG54" s="1034">
        <f>IF($DG$8=0,0,IF(DF54&lt;='Options and results'!$W$20,IF(DL54&lt;=0,0,IF('Options and results'!$C$68&gt;0,((IF(AND(VLOOKUP('Options and results'!$C$69,Treegrant!$B$6:$O$42,Treegrant!$M$2,FALSE)&lt;=DF54,VLOOKUP('Options and results'!$C$69,Treegrant!$B$6:$O$42,Treegrant!$N$2,FALSE)&gt;=DF54),(VLOOKUP('Options and results'!$C$69,Treegrant!$B$6:$O$42,Treegrant!$O$2,FALSE)),0)*IF('Options and results'!$C$75="area",Unit!C55,'Options and results'!$C$75))+(IF(AND(VLOOKUP('Options and results'!$C$69,Treegrant!$B$6:$R$42,Treegrant!$P$2,FALSE)&lt;=DF54,VLOOKUP('Options and results'!$C$69,Treegrant!$B$6:$R$42,Treegrant!$Q$2,FALSE)&gt;=DF54),(VLOOKUP('Options and results'!$C$69,Treegrant!$B$6:$R$42,Treegrant!$R$2,FALSE)),0))*IF('Options and results'!$C$76="area",Unit!C55,'Options and results'!$C$76)))*IF(DF54&gt;='Options and results'!$K$23,'Options and results'!$K$22,1)),0))*IF(1+'Options and results'!$Q$23*(DF54-1)&gt;0,1+'Options and results'!$Q$23*(DF54-1),0)</f>
        <v>0</v>
      </c>
      <c r="EH54" s="1041"/>
      <c r="EI54" s="1042"/>
      <c r="EJ54" s="1419">
        <f>IF($DH$8+DK54&lt;1,0,IF(DF54=1,VLOOKUP($DG$8,Treecost!$B$6:$AH$49,Treecost!$E$2,FALSE),0)*IF(DF54&gt;='Options and results'!$K$25,'Options and results'!$K$24,1))</f>
        <v>0</v>
      </c>
      <c r="EK54" s="889">
        <f>IF($DH$8+DK54&lt;1,0,IF(DF54=1,VLOOKUP($DG$8,Treecost!$B$6:$AH$49,Treecost!$F$2,FALSE),0)*IF(DF54&gt;='Options and results'!$K$25,'Options and results'!$K$24,1))</f>
        <v>0</v>
      </c>
      <c r="EL54" s="889">
        <f>IF($DH$8+DK54&lt;1,0,IF(DF54=1,VLOOKUP($DG$8,Treecost!$B$6:$AH$49,Treecost!$G$2,FALSE),0)*IF(DF54&gt;='Options and results'!$K$25,'Options and results'!$K$24,1))</f>
        <v>0</v>
      </c>
      <c r="EM54" s="889">
        <f>IF($DG$8=0,0,IF(DF54&lt;='Options and results'!$W$20,((VLOOKUP($DG$8,Treecost!$B$6:$AH$49,Treecost!$H$2,FALSE)*(DH54+DK54))/60)*IF(DF54&gt;='Options and results'!$K$25,'Options and results'!$K$24,1),0))</f>
        <v>0</v>
      </c>
      <c r="EN54" s="889">
        <f>IF($DG$8=0,0,IF(DF54&lt;='Options and results'!$W$20,(((VLOOKUP($DG$8,Treecost!$B$6:$AH$49,Treecost!$I$2,FALSE))*(DH54+DK54))/60)*IF(DF54&gt;='Options and results'!$K$25,'Options and results'!$K$24,1),0))</f>
        <v>0</v>
      </c>
      <c r="EO54" s="889">
        <f>IF($DG$8=0,0,IF(DF54&lt;='Options and results'!$W$20,(((VLOOKUP($DG$8,Treecost!$B$6:$AH$49,Treecost!$J$2,FALSE))/60)*(DH54+DK54))*IF(DF54&gt;='Options and results'!$K$25,'Options and results'!$K$24,1),0))</f>
        <v>0</v>
      </c>
      <c r="EP54" s="1019">
        <f>IF($DG$8=0,0,IF(DF54&lt;='Options and results'!$W$20,(((VLOOKUP($DG$8,Treecost!$B$6:$AH$49,Treecost!$C$2,FALSE)+VLOOKUP($DG$8,Treecost!$B$6:$AH$49,Treecost!$D$2,FALSE))*(DH54+DK54)*IF(1+'Options and results'!$Q$22*(DF54-1)&gt;0,1+'Options and results'!$Q$22*(DF54-1),0))+(EJ54*$EI$8+EK54*$EI$9+EL54*$EI$10+EM54*$EI$11+EN54*$EI$12+EO54*$EI$13)*IF(1+'Options and results'!$Q$21*(DF54-1)&gt;0,1+'Options and results'!$Q$21*(DF54-1),0))*IF(DF54&gt;='Options and results'!$K$27,'Options and results'!$K$26,1),0))</f>
        <v>0</v>
      </c>
      <c r="EQ54" s="740">
        <f>IF($DG$8=0,0,IF(DF54&lt;='Options and results'!$W$20,IF(AND(VLOOKUP($DG$8,Treecost!$B$6:$AH$49,Treecost!$K$2,FALSE)&lt;=DF54,DF54&lt;=(VLOOKUP($DG$8,Treecost!$B$6:$AH$49,Treecost!$L$2,FALSE))),VLOOKUP($DG$8,Treecost!$B$6:$AH$49,Treecost!$M$2,FALSE)*DL54/60,0)*IF(DF54&gt;='Options and results'!$K$25,'Options and results'!$K$24,1),0))</f>
        <v>0</v>
      </c>
      <c r="ER54" s="1019">
        <f>IF(EQ54&gt;0,(VLOOKUP($DG$8,Treecost!$B$6:$AH$49,Treecost!$N$2,FALSE)*DL54*IF(1+'Options and results'!$Q$22*(DF54-1)&gt;0,1+'Options and results'!$Q$22*(DF54-1),0)+EQ54*$EI$14*IF(1+'Options and results'!$Q$21*(DF54-1)&gt;0,1+'Options and results'!$Q$21*(DF54-1),0)),0)*IF(DF54&gt;='Options and results'!$K$27,'Options and results'!$K$26,1)</f>
        <v>0</v>
      </c>
      <c r="ES54" s="889">
        <f>IF(DF54&lt;='Options and results'!$W$20,IF(AND(DR54-DR53&gt;0,DR54&gt;'Options and results'!$M$64),(DL54-DN54)*(VLOOKUP($DG$8,Treecost!$B$6:$AH$49,Treecost!$Y$2,FALSE)+(VLOOKUP($DG$8,Treecost!$B$6:$AH$49,Treecost!$AA$2,FALSE)-VLOOKUP($DG$8,Treecost!$B$6:$AH$49,Treecost!$Y$2,FALSE))/(VLOOKUP($DG$8,Treecost!$B$6:$AH$49,Treecost!$Z$2,FALSE)-VLOOKUP($DG$8,Treecost!$B$6:$AH$49,Treecost!$X$2,FALSE))*(DR54-VLOOKUP($DG$8,Treecost!$B$6:$AH$49,Treecost!$X$2,FALSE)))/60,0)*IF(DF54&gt;='Options and results'!$K$25,'Options and results'!$K$24,1),0)</f>
        <v>0</v>
      </c>
      <c r="ET54" s="889">
        <f>IF(DF54&lt;='Options and results'!$W$20,IF(ES54&gt;0,VLOOKUP($DG$8,Treecost!$B$6:$AH$49,Treecost!$AB$2,FALSE)/60*DL54,0)*IF(DF54&gt;='Options and results'!$K$25,'Options and results'!$K$24,1),0)*((ES54-(MIN($ES$8:$ES$67)))/((MAX($ES$8:$ES$67))-(MIN($ES$8:$ES$67))))</f>
        <v>0</v>
      </c>
      <c r="EU54" s="740">
        <f>IF(ES54&gt;0,(ES54*$EI$15+ET54*$EI$19)*IF(1+'Options and results'!$Q$21*(DF54-1)&gt;0,1+'Options and results'!$Q$21*(DF54-1),0),0)*IF(DF54&gt;='Options and results'!$K$27,'Options and results'!$K$26,1)</f>
        <v>0</v>
      </c>
      <c r="EV54" s="891">
        <f>IF($DG$8=0,0,IF(DF54&lt;='Options and results'!$W$20,IF(AND(VLOOKUP($DG$8,Treecost!$B$2:$AH$49,Treecost!$O$2,FALSE)=DF54,DF54&lt;=IF(AND(Optimisation!$B$3="Yes",Optimisation!$B$4=1),Optimisation!$B$9)),VLOOKUP($DG$8,Treecost!$B$2:$AH$49,Treecost!$P$2,FALSE)*(1-CN54),0)*IF(DF54&gt;='Options and results'!$K$25,'Options and results'!$K$24,1),0))</f>
        <v>0</v>
      </c>
      <c r="EW54" s="889">
        <f>IF($DG$8=0,0,IF(DF54&lt;='Options and results'!$W$20,IF(AND(DF54&gt;VLOOKUP($DG$8,Treecost!$B$2:$AH$49,Treecost!$O$2,FALSE),DF54&lt;=IF(AND(Optimisation!$B$3="Yes",Optimisation!$B$4=1),Optimisation!$B$9,VLOOKUP($DG$8,Treecost!$B$2:$AH$49,Treecost!$R$2,FALSE))),VLOOKUP($DG$8,Treecost!$B$2:$AH$49,Treecost!$S$2,FALSE)*(1-CN54),0)*IF(DF54&gt;='Options and results'!$K$25,'Options and results'!$K$24,1),0))</f>
        <v>0</v>
      </c>
      <c r="EX54" s="740">
        <f>IF($DG$8=0,0,IF(DF54&lt;='Options and results'!$W$20,(IF(AND(VLOOKUP($DG$8,Treecost!$B$2:$AH$49,Treecost!$O$2,FALSE)=DF54,DF54&lt;=IF(AND(Optimisation!$B$3="Yes",Optimisation!$B$4=1),Optimisation!$B$9)),VLOOKUP($DG$8,Treecost!$B$2:$AH$49,Treecost!$Q$2,FALSE),0)*(1-CN54)+IF(AND(DF54&gt;VLOOKUP($DG$8,Treecost!$B$2:$AH$49,Treecost!$O$2,FALSE),DF54&lt;=IF(AND(Optimisation!$B$3="Yes",Optimisation!$B$4=1),Optimisation!$B$9,VLOOKUP($DG$8,Treecost!$B$2:$AH$49,Treecost!$R$2,FALSE))),VLOOKUP($DG$8,Treecost!$B$2:$AH$49,Treecost!$T$2,FALSE),0)*(1-CN54)+(EV54*$EI$16+EW54*$EI$17))*IF(DF54&gt;='Options and results'!$K$27,'Options and results'!$K$26,1),0))*IF(1+'Options and results'!$Q$21*(DF54-1)&gt;0,1+'Options and results'!$Q$21*(DF54-1),0)</f>
        <v>0</v>
      </c>
      <c r="EY54" s="894">
        <f>IF($DG$8=0,0,IF(DF54&lt;='Options and results'!$W$20,IF(AND(DF54&gt;=VLOOKUP($DG$8,Treecost!$B$2:$W$49,Treecost!$U$2,FALSE),DF54&lt;=VLOOKUP($DG$8,Treecost!$B$2:$W$49,Treecost!$V$2,FALSE)),(DL54*VLOOKUP($DG$8,Treecost!$B$2:$W$49,Treecost!$W$2,FALSE)/60),0)*IF(DF54&gt;='Options and results'!$K$25,'Options and results'!$K$24,1),0))</f>
        <v>0</v>
      </c>
      <c r="EZ54" s="740">
        <f>EY54*$EI$18*IF(DF54&gt;='Options and results'!$K$27,'Options and results'!$K$26,1)*IF(1+'Options and results'!$Q$21*(DF54-1)&gt;0,1+'Options and results'!$Q$21*(DF54-1),0)</f>
        <v>0</v>
      </c>
      <c r="FA54" s="1025">
        <f>IF(DF54&lt;='Options and results'!$W$20,IF(DL54&lt;=0,0,VLOOKUP($DG$8,Treecost!$B$6:$AH$49,Treecost!$AC$2,FALSE)+VLOOKUP($DG$8,Treecost!$B$6:$AH$49,Treecost!$AD$2,FALSE)+IF(AND(DF54&gt;=VLOOKUP($DG$8,Treecost!$B$2:$AK$49,Treecost!$AI$2,FALSE),DF54&lt;=VLOOKUP($DG$8,Treecost!$B$2:$AK$49,Treecost!$AJ$2,FALSE)),VLOOKUP($DG$8,Treecost!$B$2:$AK$49,Treecost!$AK$2,FALSE)*(1-CN54),0))*IF(DF54&gt;='Options and results'!$K$27,'Options and results'!$K$26,1),0)*IF(1+'Options and results'!$Q$22*(DF54-1)&gt;0,1+'Options and results'!$Q$22*(DF54-1),0)</f>
        <v>0</v>
      </c>
      <c r="FB54" s="894">
        <f>IF(DF54&lt;='Options and results'!$W$20,IF(DN54&gt;0,VLOOKUP($DG$8,Treecost!$B$6:$AH$49,Treecost!$AE$2,FALSE)/60*DN54,0)*IF(DF54&gt;='Options and results'!$K$25,'Options and results'!$K$24,1),0)</f>
        <v>0</v>
      </c>
      <c r="FC54" s="740">
        <f>IF(DF54&lt;='Options and results'!$W$20,IF(DN54&gt;0,VLOOKUP($DG$8,Treecost!$B$6:$AH$49,Treecost!$AF$2,FALSE)/60*DN54,0)*IF(DF54&gt;='Options and results'!$K$25,'Options and results'!$K$24,1),0)</f>
        <v>0</v>
      </c>
      <c r="FD54" s="740">
        <f>(FB54*$EI$20+FC54*$EI$21)*IF(DF54&gt;='Options and results'!$K$27,'Options and results'!$K$26,1)*IF(1+'Options and results'!$Q$21*(DF54-1)&gt;0,1+'Options and results'!$Q$21*(DF54-1),0)</f>
        <v>0</v>
      </c>
      <c r="FE54" s="894">
        <f>IF(DF54&lt;='Options and results'!$W$20,IF(DO54&gt;0,(VLOOKUP($DG$8,Treecost!$B$6:$AH$49,Treecost!$AG$2,FALSE)/60*DO54)*IF(DF54&gt;='Options and results'!$K$25,'Options and results'!$K$24,1),0),0)</f>
        <v>0</v>
      </c>
      <c r="FF54" s="740">
        <f>IF(DF54&lt;='Options and results'!$W$20,IF(DO54&gt;0,(VLOOKUP($DG$8,Treecost!$B$6:$AH$49,Treecost!$AH$2,FALSE)/60*DO54)*IF(DF54&gt;='Options and results'!$K$25,'Options and results'!$K$24,1),0),0)</f>
        <v>0</v>
      </c>
      <c r="FG54" s="740">
        <f>(FE54*$EI$22+FF54*$EI$23)*IF(DF54&gt;='Options and results'!$K$27,'Options and results'!$K$26,1)*IF(1+'Options and results'!$Q$21*(DF54-1)&gt;0,1+'Options and results'!$Q$21*(DF54-1),0)</f>
        <v>0</v>
      </c>
      <c r="FH54" s="894">
        <f t="shared" si="157"/>
        <v>0</v>
      </c>
      <c r="FI54" s="1027">
        <f t="shared" si="158"/>
        <v>0</v>
      </c>
      <c r="FJ54" s="1027">
        <f t="shared" si="159"/>
        <v>0</v>
      </c>
      <c r="FK54" s="1027">
        <f t="shared" si="160"/>
        <v>0</v>
      </c>
      <c r="FL54" s="1027">
        <f t="shared" si="190"/>
        <v>0</v>
      </c>
      <c r="FM54" s="1027">
        <f>IF($DF54&lt;='Options and results'!$W$20,SUM(FI$8:$FI54),0)</f>
        <v>0</v>
      </c>
      <c r="FN54" s="1027">
        <f>IF($DF54&lt;='Options and results'!$W$20,SUM($FJ$8:FJ54),0)</f>
        <v>0</v>
      </c>
      <c r="FO54" s="1027">
        <f>IF($DF54&lt;='Options and results'!$W$20,SUM($FK$8:FK54),0)</f>
        <v>0</v>
      </c>
      <c r="FP54" s="1027">
        <f>IF($DF54&lt;='Options and results'!$W$20,FM54+FN54-FO54,0)</f>
        <v>0</v>
      </c>
      <c r="FQ54" s="1027">
        <f t="shared" si="162"/>
        <v>0</v>
      </c>
      <c r="FR54" s="1027">
        <f t="shared" si="163"/>
        <v>0</v>
      </c>
      <c r="FS54" s="1027">
        <f t="shared" si="164"/>
        <v>0</v>
      </c>
      <c r="FT54" s="1189">
        <f>IF(DF54&lt;='Options and results'!$W$20,FP54+DZ54,0)</f>
        <v>0</v>
      </c>
      <c r="FU54" s="401"/>
      <c r="FV54" s="895">
        <f t="shared" si="165"/>
        <v>47</v>
      </c>
      <c r="FW54" s="894">
        <f>G54/(1+'Options and results'!$W$33)^(FV54-1)</f>
        <v>0</v>
      </c>
      <c r="FX54" s="740">
        <f>(AP54+AR54+AS54)/(1+'Options and results'!$W$33)^(FV54-1)</f>
        <v>0</v>
      </c>
      <c r="FY54" s="740">
        <f>CQ54/(1+'Options and results'!$W$33)^(FV54-1)</f>
        <v>0</v>
      </c>
      <c r="FZ54" s="740">
        <f>(EA54+EC54+ED54)/(1+'Options and results'!$W$33)^(FV54-1)</f>
        <v>0</v>
      </c>
      <c r="GA54" s="1019">
        <f t="shared" si="180"/>
        <v>0</v>
      </c>
      <c r="GB54" s="1026">
        <f>(AO54+AQ54)/(1+'Options and results'!$W$33)^(FV54-1)+FX54</f>
        <v>0</v>
      </c>
      <c r="GC54" s="1027">
        <f>IF(FV54&gt;'Options and results'!$W$27,0,GB54-GB53)</f>
        <v>0</v>
      </c>
      <c r="GD54" s="1027">
        <f>(DZ54+EB54)/(1+'Options and results'!$W$33)^(FV54-1)+FZ54</f>
        <v>0</v>
      </c>
      <c r="GE54" s="1379">
        <f>IF(FV54&gt;'Options and results'!$W$27,0,GD54-GD53)</f>
        <v>0</v>
      </c>
      <c r="GF54" s="894">
        <f>IF(FV54&lt;='Options and results'!$W$20,SUM(FW$8:FW54),0)</f>
        <v>0</v>
      </c>
      <c r="GG54" s="740">
        <f>IF(FV54&lt;='Options and results'!$W$20,SUM(FX$8:FX54), 0)</f>
        <v>0</v>
      </c>
      <c r="GH54" s="740">
        <f>IF(FV54&lt;='Options and results'!$W$20,SUM(FY$8:FY54),0)</f>
        <v>0</v>
      </c>
      <c r="GI54" s="740">
        <f>IF(FV54&lt;='Options and results'!$W$20,SUM(FZ$8:FZ54),0)</f>
        <v>0</v>
      </c>
      <c r="GJ54" s="1019">
        <f t="shared" si="166"/>
        <v>0</v>
      </c>
      <c r="GK54" s="894">
        <f>IF(FV54&gt;'Options and results'!$W$27,0,GG54+SUM(GC$8:GC54)-FX54)</f>
        <v>0</v>
      </c>
      <c r="GL54" s="740">
        <f>IF(FV54&lt;='Options and results'!$W$20,SUM(GD$8:GD54),0)</f>
        <v>0</v>
      </c>
      <c r="GM54" s="1034">
        <f t="shared" si="167"/>
        <v>0</v>
      </c>
      <c r="GN54" s="401"/>
      <c r="GO54" s="895">
        <f t="shared" si="168"/>
        <v>47</v>
      </c>
      <c r="GP54" s="894">
        <f>H54/(1+'Options and results'!$W$33)^(GO54-1)</f>
        <v>0</v>
      </c>
      <c r="GQ54" s="740">
        <f>SUM(AT54:AV54)/(1+'Options and results'!$W$33)^(GO54-1)</f>
        <v>0</v>
      </c>
      <c r="GR54" s="740">
        <f>CR54/(1+'Options and results'!$W$33)^(GO54-1)</f>
        <v>0</v>
      </c>
      <c r="GS54" s="740">
        <f>SUM(EE54:EG54)/(1+'Options and results'!$W$33)^(GO54-1)</f>
        <v>0</v>
      </c>
      <c r="GT54" s="1019">
        <f t="shared" si="181"/>
        <v>0</v>
      </c>
      <c r="GU54" s="894">
        <f>IF(GO54&lt;='Options and results'!$W$20,SUM(GP$8:GP54),0)</f>
        <v>0</v>
      </c>
      <c r="GV54" s="740">
        <f>IF(GO54&lt;='Options and results'!$W$20,SUM(GQ$8:GQ54),0)</f>
        <v>0</v>
      </c>
      <c r="GW54" s="740">
        <f>IF(GO54&lt;='Options and results'!$W$20,SUM(GR$8:GR54),0)</f>
        <v>0</v>
      </c>
      <c r="GX54" s="740">
        <f>IF(GO54&lt;='Options and results'!$W$20,SUM(GS$8:GS54),0)</f>
        <v>0</v>
      </c>
      <c r="GY54" s="1034">
        <f>IF(GO54&lt;='Options and results'!$W$20,SUM(GT$8:GT54),0)</f>
        <v>0</v>
      </c>
      <c r="GZ54" s="401"/>
      <c r="HA54" s="895">
        <f t="shared" si="169"/>
        <v>47</v>
      </c>
      <c r="HB54" s="1026">
        <f>(J54+L54+(M54*N54))/(1+'Options and results'!$W$33)^(HA54-1)</f>
        <v>0</v>
      </c>
      <c r="HC54" s="740">
        <f>BZ54/(1+'Options and results'!$W$33)^(HA54-1)</f>
        <v>0</v>
      </c>
      <c r="HD54" s="1027">
        <f>(CT54+CV54+(CW54*CX54))/(1+'Options and results'!$W$33)^(HA54-1)</f>
        <v>0</v>
      </c>
      <c r="HE54" s="740">
        <f>FK54/(1+'Options and results'!$W$33)^(HA54-1)</f>
        <v>0</v>
      </c>
      <c r="HF54" s="1019">
        <f t="shared" si="182"/>
        <v>0</v>
      </c>
      <c r="HG54" s="894">
        <f>IF(HA54&lt;='Options and results'!$W$20,SUM(HB$8:HB54),0)</f>
        <v>0</v>
      </c>
      <c r="HH54" s="740">
        <f>IF(HA54&lt;='Options and results'!$W$20,SUM(HC$8:HC54),0)</f>
        <v>0</v>
      </c>
      <c r="HI54" s="740">
        <f>IF(HA54&lt;='Options and results'!$W$20,SUM(HD$8:HD54),0)</f>
        <v>0</v>
      </c>
      <c r="HJ54" s="740">
        <f>IF(HA54&lt;='Options and results'!$W$20,SUM(HE$8:HE54),0)</f>
        <v>0</v>
      </c>
      <c r="HK54" s="1034">
        <f>IF(HA54&lt;='Options and results'!$W$20,SUM(HF$8:HF54),0)</f>
        <v>0</v>
      </c>
      <c r="HL54" s="405"/>
      <c r="HM54" s="895">
        <f t="shared" si="189"/>
        <v>47</v>
      </c>
      <c r="HN54" s="1026">
        <f t="shared" si="171"/>
        <v>0</v>
      </c>
      <c r="HO54" s="1027">
        <f t="shared" si="172"/>
        <v>0</v>
      </c>
      <c r="HP54" s="1027">
        <f t="shared" si="173"/>
        <v>0</v>
      </c>
      <c r="HQ54" s="1027">
        <f t="shared" si="174"/>
        <v>0</v>
      </c>
      <c r="HR54" s="1027">
        <f t="shared" si="175"/>
        <v>0</v>
      </c>
      <c r="HS54" s="1379">
        <f t="shared" si="176"/>
        <v>0</v>
      </c>
      <c r="HT54" s="1026">
        <f>IF($HM54&lt;='Options and results'!$W$20,SUM(HN$8:HN54),0)</f>
        <v>0</v>
      </c>
      <c r="HU54" s="1027">
        <f>IF($HM54&lt;='Options and results'!$W$20,SUM(HO$8:HO54),0)</f>
        <v>0</v>
      </c>
      <c r="HV54" s="1027">
        <f>IF($HM54&lt;='Options and results'!$W$20,SUM(HP$8:HP54),0)</f>
        <v>0</v>
      </c>
      <c r="HW54" s="1027">
        <f>IF($HM54&lt;='Options and results'!$W$20,SUM(HQ$8:HQ54),0)</f>
        <v>0</v>
      </c>
      <c r="HX54" s="1027">
        <f t="shared" si="177"/>
        <v>0</v>
      </c>
      <c r="HY54" s="1027">
        <f>IF($HM54&lt;='Options and results'!$W$20,SUM(HR$8:HR54),0)</f>
        <v>0</v>
      </c>
      <c r="HZ54" s="1027">
        <f>IF($HM54&lt;='Options and results'!$W$20,SUM(HS$8:HS54),0)</f>
        <v>0</v>
      </c>
      <c r="IA54" s="1189">
        <f t="shared" si="178"/>
        <v>0</v>
      </c>
    </row>
    <row r="55" spans="1:235" x14ac:dyDescent="0.25">
      <c r="A55" s="1010">
        <f t="shared" si="126"/>
        <v>48</v>
      </c>
      <c r="B55" s="1011" t="str">
        <f>IF('Options and results'!$C$17="None",0,CONCATENATE('Options and results'!$C$23," ",(HLOOKUP(CONCATENATE('Options and results'!$C$17," ",Arablesystem!$B$11),Arablesystem!$B$10:$ER$72,$A55+3,FALSE))))</f>
        <v xml:space="preserve">UK - Agriculture (BPS: from 2015) </v>
      </c>
      <c r="C55" s="1012">
        <f>IF(HLOOKUP(CONCATENATE('Options and results'!$C$17," ",Arablesystem!$C$11),Arablesystem!$B$10:$ER$72,$A55+3,FALSE)="T",(VLOOKUP(B55,Arablefinance!$Z$6:$AB$105,Arablefinance!$AB$2,FALSE)*E55+VLOOKUP(B55,Arablefinance!$Z$6:$AC$105,Arablefinance!$AC$2,FALSE)*F55)/VLOOKUP(B55,Arablefinance!$Z$6:$AA$105,Arablefinance!$AA$2,FALSE),0)</f>
        <v>0</v>
      </c>
      <c r="D55" s="1012">
        <f>IF(B55=0,0,HLOOKUP(CONCATENATE('Options and results'!$C$17," ",Arablesystem!$D$11),Arablesystem!$B$10:$ER$72,$A55+3,FALSE))</f>
        <v>0</v>
      </c>
      <c r="E55" s="1440">
        <f>IF(B55=0,0,HLOOKUP(CONCATENATE('Options and results'!$C$17," ",Arablesystem!$E$11),Arablesystem!$B$10:$ER$72,$A55+3,FALSE)*IF(A55&gt;='Options and results'!$H$19,'Options and results'!$H$18,1))</f>
        <v>0</v>
      </c>
      <c r="F55" s="1440">
        <f>IF(B55=0,0,HLOOKUP(CONCATENATE('Options and results'!$C$17," ",Arablesystem!$F$11),Arablesystem!$B$10:$ER$72,$A55+3,FALSE)*IF(A55&gt;='Options and results'!$H$19,'Options and results'!$H$18,1))</f>
        <v>0</v>
      </c>
      <c r="G55" s="1013">
        <f>IF(D55&lt;=0,0,IF(A55&lt;='Options and results'!$W$20,IF(C55&gt;0,VLOOKUP(B55,Arablefinance!$Z$6:$AE$105,Arablefinance!$AD$2,FALSE)*C55*D55,((VLOOKUP(B55,Arablefinance!$E$6:$G$126,Arablefinance!$F$2,FALSE)*(E55*D55)+VLOOKUP(B55,Arablefinance!$E$6:$G$126,Arablefinance!$G$2,FALSE)*(F55*D55)))),0)*IF(A55&gt;='Options and results'!$H$21,'Options and results'!$H$20,1))*IF(1+'Options and results'!$O$20*(A55-1)&gt;0,1+'Options and results'!$O$20*(A55-1),0)</f>
        <v>0</v>
      </c>
      <c r="H55" s="1441">
        <f>IF(D55&lt;=0,0,IF(A55&lt;='Options and results'!$W$20,IF(AND(C55&gt;0,VLOOKUP(B55,Arablefinance!$Z$6:$AI$105,Arablefinance!$AI$2,FALSE)=2),VLOOKUP(B55,Arablefinance!$Z$6:$AE$105,Arablefinance!$AE$2,FALSE)*C55*D55,(VLOOKUP(B55,Arablefinance!$E$6:$H$126,Arablefinance!$H$2,FALSE)*D55))*IF(A55&gt;='Options and results'!$H$23,'Options and results'!$H$22,1),0)*IF(AND(1+'Options and results'!$O$23*(A55-1)&gt;0,1+'Options and results'!$O$23*(A55-1)&gt;'Options and results'!$S$24),1+'Options and results'!$O$23*(A55-1),'Options and results'!$S$24))</f>
        <v>0</v>
      </c>
      <c r="I55" s="1441">
        <f t="shared" si="127"/>
        <v>0</v>
      </c>
      <c r="J55" s="1441">
        <f>IF(D55&lt;=0,0,IF(A55&lt;='Options and results'!$W$20,IF(C55&gt;0,VLOOKUP(B55,Arablefinance!$Z$6:$AF$105,Arablefinance!$AF$2,FALSE)*C55*D55,(VLOOKUP(B55,Arablefinance!$E$6:$X$126,Arablefinance!$R$2,FALSE))*D55),0)*IF(A55&gt;='Options and results'!$H$27,'Options and results'!$H$26,1))*IF(1+'Options and results'!$O$22*(A55-1)&gt;0,1+'Options and results'!$O$22*(A55-1),0)</f>
        <v>0</v>
      </c>
      <c r="K55" s="1441">
        <f t="shared" si="128"/>
        <v>0</v>
      </c>
      <c r="L55" s="1441">
        <f>IF(D55&lt;=0,0,IF(A55&lt;='Options and results'!$W$20,IF(C55&gt;0,VLOOKUP(B55,Arablefinance!$Z$6:$AG$105,Arablefinance!$AG$2,FALSE)*C55*D55,VLOOKUP(B55,Arablefinance!$E$6:$X$126,Arablefinance!$X$2,FALSE)*D55),0)*IF(A55&gt;='Options and results'!$H$27,'Options and results'!$H$26,1))*IF(1+'Options and results'!$O$22*(A55-1)&gt;0,1+'Options and results'!$O$22*(A55-1),0)</f>
        <v>0</v>
      </c>
      <c r="M55" s="1442">
        <f>IF(D55&lt;=0,0,IF(A55&lt;='Options and results'!$W$20,'Options and results'!$C$27,0)*IF(A55&gt;='Options and results'!$H$27,'Options and results'!$H$26,1))*IF(1+'Options and results'!$O$21*(A55-1)&gt;0,1+'Options and results'!$O$21*(A55-1),0)</f>
        <v>0</v>
      </c>
      <c r="N55" s="1442">
        <f>IF(D55&lt;=0,0,IF(A55&lt;='Options and results'!$W$20,IF(C55&gt;0,VLOOKUP(B55,Arablefinance!$Z$6:$AH$105,Arablefinance!$AH$2,FALSE)*C55*D55,VLOOKUP(B55,Arablefinance!$E$6:$W$126,Arablefinance!$V$2,FALSE)*D55),0)*IF(A55&gt;='Options and results'!$H$25,'Options and results'!$H$24,1))</f>
        <v>0</v>
      </c>
      <c r="O55" s="1013">
        <f t="shared" si="129"/>
        <v>0</v>
      </c>
      <c r="P55" s="1353">
        <f t="shared" si="130"/>
        <v>0</v>
      </c>
      <c r="Q55" s="1013">
        <f>IF(A55&lt;='Options and results'!$W$20,SUM(G$8:$G55),0)</f>
        <v>0</v>
      </c>
      <c r="R55" s="1441">
        <f>IF($A55&lt;='Options and results'!$W$20,SUM($H$8:H55),0)</f>
        <v>0</v>
      </c>
      <c r="S55" s="1441">
        <f>IF($A55&lt;='Options and results'!$W$20,SUM($O$8:O55),0)</f>
        <v>0</v>
      </c>
      <c r="T55" s="1032">
        <f>IF(A55&lt;='Options and results'!$W$20,Q55+R55-S55,0)</f>
        <v>0</v>
      </c>
      <c r="U55" s="405"/>
      <c r="V55" s="1010">
        <f t="shared" si="131"/>
        <v>48</v>
      </c>
      <c r="W55" s="173"/>
      <c r="X55" s="1036"/>
      <c r="Y55" s="1030">
        <f>IF(V55&lt;='Options and results'!$M$34,'Options and results'!$M$33,0)</f>
        <v>0</v>
      </c>
      <c r="Z55" s="1441">
        <f t="shared" si="132"/>
        <v>0</v>
      </c>
      <c r="AA55" s="1441">
        <f t="shared" si="133"/>
        <v>0</v>
      </c>
      <c r="AB55" s="1428">
        <f t="shared" si="134"/>
        <v>0</v>
      </c>
      <c r="AC55" s="1441">
        <f>IF($W$8=0,0,IF(HLOOKUP(CONCATENATE('Options and results'!$C$32," ",Forestrysystem!$C$8),Forestrysystem!$A$7:$IH$70,V55+4,FALSE)&lt;AB55,HLOOKUP(CONCATENATE('Options and results'!$C$32," ",Forestrysystem!$C$8),Forestrysystem!$A$7:$IH$70,V55+4,FALSE),0))</f>
        <v>0</v>
      </c>
      <c r="AD55" s="1441">
        <f>IF($W$8=0,0,IF(HLOOKUP(CONCATENATE('Options and results'!$C$32," ",Forestrysystem!$C$8),Forestrysystem!$A$7:$IH$70,V55+4,FALSE)&gt;=AB55,AB55,0))</f>
        <v>0</v>
      </c>
      <c r="AE55" s="1440">
        <f>IF($W$8=0,0,HLOOKUP(CONCATENATE('Options and results'!$C$32," ",Forestrysystem!$D$8),Forestrysystem!$A$7:$IH$70,$V55+4,FALSE))</f>
        <v>0</v>
      </c>
      <c r="AF55" s="1037"/>
      <c r="AG55" s="1440">
        <f>IF($W$8=0,0,IF(V55=1,'Options and results'!$M$36,0)+IF('Options and results'!$M$39="yes",IF(AND(AG54+'Options and results'!$M$37&lt;=$AF$8,AG54+'Options and results'!$M$37+IF(V55=1,'Options and results'!$M$36,0)&lt;='Options and results'!$M$38*AE55),AG54+'Options and results'!$M$37,AG54),(HLOOKUP(CONCATENATE('Options and results'!$C$32," ",Forestrysystem!$E$8),Forestrysystem!$A$7:$IH$70,V55+4,FALSE))-IF(V55=1,'Options and results'!$M$36,0)))</f>
        <v>0</v>
      </c>
      <c r="AH55" s="1442">
        <f>IF(OR($W$8=0,AB55&lt;=0),0,(HLOOKUP(CONCATENATE('Options and results'!$C$32," ",Forestrysystem!$F$8),Forestrysystem!$A$7:$IH$70,$V55+4,FALSE)) * IF(V55&gt;='Options and results'!$I$19,'Options and results'!$I$18,1) )</f>
        <v>0</v>
      </c>
      <c r="AI55" s="1452">
        <f t="shared" si="179"/>
        <v>0</v>
      </c>
      <c r="AJ55" s="1442">
        <f t="shared" si="135"/>
        <v>0</v>
      </c>
      <c r="AK55" s="1453">
        <f>IF(OR($W$8=0,AE55&lt;=0),0,(HLOOKUP(CONCATENATE('Options and results'!$C$32," ",Forestrysystem!$G$8),Forestrysystem!$A$7:$IH$70,$V55+4,FALSE)) * IF(Y55&gt;='Options and results'!$I$19,'Options and results'!$I$18,1) )</f>
        <v>0</v>
      </c>
      <c r="AL55" s="1453">
        <f>IF($W$8=0,0,HLOOKUP(CONCATENATE('Options and results'!$C$32," ",Forestrysystem!$H$8),Forestrysystem!$A$7:$IH$70,$V55+4,FALSE)*IF(V55&gt;='Options and results'!$I$19,'Options and results'!$I$18,1))</f>
        <v>0</v>
      </c>
      <c r="AM55" s="1383">
        <f>IF($W$8=0,0,HLOOKUP(CONCATENATE('Options and results'!$C$32," ",Forestrysystem!$I$8),Forestrysystem!$A$7:$IH$70,$V55+4,FALSE)*IF(V55&gt;='Options and results'!$I$19,'Options and results'!$I$18,1))</f>
        <v>0</v>
      </c>
      <c r="AN55" s="1382">
        <f>IF(AI55&gt;0,HLOOKUP(AI55,Treevalue!$I$4:$BC$34,'Options and results'!$C$39+1),0)*IF(V55&gt;='Options and results'!$I$21,'Options and results'!$I$20,1)*IF(1+'Options and results'!$Q$20*(V55-1)&gt;0,1+'Options and results'!$Q$20*(V55-1),0)</f>
        <v>0</v>
      </c>
      <c r="AO55" s="1454">
        <f t="shared" si="136"/>
        <v>0</v>
      </c>
      <c r="AP55" s="1454">
        <f t="shared" si="187"/>
        <v>0</v>
      </c>
      <c r="AQ55" s="1454">
        <f>(IF('Options and results'!$C$39&gt;0,IF(V55&lt;='Options and results'!$W$20,VLOOKUP('Options and results'!$C$39,Treevalue!$A$4:$F$34,5,FALSE),0),0)*AK55)*IF(V55&gt;='Options and results'!$I$21,'Options and results'!$I$20,1)*IF(1+'Options and results'!$Q$20*(V55-1)&gt;0,1+'Options and results'!$Q$20*(V55-1),0)-AR55</f>
        <v>0</v>
      </c>
      <c r="AR55" s="1441">
        <f>(IF('Options and results'!$C$39&gt;0,IF(V55&lt;='Options and results'!$W$20,VLOOKUP('Options and results'!$C$39,Treevalue!$A$4:$F$34,5,FALSE),0),0)*AL55)*IF(V55&gt;='Options and results'!$I$21,'Options and results'!$I$20,1)*IF(1+'Options and results'!$Q$20*(V55-1)&gt;0,1+'Options and results'!$Q$20*(V55-1),0)</f>
        <v>0</v>
      </c>
      <c r="AS55" s="1441">
        <f>(IF('Options and results'!$C$39&gt;0,IF(V55&lt;='Options and results'!$W$20,VLOOKUP('Options and results'!$C$39,Treevalue!$A$4:$F$34,6,FALSE),0),0)*AM55)*IF(V55&gt;='Options and results'!$I$21,'Options and results'!$I$20,1)*IF(1+'Options and results'!$Q$20*(V55-1)&gt;0,1+'Options and results'!$Q$20*(V55-1),0)</f>
        <v>0</v>
      </c>
      <c r="AT55" s="1441">
        <f>IF(V55&lt;='Options and results'!$W$20,(IF(AB55&lt;=0,0,IF('Options and results'!$C$43="cost",(IF(V55&lt;='Options and results'!$C$44,BZ55*SUM('Options and results'!$C$45:$C$46),0)),IF('Options and results'!$C$41&gt;0,(IF(VLOOKUP('Options and results'!$C$42,Treegrant!$B$6:$L$42,Treegrant!$C$2,FALSE)=V55,VLOOKUP('Options and results'!$C$42,Treegrant!$B$6:$L$42,Treegrant!$D$2,FALSE),0)+IF(VLOOKUP('Options and results'!$C$42,Treegrant!$B$6:$L$42,Treegrant!$E$2,FALSE)=V55,VLOOKUP('Options and results'!$C$42,Treegrant!$B$6:$L$42,Treegrant!$F$2,FALSE),0)+IF(VLOOKUP('Options and results'!$C$42,Treegrant!$B$6:$L$42,Treegrant!$G$2,FALSE)=V55,VLOOKUP('Options and results'!$C$42,Treegrant!$B$6:$L$42,Treegrant!$H$2,FALSE)))*IF('Options and results'!$C$43="area",1,'Options and results'!$C$43),0)))*IF(V55&gt;='Options and results'!$I$23,'Options and results'!$I$22,1)),0)*IF(1+'Options and results'!$Q$23*(V55-1)&gt;0,1+'Options and results'!$Q$23*(V55-1),0)</f>
        <v>0</v>
      </c>
      <c r="AU55" s="1441">
        <f>IF($W$8=0,0,IF(V55&lt;='Options and results'!$W$20,IF(AB55&lt;=0,0,IF('Options and results'!$C$41&gt;0,IF(AND(VLOOKUP('Options and results'!$C$42,Treegrant!$B$6:$L$42,Treegrant!$J$2,FALSE)&lt;=V55,VLOOKUP('Options and results'!$C$42,Treegrant!$B$6:$L$42,Treegrant!$K$2,FALSE)&gt;=V55),(VLOOKUP('Options and results'!$C$42,Treegrant!$B$6:$L$42,Treegrant!$L$2,FALSE)),0)*IF('Options and results'!$C$47="full",1,'Options and results'!$C$47))*IF(V55&gt;='Options and results'!$I$23,'Options and results'!$I$22,1)),0))*IF(1+'Options and results'!$Q$23*(V55-1)&gt;0,1+'Options and results'!$Q$23*(V55-1),0)</f>
        <v>0</v>
      </c>
      <c r="AV55" s="1032">
        <f>IF($W$8=0,0,IF(V55&lt;='Options and results'!$W$20,IF(AB55&lt;=0,0,(IF('Options and results'!$C$41&gt;0,(IF(AND(VLOOKUP('Options and results'!$C$42,Treegrant!$B$6:$O$42,Treegrant!$M$2,FALSE)&lt;=V55,VLOOKUP('Options and results'!$C$42,Treegrant!$B$6:$O$42,Treegrant!$N$2,FALSE)&gt;=V55),(VLOOKUP('Options and results'!$C$42,Treegrant!$B$6:$O$42,Treegrant!$O$2,FALSE)),0)*IF('Options and results'!$C$48="full",1,'Options and results'!$C$48))+(IF(AND(VLOOKUP('Options and results'!$C$42,Treegrant!$B$6:$R$42,Treegrant!$P$2,FALSE)&lt;=V55,VLOOKUP('Options and results'!$C$42,Treegrant!$B$6:$R$42,Treegrant!$Q$2,FALSE)&gt;=V55),(VLOOKUP('Options and results'!$C$42,Treegrant!$B$6:$R$42,Treegrant!$R$2,FALSE)),0))*IF('Options and results'!$C$49="full",1,'Options and results'!$C$49)))*IF(V55&gt;='Options and results'!$I$23,'Options and results'!$I$22,1)),0))*IF(1+'Options and results'!$Q$23*(V55-1)&gt;0,1+'Options and results'!$Q$23*(V55-1),0)</f>
        <v>0</v>
      </c>
      <c r="AW55" s="1041"/>
      <c r="AX55" s="1042"/>
      <c r="AY55" s="1419">
        <f>IF($W$8=0,0,IF(V55=1,VLOOKUP($W$8,Treecost!$B$6:$AH$49,Treecost!$E$2,FALSE),0)*IF(V55&gt;='Options and results'!$I$25,'Options and results'!$I$24,1))</f>
        <v>0</v>
      </c>
      <c r="AZ55" s="889">
        <f>IF($W$8=0,0,IF(V55=1,VLOOKUP($W$8,Treecost!$B$6:$AH$49,Treecost!$F$2,FALSE),0)*IF(V55&gt;='Options and results'!$I$25,'Options and results'!$I$24,1))</f>
        <v>0</v>
      </c>
      <c r="BA55" s="889">
        <f>IF($W$8=0,0,IF(V55=1,VLOOKUP($W$8,Treecost!$B$6:$AH$49,Treecost!$G$2,FALSE),0)*IF(V55&gt;='Options and results'!$I$25,'Options and results'!$I$24,1))</f>
        <v>0</v>
      </c>
      <c r="BB55" s="889">
        <f>IF($W$8=0,0,IF(V55&lt;='Options and results'!$W$20,((VLOOKUP($W$8,Treecost!$B$6:$AH$49,Treecost!$H$2,FALSE)*(X55+AA55))/60)*IF(V55&gt;='Options and results'!$I$25,'Options and results'!$I$24,1),0))</f>
        <v>0</v>
      </c>
      <c r="BC55" s="889">
        <f>IF($W$8=0,0,IF(V55&lt;='Options and results'!$W$20,(((VLOOKUP($W$8,Treecost!$B$6:$AH$49,Treecost!$I$2,FALSE))*(X55+AA55))/60)*IF(V55&gt;='Options and results'!$I$25,'Options and results'!$I$24,1),0))</f>
        <v>0</v>
      </c>
      <c r="BD55" s="889">
        <f>IF($W$8=0,0,IF(V55&lt;='Options and results'!$W$20,(((VLOOKUP($W$8,Treecost!$B$6:$AH$49,Treecost!$J$2,FALSE))/60)*(X55+AA55))*IF(V55&gt;='Options and results'!$I$25,'Options and results'!$I$24,1),0))</f>
        <v>0</v>
      </c>
      <c r="BE55" s="1019">
        <f>IF($W$8=0,0,IF(V55&lt;='Options and results'!$W$20,(((VLOOKUP($W$8,Treecost!$B$6:$AH$49,Treecost!$C$2,FALSE)+VLOOKUP($W$8,Treecost!$B$6:$AH$49,Treecost!$D$2,FALSE))*(X55+AA55)*IF(1+'Options and results'!$Q$22*(V55-1)&gt;0,1+'Options and results'!$Q$22*(V55-1),0))+((AY55*$AX$8+AZ55*$AX$9+BA55*$AX$10+BB55*$AX$11+BC55*$AX$12+BD55*$AX$13)*IF(1+'Options and results'!$Q$21*(V55-1)&gt;0,1+'Options and results'!$Q$21*(V55-1),0)))*IF(V55&gt;='Options and results'!$I$27,'Options and results'!$I$26,1),0))</f>
        <v>0</v>
      </c>
      <c r="BF55" s="889">
        <f>IF($W$8=0,0,IF(V55&lt;='Options and results'!$W$20,IF(AND(VLOOKUP($W$8,Treecost!$B$6:$AH$49,Treecost!$K$2,FALSE)&lt;=V55,V55&lt;=(VLOOKUP($W$8,Treecost!$B$6:$AH$49,Treecost!$L$2,FALSE))),VLOOKUP($W$8,Treecost!$B$6:$AH$49,Treecost!$M$2,FALSE)*AB55/60,0)*IF(V55&gt;='Options and results'!$I$25,'Options and results'!$I$24,1),0))</f>
        <v>0</v>
      </c>
      <c r="BG55" s="1019">
        <f>IF(BF55&gt;0,(VLOOKUP($W$8,Treecost!$B$6:$AH$49,Treecost!$N$2,FALSE)*AB55*IF(1+'Options and results'!$Q$22*(V55-1)&gt;0,1+'Options and results'!$Q$22*(V55-1),0)+BF55*$AX$14*IF(1+'Options and results'!$Q$21*(V55-1)&gt;0,1+'Options and results'!$Q$21*(V55-1),0)),0)*IF(V55&gt;='Options and results'!$I$27,'Options and results'!$I$26,1)</f>
        <v>0</v>
      </c>
      <c r="BH55" s="889">
        <f>IF(V55&lt;='Options and results'!$W$20,IF(AND(AG55-AG54&gt;0,AG55&gt;'Options and results'!$M$36),(AB55-AC55)*(VLOOKUP($W$8,Treecost!$B$6:$AH$49,Treecost!$Y$2,FALSE)+(VLOOKUP($W$8,Treecost!$B$6:$AH$49,Treecost!$AA$2,FALSE)-VLOOKUP($W$8,Treecost!$B$6:$AH$49,Treecost!$Y$2,FALSE))/(VLOOKUP($W$8,Treecost!$B$6:$AH$49,Treecost!$Z$2,FALSE)-VLOOKUP($W$8,Treecost!$B$6:$AH$49,Treecost!$X$2,FALSE))*(AG55-VLOOKUP($W$8,Treecost!$B$6:$AH$49,Treecost!$X$2,FALSE)))/60,0)*IF(V55&gt;='Options and results'!$I$25,'Options and results'!$I$24,1),0)</f>
        <v>0</v>
      </c>
      <c r="BI55" s="303">
        <f>IF(V55&lt;='Options and results'!$W$20,IF(BH55&gt;0,VLOOKUP($W$8,Treecost!$B$6:$AH$49,Treecost!$AB$2,FALSE)/60*AB55,0)*IF(V55&gt;='Options and results'!$I$25,'Options and results'!$I$24,1),0)*((BH55-(MIN($BH$8:$BH$67)))/((MAX($BH$8:$BH$67))-(MIN($BH$8:$BH$67))))</f>
        <v>0</v>
      </c>
      <c r="BJ55" s="740">
        <f>IF(BH55&gt;0,(BH55*$AX$15+BI55*$AX$19)*IF(1+'Options and results'!$Q$21*(V55-1)&gt;0,1+'Options and results'!$Q$21*(V55-1),0),0)*IF(V55&gt;='Options and results'!$I$27,'Options and results'!$I$26,1)</f>
        <v>0</v>
      </c>
      <c r="BK55" s="891">
        <f>IF($W$8=0,0,IF(V55&lt;='Options and results'!$W$20,IF(VLOOKUP($W$8,Treecost!$B$2:$AH$49,Treecost!$O$2,FALSE)=V55,VLOOKUP($W$8,Treecost!$B$2:$AH$49,Treecost!$P$2,FALSE),0)*IF(V55&gt;='Options and results'!$I$25,'Options and results'!$I$24,1),0))</f>
        <v>0</v>
      </c>
      <c r="BL55" s="889">
        <f>IF($W$8=0,0,IF(V55&lt;='Options and results'!$W$20,IF(AND(V55&gt;VLOOKUP($W$8,Treecost!$B$2:$AH$49,Treecost!$O$2,FALSE),V55&lt;=VLOOKUP($W$8,Treecost!$B$2:$AH$49,Treecost!$R$2,FALSE)),VLOOKUP($W$8,Treecost!$B$2:$AH$49,Treecost!$S$2,FALSE),0)*IF(V55&gt;='Options and results'!$I$25,'Options and results'!$I$24,1),0))</f>
        <v>0</v>
      </c>
      <c r="BM55" s="740">
        <f>IF($W$8=0,0,IF(V55&lt;='Options and results'!$W$20,((IF(VLOOKUP($W$8,Treecost!$B$2:$AH$49,Treecost!$O$2,FALSE)=V55,VLOOKUP($W$8,Treecost!$B$2:$AH$49,Treecost!$Q$2,FALSE),0)+IF(AND(V55&gt;VLOOKUP($W$8,Treecost!$B$2:$AH$49,Treecost!$O$2,FALSE),V55&lt;=VLOOKUP($W$8,Treecost!$B$2:$AH$49,Treecost!$R$2,FALSE)),VLOOKUP($W$8,Treecost!$B$2:$AH$49,Treecost!$T$2,FALSE),0)*IF(1+'Options and results'!$Q$22*(V55-1)&gt;0,1+'Options and results'!$Q$22*(V55-1),0))+(BK55*$AX$16+BL55*$AX$17)*IF(1+'Options and results'!$Q$21*(V55-1)&gt;0,1+'Options and results'!$Q$21*(V55-1),0))*IF(V55&gt;='Options and results'!$I$27,'Options and results'!$I$26,1),0))</f>
        <v>0</v>
      </c>
      <c r="BN55" s="894">
        <f>IF($W$8=0,0,IF(V55&lt;='Options and results'!$W$20,IF(AND(V55&gt;=VLOOKUP($W$8,Treecost!$B$2:$W$49,Treecost!$U$2,FALSE),V55&lt;=VLOOKUP($W$8,Treecost!$B$2:$W$49,Treecost!$V$2,FALSE)),(AB55*VLOOKUP($W$8,Treecost!$B$2:$W$49,Treecost!$W$2,FALSE)/60),0)*IF(V55&gt;='Options and results'!$I$25,'Options and results'!$I$24,1),0))</f>
        <v>0</v>
      </c>
      <c r="BO55" s="740">
        <f>BN55*$AX$18*IF(V55&gt;='Options and results'!$I$27,'Options and results'!$I$26,1)*IF(1+'Options and results'!$Q$21*(V55-1)&gt;0,1+'Options and results'!$Q$21*(V55-1),0)</f>
        <v>0</v>
      </c>
      <c r="BP55" s="894">
        <f>IF(V55&lt;='Options and results'!$W$20,IF(AB55&lt;=0,0,VLOOKUP($W$8,Treecost!$B$6:$AH$49,Treecost!$AC$2,FALSE)+VLOOKUP($W$8,Treecost!$B$6:$AH$49,Treecost!$AD$2,FALSE)+IF(AND(V55&gt;=VLOOKUP($W$8,Treecost!$B$2:$AK$49,Treecost!$AI$2,FALSE),V55&lt;=VLOOKUP($W$8,Treecost!$B$2:$AK$49,Treecost!$AJ$2,FALSE)),(VLOOKUP($W$8,Treecost!$B$2:$AK$49,Treecost!$AK$2,FALSE)),0))*IF(V55&gt;='Options and results'!$I$27,'Options and results'!$I$26,1),0)*IF(1+'Options and results'!$Q$22*(V55-1)&gt;0,1+'Options and results'!$Q$22*(V55-1),0)</f>
        <v>0</v>
      </c>
      <c r="BQ55" s="894">
        <f>IF(V55&lt;='Options and results'!$W$20,IF(AC55&gt;0,VLOOKUP($W$8,Treecost!$B$6:$AH$49,Treecost!$AE$2,FALSE)/60*AC55,0)*IF(V55&gt;='Options and results'!$I$25,'Options and results'!$I$24,1),0)</f>
        <v>0</v>
      </c>
      <c r="BR55" s="740">
        <f>IF(V55&lt;='Options and results'!$W$20,IF(AC55&gt;0,VLOOKUP($W$8,Treecost!$B$6:$AH$49,Treecost!$AF$2,FALSE)/60*AC55,0)*IF(V55&gt;='Options and results'!$I$25,'Options and results'!$I$24,1),0)</f>
        <v>0</v>
      </c>
      <c r="BS55" s="740">
        <f>(BQ55*$AX$20+BR55*$AX$21)*IF(V55&gt;='Options and results'!$I$27,'Options and results'!$I$26,1)*IF(1+'Options and results'!$Q$21*(V55-1)&gt;0,1+'Options and results'!$Q$21*(V55-1),0)</f>
        <v>0</v>
      </c>
      <c r="BT55" s="894">
        <f>IF(V55&lt;='Options and results'!$W$20,IF(AD55&gt;0,(VLOOKUP($W$8,Treecost!$B$6:$AH$49,Treecost!$AG$2,FALSE)/60*AD55)*IF(V55&gt;='Options and results'!$I$25,'Options and results'!$I$24,1),0),0)</f>
        <v>0</v>
      </c>
      <c r="BU55" s="740">
        <f>IF(V55&lt;='Options and results'!$W$20,IF(AD55&gt;0,(VLOOKUP($W$8,Treecost!$B$6:$AH$49,Treecost!$AH$2,FALSE)/60*AD55)*IF(V55&gt;='Options and results'!$I$25,'Options and results'!$I$24,1),0),0)</f>
        <v>0</v>
      </c>
      <c r="BV55" s="740">
        <f>(BT55*$AX$22+BU55*$AX$23)*IF(V55&gt;='Options and results'!$I$27,'Options and results'!$I$26,1)*IF(1+'Options and results'!$Q$21*(V55-1)&gt;0,1+'Options and results'!$Q$21*(V55-1),0)</f>
        <v>0</v>
      </c>
      <c r="BW55" s="1033">
        <f t="shared" si="138"/>
        <v>0</v>
      </c>
      <c r="BX55" s="1027">
        <f t="shared" si="139"/>
        <v>0</v>
      </c>
      <c r="BY55" s="1027">
        <f t="shared" si="140"/>
        <v>0</v>
      </c>
      <c r="BZ55" s="740">
        <f t="shared" si="188"/>
        <v>0</v>
      </c>
      <c r="CA55" s="740">
        <f t="shared" si="141"/>
        <v>0</v>
      </c>
      <c r="CB55" s="894">
        <f>IF($V55&lt;='Options and results'!$W$20,SUM(BX$8:$BX55),0)</f>
        <v>0</v>
      </c>
      <c r="CC55" s="740">
        <f>IF($V55&lt;='Options and results'!$W$20,SUM($BY$8:BY55),0)</f>
        <v>0</v>
      </c>
      <c r="CD55" s="740">
        <f>IF($V55&lt;='Options and results'!$W$20,SUM($BZ$8:BZ55),0)</f>
        <v>0</v>
      </c>
      <c r="CE55" s="740">
        <f>IF(V55&lt;='Options and results'!$W$20,CB55+CC55-CD55,0)</f>
        <v>0</v>
      </c>
      <c r="CF55" s="1381">
        <f t="shared" si="142"/>
        <v>0</v>
      </c>
      <c r="CG55" s="1027">
        <f t="shared" si="143"/>
        <v>0</v>
      </c>
      <c r="CH55" s="1027">
        <f t="shared" si="144"/>
        <v>0</v>
      </c>
      <c r="CI55" s="1189">
        <f>IF(V55&lt;='Options and results'!$W$20,CE55+AO55,0)</f>
        <v>0</v>
      </c>
      <c r="CJ55" s="1023"/>
      <c r="CK55" s="895">
        <f t="shared" si="145"/>
        <v>48</v>
      </c>
      <c r="CL55" s="1011" t="str">
        <f>IF('Options and results'!$C$54="None",0,IF(AND(CK55&gt;='Options and results'!$K$57,CK54&lt;'Options and results'!$W$20),'Options and results'!$K$56,IF(Optimisation!$B$3="No",CONCATENATE('Options and results'!$C$60," ",(HLOOKUP(CONCATENATE('Options and results'!$C$54," ",Agroforestrysystem!$B$12),Agroforestrysystem!$B$11:$IM$74,$CK55+4,FALSE))),Optimisation!AA75)))</f>
        <v xml:space="preserve">UK - Agriculture (BPS: from 2015) </v>
      </c>
      <c r="CM55" s="1012">
        <f>IF(HLOOKUP(CONCATENATE('Options and results'!$C$54," ",Agroforestrysystem!$C$12),Agroforestrysystem!$B$11:$IM$74,$CK55+4,FALSE)="T",(VLOOKUP(CL55,Arablefinance!$Z$6:$AB$105,Arablefinance!$AB$2,FALSE)*CO55+VLOOKUP(CL55,Arablefinance!$Z$6:$AC$105,Arablefinance!$AC$2,FALSE)*CP55)/VLOOKUP(CL55,Arablefinance!$Z$6:$AA$105,Arablefinance!$AA$2,FALSE),0)</f>
        <v>0</v>
      </c>
      <c r="CN55" s="1012">
        <f>IF(CL55=0,0,HLOOKUP(CONCATENATE('Options and results'!$C$54," ",Agroforestrysystem!$D$12),Agroforestrysystem!$B$11:$IM$74,$CK55+4,FALSE))</f>
        <v>0</v>
      </c>
      <c r="CO55" s="1440">
        <f ca="1">IF(CL55=0,0,IF(AND(Optimisation!$B$3="yes",Optimisation!$B$4=1,CK55&gt;Optimisation!$B$9),0,HLOOKUP(CONCATENATE('Options and results'!$C$54," ",Agroforestrysystem!$E$12),Agroforestrysystem!$B$11:$IM$74,$CK55+4,FALSE)*IF(CK55&gt;='Options and results'!$J$19,'Options and results'!$J$18,1)))</f>
        <v>0</v>
      </c>
      <c r="CP55" s="1440">
        <f ca="1">IF(CL55=0,0,IF(AND(Optimisation!$B$3="yes",Optimisation!$B$4=1,CK55&gt;Optimisation!$B$9),0,HLOOKUP(CONCATENATE('Options and results'!$C$54," ",Agroforestrysystem!$F$12),Agroforestrysystem!$B$11:$IM$74,$CK55+4,FALSE)*IF(CK55&gt;='Options and results'!$J$19,'Options and results'!$J$18,1)))</f>
        <v>0</v>
      </c>
      <c r="CQ55" s="1013">
        <f>IF(CN55&lt;=0,0,IF(CK55&lt;='Options and results'!$W$20,IF(CM55&gt;0,VLOOKUP(CL55,Arablefinance!$Z$6:$AE$105,Arablefinance!$AD$2,FALSE)*CM55*CN55,((VLOOKUP(CL55,Arablefinance!$E$6:$H$126,2,FALSE)*CO55+VLOOKUP(CL55,Arablefinance!$E$6:$H$126,3,FALSE)*CP55)*CN55)),0)*IF(CK55&gt;='Options and results'!$J$21,'Options and results'!$J$20,1))*IF(1+'Options and results'!$O$20*(CK55-1)&gt;0,1+'Options and results'!$O$20*(CK55-1),0)</f>
        <v>0</v>
      </c>
      <c r="CR55" s="1441">
        <f>IF(CN55&lt;=0,0,IF(AND(CM55&gt;0,VLOOKUP(CL55,Arablefinance!$Z$6:$AI$105,Arablefinance!$AI$2,FALSE)=2),VLOOKUP(CL55,Arablefinance!$Z$6:$AE$105,Arablefinance!$AE$2,FALSE)*CM55*CN55,IF('Options and results'!$C$62&gt;0,IF(VLOOKUP(CL55,Arablefinance!$E$6:$W$126,Arablefinance!$H$2,FALSE)*(1-Plot!DM55*'Options and results'!$C$62)&gt;0,VLOOKUP(CL55,Arablefinance!$E$6:$W$126,Arablefinance!$H$2,FALSE)*(1-Plot!DM55*'Options and results'!$C$62),0),IF(CK55&lt;='Options and results'!$W$20,(VLOOKUP(CL55,Arablefinance!$E$6:$W$126,Arablefinance!$H$2,FALSE)*IF('Options and results'!$C$61="area",CN55,'Options and results'!$C$61)),0)))*IF(CK55&gt;='Options and results'!$J$23,'Options and results'!$J$22,1))*IF(AND(1+'Options and results'!$O$23*(CK55-1)&gt;0,1+'Options and results'!$O$23*(CK55-1)&gt;'Options and results'!$S$24),1+'Options and results'!$O$23*(CK55-1),'Options and results'!$S$24)</f>
        <v>0</v>
      </c>
      <c r="CS55" s="1441">
        <f t="shared" si="185"/>
        <v>0</v>
      </c>
      <c r="CT55" s="1441">
        <f>IF(CN55&lt;=0,0,IF(CK55&lt;='Options and results'!$W$20,IF(CM55&gt;0,VLOOKUP(CL55,Arablefinance!$Z$6:$AF$105,Arablefinance!$AF$2,FALSE)*CM55*CN55,VLOOKUP(CL55,Arablefinance!$E$6:$X$126,Arablefinance!$R$2,FALSE)*CN55),0)*IF(CK55&gt;='Options and results'!$J$27,'Options and results'!$J$26,1))*IF(1+'Options and results'!$O$22*(CK55-1)&gt;0,1+'Options and results'!$O$22*(CK55-1),0)</f>
        <v>0</v>
      </c>
      <c r="CU55" s="1441">
        <f t="shared" si="186"/>
        <v>0</v>
      </c>
      <c r="CV55" s="1441">
        <f>IF(CN55&lt;=0,0,IF(CK55&lt;='Options and results'!$W$20,IF(CM55&gt;0,VLOOKUP(CL55,Arablefinance!$Z$6:$AG$105,Arablefinance!$AG$2,FALSE)*CM55*CN55,VLOOKUP(CL55,Arablefinance!$E$6:$X$126,Arablefinance!$X$2,FALSE)*CN55),0)*IF(CK55&gt;='Options and results'!$J$27,'Options and results'!$J$26,1))*IF(1+'Options and results'!$O$22*(CK55-1)&gt;0,1+'Options and results'!$O$22*(CK55-1),0)</f>
        <v>0</v>
      </c>
      <c r="CW55" s="1442">
        <f>IF(CN55&lt;=0,0,IF(CK55&lt;='Options and results'!$W$20,'Options and results'!$C$27*IF(CK55&gt;='Options and results'!$J$27,'Options and results'!$J$26,1),0))*IF(1+'Options and results'!$O$21*(CK55-1)&gt;0,1+'Options and results'!$O$21*(CK55-1),0)</f>
        <v>0</v>
      </c>
      <c r="CX55" s="1442">
        <f>IF(CN55&lt;=0,0,IF(CK55&lt;='Options and results'!$W$20,IF(CM55&gt;0,VLOOKUP(CL55,Arablefinance!$Z$6:$AH$105,Arablefinance!$AH$2,FALSE)*CM55*CN55,VLOOKUP(CL55,Arablefinance!$E$6:$W$126,Arablefinance!$V$2,FALSE)*CN55),0)*IF(CK55&gt;='Options and results'!$J$25,'Options and results'!$J$24,1))</f>
        <v>0</v>
      </c>
      <c r="CY55" s="1013">
        <f t="shared" si="148"/>
        <v>0</v>
      </c>
      <c r="CZ55" s="1353">
        <f t="shared" si="149"/>
        <v>0</v>
      </c>
      <c r="DA55" s="1013">
        <f>IF($CK55&lt;='Options and results'!$W$20,SUM($CQ$8:CQ55),0)</f>
        <v>0</v>
      </c>
      <c r="DB55" s="1441">
        <f>IF($CK55&lt;='Options and results'!$W$20,SUM($CR$8:CR55),0)</f>
        <v>0</v>
      </c>
      <c r="DC55" s="1441">
        <f>IF($CK55&lt;='Options and results'!$W$20,SUM($CY$8:CY55),0)</f>
        <v>0</v>
      </c>
      <c r="DD55" s="1189">
        <f>IF(CK55&lt;='Options and results'!$W$20,DA55+DB55-DC55,0)</f>
        <v>0</v>
      </c>
      <c r="DE55" s="401"/>
      <c r="DF55" s="895">
        <f t="shared" si="150"/>
        <v>48</v>
      </c>
      <c r="DG55" s="173"/>
      <c r="DH55" s="1422"/>
      <c r="DI55" s="1427">
        <f>IF(DF55&lt;='Options and results'!$M$61,'Options and results'!$M$60,0)</f>
        <v>0</v>
      </c>
      <c r="DJ55" s="740">
        <f t="shared" si="151"/>
        <v>0</v>
      </c>
      <c r="DK55" s="740">
        <f t="shared" si="152"/>
        <v>0</v>
      </c>
      <c r="DL55" s="1428">
        <f t="shared" si="153"/>
        <v>0</v>
      </c>
      <c r="DM55" s="1429">
        <f>IF($DG$8=0,0,HLOOKUP(CONCATENATE('Options and results'!$C$54," ",Agroforestrysystem!$J$12),Agroforestrysystem!$11:$74,DF55+3,FALSE))/100</f>
        <v>0</v>
      </c>
      <c r="DN55" s="740">
        <f>IF($DG$8=0,0,IF(HLOOKUP(CONCATENATE('Options and results'!$C$54," ",Agroforestrysystem!$H$12),Agroforestrysystem!$11:$74,DF55+4,FALSE)&lt;DL55,HLOOKUP(CONCATENATE('Options and results'!$C$54," ",Agroforestrysystem!$H$12),Agroforestrysystem!$11:$74,DF55+4,FALSE),0))</f>
        <v>0</v>
      </c>
      <c r="DO55" s="1027">
        <f>IF($DG$8=0,0,IF(HLOOKUP(CONCATENATE('Options and results'!$C$54," ",Agroforestrysystem!$H$12),Agroforestrysystem!$11:$74,DF55+4,FALSE)&gt;=DL55,DL55,0))</f>
        <v>0</v>
      </c>
      <c r="DP55" s="1430">
        <f>IF($DG$8=0,0,HLOOKUP(CONCATENATE('Options and results'!$C$54," ",Agroforestrysystem!$I$12),Agroforestrysystem!$11:$74,DF55+4,FALSE))</f>
        <v>0</v>
      </c>
      <c r="DQ55" s="1038"/>
      <c r="DR55" s="1430">
        <f>IF($DG$8=0,0,IF(DF55&gt;'Options and results'!$W$20,0,)+IF(DF55=1,'Options and results'!$M$64)+IF('Options and results'!$M$67="yes",IF(AND(DR54+'Options and results'!$M$65&lt;=$DQ$8,DR54+'Options and results'!$M$65+IF(DF55=1,'Options and results'!$M$64,0)&lt;='Options and results'!$M$66*DP55),DR54+'Options and results'!$M$65,DR54),(HLOOKUP(CONCATENATE('Options and results'!$C$54," ",Agroforestrysystem!$K$12),Agroforestrysystem!$11:$74,DF55+4,FALSE)-IF(DF55=1,'Options and results'!$M$64))))</f>
        <v>0</v>
      </c>
      <c r="DS55" s="1027">
        <f>IF(OR($DG$8=0,DL55=0),0,HLOOKUP(CONCATENATE('Options and results'!$C$54," ",Agroforestrysystem!$L$12),Agroforestrysystem!$11:$74,DF55+4,FALSE)*IF(DF55&gt;='Options and results'!$K$19,'Options and results'!$K$18,1))</f>
        <v>0</v>
      </c>
      <c r="DT55" s="1431">
        <f t="shared" si="154"/>
        <v>0</v>
      </c>
      <c r="DU55" s="889">
        <f t="shared" si="155"/>
        <v>0</v>
      </c>
      <c r="DV55" s="1027">
        <f>IF($DG$8=0,0,(HLOOKUP(CONCATENATE('Options and results'!$C$54," ",Agroforestrysystem!$M$12),Agroforestrysystem!$11:$74,DF55+4,FALSE))*IF(DF55&gt;='Options and results'!$K$19,'Options and results'!$K$18,1))-DW55</f>
        <v>0</v>
      </c>
      <c r="DW55" s="303">
        <f>IF($DG$8=0,0,(HLOOKUP(CONCATENATE('Options and results'!$C$54," ",Agroforestrysystem!$N$12),Agroforestrysystem!$11:$74,DF55+4,FALSE))*IF(DF55&gt;='Options and results'!$K$19,'Options and results'!$K$18,1))</f>
        <v>0</v>
      </c>
      <c r="DX55" s="303">
        <f>IF($DG$8=0,0,HLOOKUP(CONCATENATE('Options and results'!$C$54," ",Agroforestrysystem!$O$12),Agroforestrysystem!$11:$74,DF55+4,FALSE)*IF(DF55&gt;='Options and results'!$K$19,'Options and results'!$K$18,1))</f>
        <v>0</v>
      </c>
      <c r="DY55" s="1192">
        <f>IF(DT55&gt;0,HLOOKUP(DT55,Treevalue!$I$4:$BC$34,'Options and results'!$C$66+1),0)*IF(DF55&gt;='Options and results'!$K$21,'Options and results'!$K$20,1)*IF(1+'Options and results'!$Q$20*(DF55-1)&gt;0,1+'Options and results'!$Q$20*(DF55-1),0)</f>
        <v>0</v>
      </c>
      <c r="DZ55" s="1027">
        <f t="shared" si="156"/>
        <v>0</v>
      </c>
      <c r="EA55" s="1027">
        <f t="shared" si="125"/>
        <v>0</v>
      </c>
      <c r="EB55" s="1027">
        <f>(IF('Options and results'!$C$66&gt;0,IF(DF55&lt;='Options and results'!$W$20,VLOOKUP('Options and results'!$C$66,Treevalue!$A$4:$F$34,5,FALSE),0),0)*DV55)*IF(DF55&gt;='Options and results'!$K$21,'Options and results'!$K$20,1)*IF(1+'Options and results'!$Q$20*(DF55-1)&gt;0,1+'Options and results'!$Q$20*(DF55-1),0)</f>
        <v>0</v>
      </c>
      <c r="EC55" s="740">
        <f>(IF('Options and results'!$C$66&gt;0,IF(DF55&lt;='Options and results'!$W$20,VLOOKUP('Options and results'!$C$66,Treevalue!$A$4:$F$34,5,FALSE),0),0)*DW55)*IF(DF55&gt;='Options and results'!$K$21,'Options and results'!$K$20,1)*IF(1+'Options and results'!$Q$20*(DF55-1)&gt;0,1+'Options and results'!$Q$20*(DF55-1),0)</f>
        <v>0</v>
      </c>
      <c r="ED55" s="889">
        <f>(IF('Options and results'!$C$66&gt;0,IF(DF55&lt;='Options and results'!$W$20,VLOOKUP('Options and results'!$C$66,Treevalue!$A$4:$F$34,6,FALSE),0),0)*DX55)*IF(DF55&gt;='Options and results'!$K$21,'Options and results'!$K$20,1)*IF(1+'Options and results'!$Q$20*(DF55-1)&gt;0,1+'Options and results'!$Q$20*(DF55-1),0)</f>
        <v>0</v>
      </c>
      <c r="EE55" s="740">
        <f>IF(DF55&lt;='Options and results'!$W$20,IF(DL55&lt;=0,0,IF('Options and results'!$C$70="cost",(IF(DF55&lt;='Options and results'!$C$71,FK55*SUM('Options and results'!$C$72:$C$73),0)),IF('Options and results'!$C$68&gt;0,(IF(VLOOKUP('Options and results'!$C$69,Treegrant!$B$6:$L$42,Treegrant!$C$2,FALSE)=DF55,VLOOKUP('Options and results'!$C$69,Treegrant!$B$6:$L$42,Treegrant!$D$2,FALSE),0)+IF(VLOOKUP('Options and results'!$C$69,Treegrant!$B$6:$L$42,Treegrant!$E$2,FALSE)=DF55,VLOOKUP('Options and results'!$C$69,Treegrant!$B$6:$L$42,Treegrant!$F$2,FALSE),0)+IF(VLOOKUP('Options and results'!$C$69,Treegrant!$B$6:$L$42,Treegrant!$G$2,FALSE)=DF55,VLOOKUP('Options and results'!$C$69,Treegrant!$B$6:$L$42,Treegrant!$H$2,FALSE)))*IF('Options and results'!$C$70="area",Unit!C56,'Options and results'!$C$70),0))*IF(DF55&gt;='Options and results'!$K$23,'Options and results'!$K$22,1)),0)*IF(1+'Options and results'!$Q$23*(DF55-1)&gt;0,1+'Options and results'!$Q$23*(DF55-1),0)</f>
        <v>0</v>
      </c>
      <c r="EF55" s="740">
        <f>IF($DG$8=0,0,IF(DF55&lt;='Options and results'!$W$20,IF(DL55&lt;=0,0,IF('Options and results'!$C$68&gt;0,IF(AND(VLOOKUP('Options and results'!$C$69,Treegrant!$B$6:$L$42,Treegrant!$J$2,FALSE)&lt;=DF55,VLOOKUP('Options and results'!$C$69,Treegrant!$B$6:$L$42,Treegrant!$K$2,FALSE)&gt;=DF55),(VLOOKUP('Options and results'!$C$69,Treegrant!$B$6:$L$42,Treegrant!$L$2,FALSE)),0)*IF('Options and results'!$C$74="area",Unit!C56,'Options and results'!$C$74))*IF(DF55&gt;='Options and results'!$K$23,'Options and results'!$K$22,1)),0))*IF(1+'Options and results'!$Q$23*(DF55-1)&gt;0,1+'Options and results'!$Q$23*(DF55-1),0)</f>
        <v>0</v>
      </c>
      <c r="EG55" s="1034">
        <f>IF($DG$8=0,0,IF(DF55&lt;='Options and results'!$W$20,IF(DL55&lt;=0,0,IF('Options and results'!$C$68&gt;0,((IF(AND(VLOOKUP('Options and results'!$C$69,Treegrant!$B$6:$O$42,Treegrant!$M$2,FALSE)&lt;=DF55,VLOOKUP('Options and results'!$C$69,Treegrant!$B$6:$O$42,Treegrant!$N$2,FALSE)&gt;=DF55),(VLOOKUP('Options and results'!$C$69,Treegrant!$B$6:$O$42,Treegrant!$O$2,FALSE)),0)*IF('Options and results'!$C$75="area",Unit!C56,'Options and results'!$C$75))+(IF(AND(VLOOKUP('Options and results'!$C$69,Treegrant!$B$6:$R$42,Treegrant!$P$2,FALSE)&lt;=DF55,VLOOKUP('Options and results'!$C$69,Treegrant!$B$6:$R$42,Treegrant!$Q$2,FALSE)&gt;=DF55),(VLOOKUP('Options and results'!$C$69,Treegrant!$B$6:$R$42,Treegrant!$R$2,FALSE)),0))*IF('Options and results'!$C$76="area",Unit!C56,'Options and results'!$C$76)))*IF(DF55&gt;='Options and results'!$K$23,'Options and results'!$K$22,1)),0))*IF(1+'Options and results'!$Q$23*(DF55-1)&gt;0,1+'Options and results'!$Q$23*(DF55-1),0)</f>
        <v>0</v>
      </c>
      <c r="EH55" s="1041"/>
      <c r="EI55" s="1042"/>
      <c r="EJ55" s="1419">
        <f>IF($DH$8+DK55&lt;1,0,IF(DF55=1,VLOOKUP($DG$8,Treecost!$B$6:$AH$49,Treecost!$E$2,FALSE),0)*IF(DF55&gt;='Options and results'!$K$25,'Options and results'!$K$24,1))</f>
        <v>0</v>
      </c>
      <c r="EK55" s="889">
        <f>IF($DH$8+DK55&lt;1,0,IF(DF55=1,VLOOKUP($DG$8,Treecost!$B$6:$AH$49,Treecost!$F$2,FALSE),0)*IF(DF55&gt;='Options and results'!$K$25,'Options and results'!$K$24,1))</f>
        <v>0</v>
      </c>
      <c r="EL55" s="889">
        <f>IF($DH$8+DK55&lt;1,0,IF(DF55=1,VLOOKUP($DG$8,Treecost!$B$6:$AH$49,Treecost!$G$2,FALSE),0)*IF(DF55&gt;='Options and results'!$K$25,'Options and results'!$K$24,1))</f>
        <v>0</v>
      </c>
      <c r="EM55" s="889">
        <f>IF($DG$8=0,0,IF(DF55&lt;='Options and results'!$W$20,((VLOOKUP($DG$8,Treecost!$B$6:$AH$49,Treecost!$H$2,FALSE)*(DH55+DK55))/60)*IF(DF55&gt;='Options and results'!$K$25,'Options and results'!$K$24,1),0))</f>
        <v>0</v>
      </c>
      <c r="EN55" s="889">
        <f>IF($DG$8=0,0,IF(DF55&lt;='Options and results'!$W$20,(((VLOOKUP($DG$8,Treecost!$B$6:$AH$49,Treecost!$I$2,FALSE))*(DH55+DK55))/60)*IF(DF55&gt;='Options and results'!$K$25,'Options and results'!$K$24,1),0))</f>
        <v>0</v>
      </c>
      <c r="EO55" s="889">
        <f>IF($DG$8=0,0,IF(DF55&lt;='Options and results'!$W$20,(((VLOOKUP($DG$8,Treecost!$B$6:$AH$49,Treecost!$J$2,FALSE))/60)*(DH55+DK55))*IF(DF55&gt;='Options and results'!$K$25,'Options and results'!$K$24,1),0))</f>
        <v>0</v>
      </c>
      <c r="EP55" s="1019">
        <f>IF($DG$8=0,0,IF(DF55&lt;='Options and results'!$W$20,(((VLOOKUP($DG$8,Treecost!$B$6:$AH$49,Treecost!$C$2,FALSE)+VLOOKUP($DG$8,Treecost!$B$6:$AH$49,Treecost!$D$2,FALSE))*(DH55+DK55)*IF(1+'Options and results'!$Q$22*(DF55-1)&gt;0,1+'Options and results'!$Q$22*(DF55-1),0))+(EJ55*$EI$8+EK55*$EI$9+EL55*$EI$10+EM55*$EI$11+EN55*$EI$12+EO55*$EI$13)*IF(1+'Options and results'!$Q$21*(DF55-1)&gt;0,1+'Options and results'!$Q$21*(DF55-1),0))*IF(DF55&gt;='Options and results'!$K$27,'Options and results'!$K$26,1),0))</f>
        <v>0</v>
      </c>
      <c r="EQ55" s="740">
        <f>IF($DG$8=0,0,IF(DF55&lt;='Options and results'!$W$20,IF(AND(VLOOKUP($DG$8,Treecost!$B$6:$AH$49,Treecost!$K$2,FALSE)&lt;=DF55,DF55&lt;=(VLOOKUP($DG$8,Treecost!$B$6:$AH$49,Treecost!$L$2,FALSE))),VLOOKUP($DG$8,Treecost!$B$6:$AH$49,Treecost!$M$2,FALSE)*DL55/60,0)*IF(DF55&gt;='Options and results'!$K$25,'Options and results'!$K$24,1),0))</f>
        <v>0</v>
      </c>
      <c r="ER55" s="1019">
        <f>IF(EQ55&gt;0,(VLOOKUP($DG$8,Treecost!$B$6:$AH$49,Treecost!$N$2,FALSE)*DL55*IF(1+'Options and results'!$Q$22*(DF55-1)&gt;0,1+'Options and results'!$Q$22*(DF55-1),0)+EQ55*$EI$14*IF(1+'Options and results'!$Q$21*(DF55-1)&gt;0,1+'Options and results'!$Q$21*(DF55-1),0)),0)*IF(DF55&gt;='Options and results'!$K$27,'Options and results'!$K$26,1)</f>
        <v>0</v>
      </c>
      <c r="ES55" s="889">
        <f>IF(DF55&lt;='Options and results'!$W$20,IF(AND(DR55-DR54&gt;0,DR55&gt;'Options and results'!$M$64),(DL55-DN55)*(VLOOKUP($DG$8,Treecost!$B$6:$AH$49,Treecost!$Y$2,FALSE)+(VLOOKUP($DG$8,Treecost!$B$6:$AH$49,Treecost!$AA$2,FALSE)-VLOOKUP($DG$8,Treecost!$B$6:$AH$49,Treecost!$Y$2,FALSE))/(VLOOKUP($DG$8,Treecost!$B$6:$AH$49,Treecost!$Z$2,FALSE)-VLOOKUP($DG$8,Treecost!$B$6:$AH$49,Treecost!$X$2,FALSE))*(DR55-VLOOKUP($DG$8,Treecost!$B$6:$AH$49,Treecost!$X$2,FALSE)))/60,0)*IF(DF55&gt;='Options and results'!$K$25,'Options and results'!$K$24,1),0)</f>
        <v>0</v>
      </c>
      <c r="ET55" s="889">
        <f>IF(DF55&lt;='Options and results'!$W$20,IF(ES55&gt;0,VLOOKUP($DG$8,Treecost!$B$6:$AH$49,Treecost!$AB$2,FALSE)/60*DL55,0)*IF(DF55&gt;='Options and results'!$K$25,'Options and results'!$K$24,1),0)*((ES55-(MIN($ES$8:$ES$67)))/((MAX($ES$8:$ES$67))-(MIN($ES$8:$ES$67))))</f>
        <v>0</v>
      </c>
      <c r="EU55" s="740">
        <f>IF(ES55&gt;0,(ES55*$EI$15+ET55*$EI$19)*IF(1+'Options and results'!$Q$21*(DF55-1)&gt;0,1+'Options and results'!$Q$21*(DF55-1),0),0)*IF(DF55&gt;='Options and results'!$K$27,'Options and results'!$K$26,1)</f>
        <v>0</v>
      </c>
      <c r="EV55" s="891">
        <f>IF($DG$8=0,0,IF(DF55&lt;='Options and results'!$W$20,IF(AND(VLOOKUP($DG$8,Treecost!$B$2:$AH$49,Treecost!$O$2,FALSE)=DF55,DF55&lt;=IF(AND(Optimisation!$B$3="Yes",Optimisation!$B$4=1),Optimisation!$B$9)),VLOOKUP($DG$8,Treecost!$B$2:$AH$49,Treecost!$P$2,FALSE)*(1-CN55),0)*IF(DF55&gt;='Options and results'!$K$25,'Options and results'!$K$24,1),0))</f>
        <v>0</v>
      </c>
      <c r="EW55" s="889">
        <f>IF($DG$8=0,0,IF(DF55&lt;='Options and results'!$W$20,IF(AND(DF55&gt;VLOOKUP($DG$8,Treecost!$B$2:$AH$49,Treecost!$O$2,FALSE),DF55&lt;=IF(AND(Optimisation!$B$3="Yes",Optimisation!$B$4=1),Optimisation!$B$9,VLOOKUP($DG$8,Treecost!$B$2:$AH$49,Treecost!$R$2,FALSE))),VLOOKUP($DG$8,Treecost!$B$2:$AH$49,Treecost!$S$2,FALSE)*(1-CN55),0)*IF(DF55&gt;='Options and results'!$K$25,'Options and results'!$K$24,1),0))</f>
        <v>0</v>
      </c>
      <c r="EX55" s="740">
        <f>IF($DG$8=0,0,IF(DF55&lt;='Options and results'!$W$20,(IF(AND(VLOOKUP($DG$8,Treecost!$B$2:$AH$49,Treecost!$O$2,FALSE)=DF55,DF55&lt;=IF(AND(Optimisation!$B$3="Yes",Optimisation!$B$4=1),Optimisation!$B$9)),VLOOKUP($DG$8,Treecost!$B$2:$AH$49,Treecost!$Q$2,FALSE),0)*(1-CN55)+IF(AND(DF55&gt;VLOOKUP($DG$8,Treecost!$B$2:$AH$49,Treecost!$O$2,FALSE),DF55&lt;=IF(AND(Optimisation!$B$3="Yes",Optimisation!$B$4=1),Optimisation!$B$9,VLOOKUP($DG$8,Treecost!$B$2:$AH$49,Treecost!$R$2,FALSE))),VLOOKUP($DG$8,Treecost!$B$2:$AH$49,Treecost!$T$2,FALSE),0)*(1-CN55)+(EV55*$EI$16+EW55*$EI$17))*IF(DF55&gt;='Options and results'!$K$27,'Options and results'!$K$26,1),0))*IF(1+'Options and results'!$Q$21*(DF55-1)&gt;0,1+'Options and results'!$Q$21*(DF55-1),0)</f>
        <v>0</v>
      </c>
      <c r="EY55" s="894">
        <f>IF($DG$8=0,0,IF(DF55&lt;='Options and results'!$W$20,IF(AND(DF55&gt;=VLOOKUP($DG$8,Treecost!$B$2:$W$49,Treecost!$U$2,FALSE),DF55&lt;=VLOOKUP($DG$8,Treecost!$B$2:$W$49,Treecost!$V$2,FALSE)),(DL55*VLOOKUP($DG$8,Treecost!$B$2:$W$49,Treecost!$W$2,FALSE)/60),0)*IF(DF55&gt;='Options and results'!$K$25,'Options and results'!$K$24,1),0))</f>
        <v>0</v>
      </c>
      <c r="EZ55" s="740">
        <f>EY55*$EI$18*IF(DF55&gt;='Options and results'!$K$27,'Options and results'!$K$26,1)*IF(1+'Options and results'!$Q$21*(DF55-1)&gt;0,1+'Options and results'!$Q$21*(DF55-1),0)</f>
        <v>0</v>
      </c>
      <c r="FA55" s="1025">
        <f>IF(DF55&lt;='Options and results'!$W$20,IF(DL55&lt;=0,0,VLOOKUP($DG$8,Treecost!$B$6:$AH$49,Treecost!$AC$2,FALSE)+VLOOKUP($DG$8,Treecost!$B$6:$AH$49,Treecost!$AD$2,FALSE)+IF(AND(DF55&gt;=VLOOKUP($DG$8,Treecost!$B$2:$AK$49,Treecost!$AI$2,FALSE),DF55&lt;=VLOOKUP($DG$8,Treecost!$B$2:$AK$49,Treecost!$AJ$2,FALSE)),VLOOKUP($DG$8,Treecost!$B$2:$AK$49,Treecost!$AK$2,FALSE)*(1-CN55),0))*IF(DF55&gt;='Options and results'!$K$27,'Options and results'!$K$26,1),0)*IF(1+'Options and results'!$Q$22*(DF55-1)&gt;0,1+'Options and results'!$Q$22*(DF55-1),0)</f>
        <v>0</v>
      </c>
      <c r="FB55" s="894">
        <f>IF(DF55&lt;='Options and results'!$W$20,IF(DN55&gt;0,VLOOKUP($DG$8,Treecost!$B$6:$AH$49,Treecost!$AE$2,FALSE)/60*DN55,0)*IF(DF55&gt;='Options and results'!$K$25,'Options and results'!$K$24,1),0)</f>
        <v>0</v>
      </c>
      <c r="FC55" s="740">
        <f>IF(DF55&lt;='Options and results'!$W$20,IF(DN55&gt;0,VLOOKUP($DG$8,Treecost!$B$6:$AH$49,Treecost!$AF$2,FALSE)/60*DN55,0)*IF(DF55&gt;='Options and results'!$K$25,'Options and results'!$K$24,1),0)</f>
        <v>0</v>
      </c>
      <c r="FD55" s="740">
        <f>(FB55*$EI$20+FC55*$EI$21)*IF(DF55&gt;='Options and results'!$K$27,'Options and results'!$K$26,1)*IF(1+'Options and results'!$Q$21*(DF55-1)&gt;0,1+'Options and results'!$Q$21*(DF55-1),0)</f>
        <v>0</v>
      </c>
      <c r="FE55" s="894">
        <f>IF(DF55&lt;='Options and results'!$W$20,IF(DO55&gt;0,(VLOOKUP($DG$8,Treecost!$B$6:$AH$49,Treecost!$AG$2,FALSE)/60*DO55)*IF(DF55&gt;='Options and results'!$K$25,'Options and results'!$K$24,1),0),0)</f>
        <v>0</v>
      </c>
      <c r="FF55" s="740">
        <f>IF(DF55&lt;='Options and results'!$W$20,IF(DO55&gt;0,(VLOOKUP($DG$8,Treecost!$B$6:$AH$49,Treecost!$AH$2,FALSE)/60*DO55)*IF(DF55&gt;='Options and results'!$K$25,'Options and results'!$K$24,1),0),0)</f>
        <v>0</v>
      </c>
      <c r="FG55" s="740">
        <f>(FE55*$EI$22+FF55*$EI$23)*IF(DF55&gt;='Options and results'!$K$27,'Options and results'!$K$26,1)*IF(1+'Options and results'!$Q$21*(DF55-1)&gt;0,1+'Options and results'!$Q$21*(DF55-1),0)</f>
        <v>0</v>
      </c>
      <c r="FH55" s="894">
        <f t="shared" si="157"/>
        <v>0</v>
      </c>
      <c r="FI55" s="1027">
        <f t="shared" si="158"/>
        <v>0</v>
      </c>
      <c r="FJ55" s="1027">
        <f t="shared" si="159"/>
        <v>0</v>
      </c>
      <c r="FK55" s="1027">
        <f t="shared" si="160"/>
        <v>0</v>
      </c>
      <c r="FL55" s="1027">
        <f t="shared" si="190"/>
        <v>0</v>
      </c>
      <c r="FM55" s="1027">
        <f>IF($DF55&lt;='Options and results'!$W$20,SUM(FI$8:$FI55),0)</f>
        <v>0</v>
      </c>
      <c r="FN55" s="1027">
        <f>IF($DF55&lt;='Options and results'!$W$20,SUM($FJ$8:FJ55),0)</f>
        <v>0</v>
      </c>
      <c r="FO55" s="1027">
        <f>IF($DF55&lt;='Options and results'!$W$20,SUM($FK$8:FK55),0)</f>
        <v>0</v>
      </c>
      <c r="FP55" s="1027">
        <f>IF($DF55&lt;='Options and results'!$W$20,FM55+FN55-FO55,0)</f>
        <v>0</v>
      </c>
      <c r="FQ55" s="1027">
        <f t="shared" si="162"/>
        <v>0</v>
      </c>
      <c r="FR55" s="1027">
        <f t="shared" si="163"/>
        <v>0</v>
      </c>
      <c r="FS55" s="1027">
        <f t="shared" si="164"/>
        <v>0</v>
      </c>
      <c r="FT55" s="1189">
        <f>IF(DF55&lt;='Options and results'!$W$20,FP55+DZ55,0)</f>
        <v>0</v>
      </c>
      <c r="FU55" s="401"/>
      <c r="FV55" s="895">
        <f t="shared" si="165"/>
        <v>48</v>
      </c>
      <c r="FW55" s="894">
        <f>G55/(1+'Options and results'!$W$33)^(FV55-1)</f>
        <v>0</v>
      </c>
      <c r="FX55" s="740">
        <f>(AP55+AR55+AS55)/(1+'Options and results'!$W$33)^(FV55-1)</f>
        <v>0</v>
      </c>
      <c r="FY55" s="740">
        <f>CQ55/(1+'Options and results'!$W$33)^(FV55-1)</f>
        <v>0</v>
      </c>
      <c r="FZ55" s="740">
        <f>(EA55+EC55+ED55)/(1+'Options and results'!$W$33)^(FV55-1)</f>
        <v>0</v>
      </c>
      <c r="GA55" s="1019">
        <f t="shared" si="180"/>
        <v>0</v>
      </c>
      <c r="GB55" s="1026">
        <f>(AO55+AQ55)/(1+'Options and results'!$W$33)^(FV55-1)+FX55</f>
        <v>0</v>
      </c>
      <c r="GC55" s="1027">
        <f>IF(FV55&gt;'Options and results'!$W$27,0,GB55-GB54)</f>
        <v>0</v>
      </c>
      <c r="GD55" s="1027">
        <f>(DZ55+EB55)/(1+'Options and results'!$W$33)^(FV55-1)+FZ55</f>
        <v>0</v>
      </c>
      <c r="GE55" s="1379">
        <f>IF(FV55&gt;'Options and results'!$W$27,0,GD55-GD54)</f>
        <v>0</v>
      </c>
      <c r="GF55" s="894">
        <f>IF(FV55&lt;='Options and results'!$W$20,SUM(FW$8:FW55),0)</f>
        <v>0</v>
      </c>
      <c r="GG55" s="740">
        <f>IF(FV55&lt;='Options and results'!$W$20,SUM(FX$8:FX55), 0)</f>
        <v>0</v>
      </c>
      <c r="GH55" s="740">
        <f>IF(FV55&lt;='Options and results'!$W$20,SUM(FY$8:FY55),0)</f>
        <v>0</v>
      </c>
      <c r="GI55" s="740">
        <f>IF(FV55&lt;='Options and results'!$W$20,SUM(FZ$8:FZ55),0)</f>
        <v>0</v>
      </c>
      <c r="GJ55" s="1019">
        <f t="shared" si="166"/>
        <v>0</v>
      </c>
      <c r="GK55" s="894">
        <f>IF(FV55&gt;'Options and results'!$W$27,0,GG55+SUM(GC$8:GC55)-FX55)</f>
        <v>0</v>
      </c>
      <c r="GL55" s="740">
        <f>IF(FV55&lt;='Options and results'!$W$20,SUM(GD$8:GD55),0)</f>
        <v>0</v>
      </c>
      <c r="GM55" s="1034">
        <f t="shared" si="167"/>
        <v>0</v>
      </c>
      <c r="GN55" s="401"/>
      <c r="GO55" s="895">
        <f t="shared" si="168"/>
        <v>48</v>
      </c>
      <c r="GP55" s="894">
        <f>H55/(1+'Options and results'!$W$33)^(GO55-1)</f>
        <v>0</v>
      </c>
      <c r="GQ55" s="740">
        <f>SUM(AT55:AV55)/(1+'Options and results'!$W$33)^(GO55-1)</f>
        <v>0</v>
      </c>
      <c r="GR55" s="740">
        <f>CR55/(1+'Options and results'!$W$33)^(GO55-1)</f>
        <v>0</v>
      </c>
      <c r="GS55" s="740">
        <f>SUM(EE55:EG55)/(1+'Options and results'!$W$33)^(GO55-1)</f>
        <v>0</v>
      </c>
      <c r="GT55" s="1019">
        <f t="shared" si="181"/>
        <v>0</v>
      </c>
      <c r="GU55" s="894">
        <f>IF(GO55&lt;='Options and results'!$W$20,SUM(GP$8:GP55),0)</f>
        <v>0</v>
      </c>
      <c r="GV55" s="740">
        <f>IF(GO55&lt;='Options and results'!$W$20,SUM(GQ$8:GQ55),0)</f>
        <v>0</v>
      </c>
      <c r="GW55" s="740">
        <f>IF(GO55&lt;='Options and results'!$W$20,SUM(GR$8:GR55),0)</f>
        <v>0</v>
      </c>
      <c r="GX55" s="740">
        <f>IF(GO55&lt;='Options and results'!$W$20,SUM(GS$8:GS55),0)</f>
        <v>0</v>
      </c>
      <c r="GY55" s="1034">
        <f>IF(GO55&lt;='Options and results'!$W$20,SUM(GT$8:GT55),0)</f>
        <v>0</v>
      </c>
      <c r="GZ55" s="401"/>
      <c r="HA55" s="895">
        <f t="shared" si="169"/>
        <v>48</v>
      </c>
      <c r="HB55" s="1026">
        <f>(J55+L55+(M55*N55))/(1+'Options and results'!$W$33)^(HA55-1)</f>
        <v>0</v>
      </c>
      <c r="HC55" s="740">
        <f>BZ55/(1+'Options and results'!$W$33)^(HA55-1)</f>
        <v>0</v>
      </c>
      <c r="HD55" s="1027">
        <f>(CT55+CV55+(CW55*CX55))/(1+'Options and results'!$W$33)^(HA55-1)</f>
        <v>0</v>
      </c>
      <c r="HE55" s="740">
        <f>FK55/(1+'Options and results'!$W$33)^(HA55-1)</f>
        <v>0</v>
      </c>
      <c r="HF55" s="1019">
        <f t="shared" si="182"/>
        <v>0</v>
      </c>
      <c r="HG55" s="894">
        <f>IF(HA55&lt;='Options and results'!$W$20,SUM(HB$8:HB55),0)</f>
        <v>0</v>
      </c>
      <c r="HH55" s="740">
        <f>IF(HA55&lt;='Options and results'!$W$20,SUM(HC$8:HC55),0)</f>
        <v>0</v>
      </c>
      <c r="HI55" s="740">
        <f>IF(HA55&lt;='Options and results'!$W$20,SUM(HD$8:HD55),0)</f>
        <v>0</v>
      </c>
      <c r="HJ55" s="740">
        <f>IF(HA55&lt;='Options and results'!$W$20,SUM(HE$8:HE55),0)</f>
        <v>0</v>
      </c>
      <c r="HK55" s="1034">
        <f>IF(HA55&lt;='Options and results'!$W$20,SUM(HF$8:HF55),0)</f>
        <v>0</v>
      </c>
      <c r="HL55" s="405"/>
      <c r="HM55" s="895">
        <f t="shared" si="189"/>
        <v>48</v>
      </c>
      <c r="HN55" s="1026">
        <f t="shared" si="171"/>
        <v>0</v>
      </c>
      <c r="HO55" s="1027">
        <f t="shared" si="172"/>
        <v>0</v>
      </c>
      <c r="HP55" s="1027">
        <f t="shared" si="173"/>
        <v>0</v>
      </c>
      <c r="HQ55" s="1027">
        <f t="shared" si="174"/>
        <v>0</v>
      </c>
      <c r="HR55" s="1027">
        <f t="shared" si="175"/>
        <v>0</v>
      </c>
      <c r="HS55" s="1379">
        <f t="shared" si="176"/>
        <v>0</v>
      </c>
      <c r="HT55" s="1026">
        <f>IF($HM55&lt;='Options and results'!$W$20,SUM(HN$8:HN55),0)</f>
        <v>0</v>
      </c>
      <c r="HU55" s="1027">
        <f>IF($HM55&lt;='Options and results'!$W$20,SUM(HO$8:HO55),0)</f>
        <v>0</v>
      </c>
      <c r="HV55" s="1027">
        <f>IF($HM55&lt;='Options and results'!$W$20,SUM(HP$8:HP55),0)</f>
        <v>0</v>
      </c>
      <c r="HW55" s="1027">
        <f>IF($HM55&lt;='Options and results'!$W$20,SUM(HQ$8:HQ55),0)</f>
        <v>0</v>
      </c>
      <c r="HX55" s="1027">
        <f t="shared" si="177"/>
        <v>0</v>
      </c>
      <c r="HY55" s="1027">
        <f>IF($HM55&lt;='Options and results'!$W$20,SUM(HR$8:HR55),0)</f>
        <v>0</v>
      </c>
      <c r="HZ55" s="1027">
        <f>IF($HM55&lt;='Options and results'!$W$20,SUM(HS$8:HS55),0)</f>
        <v>0</v>
      </c>
      <c r="IA55" s="1189">
        <f t="shared" si="178"/>
        <v>0</v>
      </c>
    </row>
    <row r="56" spans="1:235" x14ac:dyDescent="0.25">
      <c r="A56" s="1010">
        <f t="shared" si="126"/>
        <v>49</v>
      </c>
      <c r="B56" s="1011" t="str">
        <f>IF('Options and results'!$C$17="None",0,CONCATENATE('Options and results'!$C$23," ",(HLOOKUP(CONCATENATE('Options and results'!$C$17," ",Arablesystem!$B$11),Arablesystem!$B$10:$ER$72,$A56+3,FALSE))))</f>
        <v xml:space="preserve">UK - Agriculture (BPS: from 2015) </v>
      </c>
      <c r="C56" s="1012">
        <f>IF(HLOOKUP(CONCATENATE('Options and results'!$C$17," ",Arablesystem!$C$11),Arablesystem!$B$10:$ER$72,$A56+3,FALSE)="T",(VLOOKUP(B56,Arablefinance!$Z$6:$AB$105,Arablefinance!$AB$2,FALSE)*E56+VLOOKUP(B56,Arablefinance!$Z$6:$AC$105,Arablefinance!$AC$2,FALSE)*F56)/VLOOKUP(B56,Arablefinance!$Z$6:$AA$105,Arablefinance!$AA$2,FALSE),0)</f>
        <v>0</v>
      </c>
      <c r="D56" s="1012">
        <f>IF(B56=0,0,HLOOKUP(CONCATENATE('Options and results'!$C$17," ",Arablesystem!$D$11),Arablesystem!$B$10:$ER$72,$A56+3,FALSE))</f>
        <v>0</v>
      </c>
      <c r="E56" s="1440">
        <f>IF(B56=0,0,HLOOKUP(CONCATENATE('Options and results'!$C$17," ",Arablesystem!$E$11),Arablesystem!$B$10:$ER$72,$A56+3,FALSE)*IF(A56&gt;='Options and results'!$H$19,'Options and results'!$H$18,1))</f>
        <v>0</v>
      </c>
      <c r="F56" s="1440">
        <f>IF(B56=0,0,HLOOKUP(CONCATENATE('Options and results'!$C$17," ",Arablesystem!$F$11),Arablesystem!$B$10:$ER$72,$A56+3,FALSE)*IF(A56&gt;='Options and results'!$H$19,'Options and results'!$H$18,1))</f>
        <v>0</v>
      </c>
      <c r="G56" s="1013">
        <f>IF(D56&lt;=0,0,IF(A56&lt;='Options and results'!$W$20,IF(C56&gt;0,VLOOKUP(B56,Arablefinance!$Z$6:$AE$105,Arablefinance!$AD$2,FALSE)*C56*D56,((VLOOKUP(B56,Arablefinance!$E$6:$G$126,Arablefinance!$F$2,FALSE)*(E56*D56)+VLOOKUP(B56,Arablefinance!$E$6:$G$126,Arablefinance!$G$2,FALSE)*(F56*D56)))),0)*IF(A56&gt;='Options and results'!$H$21,'Options and results'!$H$20,1))*IF(1+'Options and results'!$O$20*(A56-1)&gt;0,1+'Options and results'!$O$20*(A56-1),0)</f>
        <v>0</v>
      </c>
      <c r="H56" s="1441">
        <f>IF(D56&lt;=0,0,IF(A56&lt;='Options and results'!$W$20,IF(AND(C56&gt;0,VLOOKUP(B56,Arablefinance!$Z$6:$AI$105,Arablefinance!$AI$2,FALSE)=2),VLOOKUP(B56,Arablefinance!$Z$6:$AE$105,Arablefinance!$AE$2,FALSE)*C56*D56,(VLOOKUP(B56,Arablefinance!$E$6:$H$126,Arablefinance!$H$2,FALSE)*D56))*IF(A56&gt;='Options and results'!$H$23,'Options and results'!$H$22,1),0)*IF(AND(1+'Options and results'!$O$23*(A56-1)&gt;0,1+'Options and results'!$O$23*(A56-1)&gt;'Options and results'!$S$24),1+'Options and results'!$O$23*(A56-1),'Options and results'!$S$24))</f>
        <v>0</v>
      </c>
      <c r="I56" s="1441">
        <f t="shared" si="127"/>
        <v>0</v>
      </c>
      <c r="J56" s="1441">
        <f>IF(D56&lt;=0,0,IF(A56&lt;='Options and results'!$W$20,IF(C56&gt;0,VLOOKUP(B56,Arablefinance!$Z$6:$AF$105,Arablefinance!$AF$2,FALSE)*C56*D56,(VLOOKUP(B56,Arablefinance!$E$6:$X$126,Arablefinance!$R$2,FALSE))*D56),0)*IF(A56&gt;='Options and results'!$H$27,'Options and results'!$H$26,1))*IF(1+'Options and results'!$O$22*(A56-1)&gt;0,1+'Options and results'!$O$22*(A56-1),0)</f>
        <v>0</v>
      </c>
      <c r="K56" s="1441">
        <f t="shared" si="128"/>
        <v>0</v>
      </c>
      <c r="L56" s="1441">
        <f>IF(D56&lt;=0,0,IF(A56&lt;='Options and results'!$W$20,IF(C56&gt;0,VLOOKUP(B56,Arablefinance!$Z$6:$AG$105,Arablefinance!$AG$2,FALSE)*C56*D56,VLOOKUP(B56,Arablefinance!$E$6:$X$126,Arablefinance!$X$2,FALSE)*D56),0)*IF(A56&gt;='Options and results'!$H$27,'Options and results'!$H$26,1))*IF(1+'Options and results'!$O$22*(A56-1)&gt;0,1+'Options and results'!$O$22*(A56-1),0)</f>
        <v>0</v>
      </c>
      <c r="M56" s="1442">
        <f>IF(D56&lt;=0,0,IF(A56&lt;='Options and results'!$W$20,'Options and results'!$C$27,0)*IF(A56&gt;='Options and results'!$H$27,'Options and results'!$H$26,1))*IF(1+'Options and results'!$O$21*(A56-1)&gt;0,1+'Options and results'!$O$21*(A56-1),0)</f>
        <v>0</v>
      </c>
      <c r="N56" s="1442">
        <f>IF(D56&lt;=0,0,IF(A56&lt;='Options and results'!$W$20,IF(C56&gt;0,VLOOKUP(B56,Arablefinance!$Z$6:$AH$105,Arablefinance!$AH$2,FALSE)*C56*D56,VLOOKUP(B56,Arablefinance!$E$6:$W$126,Arablefinance!$V$2,FALSE)*D56),0)*IF(A56&gt;='Options and results'!$H$25,'Options and results'!$H$24,1))</f>
        <v>0</v>
      </c>
      <c r="O56" s="1013">
        <f t="shared" si="129"/>
        <v>0</v>
      </c>
      <c r="P56" s="1353">
        <f t="shared" si="130"/>
        <v>0</v>
      </c>
      <c r="Q56" s="1013">
        <f>IF(A56&lt;='Options and results'!$W$20,SUM(G$8:$G56),0)</f>
        <v>0</v>
      </c>
      <c r="R56" s="1441">
        <f>IF($A56&lt;='Options and results'!$W$20,SUM($H$8:H56),0)</f>
        <v>0</v>
      </c>
      <c r="S56" s="1441">
        <f>IF($A56&lt;='Options and results'!$W$20,SUM($O$8:O56),0)</f>
        <v>0</v>
      </c>
      <c r="T56" s="1032">
        <f>IF(A56&lt;='Options and results'!$W$20,Q56+R56-S56,0)</f>
        <v>0</v>
      </c>
      <c r="U56" s="405"/>
      <c r="V56" s="1010">
        <f t="shared" si="131"/>
        <v>49</v>
      </c>
      <c r="W56" s="173"/>
      <c r="X56" s="1036"/>
      <c r="Y56" s="1030">
        <f>IF(V56&lt;='Options and results'!$M$34,'Options and results'!$M$33,0)</f>
        <v>0</v>
      </c>
      <c r="Z56" s="1441">
        <f t="shared" si="132"/>
        <v>0</v>
      </c>
      <c r="AA56" s="1441">
        <f t="shared" si="133"/>
        <v>0</v>
      </c>
      <c r="AB56" s="1428">
        <f t="shared" si="134"/>
        <v>0</v>
      </c>
      <c r="AC56" s="1441">
        <f>IF($W$8=0,0,IF(HLOOKUP(CONCATENATE('Options and results'!$C$32," ",Forestrysystem!$C$8),Forestrysystem!$A$7:$IH$70,V56+4,FALSE)&lt;AB56,HLOOKUP(CONCATENATE('Options and results'!$C$32," ",Forestrysystem!$C$8),Forestrysystem!$A$7:$IH$70,V56+4,FALSE),0))</f>
        <v>0</v>
      </c>
      <c r="AD56" s="1441">
        <f>IF($W$8=0,0,IF(HLOOKUP(CONCATENATE('Options and results'!$C$32," ",Forestrysystem!$C$8),Forestrysystem!$A$7:$IH$70,V56+4,FALSE)&gt;=AB56,AB56,0))</f>
        <v>0</v>
      </c>
      <c r="AE56" s="1440">
        <f>IF($W$8=0,0,HLOOKUP(CONCATENATE('Options and results'!$C$32," ",Forestrysystem!$D$8),Forestrysystem!$A$7:$IH$70,$V56+4,FALSE))</f>
        <v>0</v>
      </c>
      <c r="AF56" s="1037"/>
      <c r="AG56" s="1440">
        <f>IF($W$8=0,0,IF(V56=1,'Options and results'!$M$36,0)+IF('Options and results'!$M$39="yes",IF(AND(AG55+'Options and results'!$M$37&lt;=$AF$8,AG55+'Options and results'!$M$37+IF(V56=1,'Options and results'!$M$36,0)&lt;='Options and results'!$M$38*AE56),AG55+'Options and results'!$M$37,AG55),(HLOOKUP(CONCATENATE('Options and results'!$C$32," ",Forestrysystem!$E$8),Forestrysystem!$A$7:$IH$70,V56+4,FALSE))-IF(V56=1,'Options and results'!$M$36,0)))</f>
        <v>0</v>
      </c>
      <c r="AH56" s="1442">
        <f>IF(OR($W$8=0,AB56&lt;=0),0,(HLOOKUP(CONCATENATE('Options and results'!$C$32," ",Forestrysystem!$F$8),Forestrysystem!$A$7:$IH$70,$V56+4,FALSE)) * IF(V56&gt;='Options and results'!$I$19,'Options and results'!$I$18,1) )</f>
        <v>0</v>
      </c>
      <c r="AI56" s="1452">
        <f t="shared" si="179"/>
        <v>0</v>
      </c>
      <c r="AJ56" s="1442">
        <f t="shared" si="135"/>
        <v>0</v>
      </c>
      <c r="AK56" s="1453">
        <f>IF(OR($W$8=0,AE56&lt;=0),0,(HLOOKUP(CONCATENATE('Options and results'!$C$32," ",Forestrysystem!$G$8),Forestrysystem!$A$7:$IH$70,$V56+4,FALSE)) * IF(Y56&gt;='Options and results'!$I$19,'Options and results'!$I$18,1) )</f>
        <v>0</v>
      </c>
      <c r="AL56" s="1453">
        <f>IF($W$8=0,0,HLOOKUP(CONCATENATE('Options and results'!$C$32," ",Forestrysystem!$H$8),Forestrysystem!$A$7:$IH$70,$V56+4,FALSE)*IF(V56&gt;='Options and results'!$I$19,'Options and results'!$I$18,1))</f>
        <v>0</v>
      </c>
      <c r="AM56" s="1383">
        <f>IF($W$8=0,0,HLOOKUP(CONCATENATE('Options and results'!$C$32," ",Forestrysystem!$I$8),Forestrysystem!$A$7:$IH$70,$V56+4,FALSE)*IF(V56&gt;='Options and results'!$I$19,'Options and results'!$I$18,1))</f>
        <v>0</v>
      </c>
      <c r="AN56" s="1382">
        <f>IF(AI56&gt;0,HLOOKUP(AI56,Treevalue!$I$4:$BC$34,'Options and results'!$C$39+1),0)*IF(V56&gt;='Options and results'!$I$21,'Options and results'!$I$20,1)*IF(1+'Options and results'!$Q$20*(V56-1)&gt;0,1+'Options and results'!$Q$20*(V56-1),0)</f>
        <v>0</v>
      </c>
      <c r="AO56" s="1454">
        <f t="shared" si="136"/>
        <v>0</v>
      </c>
      <c r="AP56" s="1454">
        <f t="shared" si="187"/>
        <v>0</v>
      </c>
      <c r="AQ56" s="1454">
        <f>(IF('Options and results'!$C$39&gt;0,IF(V56&lt;='Options and results'!$W$20,VLOOKUP('Options and results'!$C$39,Treevalue!$A$4:$F$34,5,FALSE),0),0)*AK56)*IF(V56&gt;='Options and results'!$I$21,'Options and results'!$I$20,1)*IF(1+'Options and results'!$Q$20*(V56-1)&gt;0,1+'Options and results'!$Q$20*(V56-1),0)-AR56</f>
        <v>0</v>
      </c>
      <c r="AR56" s="1441">
        <f>(IF('Options and results'!$C$39&gt;0,IF(V56&lt;='Options and results'!$W$20,VLOOKUP('Options and results'!$C$39,Treevalue!$A$4:$F$34,5,FALSE),0),0)*AL56)*IF(V56&gt;='Options and results'!$I$21,'Options and results'!$I$20,1)*IF(1+'Options and results'!$Q$20*(V56-1)&gt;0,1+'Options and results'!$Q$20*(V56-1),0)</f>
        <v>0</v>
      </c>
      <c r="AS56" s="1441">
        <f>(IF('Options and results'!$C$39&gt;0,IF(V56&lt;='Options and results'!$W$20,VLOOKUP('Options and results'!$C$39,Treevalue!$A$4:$F$34,6,FALSE),0),0)*AM56)*IF(V56&gt;='Options and results'!$I$21,'Options and results'!$I$20,1)*IF(1+'Options and results'!$Q$20*(V56-1)&gt;0,1+'Options and results'!$Q$20*(V56-1),0)</f>
        <v>0</v>
      </c>
      <c r="AT56" s="1441">
        <f>IF(V56&lt;='Options and results'!$W$20,(IF(AB56&lt;=0,0,IF('Options and results'!$C$43="cost",(IF(V56&lt;='Options and results'!$C$44,BZ56*SUM('Options and results'!$C$45:$C$46),0)),IF('Options and results'!$C$41&gt;0,(IF(VLOOKUP('Options and results'!$C$42,Treegrant!$B$6:$L$42,Treegrant!$C$2,FALSE)=V56,VLOOKUP('Options and results'!$C$42,Treegrant!$B$6:$L$42,Treegrant!$D$2,FALSE),0)+IF(VLOOKUP('Options and results'!$C$42,Treegrant!$B$6:$L$42,Treegrant!$E$2,FALSE)=V56,VLOOKUP('Options and results'!$C$42,Treegrant!$B$6:$L$42,Treegrant!$F$2,FALSE),0)+IF(VLOOKUP('Options and results'!$C$42,Treegrant!$B$6:$L$42,Treegrant!$G$2,FALSE)=V56,VLOOKUP('Options and results'!$C$42,Treegrant!$B$6:$L$42,Treegrant!$H$2,FALSE)))*IF('Options and results'!$C$43="area",1,'Options and results'!$C$43),0)))*IF(V56&gt;='Options and results'!$I$23,'Options and results'!$I$22,1)),0)*IF(1+'Options and results'!$Q$23*(V56-1)&gt;0,1+'Options and results'!$Q$23*(V56-1),0)</f>
        <v>0</v>
      </c>
      <c r="AU56" s="1441">
        <f>IF($W$8=0,0,IF(V56&lt;='Options and results'!$W$20,IF(AB56&lt;=0,0,IF('Options and results'!$C$41&gt;0,IF(AND(VLOOKUP('Options and results'!$C$42,Treegrant!$B$6:$L$42,Treegrant!$J$2,FALSE)&lt;=V56,VLOOKUP('Options and results'!$C$42,Treegrant!$B$6:$L$42,Treegrant!$K$2,FALSE)&gt;=V56),(VLOOKUP('Options and results'!$C$42,Treegrant!$B$6:$L$42,Treegrant!$L$2,FALSE)),0)*IF('Options and results'!$C$47="full",1,'Options and results'!$C$47))*IF(V56&gt;='Options and results'!$I$23,'Options and results'!$I$22,1)),0))*IF(1+'Options and results'!$Q$23*(V56-1)&gt;0,1+'Options and results'!$Q$23*(V56-1),0)</f>
        <v>0</v>
      </c>
      <c r="AV56" s="1032">
        <f>IF($W$8=0,0,IF(V56&lt;='Options and results'!$W$20,IF(AB56&lt;=0,0,(IF('Options and results'!$C$41&gt;0,(IF(AND(VLOOKUP('Options and results'!$C$42,Treegrant!$B$6:$O$42,Treegrant!$M$2,FALSE)&lt;=V56,VLOOKUP('Options and results'!$C$42,Treegrant!$B$6:$O$42,Treegrant!$N$2,FALSE)&gt;=V56),(VLOOKUP('Options and results'!$C$42,Treegrant!$B$6:$O$42,Treegrant!$O$2,FALSE)),0)*IF('Options and results'!$C$48="full",1,'Options and results'!$C$48))+(IF(AND(VLOOKUP('Options and results'!$C$42,Treegrant!$B$6:$R$42,Treegrant!$P$2,FALSE)&lt;=V56,VLOOKUP('Options and results'!$C$42,Treegrant!$B$6:$R$42,Treegrant!$Q$2,FALSE)&gt;=V56),(VLOOKUP('Options and results'!$C$42,Treegrant!$B$6:$R$42,Treegrant!$R$2,FALSE)),0))*IF('Options and results'!$C$49="full",1,'Options and results'!$C$49)))*IF(V56&gt;='Options and results'!$I$23,'Options and results'!$I$22,1)),0))*IF(1+'Options and results'!$Q$23*(V56-1)&gt;0,1+'Options and results'!$Q$23*(V56-1),0)</f>
        <v>0</v>
      </c>
      <c r="AW56" s="1041"/>
      <c r="AX56" s="1042"/>
      <c r="AY56" s="1419">
        <f>IF($W$8=0,0,IF(V56=1,VLOOKUP($W$8,Treecost!$B$6:$AH$49,Treecost!$E$2,FALSE),0)*IF(V56&gt;='Options and results'!$I$25,'Options and results'!$I$24,1))</f>
        <v>0</v>
      </c>
      <c r="AZ56" s="889">
        <f>IF($W$8=0,0,IF(V56=1,VLOOKUP($W$8,Treecost!$B$6:$AH$49,Treecost!$F$2,FALSE),0)*IF(V56&gt;='Options and results'!$I$25,'Options and results'!$I$24,1))</f>
        <v>0</v>
      </c>
      <c r="BA56" s="889">
        <f>IF($W$8=0,0,IF(V56=1,VLOOKUP($W$8,Treecost!$B$6:$AH$49,Treecost!$G$2,FALSE),0)*IF(V56&gt;='Options and results'!$I$25,'Options and results'!$I$24,1))</f>
        <v>0</v>
      </c>
      <c r="BB56" s="889">
        <f>IF($W$8=0,0,IF(V56&lt;='Options and results'!$W$20,((VLOOKUP($W$8,Treecost!$B$6:$AH$49,Treecost!$H$2,FALSE)*(X56+AA56))/60)*IF(V56&gt;='Options and results'!$I$25,'Options and results'!$I$24,1),0))</f>
        <v>0</v>
      </c>
      <c r="BC56" s="889">
        <f>IF($W$8=0,0,IF(V56&lt;='Options and results'!$W$20,(((VLOOKUP($W$8,Treecost!$B$6:$AH$49,Treecost!$I$2,FALSE))*(X56+AA56))/60)*IF(V56&gt;='Options and results'!$I$25,'Options and results'!$I$24,1),0))</f>
        <v>0</v>
      </c>
      <c r="BD56" s="889">
        <f>IF($W$8=0,0,IF(V56&lt;='Options and results'!$W$20,(((VLOOKUP($W$8,Treecost!$B$6:$AH$49,Treecost!$J$2,FALSE))/60)*(X56+AA56))*IF(V56&gt;='Options and results'!$I$25,'Options and results'!$I$24,1),0))</f>
        <v>0</v>
      </c>
      <c r="BE56" s="1019">
        <f>IF($W$8=0,0,IF(V56&lt;='Options and results'!$W$20,(((VLOOKUP($W$8,Treecost!$B$6:$AH$49,Treecost!$C$2,FALSE)+VLOOKUP($W$8,Treecost!$B$6:$AH$49,Treecost!$D$2,FALSE))*(X56+AA56)*IF(1+'Options and results'!$Q$22*(V56-1)&gt;0,1+'Options and results'!$Q$22*(V56-1),0))+((AY56*$AX$8+AZ56*$AX$9+BA56*$AX$10+BB56*$AX$11+BC56*$AX$12+BD56*$AX$13)*IF(1+'Options and results'!$Q$21*(V56-1)&gt;0,1+'Options and results'!$Q$21*(V56-1),0)))*IF(V56&gt;='Options and results'!$I$27,'Options and results'!$I$26,1),0))</f>
        <v>0</v>
      </c>
      <c r="BF56" s="889">
        <f>IF($W$8=0,0,IF(V56&lt;='Options and results'!$W$20,IF(AND(VLOOKUP($W$8,Treecost!$B$6:$AH$49,Treecost!$K$2,FALSE)&lt;=V56,V56&lt;=(VLOOKUP($W$8,Treecost!$B$6:$AH$49,Treecost!$L$2,FALSE))),VLOOKUP($W$8,Treecost!$B$6:$AH$49,Treecost!$M$2,FALSE)*AB56/60,0)*IF(V56&gt;='Options and results'!$I$25,'Options and results'!$I$24,1),0))</f>
        <v>0</v>
      </c>
      <c r="BG56" s="1019">
        <f>IF(BF56&gt;0,(VLOOKUP($W$8,Treecost!$B$6:$AH$49,Treecost!$N$2,FALSE)*AB56*IF(1+'Options and results'!$Q$22*(V56-1)&gt;0,1+'Options and results'!$Q$22*(V56-1),0)+BF56*$AX$14*IF(1+'Options and results'!$Q$21*(V56-1)&gt;0,1+'Options and results'!$Q$21*(V56-1),0)),0)*IF(V56&gt;='Options and results'!$I$27,'Options and results'!$I$26,1)</f>
        <v>0</v>
      </c>
      <c r="BH56" s="889">
        <f>IF(V56&lt;='Options and results'!$W$20,IF(AND(AG56-AG55&gt;0,AG56&gt;'Options and results'!$M$36),(AB56-AC56)*(VLOOKUP($W$8,Treecost!$B$6:$AH$49,Treecost!$Y$2,FALSE)+(VLOOKUP($W$8,Treecost!$B$6:$AH$49,Treecost!$AA$2,FALSE)-VLOOKUP($W$8,Treecost!$B$6:$AH$49,Treecost!$Y$2,FALSE))/(VLOOKUP($W$8,Treecost!$B$6:$AH$49,Treecost!$Z$2,FALSE)-VLOOKUP($W$8,Treecost!$B$6:$AH$49,Treecost!$X$2,FALSE))*(AG56-VLOOKUP($W$8,Treecost!$B$6:$AH$49,Treecost!$X$2,FALSE)))/60,0)*IF(V56&gt;='Options and results'!$I$25,'Options and results'!$I$24,1),0)</f>
        <v>0</v>
      </c>
      <c r="BI56" s="303">
        <f>IF(V56&lt;='Options and results'!$W$20,IF(BH56&gt;0,VLOOKUP($W$8,Treecost!$B$6:$AH$49,Treecost!$AB$2,FALSE)/60*AB56,0)*IF(V56&gt;='Options and results'!$I$25,'Options and results'!$I$24,1),0)*((BH56-(MIN($BH$8:$BH$67)))/((MAX($BH$8:$BH$67))-(MIN($BH$8:$BH$67))))</f>
        <v>0</v>
      </c>
      <c r="BJ56" s="740">
        <f>IF(BH56&gt;0,(BH56*$AX$15+BI56*$AX$19)*IF(1+'Options and results'!$Q$21*(V56-1)&gt;0,1+'Options and results'!$Q$21*(V56-1),0),0)*IF(V56&gt;='Options and results'!$I$27,'Options and results'!$I$26,1)</f>
        <v>0</v>
      </c>
      <c r="BK56" s="891">
        <f>IF($W$8=0,0,IF(V56&lt;='Options and results'!$W$20,IF(VLOOKUP($W$8,Treecost!$B$2:$AH$49,Treecost!$O$2,FALSE)=V56,VLOOKUP($W$8,Treecost!$B$2:$AH$49,Treecost!$P$2,FALSE),0)*IF(V56&gt;='Options and results'!$I$25,'Options and results'!$I$24,1),0))</f>
        <v>0</v>
      </c>
      <c r="BL56" s="889">
        <f>IF($W$8=0,0,IF(V56&lt;='Options and results'!$W$20,IF(AND(V56&gt;VLOOKUP($W$8,Treecost!$B$2:$AH$49,Treecost!$O$2,FALSE),V56&lt;=VLOOKUP($W$8,Treecost!$B$2:$AH$49,Treecost!$R$2,FALSE)),VLOOKUP($W$8,Treecost!$B$2:$AH$49,Treecost!$S$2,FALSE),0)*IF(V56&gt;='Options and results'!$I$25,'Options and results'!$I$24,1),0))</f>
        <v>0</v>
      </c>
      <c r="BM56" s="740">
        <f>IF($W$8=0,0,IF(V56&lt;='Options and results'!$W$20,((IF(VLOOKUP($W$8,Treecost!$B$2:$AH$49,Treecost!$O$2,FALSE)=V56,VLOOKUP($W$8,Treecost!$B$2:$AH$49,Treecost!$Q$2,FALSE),0)+IF(AND(V56&gt;VLOOKUP($W$8,Treecost!$B$2:$AH$49,Treecost!$O$2,FALSE),V56&lt;=VLOOKUP($W$8,Treecost!$B$2:$AH$49,Treecost!$R$2,FALSE)),VLOOKUP($W$8,Treecost!$B$2:$AH$49,Treecost!$T$2,FALSE),0)*IF(1+'Options and results'!$Q$22*(V56-1)&gt;0,1+'Options and results'!$Q$22*(V56-1),0))+(BK56*$AX$16+BL56*$AX$17)*IF(1+'Options and results'!$Q$21*(V56-1)&gt;0,1+'Options and results'!$Q$21*(V56-1),0))*IF(V56&gt;='Options and results'!$I$27,'Options and results'!$I$26,1),0))</f>
        <v>0</v>
      </c>
      <c r="BN56" s="894">
        <f>IF($W$8=0,0,IF(V56&lt;='Options and results'!$W$20,IF(AND(V56&gt;=VLOOKUP($W$8,Treecost!$B$2:$W$49,Treecost!$U$2,FALSE),V56&lt;=VLOOKUP($W$8,Treecost!$B$2:$W$49,Treecost!$V$2,FALSE)),(AB56*VLOOKUP($W$8,Treecost!$B$2:$W$49,Treecost!$W$2,FALSE)/60),0)*IF(V56&gt;='Options and results'!$I$25,'Options and results'!$I$24,1),0))</f>
        <v>0</v>
      </c>
      <c r="BO56" s="740">
        <f>BN56*$AX$18*IF(V56&gt;='Options and results'!$I$27,'Options and results'!$I$26,1)*IF(1+'Options and results'!$Q$21*(V56-1)&gt;0,1+'Options and results'!$Q$21*(V56-1),0)</f>
        <v>0</v>
      </c>
      <c r="BP56" s="894">
        <f>IF(V56&lt;='Options and results'!$W$20,IF(AB56&lt;=0,0,VLOOKUP($W$8,Treecost!$B$6:$AH$49,Treecost!$AC$2,FALSE)+VLOOKUP($W$8,Treecost!$B$6:$AH$49,Treecost!$AD$2,FALSE)+IF(AND(V56&gt;=VLOOKUP($W$8,Treecost!$B$2:$AK$49,Treecost!$AI$2,FALSE),V56&lt;=VLOOKUP($W$8,Treecost!$B$2:$AK$49,Treecost!$AJ$2,FALSE)),(VLOOKUP($W$8,Treecost!$B$2:$AK$49,Treecost!$AK$2,FALSE)),0))*IF(V56&gt;='Options and results'!$I$27,'Options and results'!$I$26,1),0)*IF(1+'Options and results'!$Q$22*(V56-1)&gt;0,1+'Options and results'!$Q$22*(V56-1),0)</f>
        <v>0</v>
      </c>
      <c r="BQ56" s="894">
        <f>IF(V56&lt;='Options and results'!$W$20,IF(AC56&gt;0,VLOOKUP($W$8,Treecost!$B$6:$AH$49,Treecost!$AE$2,FALSE)/60*AC56,0)*IF(V56&gt;='Options and results'!$I$25,'Options and results'!$I$24,1),0)</f>
        <v>0</v>
      </c>
      <c r="BR56" s="740">
        <f>IF(V56&lt;='Options and results'!$W$20,IF(AC56&gt;0,VLOOKUP($W$8,Treecost!$B$6:$AH$49,Treecost!$AF$2,FALSE)/60*AC56,0)*IF(V56&gt;='Options and results'!$I$25,'Options and results'!$I$24,1),0)</f>
        <v>0</v>
      </c>
      <c r="BS56" s="740">
        <f>(BQ56*$AX$20+BR56*$AX$21)*IF(V56&gt;='Options and results'!$I$27,'Options and results'!$I$26,1)*IF(1+'Options and results'!$Q$21*(V56-1)&gt;0,1+'Options and results'!$Q$21*(V56-1),0)</f>
        <v>0</v>
      </c>
      <c r="BT56" s="894">
        <f>IF(V56&lt;='Options and results'!$W$20,IF(AD56&gt;0,(VLOOKUP($W$8,Treecost!$B$6:$AH$49,Treecost!$AG$2,FALSE)/60*AD56)*IF(V56&gt;='Options and results'!$I$25,'Options and results'!$I$24,1),0),0)</f>
        <v>0</v>
      </c>
      <c r="BU56" s="740">
        <f>IF(V56&lt;='Options and results'!$W$20,IF(AD56&gt;0,(VLOOKUP($W$8,Treecost!$B$6:$AH$49,Treecost!$AH$2,FALSE)/60*AD56)*IF(V56&gt;='Options and results'!$I$25,'Options and results'!$I$24,1),0),0)</f>
        <v>0</v>
      </c>
      <c r="BV56" s="740">
        <f>(BT56*$AX$22+BU56*$AX$23)*IF(V56&gt;='Options and results'!$I$27,'Options and results'!$I$26,1)*IF(1+'Options and results'!$Q$21*(V56-1)&gt;0,1+'Options and results'!$Q$21*(V56-1),0)</f>
        <v>0</v>
      </c>
      <c r="BW56" s="1033">
        <f t="shared" si="138"/>
        <v>0</v>
      </c>
      <c r="BX56" s="1027">
        <f t="shared" si="139"/>
        <v>0</v>
      </c>
      <c r="BY56" s="1027">
        <f t="shared" si="140"/>
        <v>0</v>
      </c>
      <c r="BZ56" s="740">
        <f t="shared" si="188"/>
        <v>0</v>
      </c>
      <c r="CA56" s="740">
        <f t="shared" si="141"/>
        <v>0</v>
      </c>
      <c r="CB56" s="894">
        <f>IF($V56&lt;='Options and results'!$W$20,SUM(BX$8:$BX56),0)</f>
        <v>0</v>
      </c>
      <c r="CC56" s="740">
        <f>IF($V56&lt;='Options and results'!$W$20,SUM($BY$8:BY56),0)</f>
        <v>0</v>
      </c>
      <c r="CD56" s="740">
        <f>IF($V56&lt;='Options and results'!$W$20,SUM($BZ$8:BZ56),0)</f>
        <v>0</v>
      </c>
      <c r="CE56" s="740">
        <f>IF(V56&lt;='Options and results'!$W$20,CB56+CC56-CD56,0)</f>
        <v>0</v>
      </c>
      <c r="CF56" s="1381">
        <f t="shared" si="142"/>
        <v>0</v>
      </c>
      <c r="CG56" s="1027">
        <f t="shared" si="143"/>
        <v>0</v>
      </c>
      <c r="CH56" s="1027">
        <f t="shared" si="144"/>
        <v>0</v>
      </c>
      <c r="CI56" s="1189">
        <f>IF(V56&lt;='Options and results'!$W$20,CE56+AO56,0)</f>
        <v>0</v>
      </c>
      <c r="CJ56" s="1023"/>
      <c r="CK56" s="895">
        <f t="shared" si="145"/>
        <v>49</v>
      </c>
      <c r="CL56" s="1011" t="str">
        <f>IF('Options and results'!$C$54="None",0,IF(AND(CK56&gt;='Options and results'!$K$57,CK55&lt;'Options and results'!$W$20),'Options and results'!$K$56,IF(Optimisation!$B$3="No",CONCATENATE('Options and results'!$C$60," ",(HLOOKUP(CONCATENATE('Options and results'!$C$54," ",Agroforestrysystem!$B$12),Agroforestrysystem!$B$11:$IM$74,$CK56+4,FALSE))),Optimisation!AA76)))</f>
        <v xml:space="preserve">UK - Agriculture (BPS: from 2015) </v>
      </c>
      <c r="CM56" s="1012">
        <f>IF(HLOOKUP(CONCATENATE('Options and results'!$C$54," ",Agroforestrysystem!$C$12),Agroforestrysystem!$B$11:$IM$74,$CK56+4,FALSE)="T",(VLOOKUP(CL56,Arablefinance!$Z$6:$AB$105,Arablefinance!$AB$2,FALSE)*CO56+VLOOKUP(CL56,Arablefinance!$Z$6:$AC$105,Arablefinance!$AC$2,FALSE)*CP56)/VLOOKUP(CL56,Arablefinance!$Z$6:$AA$105,Arablefinance!$AA$2,FALSE),0)</f>
        <v>0</v>
      </c>
      <c r="CN56" s="1012">
        <f>IF(CL56=0,0,HLOOKUP(CONCATENATE('Options and results'!$C$54," ",Agroforestrysystem!$D$12),Agroforestrysystem!$B$11:$IM$74,$CK56+4,FALSE))</f>
        <v>0</v>
      </c>
      <c r="CO56" s="1440">
        <f ca="1">IF(CL56=0,0,IF(AND(Optimisation!$B$3="yes",Optimisation!$B$4=1,CK56&gt;Optimisation!$B$9),0,HLOOKUP(CONCATENATE('Options and results'!$C$54," ",Agroforestrysystem!$E$12),Agroforestrysystem!$B$11:$IM$74,$CK56+4,FALSE)*IF(CK56&gt;='Options and results'!$J$19,'Options and results'!$J$18,1)))</f>
        <v>0</v>
      </c>
      <c r="CP56" s="1440">
        <f ca="1">IF(CL56=0,0,IF(AND(Optimisation!$B$3="yes",Optimisation!$B$4=1,CK56&gt;Optimisation!$B$9),0,HLOOKUP(CONCATENATE('Options and results'!$C$54," ",Agroforestrysystem!$F$12),Agroforestrysystem!$B$11:$IM$74,$CK56+4,FALSE)*IF(CK56&gt;='Options and results'!$J$19,'Options and results'!$J$18,1)))</f>
        <v>0</v>
      </c>
      <c r="CQ56" s="1013">
        <f>IF(CN56&lt;=0,0,IF(CK56&lt;='Options and results'!$W$20,IF(CM56&gt;0,VLOOKUP(CL56,Arablefinance!$Z$6:$AE$105,Arablefinance!$AD$2,FALSE)*CM56*CN56,((VLOOKUP(CL56,Arablefinance!$E$6:$H$126,2,FALSE)*CO56+VLOOKUP(CL56,Arablefinance!$E$6:$H$126,3,FALSE)*CP56)*CN56)),0)*IF(CK56&gt;='Options and results'!$J$21,'Options and results'!$J$20,1))*IF(1+'Options and results'!$O$20*(CK56-1)&gt;0,1+'Options and results'!$O$20*(CK56-1),0)</f>
        <v>0</v>
      </c>
      <c r="CR56" s="1441">
        <f>IF(CN56&lt;=0,0,IF(AND(CM56&gt;0,VLOOKUP(CL56,Arablefinance!$Z$6:$AI$105,Arablefinance!$AI$2,FALSE)=2),VLOOKUP(CL56,Arablefinance!$Z$6:$AE$105,Arablefinance!$AE$2,FALSE)*CM56*CN56,IF('Options and results'!$C$62&gt;0,IF(VLOOKUP(CL56,Arablefinance!$E$6:$W$126,Arablefinance!$H$2,FALSE)*(1-Plot!DM56*'Options and results'!$C$62)&gt;0,VLOOKUP(CL56,Arablefinance!$E$6:$W$126,Arablefinance!$H$2,FALSE)*(1-Plot!DM56*'Options and results'!$C$62),0),IF(CK56&lt;='Options and results'!$W$20,(VLOOKUP(CL56,Arablefinance!$E$6:$W$126,Arablefinance!$H$2,FALSE)*IF('Options and results'!$C$61="area",CN56,'Options and results'!$C$61)),0)))*IF(CK56&gt;='Options and results'!$J$23,'Options and results'!$J$22,1))*IF(AND(1+'Options and results'!$O$23*(CK56-1)&gt;0,1+'Options and results'!$O$23*(CK56-1)&gt;'Options and results'!$S$24),1+'Options and results'!$O$23*(CK56-1),'Options and results'!$S$24)</f>
        <v>0</v>
      </c>
      <c r="CS56" s="1441">
        <f t="shared" si="185"/>
        <v>0</v>
      </c>
      <c r="CT56" s="1441">
        <f>IF(CN56&lt;=0,0,IF(CK56&lt;='Options and results'!$W$20,IF(CM56&gt;0,VLOOKUP(CL56,Arablefinance!$Z$6:$AF$105,Arablefinance!$AF$2,FALSE)*CM56*CN56,VLOOKUP(CL56,Arablefinance!$E$6:$X$126,Arablefinance!$R$2,FALSE)*CN56),0)*IF(CK56&gt;='Options and results'!$J$27,'Options and results'!$J$26,1))*IF(1+'Options and results'!$O$22*(CK56-1)&gt;0,1+'Options and results'!$O$22*(CK56-1),0)</f>
        <v>0</v>
      </c>
      <c r="CU56" s="1441">
        <f t="shared" si="186"/>
        <v>0</v>
      </c>
      <c r="CV56" s="1441">
        <f>IF(CN56&lt;=0,0,IF(CK56&lt;='Options and results'!$W$20,IF(CM56&gt;0,VLOOKUP(CL56,Arablefinance!$Z$6:$AG$105,Arablefinance!$AG$2,FALSE)*CM56*CN56,VLOOKUP(CL56,Arablefinance!$E$6:$X$126,Arablefinance!$X$2,FALSE)*CN56),0)*IF(CK56&gt;='Options and results'!$J$27,'Options and results'!$J$26,1))*IF(1+'Options and results'!$O$22*(CK56-1)&gt;0,1+'Options and results'!$O$22*(CK56-1),0)</f>
        <v>0</v>
      </c>
      <c r="CW56" s="1442">
        <f>IF(CN56&lt;=0,0,IF(CK56&lt;='Options and results'!$W$20,'Options and results'!$C$27*IF(CK56&gt;='Options and results'!$J$27,'Options and results'!$J$26,1),0))*IF(1+'Options and results'!$O$21*(CK56-1)&gt;0,1+'Options and results'!$O$21*(CK56-1),0)</f>
        <v>0</v>
      </c>
      <c r="CX56" s="1442">
        <f>IF(CN56&lt;=0,0,IF(CK56&lt;='Options and results'!$W$20,IF(CM56&gt;0,VLOOKUP(CL56,Arablefinance!$Z$6:$AH$105,Arablefinance!$AH$2,FALSE)*CM56*CN56,VLOOKUP(CL56,Arablefinance!$E$6:$W$126,Arablefinance!$V$2,FALSE)*CN56),0)*IF(CK56&gt;='Options and results'!$J$25,'Options and results'!$J$24,1))</f>
        <v>0</v>
      </c>
      <c r="CY56" s="1013">
        <f t="shared" si="148"/>
        <v>0</v>
      </c>
      <c r="CZ56" s="1353">
        <f t="shared" si="149"/>
        <v>0</v>
      </c>
      <c r="DA56" s="1013">
        <f>IF($CK56&lt;='Options and results'!$W$20,SUM($CQ$8:CQ56),0)</f>
        <v>0</v>
      </c>
      <c r="DB56" s="1441">
        <f>IF($CK56&lt;='Options and results'!$W$20,SUM($CR$8:CR56),0)</f>
        <v>0</v>
      </c>
      <c r="DC56" s="1441">
        <f>IF($CK56&lt;='Options and results'!$W$20,SUM($CY$8:CY56),0)</f>
        <v>0</v>
      </c>
      <c r="DD56" s="1189">
        <f>IF(CK56&lt;='Options and results'!$W$20,DA56+DB56-DC56,0)</f>
        <v>0</v>
      </c>
      <c r="DE56" s="401"/>
      <c r="DF56" s="895">
        <f t="shared" si="150"/>
        <v>49</v>
      </c>
      <c r="DG56" s="173"/>
      <c r="DH56" s="1422"/>
      <c r="DI56" s="1427">
        <f>IF(DF56&lt;='Options and results'!$M$61,'Options and results'!$M$60,0)</f>
        <v>0</v>
      </c>
      <c r="DJ56" s="740">
        <f t="shared" si="151"/>
        <v>0</v>
      </c>
      <c r="DK56" s="740">
        <f t="shared" si="152"/>
        <v>0</v>
      </c>
      <c r="DL56" s="1428">
        <f t="shared" si="153"/>
        <v>0</v>
      </c>
      <c r="DM56" s="1429">
        <f>IF($DG$8=0,0,HLOOKUP(CONCATENATE('Options and results'!$C$54," ",Agroforestrysystem!$J$12),Agroforestrysystem!$11:$74,DF56+3,FALSE))/100</f>
        <v>0</v>
      </c>
      <c r="DN56" s="740">
        <f>IF($DG$8=0,0,IF(HLOOKUP(CONCATENATE('Options and results'!$C$54," ",Agroforestrysystem!$H$12),Agroforestrysystem!$11:$74,DF56+4,FALSE)&lt;DL56,HLOOKUP(CONCATENATE('Options and results'!$C$54," ",Agroforestrysystem!$H$12),Agroforestrysystem!$11:$74,DF56+4,FALSE),0))</f>
        <v>0</v>
      </c>
      <c r="DO56" s="1027">
        <f>IF($DG$8=0,0,IF(HLOOKUP(CONCATENATE('Options and results'!$C$54," ",Agroforestrysystem!$H$12),Agroforestrysystem!$11:$74,DF56+4,FALSE)&gt;=DL56,DL56,0))</f>
        <v>0</v>
      </c>
      <c r="DP56" s="1430">
        <f>IF($DG$8=0,0,HLOOKUP(CONCATENATE('Options and results'!$C$54," ",Agroforestrysystem!$I$12),Agroforestrysystem!$11:$74,DF56+4,FALSE))</f>
        <v>0</v>
      </c>
      <c r="DQ56" s="1038"/>
      <c r="DR56" s="1430">
        <f>IF($DG$8=0,0,IF(DF56&gt;'Options and results'!$W$20,0,)+IF(DF56=1,'Options and results'!$M$64)+IF('Options and results'!$M$67="yes",IF(AND(DR55+'Options and results'!$M$65&lt;=$DQ$8,DR55+'Options and results'!$M$65+IF(DF56=1,'Options and results'!$M$64,0)&lt;='Options and results'!$M$66*DP56),DR55+'Options and results'!$M$65,DR55),(HLOOKUP(CONCATENATE('Options and results'!$C$54," ",Agroforestrysystem!$K$12),Agroforestrysystem!$11:$74,DF56+4,FALSE)-IF(DF56=1,'Options and results'!$M$64))))</f>
        <v>0</v>
      </c>
      <c r="DS56" s="1027">
        <f>IF(OR($DG$8=0,DL56=0),0,HLOOKUP(CONCATENATE('Options and results'!$C$54," ",Agroforestrysystem!$L$12),Agroforestrysystem!$11:$74,DF56+4,FALSE)*IF(DF56&gt;='Options and results'!$K$19,'Options and results'!$K$18,1))</f>
        <v>0</v>
      </c>
      <c r="DT56" s="1431">
        <f t="shared" si="154"/>
        <v>0</v>
      </c>
      <c r="DU56" s="889">
        <f t="shared" si="155"/>
        <v>0</v>
      </c>
      <c r="DV56" s="1027">
        <f>IF($DG$8=0,0,(HLOOKUP(CONCATENATE('Options and results'!$C$54," ",Agroforestrysystem!$M$12),Agroforestrysystem!$11:$74,DF56+4,FALSE))*IF(DF56&gt;='Options and results'!$K$19,'Options and results'!$K$18,1))-DW56</f>
        <v>0</v>
      </c>
      <c r="DW56" s="303">
        <f>IF($DG$8=0,0,(HLOOKUP(CONCATENATE('Options and results'!$C$54," ",Agroforestrysystem!$N$12),Agroforestrysystem!$11:$74,DF56+4,FALSE))*IF(DF56&gt;='Options and results'!$K$19,'Options and results'!$K$18,1))</f>
        <v>0</v>
      </c>
      <c r="DX56" s="303">
        <f>IF($DG$8=0,0,HLOOKUP(CONCATENATE('Options and results'!$C$54," ",Agroforestrysystem!$O$12),Agroforestrysystem!$11:$74,DF56+4,FALSE)*IF(DF56&gt;='Options and results'!$K$19,'Options and results'!$K$18,1))</f>
        <v>0</v>
      </c>
      <c r="DY56" s="1192">
        <f>IF(DT56&gt;0,HLOOKUP(DT56,Treevalue!$I$4:$BC$34,'Options and results'!$C$66+1),0)*IF(DF56&gt;='Options and results'!$K$21,'Options and results'!$K$20,1)*IF(1+'Options and results'!$Q$20*(DF56-1)&gt;0,1+'Options and results'!$Q$20*(DF56-1),0)</f>
        <v>0</v>
      </c>
      <c r="DZ56" s="1027">
        <f t="shared" si="156"/>
        <v>0</v>
      </c>
      <c r="EA56" s="1027">
        <f t="shared" si="125"/>
        <v>0</v>
      </c>
      <c r="EB56" s="1027">
        <f>(IF('Options and results'!$C$66&gt;0,IF(DF56&lt;='Options and results'!$W$20,VLOOKUP('Options and results'!$C$66,Treevalue!$A$4:$F$34,5,FALSE),0),0)*DV56)*IF(DF56&gt;='Options and results'!$K$21,'Options and results'!$K$20,1)*IF(1+'Options and results'!$Q$20*(DF56-1)&gt;0,1+'Options and results'!$Q$20*(DF56-1),0)</f>
        <v>0</v>
      </c>
      <c r="EC56" s="740">
        <f>(IF('Options and results'!$C$66&gt;0,IF(DF56&lt;='Options and results'!$W$20,VLOOKUP('Options and results'!$C$66,Treevalue!$A$4:$F$34,5,FALSE),0),0)*DW56)*IF(DF56&gt;='Options and results'!$K$21,'Options and results'!$K$20,1)*IF(1+'Options and results'!$Q$20*(DF56-1)&gt;0,1+'Options and results'!$Q$20*(DF56-1),0)</f>
        <v>0</v>
      </c>
      <c r="ED56" s="889">
        <f>(IF('Options and results'!$C$66&gt;0,IF(DF56&lt;='Options and results'!$W$20,VLOOKUP('Options and results'!$C$66,Treevalue!$A$4:$F$34,6,FALSE),0),0)*DX56)*IF(DF56&gt;='Options and results'!$K$21,'Options and results'!$K$20,1)*IF(1+'Options and results'!$Q$20*(DF56-1)&gt;0,1+'Options and results'!$Q$20*(DF56-1),0)</f>
        <v>0</v>
      </c>
      <c r="EE56" s="740">
        <f>IF(DF56&lt;='Options and results'!$W$20,IF(DL56&lt;=0,0,IF('Options and results'!$C$70="cost",(IF(DF56&lt;='Options and results'!$C$71,FK56*SUM('Options and results'!$C$72:$C$73),0)),IF('Options and results'!$C$68&gt;0,(IF(VLOOKUP('Options and results'!$C$69,Treegrant!$B$6:$L$42,Treegrant!$C$2,FALSE)=DF56,VLOOKUP('Options and results'!$C$69,Treegrant!$B$6:$L$42,Treegrant!$D$2,FALSE),0)+IF(VLOOKUP('Options and results'!$C$69,Treegrant!$B$6:$L$42,Treegrant!$E$2,FALSE)=DF56,VLOOKUP('Options and results'!$C$69,Treegrant!$B$6:$L$42,Treegrant!$F$2,FALSE),0)+IF(VLOOKUP('Options and results'!$C$69,Treegrant!$B$6:$L$42,Treegrant!$G$2,FALSE)=DF56,VLOOKUP('Options and results'!$C$69,Treegrant!$B$6:$L$42,Treegrant!$H$2,FALSE)))*IF('Options and results'!$C$70="area",Unit!C57,'Options and results'!$C$70),0))*IF(DF56&gt;='Options and results'!$K$23,'Options and results'!$K$22,1)),0)*IF(1+'Options and results'!$Q$23*(DF56-1)&gt;0,1+'Options and results'!$Q$23*(DF56-1),0)</f>
        <v>0</v>
      </c>
      <c r="EF56" s="740">
        <f>IF($DG$8=0,0,IF(DF56&lt;='Options and results'!$W$20,IF(DL56&lt;=0,0,IF('Options and results'!$C$68&gt;0,IF(AND(VLOOKUP('Options and results'!$C$69,Treegrant!$B$6:$L$42,Treegrant!$J$2,FALSE)&lt;=DF56,VLOOKUP('Options and results'!$C$69,Treegrant!$B$6:$L$42,Treegrant!$K$2,FALSE)&gt;=DF56),(VLOOKUP('Options and results'!$C$69,Treegrant!$B$6:$L$42,Treegrant!$L$2,FALSE)),0)*IF('Options and results'!$C$74="area",Unit!C57,'Options and results'!$C$74))*IF(DF56&gt;='Options and results'!$K$23,'Options and results'!$K$22,1)),0))*IF(1+'Options and results'!$Q$23*(DF56-1)&gt;0,1+'Options and results'!$Q$23*(DF56-1),0)</f>
        <v>0</v>
      </c>
      <c r="EG56" s="1034">
        <f>IF($DG$8=0,0,IF(DF56&lt;='Options and results'!$W$20,IF(DL56&lt;=0,0,IF('Options and results'!$C$68&gt;0,((IF(AND(VLOOKUP('Options and results'!$C$69,Treegrant!$B$6:$O$42,Treegrant!$M$2,FALSE)&lt;=DF56,VLOOKUP('Options and results'!$C$69,Treegrant!$B$6:$O$42,Treegrant!$N$2,FALSE)&gt;=DF56),(VLOOKUP('Options and results'!$C$69,Treegrant!$B$6:$O$42,Treegrant!$O$2,FALSE)),0)*IF('Options and results'!$C$75="area",Unit!C57,'Options and results'!$C$75))+(IF(AND(VLOOKUP('Options and results'!$C$69,Treegrant!$B$6:$R$42,Treegrant!$P$2,FALSE)&lt;=DF56,VLOOKUP('Options and results'!$C$69,Treegrant!$B$6:$R$42,Treegrant!$Q$2,FALSE)&gt;=DF56),(VLOOKUP('Options and results'!$C$69,Treegrant!$B$6:$R$42,Treegrant!$R$2,FALSE)),0))*IF('Options and results'!$C$76="area",Unit!C57,'Options and results'!$C$76)))*IF(DF56&gt;='Options and results'!$K$23,'Options and results'!$K$22,1)),0))*IF(1+'Options and results'!$Q$23*(DF56-1)&gt;0,1+'Options and results'!$Q$23*(DF56-1),0)</f>
        <v>0</v>
      </c>
      <c r="EH56" s="1041"/>
      <c r="EI56" s="1042"/>
      <c r="EJ56" s="1419">
        <f>IF($DH$8+DK56&lt;1,0,IF(DF56=1,VLOOKUP($DG$8,Treecost!$B$6:$AH$49,Treecost!$E$2,FALSE),0)*IF(DF56&gt;='Options and results'!$K$25,'Options and results'!$K$24,1))</f>
        <v>0</v>
      </c>
      <c r="EK56" s="889">
        <f>IF($DH$8+DK56&lt;1,0,IF(DF56=1,VLOOKUP($DG$8,Treecost!$B$6:$AH$49,Treecost!$F$2,FALSE),0)*IF(DF56&gt;='Options and results'!$K$25,'Options and results'!$K$24,1))</f>
        <v>0</v>
      </c>
      <c r="EL56" s="889">
        <f>IF($DH$8+DK56&lt;1,0,IF(DF56=1,VLOOKUP($DG$8,Treecost!$B$6:$AH$49,Treecost!$G$2,FALSE),0)*IF(DF56&gt;='Options and results'!$K$25,'Options and results'!$K$24,1))</f>
        <v>0</v>
      </c>
      <c r="EM56" s="889">
        <f>IF($DG$8=0,0,IF(DF56&lt;='Options and results'!$W$20,((VLOOKUP($DG$8,Treecost!$B$6:$AH$49,Treecost!$H$2,FALSE)*(DH56+DK56))/60)*IF(DF56&gt;='Options and results'!$K$25,'Options and results'!$K$24,1),0))</f>
        <v>0</v>
      </c>
      <c r="EN56" s="889">
        <f>IF($DG$8=0,0,IF(DF56&lt;='Options and results'!$W$20,(((VLOOKUP($DG$8,Treecost!$B$6:$AH$49,Treecost!$I$2,FALSE))*(DH56+DK56))/60)*IF(DF56&gt;='Options and results'!$K$25,'Options and results'!$K$24,1),0))</f>
        <v>0</v>
      </c>
      <c r="EO56" s="889">
        <f>IF($DG$8=0,0,IF(DF56&lt;='Options and results'!$W$20,(((VLOOKUP($DG$8,Treecost!$B$6:$AH$49,Treecost!$J$2,FALSE))/60)*(DH56+DK56))*IF(DF56&gt;='Options and results'!$K$25,'Options and results'!$K$24,1),0))</f>
        <v>0</v>
      </c>
      <c r="EP56" s="1019">
        <f>IF($DG$8=0,0,IF(DF56&lt;='Options and results'!$W$20,(((VLOOKUP($DG$8,Treecost!$B$6:$AH$49,Treecost!$C$2,FALSE)+VLOOKUP($DG$8,Treecost!$B$6:$AH$49,Treecost!$D$2,FALSE))*(DH56+DK56)*IF(1+'Options and results'!$Q$22*(DF56-1)&gt;0,1+'Options and results'!$Q$22*(DF56-1),0))+(EJ56*$EI$8+EK56*$EI$9+EL56*$EI$10+EM56*$EI$11+EN56*$EI$12+EO56*$EI$13)*IF(1+'Options and results'!$Q$21*(DF56-1)&gt;0,1+'Options and results'!$Q$21*(DF56-1),0))*IF(DF56&gt;='Options and results'!$K$27,'Options and results'!$K$26,1),0))</f>
        <v>0</v>
      </c>
      <c r="EQ56" s="740">
        <f>IF($DG$8=0,0,IF(DF56&lt;='Options and results'!$W$20,IF(AND(VLOOKUP($DG$8,Treecost!$B$6:$AH$49,Treecost!$K$2,FALSE)&lt;=DF56,DF56&lt;=(VLOOKUP($DG$8,Treecost!$B$6:$AH$49,Treecost!$L$2,FALSE))),VLOOKUP($DG$8,Treecost!$B$6:$AH$49,Treecost!$M$2,FALSE)*DL56/60,0)*IF(DF56&gt;='Options and results'!$K$25,'Options and results'!$K$24,1),0))</f>
        <v>0</v>
      </c>
      <c r="ER56" s="1019">
        <f>IF(EQ56&gt;0,(VLOOKUP($DG$8,Treecost!$B$6:$AH$49,Treecost!$N$2,FALSE)*DL56*IF(1+'Options and results'!$Q$22*(DF56-1)&gt;0,1+'Options and results'!$Q$22*(DF56-1),0)+EQ56*$EI$14*IF(1+'Options and results'!$Q$21*(DF56-1)&gt;0,1+'Options and results'!$Q$21*(DF56-1),0)),0)*IF(DF56&gt;='Options and results'!$K$27,'Options and results'!$K$26,1)</f>
        <v>0</v>
      </c>
      <c r="ES56" s="889">
        <f>IF(DF56&lt;='Options and results'!$W$20,IF(AND(DR56-DR55&gt;0,DR56&gt;'Options and results'!$M$64),(DL56-DN56)*(VLOOKUP($DG$8,Treecost!$B$6:$AH$49,Treecost!$Y$2,FALSE)+(VLOOKUP($DG$8,Treecost!$B$6:$AH$49,Treecost!$AA$2,FALSE)-VLOOKUP($DG$8,Treecost!$B$6:$AH$49,Treecost!$Y$2,FALSE))/(VLOOKUP($DG$8,Treecost!$B$6:$AH$49,Treecost!$Z$2,FALSE)-VLOOKUP($DG$8,Treecost!$B$6:$AH$49,Treecost!$X$2,FALSE))*(DR56-VLOOKUP($DG$8,Treecost!$B$6:$AH$49,Treecost!$X$2,FALSE)))/60,0)*IF(DF56&gt;='Options and results'!$K$25,'Options and results'!$K$24,1),0)</f>
        <v>0</v>
      </c>
      <c r="ET56" s="889">
        <f>IF(DF56&lt;='Options and results'!$W$20,IF(ES56&gt;0,VLOOKUP($DG$8,Treecost!$B$6:$AH$49,Treecost!$AB$2,FALSE)/60*DL56,0)*IF(DF56&gt;='Options and results'!$K$25,'Options and results'!$K$24,1),0)*((ES56-(MIN($ES$8:$ES$67)))/((MAX($ES$8:$ES$67))-(MIN($ES$8:$ES$67))))</f>
        <v>0</v>
      </c>
      <c r="EU56" s="740">
        <f>IF(ES56&gt;0,(ES56*$EI$15+ET56*$EI$19)*IF(1+'Options and results'!$Q$21*(DF56-1)&gt;0,1+'Options and results'!$Q$21*(DF56-1),0),0)*IF(DF56&gt;='Options and results'!$K$27,'Options and results'!$K$26,1)</f>
        <v>0</v>
      </c>
      <c r="EV56" s="891">
        <f>IF($DG$8=0,0,IF(DF56&lt;='Options and results'!$W$20,IF(AND(VLOOKUP($DG$8,Treecost!$B$2:$AH$49,Treecost!$O$2,FALSE)=DF56,DF56&lt;=IF(AND(Optimisation!$B$3="Yes",Optimisation!$B$4=1),Optimisation!$B$9)),VLOOKUP($DG$8,Treecost!$B$2:$AH$49,Treecost!$P$2,FALSE)*(1-CN56),0)*IF(DF56&gt;='Options and results'!$K$25,'Options and results'!$K$24,1),0))</f>
        <v>0</v>
      </c>
      <c r="EW56" s="889">
        <f>IF($DG$8=0,0,IF(DF56&lt;='Options and results'!$W$20,IF(AND(DF56&gt;VLOOKUP($DG$8,Treecost!$B$2:$AH$49,Treecost!$O$2,FALSE),DF56&lt;=IF(AND(Optimisation!$B$3="Yes",Optimisation!$B$4=1),Optimisation!$B$9,VLOOKUP($DG$8,Treecost!$B$2:$AH$49,Treecost!$R$2,FALSE))),VLOOKUP($DG$8,Treecost!$B$2:$AH$49,Treecost!$S$2,FALSE)*(1-CN56),0)*IF(DF56&gt;='Options and results'!$K$25,'Options and results'!$K$24,1),0))</f>
        <v>0</v>
      </c>
      <c r="EX56" s="740">
        <f>IF($DG$8=0,0,IF(DF56&lt;='Options and results'!$W$20,(IF(AND(VLOOKUP($DG$8,Treecost!$B$2:$AH$49,Treecost!$O$2,FALSE)=DF56,DF56&lt;=IF(AND(Optimisation!$B$3="Yes",Optimisation!$B$4=1),Optimisation!$B$9)),VLOOKUP($DG$8,Treecost!$B$2:$AH$49,Treecost!$Q$2,FALSE),0)*(1-CN56)+IF(AND(DF56&gt;VLOOKUP($DG$8,Treecost!$B$2:$AH$49,Treecost!$O$2,FALSE),DF56&lt;=IF(AND(Optimisation!$B$3="Yes",Optimisation!$B$4=1),Optimisation!$B$9,VLOOKUP($DG$8,Treecost!$B$2:$AH$49,Treecost!$R$2,FALSE))),VLOOKUP($DG$8,Treecost!$B$2:$AH$49,Treecost!$T$2,FALSE),0)*(1-CN56)+(EV56*$EI$16+EW56*$EI$17))*IF(DF56&gt;='Options and results'!$K$27,'Options and results'!$K$26,1),0))*IF(1+'Options and results'!$Q$21*(DF56-1)&gt;0,1+'Options and results'!$Q$21*(DF56-1),0)</f>
        <v>0</v>
      </c>
      <c r="EY56" s="894">
        <f>IF($DG$8=0,0,IF(DF56&lt;='Options and results'!$W$20,IF(AND(DF56&gt;=VLOOKUP($DG$8,Treecost!$B$2:$W$49,Treecost!$U$2,FALSE),DF56&lt;=VLOOKUP($DG$8,Treecost!$B$2:$W$49,Treecost!$V$2,FALSE)),(DL56*VLOOKUP($DG$8,Treecost!$B$2:$W$49,Treecost!$W$2,FALSE)/60),0)*IF(DF56&gt;='Options and results'!$K$25,'Options and results'!$K$24,1),0))</f>
        <v>0</v>
      </c>
      <c r="EZ56" s="740">
        <f>EY56*$EI$18*IF(DF56&gt;='Options and results'!$K$27,'Options and results'!$K$26,1)*IF(1+'Options and results'!$Q$21*(DF56-1)&gt;0,1+'Options and results'!$Q$21*(DF56-1),0)</f>
        <v>0</v>
      </c>
      <c r="FA56" s="1025">
        <f>IF(DF56&lt;='Options and results'!$W$20,IF(DL56&lt;=0,0,VLOOKUP($DG$8,Treecost!$B$6:$AH$49,Treecost!$AC$2,FALSE)+VLOOKUP($DG$8,Treecost!$B$6:$AH$49,Treecost!$AD$2,FALSE)+IF(AND(DF56&gt;=VLOOKUP($DG$8,Treecost!$B$2:$AK$49,Treecost!$AI$2,FALSE),DF56&lt;=VLOOKUP($DG$8,Treecost!$B$2:$AK$49,Treecost!$AJ$2,FALSE)),VLOOKUP($DG$8,Treecost!$B$2:$AK$49,Treecost!$AK$2,FALSE)*(1-CN56),0))*IF(DF56&gt;='Options and results'!$K$27,'Options and results'!$K$26,1),0)*IF(1+'Options and results'!$Q$22*(DF56-1)&gt;0,1+'Options and results'!$Q$22*(DF56-1),0)</f>
        <v>0</v>
      </c>
      <c r="FB56" s="894">
        <f>IF(DF56&lt;='Options and results'!$W$20,IF(DN56&gt;0,VLOOKUP($DG$8,Treecost!$B$6:$AH$49,Treecost!$AE$2,FALSE)/60*DN56,0)*IF(DF56&gt;='Options and results'!$K$25,'Options and results'!$K$24,1),0)</f>
        <v>0</v>
      </c>
      <c r="FC56" s="740">
        <f>IF(DF56&lt;='Options and results'!$W$20,IF(DN56&gt;0,VLOOKUP($DG$8,Treecost!$B$6:$AH$49,Treecost!$AF$2,FALSE)/60*DN56,0)*IF(DF56&gt;='Options and results'!$K$25,'Options and results'!$K$24,1),0)</f>
        <v>0</v>
      </c>
      <c r="FD56" s="740">
        <f>(FB56*$EI$20+FC56*$EI$21)*IF(DF56&gt;='Options and results'!$K$27,'Options and results'!$K$26,1)*IF(1+'Options and results'!$Q$21*(DF56-1)&gt;0,1+'Options and results'!$Q$21*(DF56-1),0)</f>
        <v>0</v>
      </c>
      <c r="FE56" s="894">
        <f>IF(DF56&lt;='Options and results'!$W$20,IF(DO56&gt;0,(VLOOKUP($DG$8,Treecost!$B$6:$AH$49,Treecost!$AG$2,FALSE)/60*DO56)*IF(DF56&gt;='Options and results'!$K$25,'Options and results'!$K$24,1),0),0)</f>
        <v>0</v>
      </c>
      <c r="FF56" s="740">
        <f>IF(DF56&lt;='Options and results'!$W$20,IF(DO56&gt;0,(VLOOKUP($DG$8,Treecost!$B$6:$AH$49,Treecost!$AH$2,FALSE)/60*DO56)*IF(DF56&gt;='Options and results'!$K$25,'Options and results'!$K$24,1),0),0)</f>
        <v>0</v>
      </c>
      <c r="FG56" s="740">
        <f>(FE56*$EI$22+FF56*$EI$23)*IF(DF56&gt;='Options and results'!$K$27,'Options and results'!$K$26,1)*IF(1+'Options and results'!$Q$21*(DF56-1)&gt;0,1+'Options and results'!$Q$21*(DF56-1),0)</f>
        <v>0</v>
      </c>
      <c r="FH56" s="894">
        <f t="shared" si="157"/>
        <v>0</v>
      </c>
      <c r="FI56" s="1027">
        <f t="shared" si="158"/>
        <v>0</v>
      </c>
      <c r="FJ56" s="1027">
        <f t="shared" si="159"/>
        <v>0</v>
      </c>
      <c r="FK56" s="1027">
        <f t="shared" si="160"/>
        <v>0</v>
      </c>
      <c r="FL56" s="1027">
        <f t="shared" si="190"/>
        <v>0</v>
      </c>
      <c r="FM56" s="1027">
        <f>IF($DF56&lt;='Options and results'!$W$20,SUM(FI$8:$FI56),0)</f>
        <v>0</v>
      </c>
      <c r="FN56" s="1027">
        <f>IF($DF56&lt;='Options and results'!$W$20,SUM($FJ$8:FJ56),0)</f>
        <v>0</v>
      </c>
      <c r="FO56" s="1027">
        <f>IF($DF56&lt;='Options and results'!$W$20,SUM($FK$8:FK56),0)</f>
        <v>0</v>
      </c>
      <c r="FP56" s="1027">
        <f>IF($DF56&lt;='Options and results'!$W$20,FM56+FN56-FO56,0)</f>
        <v>0</v>
      </c>
      <c r="FQ56" s="1027">
        <f t="shared" si="162"/>
        <v>0</v>
      </c>
      <c r="FR56" s="1027">
        <f t="shared" si="163"/>
        <v>0</v>
      </c>
      <c r="FS56" s="1027">
        <f t="shared" si="164"/>
        <v>0</v>
      </c>
      <c r="FT56" s="1189">
        <f>IF(DF56&lt;='Options and results'!$W$20,FP56+DZ56,0)</f>
        <v>0</v>
      </c>
      <c r="FU56" s="401"/>
      <c r="FV56" s="895">
        <f t="shared" si="165"/>
        <v>49</v>
      </c>
      <c r="FW56" s="894">
        <f>G56/(1+'Options and results'!$W$33)^(FV56-1)</f>
        <v>0</v>
      </c>
      <c r="FX56" s="740">
        <f>(AP56+AR56+AS56)/(1+'Options and results'!$W$33)^(FV56-1)</f>
        <v>0</v>
      </c>
      <c r="FY56" s="740">
        <f>CQ56/(1+'Options and results'!$W$33)^(FV56-1)</f>
        <v>0</v>
      </c>
      <c r="FZ56" s="740">
        <f>(EA56+EC56+ED56)/(1+'Options and results'!$W$33)^(FV56-1)</f>
        <v>0</v>
      </c>
      <c r="GA56" s="1019">
        <f t="shared" si="180"/>
        <v>0</v>
      </c>
      <c r="GB56" s="1026">
        <f>(AO56+AQ56)/(1+'Options and results'!$W$33)^(FV56-1)+FX56</f>
        <v>0</v>
      </c>
      <c r="GC56" s="1027">
        <f>IF(FV56&gt;'Options and results'!$W$27,0,GB56-GB55)</f>
        <v>0</v>
      </c>
      <c r="GD56" s="1027">
        <f>(DZ56+EB56)/(1+'Options and results'!$W$33)^(FV56-1)+FZ56</f>
        <v>0</v>
      </c>
      <c r="GE56" s="1379">
        <f>IF(FV56&gt;'Options and results'!$W$27,0,GD56-GD55)</f>
        <v>0</v>
      </c>
      <c r="GF56" s="894">
        <f>IF(FV56&lt;='Options and results'!$W$20,SUM(FW$8:FW56),0)</f>
        <v>0</v>
      </c>
      <c r="GG56" s="740">
        <f>IF(FV56&lt;='Options and results'!$W$20,SUM(FX$8:FX56), 0)</f>
        <v>0</v>
      </c>
      <c r="GH56" s="740">
        <f>IF(FV56&lt;='Options and results'!$W$20,SUM(FY$8:FY56),0)</f>
        <v>0</v>
      </c>
      <c r="GI56" s="740">
        <f>IF(FV56&lt;='Options and results'!$W$20,SUM(FZ$8:FZ56),0)</f>
        <v>0</v>
      </c>
      <c r="GJ56" s="1019">
        <f t="shared" si="166"/>
        <v>0</v>
      </c>
      <c r="GK56" s="894">
        <f>IF(FV56&gt;'Options and results'!$W$27,0,GG56+SUM(GC$8:GC56)-FX56)</f>
        <v>0</v>
      </c>
      <c r="GL56" s="740">
        <f>IF(FV56&lt;='Options and results'!$W$20,SUM(GD$8:GD56),0)</f>
        <v>0</v>
      </c>
      <c r="GM56" s="1034">
        <f t="shared" si="167"/>
        <v>0</v>
      </c>
      <c r="GN56" s="401"/>
      <c r="GO56" s="895">
        <f t="shared" si="168"/>
        <v>49</v>
      </c>
      <c r="GP56" s="894">
        <f>H56/(1+'Options and results'!$W$33)^(GO56-1)</f>
        <v>0</v>
      </c>
      <c r="GQ56" s="740">
        <f>SUM(AT56:AV56)/(1+'Options and results'!$W$33)^(GO56-1)</f>
        <v>0</v>
      </c>
      <c r="GR56" s="740">
        <f>CR56/(1+'Options and results'!$W$33)^(GO56-1)</f>
        <v>0</v>
      </c>
      <c r="GS56" s="740">
        <f>SUM(EE56:EG56)/(1+'Options and results'!$W$33)^(GO56-1)</f>
        <v>0</v>
      </c>
      <c r="GT56" s="1019">
        <f t="shared" si="181"/>
        <v>0</v>
      </c>
      <c r="GU56" s="894">
        <f>IF(GO56&lt;='Options and results'!$W$20,SUM(GP$8:GP56),0)</f>
        <v>0</v>
      </c>
      <c r="GV56" s="740">
        <f>IF(GO56&lt;='Options and results'!$W$20,SUM(GQ$8:GQ56),0)</f>
        <v>0</v>
      </c>
      <c r="GW56" s="740">
        <f>IF(GO56&lt;='Options and results'!$W$20,SUM(GR$8:GR56),0)</f>
        <v>0</v>
      </c>
      <c r="GX56" s="740">
        <f>IF(GO56&lt;='Options and results'!$W$20,SUM(GS$8:GS56),0)</f>
        <v>0</v>
      </c>
      <c r="GY56" s="1034">
        <f>IF(GO56&lt;='Options and results'!$W$20,SUM(GT$8:GT56),0)</f>
        <v>0</v>
      </c>
      <c r="GZ56" s="401"/>
      <c r="HA56" s="895">
        <f t="shared" si="169"/>
        <v>49</v>
      </c>
      <c r="HB56" s="1026">
        <f>(J56+L56+(M56*N56))/(1+'Options and results'!$W$33)^(HA56-1)</f>
        <v>0</v>
      </c>
      <c r="HC56" s="740">
        <f>BZ56/(1+'Options and results'!$W$33)^(HA56-1)</f>
        <v>0</v>
      </c>
      <c r="HD56" s="1027">
        <f>(CT56+CV56+(CW56*CX56))/(1+'Options and results'!$W$33)^(HA56-1)</f>
        <v>0</v>
      </c>
      <c r="HE56" s="740">
        <f>FK56/(1+'Options and results'!$W$33)^(HA56-1)</f>
        <v>0</v>
      </c>
      <c r="HF56" s="1019">
        <f t="shared" si="182"/>
        <v>0</v>
      </c>
      <c r="HG56" s="894">
        <f>IF(HA56&lt;='Options and results'!$W$20,SUM(HB$8:HB56),0)</f>
        <v>0</v>
      </c>
      <c r="HH56" s="740">
        <f>IF(HA56&lt;='Options and results'!$W$20,SUM(HC$8:HC56),0)</f>
        <v>0</v>
      </c>
      <c r="HI56" s="740">
        <f>IF(HA56&lt;='Options and results'!$W$20,SUM(HD$8:HD56),0)</f>
        <v>0</v>
      </c>
      <c r="HJ56" s="740">
        <f>IF(HA56&lt;='Options and results'!$W$20,SUM(HE$8:HE56),0)</f>
        <v>0</v>
      </c>
      <c r="HK56" s="1034">
        <f>IF(HA56&lt;='Options and results'!$W$20,SUM(HF$8:HF56),0)</f>
        <v>0</v>
      </c>
      <c r="HL56" s="405"/>
      <c r="HM56" s="895">
        <f t="shared" si="189"/>
        <v>49</v>
      </c>
      <c r="HN56" s="1026">
        <f t="shared" si="171"/>
        <v>0</v>
      </c>
      <c r="HO56" s="1027">
        <f t="shared" si="172"/>
        <v>0</v>
      </c>
      <c r="HP56" s="1027">
        <f t="shared" si="173"/>
        <v>0</v>
      </c>
      <c r="HQ56" s="1027">
        <f t="shared" si="174"/>
        <v>0</v>
      </c>
      <c r="HR56" s="1027">
        <f t="shared" si="175"/>
        <v>0</v>
      </c>
      <c r="HS56" s="1379">
        <f t="shared" si="176"/>
        <v>0</v>
      </c>
      <c r="HT56" s="1026">
        <f>IF($HM56&lt;='Options and results'!$W$20,SUM(HN$8:HN56),0)</f>
        <v>0</v>
      </c>
      <c r="HU56" s="1027">
        <f>IF($HM56&lt;='Options and results'!$W$20,SUM(HO$8:HO56),0)</f>
        <v>0</v>
      </c>
      <c r="HV56" s="1027">
        <f>IF($HM56&lt;='Options and results'!$W$20,SUM(HP$8:HP56),0)</f>
        <v>0</v>
      </c>
      <c r="HW56" s="1027">
        <f>IF($HM56&lt;='Options and results'!$W$20,SUM(HQ$8:HQ56),0)</f>
        <v>0</v>
      </c>
      <c r="HX56" s="1027">
        <f t="shared" si="177"/>
        <v>0</v>
      </c>
      <c r="HY56" s="1027">
        <f>IF($HM56&lt;='Options and results'!$W$20,SUM(HR$8:HR56),0)</f>
        <v>0</v>
      </c>
      <c r="HZ56" s="1027">
        <f>IF($HM56&lt;='Options and results'!$W$20,SUM(HS$8:HS56),0)</f>
        <v>0</v>
      </c>
      <c r="IA56" s="1189">
        <f t="shared" si="178"/>
        <v>0</v>
      </c>
    </row>
    <row r="57" spans="1:235" x14ac:dyDescent="0.25">
      <c r="A57" s="1010">
        <f t="shared" si="126"/>
        <v>50</v>
      </c>
      <c r="B57" s="1011" t="str">
        <f>IF('Options and results'!$C$17="None",0,CONCATENATE('Options and results'!$C$23," ",(HLOOKUP(CONCATENATE('Options and results'!$C$17," ",Arablesystem!$B$11),Arablesystem!$B$10:$ER$72,$A57+3,FALSE))))</f>
        <v xml:space="preserve">UK - Agriculture (BPS: from 2015) </v>
      </c>
      <c r="C57" s="1012">
        <f>IF(HLOOKUP(CONCATENATE('Options and results'!$C$17," ",Arablesystem!$C$11),Arablesystem!$B$10:$ER$72,$A57+3,FALSE)="T",(VLOOKUP(B57,Arablefinance!$Z$6:$AB$105,Arablefinance!$AB$2,FALSE)*E57+VLOOKUP(B57,Arablefinance!$Z$6:$AC$105,Arablefinance!$AC$2,FALSE)*F57)/VLOOKUP(B57,Arablefinance!$Z$6:$AA$105,Arablefinance!$AA$2,FALSE),0)</f>
        <v>0</v>
      </c>
      <c r="D57" s="1012">
        <f>IF(B57=0,0,HLOOKUP(CONCATENATE('Options and results'!$C$17," ",Arablesystem!$D$11),Arablesystem!$B$10:$ER$72,$A57+3,FALSE))</f>
        <v>0</v>
      </c>
      <c r="E57" s="1440">
        <f>IF(B57=0,0,HLOOKUP(CONCATENATE('Options and results'!$C$17," ",Arablesystem!$E$11),Arablesystem!$B$10:$ER$72,$A57+3,FALSE)*IF(A57&gt;='Options and results'!$H$19,'Options and results'!$H$18,1))</f>
        <v>0</v>
      </c>
      <c r="F57" s="1440">
        <f>IF(B57=0,0,HLOOKUP(CONCATENATE('Options and results'!$C$17," ",Arablesystem!$F$11),Arablesystem!$B$10:$ER$72,$A57+3,FALSE)*IF(A57&gt;='Options and results'!$H$19,'Options and results'!$H$18,1))</f>
        <v>0</v>
      </c>
      <c r="G57" s="1013">
        <f>IF(D57&lt;=0,0,IF(A57&lt;='Options and results'!$W$20,IF(C57&gt;0,VLOOKUP(B57,Arablefinance!$Z$6:$AE$105,Arablefinance!$AD$2,FALSE)*C57*D57,((VLOOKUP(B57,Arablefinance!$E$6:$G$126,Arablefinance!$F$2,FALSE)*(E57*D57)+VLOOKUP(B57,Arablefinance!$E$6:$G$126,Arablefinance!$G$2,FALSE)*(F57*D57)))),0)*IF(A57&gt;='Options and results'!$H$21,'Options and results'!$H$20,1))*IF(1+'Options and results'!$O$20*(A57-1)&gt;0,1+'Options and results'!$O$20*(A57-1),0)</f>
        <v>0</v>
      </c>
      <c r="H57" s="1441">
        <f>IF(D57&lt;=0,0,IF(A57&lt;='Options and results'!$W$20,IF(AND(C57&gt;0,VLOOKUP(B57,Arablefinance!$Z$6:$AI$105,Arablefinance!$AI$2,FALSE)=2),VLOOKUP(B57,Arablefinance!$Z$6:$AE$105,Arablefinance!$AE$2,FALSE)*C57*D57,(VLOOKUP(B57,Arablefinance!$E$6:$H$126,Arablefinance!$H$2,FALSE)*D57))*IF(A57&gt;='Options and results'!$H$23,'Options and results'!$H$22,1),0)*IF(AND(1+'Options and results'!$O$23*(A57-1)&gt;0,1+'Options and results'!$O$23*(A57-1)&gt;'Options and results'!$S$24),1+'Options and results'!$O$23*(A57-1),'Options and results'!$S$24))</f>
        <v>0</v>
      </c>
      <c r="I57" s="1441">
        <f t="shared" si="127"/>
        <v>0</v>
      </c>
      <c r="J57" s="1441">
        <f>IF(D57&lt;=0,0,IF(A57&lt;='Options and results'!$W$20,IF(C57&gt;0,VLOOKUP(B57,Arablefinance!$Z$6:$AF$105,Arablefinance!$AF$2,FALSE)*C57*D57,(VLOOKUP(B57,Arablefinance!$E$6:$X$126,Arablefinance!$R$2,FALSE))*D57),0)*IF(A57&gt;='Options and results'!$H$27,'Options and results'!$H$26,1))*IF(1+'Options and results'!$O$22*(A57-1)&gt;0,1+'Options and results'!$O$22*(A57-1),0)</f>
        <v>0</v>
      </c>
      <c r="K57" s="1441">
        <f t="shared" si="128"/>
        <v>0</v>
      </c>
      <c r="L57" s="1441">
        <f>IF(D57&lt;=0,0,IF(A57&lt;='Options and results'!$W$20,IF(C57&gt;0,VLOOKUP(B57,Arablefinance!$Z$6:$AG$105,Arablefinance!$AG$2,FALSE)*C57*D57,VLOOKUP(B57,Arablefinance!$E$6:$X$126,Arablefinance!$X$2,FALSE)*D57),0)*IF(A57&gt;='Options and results'!$H$27,'Options and results'!$H$26,1))*IF(1+'Options and results'!$O$22*(A57-1)&gt;0,1+'Options and results'!$O$22*(A57-1),0)</f>
        <v>0</v>
      </c>
      <c r="M57" s="1442">
        <f>IF(D57&lt;=0,0,IF(A57&lt;='Options and results'!$W$20,'Options and results'!$C$27,0)*IF(A57&gt;='Options and results'!$H$27,'Options and results'!$H$26,1))*IF(1+'Options and results'!$O$21*(A57-1)&gt;0,1+'Options and results'!$O$21*(A57-1),0)</f>
        <v>0</v>
      </c>
      <c r="N57" s="1442">
        <f>IF(D57&lt;=0,0,IF(A57&lt;='Options and results'!$W$20,IF(C57&gt;0,VLOOKUP(B57,Arablefinance!$Z$6:$AH$105,Arablefinance!$AH$2,FALSE)*C57*D57,VLOOKUP(B57,Arablefinance!$E$6:$W$126,Arablefinance!$V$2,FALSE)*D57),0)*IF(A57&gt;='Options and results'!$H$25,'Options and results'!$H$24,1))</f>
        <v>0</v>
      </c>
      <c r="O57" s="1013">
        <f t="shared" si="129"/>
        <v>0</v>
      </c>
      <c r="P57" s="1353">
        <f t="shared" si="130"/>
        <v>0</v>
      </c>
      <c r="Q57" s="1013">
        <f>IF(A57&lt;='Options and results'!$W$20,SUM(G$8:$G57),0)</f>
        <v>0</v>
      </c>
      <c r="R57" s="1441">
        <f>IF($A57&lt;='Options and results'!$W$20,SUM($H$8:H57),0)</f>
        <v>0</v>
      </c>
      <c r="S57" s="1441">
        <f>IF($A57&lt;='Options and results'!$W$20,SUM($O$8:O57),0)</f>
        <v>0</v>
      </c>
      <c r="T57" s="1032">
        <f>IF(A57&lt;='Options and results'!$W$20,Q57+R57-S57,0)</f>
        <v>0</v>
      </c>
      <c r="U57" s="405"/>
      <c r="V57" s="1010">
        <f t="shared" si="131"/>
        <v>50</v>
      </c>
      <c r="W57" s="173"/>
      <c r="X57" s="1036"/>
      <c r="Y57" s="1030">
        <f>IF(V57&lt;='Options and results'!$M$34,'Options and results'!$M$33,0)</f>
        <v>0</v>
      </c>
      <c r="Z57" s="1441">
        <f t="shared" si="132"/>
        <v>0</v>
      </c>
      <c r="AA57" s="1441">
        <f t="shared" si="133"/>
        <v>0</v>
      </c>
      <c r="AB57" s="1428">
        <f t="shared" si="134"/>
        <v>0</v>
      </c>
      <c r="AC57" s="1441">
        <f>IF($W$8=0,0,IF(HLOOKUP(CONCATENATE('Options and results'!$C$32," ",Forestrysystem!$C$8),Forestrysystem!$A$7:$IH$70,V57+4,FALSE)&lt;AB57,HLOOKUP(CONCATENATE('Options and results'!$C$32," ",Forestrysystem!$C$8),Forestrysystem!$A$7:$IH$70,V57+4,FALSE),0))</f>
        <v>0</v>
      </c>
      <c r="AD57" s="1441">
        <f>IF($W$8=0,0,IF(HLOOKUP(CONCATENATE('Options and results'!$C$32," ",Forestrysystem!$C$8),Forestrysystem!$A$7:$IH$70,V57+4,FALSE)&gt;=AB57,AB57,0))</f>
        <v>0</v>
      </c>
      <c r="AE57" s="1440">
        <f>IF($W$8=0,0,HLOOKUP(CONCATENATE('Options and results'!$C$32," ",Forestrysystem!$D$8),Forestrysystem!$A$7:$IH$70,$V57+4,FALSE))</f>
        <v>0</v>
      </c>
      <c r="AF57" s="1037"/>
      <c r="AG57" s="1440">
        <f>IF($W$8=0,0,IF(V57=1,'Options and results'!$M$36,0)+IF('Options and results'!$M$39="yes",IF(AND(AG56+'Options and results'!$M$37&lt;=$AF$8,AG56+'Options and results'!$M$37+IF(V57=1,'Options and results'!$M$36,0)&lt;='Options and results'!$M$38*AE57),AG56+'Options and results'!$M$37,AG56),(HLOOKUP(CONCATENATE('Options and results'!$C$32," ",Forestrysystem!$E$8),Forestrysystem!$A$7:$IH$70,V57+4,FALSE))-IF(V57=1,'Options and results'!$M$36,0)))</f>
        <v>0</v>
      </c>
      <c r="AH57" s="1442">
        <f>IF(OR($W$8=0,AB57&lt;=0),0,(HLOOKUP(CONCATENATE('Options and results'!$C$32," ",Forestrysystem!$F$8),Forestrysystem!$A$7:$IH$70,$V57+4,FALSE)) * IF(V57&gt;='Options and results'!$I$19,'Options and results'!$I$18,1) )</f>
        <v>0</v>
      </c>
      <c r="AI57" s="1452">
        <f t="shared" si="179"/>
        <v>0</v>
      </c>
      <c r="AJ57" s="1442">
        <f t="shared" si="135"/>
        <v>0</v>
      </c>
      <c r="AK57" s="1453">
        <f>IF(OR($W$8=0,AE57&lt;=0),0,(HLOOKUP(CONCATENATE('Options and results'!$C$32," ",Forestrysystem!$G$8),Forestrysystem!$A$7:$IH$70,$V57+4,FALSE)) * IF(Y57&gt;='Options and results'!$I$19,'Options and results'!$I$18,1) )</f>
        <v>0</v>
      </c>
      <c r="AL57" s="1453">
        <f>IF($W$8=0,0,HLOOKUP(CONCATENATE('Options and results'!$C$32," ",Forestrysystem!$H$8),Forestrysystem!$A$7:$IH$70,$V57+4,FALSE)*IF(V57&gt;='Options and results'!$I$19,'Options and results'!$I$18,1))</f>
        <v>0</v>
      </c>
      <c r="AM57" s="1383">
        <f>IF($W$8=0,0,HLOOKUP(CONCATENATE('Options and results'!$C$32," ",Forestrysystem!$I$8),Forestrysystem!$A$7:$IH$70,$V57+4,FALSE)*IF(V57&gt;='Options and results'!$I$19,'Options and results'!$I$18,1))</f>
        <v>0</v>
      </c>
      <c r="AN57" s="1382">
        <f>IF(AI57&gt;0,HLOOKUP(AI57,Treevalue!$I$4:$BC$34,'Options and results'!$C$39+1),0)*IF(V57&gt;='Options and results'!$I$21,'Options and results'!$I$20,1)*IF(1+'Options and results'!$Q$20*(V57-1)&gt;0,1+'Options and results'!$Q$20*(V57-1),0)</f>
        <v>0</v>
      </c>
      <c r="AO57" s="1454">
        <f t="shared" si="136"/>
        <v>0</v>
      </c>
      <c r="AP57" s="1454">
        <f t="shared" si="187"/>
        <v>0</v>
      </c>
      <c r="AQ57" s="1454">
        <f>(IF('Options and results'!$C$39&gt;0,IF(V57&lt;='Options and results'!$W$20,VLOOKUP('Options and results'!$C$39,Treevalue!$A$4:$F$34,5,FALSE),0),0)*AK57)*IF(V57&gt;='Options and results'!$I$21,'Options and results'!$I$20,1)*IF(1+'Options and results'!$Q$20*(V57-1)&gt;0,1+'Options and results'!$Q$20*(V57-1),0)-AR57</f>
        <v>0</v>
      </c>
      <c r="AR57" s="1441">
        <f>(IF('Options and results'!$C$39&gt;0,IF(V57&lt;='Options and results'!$W$20,VLOOKUP('Options and results'!$C$39,Treevalue!$A$4:$F$34,5,FALSE),0),0)*AL57)*IF(V57&gt;='Options and results'!$I$21,'Options and results'!$I$20,1)*IF(1+'Options and results'!$Q$20*(V57-1)&gt;0,1+'Options and results'!$Q$20*(V57-1),0)</f>
        <v>0</v>
      </c>
      <c r="AS57" s="1441">
        <f>(IF('Options and results'!$C$39&gt;0,IF(V57&lt;='Options and results'!$W$20,VLOOKUP('Options and results'!$C$39,Treevalue!$A$4:$F$34,6,FALSE),0),0)*AM57)*IF(V57&gt;='Options and results'!$I$21,'Options and results'!$I$20,1)*IF(1+'Options and results'!$Q$20*(V57-1)&gt;0,1+'Options and results'!$Q$20*(V57-1),0)</f>
        <v>0</v>
      </c>
      <c r="AT57" s="1441">
        <f>IF(V57&lt;='Options and results'!$W$20,(IF(AB57&lt;=0,0,IF('Options and results'!$C$43="cost",(IF(V57&lt;='Options and results'!$C$44,BZ57*SUM('Options and results'!$C$45:$C$46),0)),IF('Options and results'!$C$41&gt;0,(IF(VLOOKUP('Options and results'!$C$42,Treegrant!$B$6:$L$42,Treegrant!$C$2,FALSE)=V57,VLOOKUP('Options and results'!$C$42,Treegrant!$B$6:$L$42,Treegrant!$D$2,FALSE),0)+IF(VLOOKUP('Options and results'!$C$42,Treegrant!$B$6:$L$42,Treegrant!$E$2,FALSE)=V57,VLOOKUP('Options and results'!$C$42,Treegrant!$B$6:$L$42,Treegrant!$F$2,FALSE),0)+IF(VLOOKUP('Options and results'!$C$42,Treegrant!$B$6:$L$42,Treegrant!$G$2,FALSE)=V57,VLOOKUP('Options and results'!$C$42,Treegrant!$B$6:$L$42,Treegrant!$H$2,FALSE)))*IF('Options and results'!$C$43="area",1,'Options and results'!$C$43),0)))*IF(V57&gt;='Options and results'!$I$23,'Options and results'!$I$22,1)),0)*IF(1+'Options and results'!$Q$23*(V57-1)&gt;0,1+'Options and results'!$Q$23*(V57-1),0)</f>
        <v>0</v>
      </c>
      <c r="AU57" s="1441">
        <f>IF($W$8=0,0,IF(V57&lt;='Options and results'!$W$20,IF(AB57&lt;=0,0,IF('Options and results'!$C$41&gt;0,IF(AND(VLOOKUP('Options and results'!$C$42,Treegrant!$B$6:$L$42,Treegrant!$J$2,FALSE)&lt;=V57,VLOOKUP('Options and results'!$C$42,Treegrant!$B$6:$L$42,Treegrant!$K$2,FALSE)&gt;=V57),(VLOOKUP('Options and results'!$C$42,Treegrant!$B$6:$L$42,Treegrant!$L$2,FALSE)),0)*IF('Options and results'!$C$47="full",1,'Options and results'!$C$47))*IF(V57&gt;='Options and results'!$I$23,'Options and results'!$I$22,1)),0))*IF(1+'Options and results'!$Q$23*(V57-1)&gt;0,1+'Options and results'!$Q$23*(V57-1),0)</f>
        <v>0</v>
      </c>
      <c r="AV57" s="1032">
        <f>IF($W$8=0,0,IF(V57&lt;='Options and results'!$W$20,IF(AB57&lt;=0,0,(IF('Options and results'!$C$41&gt;0,(IF(AND(VLOOKUP('Options and results'!$C$42,Treegrant!$B$6:$O$42,Treegrant!$M$2,FALSE)&lt;=V57,VLOOKUP('Options and results'!$C$42,Treegrant!$B$6:$O$42,Treegrant!$N$2,FALSE)&gt;=V57),(VLOOKUP('Options and results'!$C$42,Treegrant!$B$6:$O$42,Treegrant!$O$2,FALSE)),0)*IF('Options and results'!$C$48="full",1,'Options and results'!$C$48))+(IF(AND(VLOOKUP('Options and results'!$C$42,Treegrant!$B$6:$R$42,Treegrant!$P$2,FALSE)&lt;=V57,VLOOKUP('Options and results'!$C$42,Treegrant!$B$6:$R$42,Treegrant!$Q$2,FALSE)&gt;=V57),(VLOOKUP('Options and results'!$C$42,Treegrant!$B$6:$R$42,Treegrant!$R$2,FALSE)),0))*IF('Options and results'!$C$49="full",1,'Options and results'!$C$49)))*IF(V57&gt;='Options and results'!$I$23,'Options and results'!$I$22,1)),0))*IF(1+'Options and results'!$Q$23*(V57-1)&gt;0,1+'Options and results'!$Q$23*(V57-1),0)</f>
        <v>0</v>
      </c>
      <c r="AW57" s="1041"/>
      <c r="AX57" s="1042"/>
      <c r="AY57" s="1419">
        <f>IF($W$8=0,0,IF(V57=1,VLOOKUP($W$8,Treecost!$B$6:$AH$49,Treecost!$E$2,FALSE),0)*IF(V57&gt;='Options and results'!$I$25,'Options and results'!$I$24,1))</f>
        <v>0</v>
      </c>
      <c r="AZ57" s="889">
        <f>IF($W$8=0,0,IF(V57=1,VLOOKUP($W$8,Treecost!$B$6:$AH$49,Treecost!$F$2,FALSE),0)*IF(V57&gt;='Options and results'!$I$25,'Options and results'!$I$24,1))</f>
        <v>0</v>
      </c>
      <c r="BA57" s="889">
        <f>IF($W$8=0,0,IF(V57=1,VLOOKUP($W$8,Treecost!$B$6:$AH$49,Treecost!$G$2,FALSE),0)*IF(V57&gt;='Options and results'!$I$25,'Options and results'!$I$24,1))</f>
        <v>0</v>
      </c>
      <c r="BB57" s="889">
        <f>IF($W$8=0,0,IF(V57&lt;='Options and results'!$W$20,((VLOOKUP($W$8,Treecost!$B$6:$AH$49,Treecost!$H$2,FALSE)*(X57+AA57))/60)*IF(V57&gt;='Options and results'!$I$25,'Options and results'!$I$24,1),0))</f>
        <v>0</v>
      </c>
      <c r="BC57" s="889">
        <f>IF($W$8=0,0,IF(V57&lt;='Options and results'!$W$20,(((VLOOKUP($W$8,Treecost!$B$6:$AH$49,Treecost!$I$2,FALSE))*(X57+AA57))/60)*IF(V57&gt;='Options and results'!$I$25,'Options and results'!$I$24,1),0))</f>
        <v>0</v>
      </c>
      <c r="BD57" s="889">
        <f>IF($W$8=0,0,IF(V57&lt;='Options and results'!$W$20,(((VLOOKUP($W$8,Treecost!$B$6:$AH$49,Treecost!$J$2,FALSE))/60)*(X57+AA57))*IF(V57&gt;='Options and results'!$I$25,'Options and results'!$I$24,1),0))</f>
        <v>0</v>
      </c>
      <c r="BE57" s="1019">
        <f>IF($W$8=0,0,IF(V57&lt;='Options and results'!$W$20,(((VLOOKUP($W$8,Treecost!$B$6:$AH$49,Treecost!$C$2,FALSE)+VLOOKUP($W$8,Treecost!$B$6:$AH$49,Treecost!$D$2,FALSE))*(X57+AA57)*IF(1+'Options and results'!$Q$22*(V57-1)&gt;0,1+'Options and results'!$Q$22*(V57-1),0))+((AY57*$AX$8+AZ57*$AX$9+BA57*$AX$10+BB57*$AX$11+BC57*$AX$12+BD57*$AX$13)*IF(1+'Options and results'!$Q$21*(V57-1)&gt;0,1+'Options and results'!$Q$21*(V57-1),0)))*IF(V57&gt;='Options and results'!$I$27,'Options and results'!$I$26,1),0))</f>
        <v>0</v>
      </c>
      <c r="BF57" s="889">
        <f>IF($W$8=0,0,IF(V57&lt;='Options and results'!$W$20,IF(AND(VLOOKUP($W$8,Treecost!$B$6:$AH$49,Treecost!$K$2,FALSE)&lt;=V57,V57&lt;=(VLOOKUP($W$8,Treecost!$B$6:$AH$49,Treecost!$L$2,FALSE))),VLOOKUP($W$8,Treecost!$B$6:$AH$49,Treecost!$M$2,FALSE)*AB57/60,0)*IF(V57&gt;='Options and results'!$I$25,'Options and results'!$I$24,1),0))</f>
        <v>0</v>
      </c>
      <c r="BG57" s="1019">
        <f>IF(BF57&gt;0,(VLOOKUP($W$8,Treecost!$B$6:$AH$49,Treecost!$N$2,FALSE)*AB57*IF(1+'Options and results'!$Q$22*(V57-1)&gt;0,1+'Options and results'!$Q$22*(V57-1),0)+BF57*$AX$14*IF(1+'Options and results'!$Q$21*(V57-1)&gt;0,1+'Options and results'!$Q$21*(V57-1),0)),0)*IF(V57&gt;='Options and results'!$I$27,'Options and results'!$I$26,1)</f>
        <v>0</v>
      </c>
      <c r="BH57" s="889">
        <f>IF(V57&lt;='Options and results'!$W$20,IF(AND(AG57-AG56&gt;0,AG57&gt;'Options and results'!$M$36),(AB57-AC57)*(VLOOKUP($W$8,Treecost!$B$6:$AH$49,Treecost!$Y$2,FALSE)+(VLOOKUP($W$8,Treecost!$B$6:$AH$49,Treecost!$AA$2,FALSE)-VLOOKUP($W$8,Treecost!$B$6:$AH$49,Treecost!$Y$2,FALSE))/(VLOOKUP($W$8,Treecost!$B$6:$AH$49,Treecost!$Z$2,FALSE)-VLOOKUP($W$8,Treecost!$B$6:$AH$49,Treecost!$X$2,FALSE))*(AG57-VLOOKUP($W$8,Treecost!$B$6:$AH$49,Treecost!$X$2,FALSE)))/60,0)*IF(V57&gt;='Options and results'!$I$25,'Options and results'!$I$24,1),0)</f>
        <v>0</v>
      </c>
      <c r="BI57" s="303">
        <f>IF(V57&lt;='Options and results'!$W$20,IF(BH57&gt;0,VLOOKUP($W$8,Treecost!$B$6:$AH$49,Treecost!$AB$2,FALSE)/60*AB57,0)*IF(V57&gt;='Options and results'!$I$25,'Options and results'!$I$24,1),0)*((BH57-(MIN($BH$8:$BH$67)))/((MAX($BH$8:$BH$67))-(MIN($BH$8:$BH$67))))</f>
        <v>0</v>
      </c>
      <c r="BJ57" s="740">
        <f>IF(BH57&gt;0,(BH57*$AX$15+BI57*$AX$19)*IF(1+'Options and results'!$Q$21*(V57-1)&gt;0,1+'Options and results'!$Q$21*(V57-1),0),0)*IF(V57&gt;='Options and results'!$I$27,'Options and results'!$I$26,1)</f>
        <v>0</v>
      </c>
      <c r="BK57" s="891">
        <f>IF($W$8=0,0,IF(V57&lt;='Options and results'!$W$20,IF(VLOOKUP($W$8,Treecost!$B$2:$AH$49,Treecost!$O$2,FALSE)=V57,VLOOKUP($W$8,Treecost!$B$2:$AH$49,Treecost!$P$2,FALSE),0)*IF(V57&gt;='Options and results'!$I$25,'Options and results'!$I$24,1),0))</f>
        <v>0</v>
      </c>
      <c r="BL57" s="889">
        <f>IF($W$8=0,0,IF(V57&lt;='Options and results'!$W$20,IF(AND(V57&gt;VLOOKUP($W$8,Treecost!$B$2:$AH$49,Treecost!$O$2,FALSE),V57&lt;=VLOOKUP($W$8,Treecost!$B$2:$AH$49,Treecost!$R$2,FALSE)),VLOOKUP($W$8,Treecost!$B$2:$AH$49,Treecost!$S$2,FALSE),0)*IF(V57&gt;='Options and results'!$I$25,'Options and results'!$I$24,1),0))</f>
        <v>0</v>
      </c>
      <c r="BM57" s="740">
        <f>IF($W$8=0,0,IF(V57&lt;='Options and results'!$W$20,((IF(VLOOKUP($W$8,Treecost!$B$2:$AH$49,Treecost!$O$2,FALSE)=V57,VLOOKUP($W$8,Treecost!$B$2:$AH$49,Treecost!$Q$2,FALSE),0)+IF(AND(V57&gt;VLOOKUP($W$8,Treecost!$B$2:$AH$49,Treecost!$O$2,FALSE),V57&lt;=VLOOKUP($W$8,Treecost!$B$2:$AH$49,Treecost!$R$2,FALSE)),VLOOKUP($W$8,Treecost!$B$2:$AH$49,Treecost!$T$2,FALSE),0)*IF(1+'Options and results'!$Q$22*(V57-1)&gt;0,1+'Options and results'!$Q$22*(V57-1),0))+(BK57*$AX$16+BL57*$AX$17)*IF(1+'Options and results'!$Q$21*(V57-1)&gt;0,1+'Options and results'!$Q$21*(V57-1),0))*IF(V57&gt;='Options and results'!$I$27,'Options and results'!$I$26,1),0))</f>
        <v>0</v>
      </c>
      <c r="BN57" s="894">
        <f>IF($W$8=0,0,IF(V57&lt;='Options and results'!$W$20,IF(AND(V57&gt;=VLOOKUP($W$8,Treecost!$B$2:$W$49,Treecost!$U$2,FALSE),V57&lt;=VLOOKUP($W$8,Treecost!$B$2:$W$49,Treecost!$V$2,FALSE)),(AB57*VLOOKUP($W$8,Treecost!$B$2:$W$49,Treecost!$W$2,FALSE)/60),0)*IF(V57&gt;='Options and results'!$I$25,'Options and results'!$I$24,1),0))</f>
        <v>0</v>
      </c>
      <c r="BO57" s="740">
        <f>BN57*$AX$18*IF(V57&gt;='Options and results'!$I$27,'Options and results'!$I$26,1)*IF(1+'Options and results'!$Q$21*(V57-1)&gt;0,1+'Options and results'!$Q$21*(V57-1),0)</f>
        <v>0</v>
      </c>
      <c r="BP57" s="894">
        <f>IF(V57&lt;='Options and results'!$W$20,IF(AB57&lt;=0,0,VLOOKUP($W$8,Treecost!$B$6:$AH$49,Treecost!$AC$2,FALSE)+VLOOKUP($W$8,Treecost!$B$6:$AH$49,Treecost!$AD$2,FALSE)+IF(AND(V57&gt;=VLOOKUP($W$8,Treecost!$B$2:$AK$49,Treecost!$AI$2,FALSE),V57&lt;=VLOOKUP($W$8,Treecost!$B$2:$AK$49,Treecost!$AJ$2,FALSE)),(VLOOKUP($W$8,Treecost!$B$2:$AK$49,Treecost!$AK$2,FALSE)),0))*IF(V57&gt;='Options and results'!$I$27,'Options and results'!$I$26,1),0)*IF(1+'Options and results'!$Q$22*(V57-1)&gt;0,1+'Options and results'!$Q$22*(V57-1),0)</f>
        <v>0</v>
      </c>
      <c r="BQ57" s="894">
        <f>IF(V57&lt;='Options and results'!$W$20,IF(AC57&gt;0,VLOOKUP($W$8,Treecost!$B$6:$AH$49,Treecost!$AE$2,FALSE)/60*AC57,0)*IF(V57&gt;='Options and results'!$I$25,'Options and results'!$I$24,1),0)</f>
        <v>0</v>
      </c>
      <c r="BR57" s="740">
        <f>IF(V57&lt;='Options and results'!$W$20,IF(AC57&gt;0,VLOOKUP($W$8,Treecost!$B$6:$AH$49,Treecost!$AF$2,FALSE)/60*AC57,0)*IF(V57&gt;='Options and results'!$I$25,'Options and results'!$I$24,1),0)</f>
        <v>0</v>
      </c>
      <c r="BS57" s="740">
        <f>(BQ57*$AX$20+BR57*$AX$21)*IF(V57&gt;='Options and results'!$I$27,'Options and results'!$I$26,1)*IF(1+'Options and results'!$Q$21*(V57-1)&gt;0,1+'Options and results'!$Q$21*(V57-1),0)</f>
        <v>0</v>
      </c>
      <c r="BT57" s="894">
        <f>IF(V57&lt;='Options and results'!$W$20,IF(AD57&gt;0,(VLOOKUP($W$8,Treecost!$B$6:$AH$49,Treecost!$AG$2,FALSE)/60*AD57)*IF(V57&gt;='Options and results'!$I$25,'Options and results'!$I$24,1),0),0)</f>
        <v>0</v>
      </c>
      <c r="BU57" s="740">
        <f>IF(V57&lt;='Options and results'!$W$20,IF(AD57&gt;0,(VLOOKUP($W$8,Treecost!$B$6:$AH$49,Treecost!$AH$2,FALSE)/60*AD57)*IF(V57&gt;='Options and results'!$I$25,'Options and results'!$I$24,1),0),0)</f>
        <v>0</v>
      </c>
      <c r="BV57" s="740">
        <f>(BT57*$AX$22+BU57*$AX$23)*IF(V57&gt;='Options and results'!$I$27,'Options and results'!$I$26,1)*IF(1+'Options and results'!$Q$21*(V57-1)&gt;0,1+'Options and results'!$Q$21*(V57-1),0)</f>
        <v>0</v>
      </c>
      <c r="BW57" s="1033">
        <f t="shared" si="138"/>
        <v>0</v>
      </c>
      <c r="BX57" s="1027">
        <f t="shared" si="139"/>
        <v>0</v>
      </c>
      <c r="BY57" s="1027">
        <f t="shared" si="140"/>
        <v>0</v>
      </c>
      <c r="BZ57" s="740">
        <f t="shared" si="188"/>
        <v>0</v>
      </c>
      <c r="CA57" s="740">
        <f t="shared" si="141"/>
        <v>0</v>
      </c>
      <c r="CB57" s="894">
        <f>IF($V57&lt;='Options and results'!$W$20,SUM(BX$8:$BX57),0)</f>
        <v>0</v>
      </c>
      <c r="CC57" s="740">
        <f>IF($V57&lt;='Options and results'!$W$20,SUM($BY$8:BY57),0)</f>
        <v>0</v>
      </c>
      <c r="CD57" s="740">
        <f>IF($V57&lt;='Options and results'!$W$20,SUM($BZ$8:BZ57),0)</f>
        <v>0</v>
      </c>
      <c r="CE57" s="740">
        <f>IF(V57&lt;='Options and results'!$W$20,CB57+CC57-CD57,0)</f>
        <v>0</v>
      </c>
      <c r="CF57" s="1381">
        <f t="shared" si="142"/>
        <v>0</v>
      </c>
      <c r="CG57" s="1027">
        <f t="shared" si="143"/>
        <v>0</v>
      </c>
      <c r="CH57" s="1027">
        <f t="shared" si="144"/>
        <v>0</v>
      </c>
      <c r="CI57" s="1189">
        <f>IF(V57&lt;='Options and results'!$W$20,CE57+AO57,0)</f>
        <v>0</v>
      </c>
      <c r="CJ57" s="1023"/>
      <c r="CK57" s="895">
        <f t="shared" si="145"/>
        <v>50</v>
      </c>
      <c r="CL57" s="1011" t="str">
        <f>IF('Options and results'!$C$54="None",0,IF(AND(CK57&gt;='Options and results'!$K$57,CK56&lt;'Options and results'!$W$20),'Options and results'!$K$56,IF(Optimisation!$B$3="No",CONCATENATE('Options and results'!$C$60," ",(HLOOKUP(CONCATENATE('Options and results'!$C$54," ",Agroforestrysystem!$B$12),Agroforestrysystem!$B$11:$IM$74,$CK57+4,FALSE))),Optimisation!AA77)))</f>
        <v xml:space="preserve">UK - Agriculture (BPS: from 2015) </v>
      </c>
      <c r="CM57" s="1012">
        <f>IF(HLOOKUP(CONCATENATE('Options and results'!$C$54," ",Agroforestrysystem!$C$12),Agroforestrysystem!$B$11:$IM$74,$CK57+4,FALSE)="T",(VLOOKUP(CL57,Arablefinance!$Z$6:$AB$105,Arablefinance!$AB$2,FALSE)*CO57+VLOOKUP(CL57,Arablefinance!$Z$6:$AC$105,Arablefinance!$AC$2,FALSE)*CP57)/VLOOKUP(CL57,Arablefinance!$Z$6:$AA$105,Arablefinance!$AA$2,FALSE),0)</f>
        <v>0</v>
      </c>
      <c r="CN57" s="1012">
        <f>IF(CL57=0,0,HLOOKUP(CONCATENATE('Options and results'!$C$54," ",Agroforestrysystem!$D$12),Agroforestrysystem!$B$11:$IM$74,$CK57+4,FALSE))</f>
        <v>0</v>
      </c>
      <c r="CO57" s="1440">
        <f ca="1">IF(CL57=0,0,IF(AND(Optimisation!$B$3="yes",Optimisation!$B$4=1,CK57&gt;Optimisation!$B$9),0,HLOOKUP(CONCATENATE('Options and results'!$C$54," ",Agroforestrysystem!$E$12),Agroforestrysystem!$B$11:$IM$74,$CK57+4,FALSE)*IF(CK57&gt;='Options and results'!$J$19,'Options and results'!$J$18,1)))</f>
        <v>0</v>
      </c>
      <c r="CP57" s="1440">
        <f ca="1">IF(CL57=0,0,IF(AND(Optimisation!$B$3="yes",Optimisation!$B$4=1,CK57&gt;Optimisation!$B$9),0,HLOOKUP(CONCATENATE('Options and results'!$C$54," ",Agroforestrysystem!$F$12),Agroforestrysystem!$B$11:$IM$74,$CK57+4,FALSE)*IF(CK57&gt;='Options and results'!$J$19,'Options and results'!$J$18,1)))</f>
        <v>0</v>
      </c>
      <c r="CQ57" s="1013">
        <f>IF(CN57&lt;=0,0,IF(CK57&lt;='Options and results'!$W$20,IF(CM57&gt;0,VLOOKUP(CL57,Arablefinance!$Z$6:$AE$105,Arablefinance!$AD$2,FALSE)*CM57*CN57,((VLOOKUP(CL57,Arablefinance!$E$6:$H$126,2,FALSE)*CO57+VLOOKUP(CL57,Arablefinance!$E$6:$H$126,3,FALSE)*CP57)*CN57)),0)*IF(CK57&gt;='Options and results'!$J$21,'Options and results'!$J$20,1))*IF(1+'Options and results'!$O$20*(CK57-1)&gt;0,1+'Options and results'!$O$20*(CK57-1),0)</f>
        <v>0</v>
      </c>
      <c r="CR57" s="1441">
        <f>IF(CN57&lt;=0,0,IF(AND(CM57&gt;0,VLOOKUP(CL57,Arablefinance!$Z$6:$AI$105,Arablefinance!$AI$2,FALSE)=2),VLOOKUP(CL57,Arablefinance!$Z$6:$AE$105,Arablefinance!$AE$2,FALSE)*CM57*CN57,IF('Options and results'!$C$62&gt;0,IF(VLOOKUP(CL57,Arablefinance!$E$6:$W$126,Arablefinance!$H$2,FALSE)*(1-Plot!DM57*'Options and results'!$C$62)&gt;0,VLOOKUP(CL57,Arablefinance!$E$6:$W$126,Arablefinance!$H$2,FALSE)*(1-Plot!DM57*'Options and results'!$C$62),0),IF(CK57&lt;='Options and results'!$W$20,(VLOOKUP(CL57,Arablefinance!$E$6:$W$126,Arablefinance!$H$2,FALSE)*IF('Options and results'!$C$61="area",CN57,'Options and results'!$C$61)),0)))*IF(CK57&gt;='Options and results'!$J$23,'Options and results'!$J$22,1))*IF(AND(1+'Options and results'!$O$23*(CK57-1)&gt;0,1+'Options and results'!$O$23*(CK57-1)&gt;'Options and results'!$S$24),1+'Options and results'!$O$23*(CK57-1),'Options and results'!$S$24)</f>
        <v>0</v>
      </c>
      <c r="CS57" s="1441">
        <f t="shared" si="185"/>
        <v>0</v>
      </c>
      <c r="CT57" s="1441">
        <f>IF(CN57&lt;=0,0,IF(CK57&lt;='Options and results'!$W$20,IF(CM57&gt;0,VLOOKUP(CL57,Arablefinance!$Z$6:$AF$105,Arablefinance!$AF$2,FALSE)*CM57*CN57,VLOOKUP(CL57,Arablefinance!$E$6:$X$126,Arablefinance!$R$2,FALSE)*CN57),0)*IF(CK57&gt;='Options and results'!$J$27,'Options and results'!$J$26,1))*IF(1+'Options and results'!$O$22*(CK57-1)&gt;0,1+'Options and results'!$O$22*(CK57-1),0)</f>
        <v>0</v>
      </c>
      <c r="CU57" s="1441">
        <f t="shared" si="186"/>
        <v>0</v>
      </c>
      <c r="CV57" s="1441">
        <f>IF(CN57&lt;=0,0,IF(CK57&lt;='Options and results'!$W$20,IF(CM57&gt;0,VLOOKUP(CL57,Arablefinance!$Z$6:$AG$105,Arablefinance!$AG$2,FALSE)*CM57*CN57,VLOOKUP(CL57,Arablefinance!$E$6:$X$126,Arablefinance!$X$2,FALSE)*CN57),0)*IF(CK57&gt;='Options and results'!$J$27,'Options and results'!$J$26,1))*IF(1+'Options and results'!$O$22*(CK57-1)&gt;0,1+'Options and results'!$O$22*(CK57-1),0)</f>
        <v>0</v>
      </c>
      <c r="CW57" s="1442">
        <f>IF(CN57&lt;=0,0,IF(CK57&lt;='Options and results'!$W$20,'Options and results'!$C$27*IF(CK57&gt;='Options and results'!$J$27,'Options and results'!$J$26,1),0))*IF(1+'Options and results'!$O$21*(CK57-1)&gt;0,1+'Options and results'!$O$21*(CK57-1),0)</f>
        <v>0</v>
      </c>
      <c r="CX57" s="1442">
        <f>IF(CN57&lt;=0,0,IF(CK57&lt;='Options and results'!$W$20,IF(CM57&gt;0,VLOOKUP(CL57,Arablefinance!$Z$6:$AH$105,Arablefinance!$AH$2,FALSE)*CM57*CN57,VLOOKUP(CL57,Arablefinance!$E$6:$W$126,Arablefinance!$V$2,FALSE)*CN57),0)*IF(CK57&gt;='Options and results'!$J$25,'Options and results'!$J$24,1))</f>
        <v>0</v>
      </c>
      <c r="CY57" s="1013">
        <f t="shared" si="148"/>
        <v>0</v>
      </c>
      <c r="CZ57" s="1353">
        <f t="shared" si="149"/>
        <v>0</v>
      </c>
      <c r="DA57" s="1013">
        <f>IF($CK57&lt;='Options and results'!$W$20,SUM($CQ$8:CQ57),0)</f>
        <v>0</v>
      </c>
      <c r="DB57" s="1441">
        <f>IF($CK57&lt;='Options and results'!$W$20,SUM($CR$8:CR57),0)</f>
        <v>0</v>
      </c>
      <c r="DC57" s="1441">
        <f>IF($CK57&lt;='Options and results'!$W$20,SUM($CY$8:CY57),0)</f>
        <v>0</v>
      </c>
      <c r="DD57" s="1189">
        <f>IF(CK57&lt;='Options and results'!$W$20,DA57+DB57-DC57,0)</f>
        <v>0</v>
      </c>
      <c r="DE57" s="401"/>
      <c r="DF57" s="895">
        <f t="shared" si="150"/>
        <v>50</v>
      </c>
      <c r="DG57" s="173"/>
      <c r="DH57" s="1422"/>
      <c r="DI57" s="1427">
        <f>IF(DF57&lt;='Options and results'!$M$61,'Options and results'!$M$60,0)</f>
        <v>0</v>
      </c>
      <c r="DJ57" s="740">
        <f t="shared" si="151"/>
        <v>0</v>
      </c>
      <c r="DK57" s="740">
        <f t="shared" si="152"/>
        <v>0</v>
      </c>
      <c r="DL57" s="1428">
        <f t="shared" si="153"/>
        <v>0</v>
      </c>
      <c r="DM57" s="1429">
        <f>IF($DG$8=0,0,HLOOKUP(CONCATENATE('Options and results'!$C$54," ",Agroforestrysystem!$J$12),Agroforestrysystem!$11:$74,DF57+3,FALSE))/100</f>
        <v>0</v>
      </c>
      <c r="DN57" s="740">
        <f>IF($DG$8=0,0,IF(HLOOKUP(CONCATENATE('Options and results'!$C$54," ",Agroforestrysystem!$H$12),Agroforestrysystem!$11:$74,DF57+4,FALSE)&lt;DL57,HLOOKUP(CONCATENATE('Options and results'!$C$54," ",Agroforestrysystem!$H$12),Agroforestrysystem!$11:$74,DF57+4,FALSE),0))</f>
        <v>0</v>
      </c>
      <c r="DO57" s="1027">
        <f>IF($DG$8=0,0,IF(HLOOKUP(CONCATENATE('Options and results'!$C$54," ",Agroforestrysystem!$H$12),Agroforestrysystem!$11:$74,DF57+4,FALSE)&gt;=DL57,DL57,0))</f>
        <v>0</v>
      </c>
      <c r="DP57" s="1430">
        <f>IF($DG$8=0,0,HLOOKUP(CONCATENATE('Options and results'!$C$54," ",Agroforestrysystem!$I$12),Agroforestrysystem!$11:$74,DF57+4,FALSE))</f>
        <v>0</v>
      </c>
      <c r="DQ57" s="1038"/>
      <c r="DR57" s="1430">
        <f>IF($DG$8=0,0,IF(DF57&gt;'Options and results'!$W$20,0,)+IF(DF57=1,'Options and results'!$M$64)+IF('Options and results'!$M$67="yes",IF(AND(DR56+'Options and results'!$M$65&lt;=$DQ$8,DR56+'Options and results'!$M$65+IF(DF57=1,'Options and results'!$M$64,0)&lt;='Options and results'!$M$66*DP57),DR56+'Options and results'!$M$65,DR56),(HLOOKUP(CONCATENATE('Options and results'!$C$54," ",Agroforestrysystem!$K$12),Agroforestrysystem!$11:$74,DF57+4,FALSE)-IF(DF57=1,'Options and results'!$M$64))))</f>
        <v>0</v>
      </c>
      <c r="DS57" s="1027">
        <f>IF(OR($DG$8=0,DL57=0),0,HLOOKUP(CONCATENATE('Options and results'!$C$54," ",Agroforestrysystem!$L$12),Agroforestrysystem!$11:$74,DF57+4,FALSE)*IF(DF57&gt;='Options and results'!$K$19,'Options and results'!$K$18,1))</f>
        <v>0</v>
      </c>
      <c r="DT57" s="1431">
        <f t="shared" si="154"/>
        <v>0</v>
      </c>
      <c r="DU57" s="889">
        <f t="shared" si="155"/>
        <v>0</v>
      </c>
      <c r="DV57" s="1027">
        <f>IF($DG$8=0,0,(HLOOKUP(CONCATENATE('Options and results'!$C$54," ",Agroforestrysystem!$M$12),Agroforestrysystem!$11:$74,DF57+4,FALSE))*IF(DF57&gt;='Options and results'!$K$19,'Options and results'!$K$18,1))-DW57</f>
        <v>0</v>
      </c>
      <c r="DW57" s="303">
        <f>IF($DG$8=0,0,(HLOOKUP(CONCATENATE('Options and results'!$C$54," ",Agroforestrysystem!$N$12),Agroforestrysystem!$11:$74,DF57+4,FALSE))*IF(DF57&gt;='Options and results'!$K$19,'Options and results'!$K$18,1))</f>
        <v>0</v>
      </c>
      <c r="DX57" s="303">
        <f>IF($DG$8=0,0,HLOOKUP(CONCATENATE('Options and results'!$C$54," ",Agroforestrysystem!$O$12),Agroforestrysystem!$11:$74,DF57+4,FALSE)*IF(DF57&gt;='Options and results'!$K$19,'Options and results'!$K$18,1))</f>
        <v>0</v>
      </c>
      <c r="DY57" s="1192">
        <f>IF(DT57&gt;0,HLOOKUP(DT57,Treevalue!$I$4:$BC$34,'Options and results'!$C$66+1),0)*IF(DF57&gt;='Options and results'!$K$21,'Options and results'!$K$20,1)*IF(1+'Options and results'!$Q$20*(DF57-1)&gt;0,1+'Options and results'!$Q$20*(DF57-1),0)</f>
        <v>0</v>
      </c>
      <c r="DZ57" s="1027">
        <f t="shared" si="156"/>
        <v>0</v>
      </c>
      <c r="EA57" s="1027">
        <f t="shared" si="125"/>
        <v>0</v>
      </c>
      <c r="EB57" s="1027">
        <f>(IF('Options and results'!$C$66&gt;0,IF(DF57&lt;='Options and results'!$W$20,VLOOKUP('Options and results'!$C$66,Treevalue!$A$4:$F$34,5,FALSE),0),0)*DV57)*IF(DF57&gt;='Options and results'!$K$21,'Options and results'!$K$20,1)*IF(1+'Options and results'!$Q$20*(DF57-1)&gt;0,1+'Options and results'!$Q$20*(DF57-1),0)</f>
        <v>0</v>
      </c>
      <c r="EC57" s="740">
        <f>(IF('Options and results'!$C$66&gt;0,IF(DF57&lt;='Options and results'!$W$20,VLOOKUP('Options and results'!$C$66,Treevalue!$A$4:$F$34,5,FALSE),0),0)*DW57)*IF(DF57&gt;='Options and results'!$K$21,'Options and results'!$K$20,1)*IF(1+'Options and results'!$Q$20*(DF57-1)&gt;0,1+'Options and results'!$Q$20*(DF57-1),0)</f>
        <v>0</v>
      </c>
      <c r="ED57" s="889">
        <f>(IF('Options and results'!$C$66&gt;0,IF(DF57&lt;='Options and results'!$W$20,VLOOKUP('Options and results'!$C$66,Treevalue!$A$4:$F$34,6,FALSE),0),0)*DX57)*IF(DF57&gt;='Options and results'!$K$21,'Options and results'!$K$20,1)*IF(1+'Options and results'!$Q$20*(DF57-1)&gt;0,1+'Options and results'!$Q$20*(DF57-1),0)</f>
        <v>0</v>
      </c>
      <c r="EE57" s="740">
        <f>IF(DF57&lt;='Options and results'!$W$20,IF(DL57&lt;=0,0,IF('Options and results'!$C$70="cost",(IF(DF57&lt;='Options and results'!$C$71,FK57*SUM('Options and results'!$C$72:$C$73),0)),IF('Options and results'!$C$68&gt;0,(IF(VLOOKUP('Options and results'!$C$69,Treegrant!$B$6:$L$42,Treegrant!$C$2,FALSE)=DF57,VLOOKUP('Options and results'!$C$69,Treegrant!$B$6:$L$42,Treegrant!$D$2,FALSE),0)+IF(VLOOKUP('Options and results'!$C$69,Treegrant!$B$6:$L$42,Treegrant!$E$2,FALSE)=DF57,VLOOKUP('Options and results'!$C$69,Treegrant!$B$6:$L$42,Treegrant!$F$2,FALSE),0)+IF(VLOOKUP('Options and results'!$C$69,Treegrant!$B$6:$L$42,Treegrant!$G$2,FALSE)=DF57,VLOOKUP('Options and results'!$C$69,Treegrant!$B$6:$L$42,Treegrant!$H$2,FALSE)))*IF('Options and results'!$C$70="area",Unit!C58,'Options and results'!$C$70),0))*IF(DF57&gt;='Options and results'!$K$23,'Options and results'!$K$22,1)),0)*IF(1+'Options and results'!$Q$23*(DF57-1)&gt;0,1+'Options and results'!$Q$23*(DF57-1),0)</f>
        <v>0</v>
      </c>
      <c r="EF57" s="740">
        <f>IF($DG$8=0,0,IF(DF57&lt;='Options and results'!$W$20,IF(DL57&lt;=0,0,IF('Options and results'!$C$68&gt;0,IF(AND(VLOOKUP('Options and results'!$C$69,Treegrant!$B$6:$L$42,Treegrant!$J$2,FALSE)&lt;=DF57,VLOOKUP('Options and results'!$C$69,Treegrant!$B$6:$L$42,Treegrant!$K$2,FALSE)&gt;=DF57),(VLOOKUP('Options and results'!$C$69,Treegrant!$B$6:$L$42,Treegrant!$L$2,FALSE)),0)*IF('Options and results'!$C$74="area",Unit!C58,'Options and results'!$C$74))*IF(DF57&gt;='Options and results'!$K$23,'Options and results'!$K$22,1)),0))*IF(1+'Options and results'!$Q$23*(DF57-1)&gt;0,1+'Options and results'!$Q$23*(DF57-1),0)</f>
        <v>0</v>
      </c>
      <c r="EG57" s="1034">
        <f>IF($DG$8=0,0,IF(DF57&lt;='Options and results'!$W$20,IF(DL57&lt;=0,0,IF('Options and results'!$C$68&gt;0,((IF(AND(VLOOKUP('Options and results'!$C$69,Treegrant!$B$6:$O$42,Treegrant!$M$2,FALSE)&lt;=DF57,VLOOKUP('Options and results'!$C$69,Treegrant!$B$6:$O$42,Treegrant!$N$2,FALSE)&gt;=DF57),(VLOOKUP('Options and results'!$C$69,Treegrant!$B$6:$O$42,Treegrant!$O$2,FALSE)),0)*IF('Options and results'!$C$75="area",Unit!C58,'Options and results'!$C$75))+(IF(AND(VLOOKUP('Options and results'!$C$69,Treegrant!$B$6:$R$42,Treegrant!$P$2,FALSE)&lt;=DF57,VLOOKUP('Options and results'!$C$69,Treegrant!$B$6:$R$42,Treegrant!$Q$2,FALSE)&gt;=DF57),(VLOOKUP('Options and results'!$C$69,Treegrant!$B$6:$R$42,Treegrant!$R$2,FALSE)),0))*IF('Options and results'!$C$76="area",Unit!C58,'Options and results'!$C$76)))*IF(DF57&gt;='Options and results'!$K$23,'Options and results'!$K$22,1)),0))*IF(1+'Options and results'!$Q$23*(DF57-1)&gt;0,1+'Options and results'!$Q$23*(DF57-1),0)</f>
        <v>0</v>
      </c>
      <c r="EH57" s="1041"/>
      <c r="EI57" s="1042"/>
      <c r="EJ57" s="1419">
        <f>IF($DH$8+DK57&lt;1,0,IF(DF57=1,VLOOKUP($DG$8,Treecost!$B$6:$AH$49,Treecost!$E$2,FALSE),0)*IF(DF57&gt;='Options and results'!$K$25,'Options and results'!$K$24,1))</f>
        <v>0</v>
      </c>
      <c r="EK57" s="889">
        <f>IF($DH$8+DK57&lt;1,0,IF(DF57=1,VLOOKUP($DG$8,Treecost!$B$6:$AH$49,Treecost!$F$2,FALSE),0)*IF(DF57&gt;='Options and results'!$K$25,'Options and results'!$K$24,1))</f>
        <v>0</v>
      </c>
      <c r="EL57" s="889">
        <f>IF($DH$8+DK57&lt;1,0,IF(DF57=1,VLOOKUP($DG$8,Treecost!$B$6:$AH$49,Treecost!$G$2,FALSE),0)*IF(DF57&gt;='Options and results'!$K$25,'Options and results'!$K$24,1))</f>
        <v>0</v>
      </c>
      <c r="EM57" s="889">
        <f>IF($DG$8=0,0,IF(DF57&lt;='Options and results'!$W$20,((VLOOKUP($DG$8,Treecost!$B$6:$AH$49,Treecost!$H$2,FALSE)*(DH57+DK57))/60)*IF(DF57&gt;='Options and results'!$K$25,'Options and results'!$K$24,1),0))</f>
        <v>0</v>
      </c>
      <c r="EN57" s="889">
        <f>IF($DG$8=0,0,IF(DF57&lt;='Options and results'!$W$20,(((VLOOKUP($DG$8,Treecost!$B$6:$AH$49,Treecost!$I$2,FALSE))*(DH57+DK57))/60)*IF(DF57&gt;='Options and results'!$K$25,'Options and results'!$K$24,1),0))</f>
        <v>0</v>
      </c>
      <c r="EO57" s="889">
        <f>IF($DG$8=0,0,IF(DF57&lt;='Options and results'!$W$20,(((VLOOKUP($DG$8,Treecost!$B$6:$AH$49,Treecost!$J$2,FALSE))/60)*(DH57+DK57))*IF(DF57&gt;='Options and results'!$K$25,'Options and results'!$K$24,1),0))</f>
        <v>0</v>
      </c>
      <c r="EP57" s="1019">
        <f>IF($DG$8=0,0,IF(DF57&lt;='Options and results'!$W$20,(((VLOOKUP($DG$8,Treecost!$B$6:$AH$49,Treecost!$C$2,FALSE)+VLOOKUP($DG$8,Treecost!$B$6:$AH$49,Treecost!$D$2,FALSE))*(DH57+DK57)*IF(1+'Options and results'!$Q$22*(DF57-1)&gt;0,1+'Options and results'!$Q$22*(DF57-1),0))+(EJ57*$EI$8+EK57*$EI$9+EL57*$EI$10+EM57*$EI$11+EN57*$EI$12+EO57*$EI$13)*IF(1+'Options and results'!$Q$21*(DF57-1)&gt;0,1+'Options and results'!$Q$21*(DF57-1),0))*IF(DF57&gt;='Options and results'!$K$27,'Options and results'!$K$26,1),0))</f>
        <v>0</v>
      </c>
      <c r="EQ57" s="740">
        <f>IF($DG$8=0,0,IF(DF57&lt;='Options and results'!$W$20,IF(AND(VLOOKUP($DG$8,Treecost!$B$6:$AH$49,Treecost!$K$2,FALSE)&lt;=DF57,DF57&lt;=(VLOOKUP($DG$8,Treecost!$B$6:$AH$49,Treecost!$L$2,FALSE))),VLOOKUP($DG$8,Treecost!$B$6:$AH$49,Treecost!$M$2,FALSE)*DL57/60,0)*IF(DF57&gt;='Options and results'!$K$25,'Options and results'!$K$24,1),0))</f>
        <v>0</v>
      </c>
      <c r="ER57" s="1019">
        <f>IF(EQ57&gt;0,(VLOOKUP($DG$8,Treecost!$B$6:$AH$49,Treecost!$N$2,FALSE)*DL57*IF(1+'Options and results'!$Q$22*(DF57-1)&gt;0,1+'Options and results'!$Q$22*(DF57-1),0)+EQ57*$EI$14*IF(1+'Options and results'!$Q$21*(DF57-1)&gt;0,1+'Options and results'!$Q$21*(DF57-1),0)),0)*IF(DF57&gt;='Options and results'!$K$27,'Options and results'!$K$26,1)</f>
        <v>0</v>
      </c>
      <c r="ES57" s="889">
        <f>IF(DF57&lt;='Options and results'!$W$20,IF(AND(DR57-DR56&gt;0,DR57&gt;'Options and results'!$M$64),(DL57-DN57)*(VLOOKUP($DG$8,Treecost!$B$6:$AH$49,Treecost!$Y$2,FALSE)+(VLOOKUP($DG$8,Treecost!$B$6:$AH$49,Treecost!$AA$2,FALSE)-VLOOKUP($DG$8,Treecost!$B$6:$AH$49,Treecost!$Y$2,FALSE))/(VLOOKUP($DG$8,Treecost!$B$6:$AH$49,Treecost!$Z$2,FALSE)-VLOOKUP($DG$8,Treecost!$B$6:$AH$49,Treecost!$X$2,FALSE))*(DR57-VLOOKUP($DG$8,Treecost!$B$6:$AH$49,Treecost!$X$2,FALSE)))/60,0)*IF(DF57&gt;='Options and results'!$K$25,'Options and results'!$K$24,1),0)</f>
        <v>0</v>
      </c>
      <c r="ET57" s="889">
        <f>IF(DF57&lt;='Options and results'!$W$20,IF(ES57&gt;0,VLOOKUP($DG$8,Treecost!$B$6:$AH$49,Treecost!$AB$2,FALSE)/60*DL57,0)*IF(DF57&gt;='Options and results'!$K$25,'Options and results'!$K$24,1),0)*((ES57-(MIN($ES$8:$ES$67)))/((MAX($ES$8:$ES$67))-(MIN($ES$8:$ES$67))))</f>
        <v>0</v>
      </c>
      <c r="EU57" s="740">
        <f>IF(ES57&gt;0,(ES57*$EI$15+ET57*$EI$19)*IF(1+'Options and results'!$Q$21*(DF57-1)&gt;0,1+'Options and results'!$Q$21*(DF57-1),0),0)*IF(DF57&gt;='Options and results'!$K$27,'Options and results'!$K$26,1)</f>
        <v>0</v>
      </c>
      <c r="EV57" s="891">
        <f>IF($DG$8=0,0,IF(DF57&lt;='Options and results'!$W$20,IF(AND(VLOOKUP($DG$8,Treecost!$B$2:$AH$49,Treecost!$O$2,FALSE)=DF57,DF57&lt;=IF(AND(Optimisation!$B$3="Yes",Optimisation!$B$4=1),Optimisation!$B$9)),VLOOKUP($DG$8,Treecost!$B$2:$AH$49,Treecost!$P$2,FALSE)*(1-CN57),0)*IF(DF57&gt;='Options and results'!$K$25,'Options and results'!$K$24,1),0))</f>
        <v>0</v>
      </c>
      <c r="EW57" s="889">
        <f>IF($DG$8=0,0,IF(DF57&lt;='Options and results'!$W$20,IF(AND(DF57&gt;VLOOKUP($DG$8,Treecost!$B$2:$AH$49,Treecost!$O$2,FALSE),DF57&lt;=IF(AND(Optimisation!$B$3="Yes",Optimisation!$B$4=1),Optimisation!$B$9,VLOOKUP($DG$8,Treecost!$B$2:$AH$49,Treecost!$R$2,FALSE))),VLOOKUP($DG$8,Treecost!$B$2:$AH$49,Treecost!$S$2,FALSE)*(1-CN57),0)*IF(DF57&gt;='Options and results'!$K$25,'Options and results'!$K$24,1),0))</f>
        <v>0</v>
      </c>
      <c r="EX57" s="740">
        <f>IF($DG$8=0,0,IF(DF57&lt;='Options and results'!$W$20,(IF(AND(VLOOKUP($DG$8,Treecost!$B$2:$AH$49,Treecost!$O$2,FALSE)=DF57,DF57&lt;=IF(AND(Optimisation!$B$3="Yes",Optimisation!$B$4=1),Optimisation!$B$9)),VLOOKUP($DG$8,Treecost!$B$2:$AH$49,Treecost!$Q$2,FALSE),0)*(1-CN57)+IF(AND(DF57&gt;VLOOKUP($DG$8,Treecost!$B$2:$AH$49,Treecost!$O$2,FALSE),DF57&lt;=IF(AND(Optimisation!$B$3="Yes",Optimisation!$B$4=1),Optimisation!$B$9,VLOOKUP($DG$8,Treecost!$B$2:$AH$49,Treecost!$R$2,FALSE))),VLOOKUP($DG$8,Treecost!$B$2:$AH$49,Treecost!$T$2,FALSE),0)*(1-CN57)+(EV57*$EI$16+EW57*$EI$17))*IF(DF57&gt;='Options and results'!$K$27,'Options and results'!$K$26,1),0))*IF(1+'Options and results'!$Q$21*(DF57-1)&gt;0,1+'Options and results'!$Q$21*(DF57-1),0)</f>
        <v>0</v>
      </c>
      <c r="EY57" s="894">
        <f>IF($DG$8=0,0,IF(DF57&lt;='Options and results'!$W$20,IF(AND(DF57&gt;=VLOOKUP($DG$8,Treecost!$B$2:$W$49,Treecost!$U$2,FALSE),DF57&lt;=VLOOKUP($DG$8,Treecost!$B$2:$W$49,Treecost!$V$2,FALSE)),(DL57*VLOOKUP($DG$8,Treecost!$B$2:$W$49,Treecost!$W$2,FALSE)/60),0)*IF(DF57&gt;='Options and results'!$K$25,'Options and results'!$K$24,1),0))</f>
        <v>0</v>
      </c>
      <c r="EZ57" s="740">
        <f>EY57*$EI$18*IF(DF57&gt;='Options and results'!$K$27,'Options and results'!$K$26,1)*IF(1+'Options and results'!$Q$21*(DF57-1)&gt;0,1+'Options and results'!$Q$21*(DF57-1),0)</f>
        <v>0</v>
      </c>
      <c r="FA57" s="1025">
        <f>IF(DF57&lt;='Options and results'!$W$20,IF(DL57&lt;=0,0,VLOOKUP($DG$8,Treecost!$B$6:$AH$49,Treecost!$AC$2,FALSE)+VLOOKUP($DG$8,Treecost!$B$6:$AH$49,Treecost!$AD$2,FALSE)+IF(AND(DF57&gt;=VLOOKUP($DG$8,Treecost!$B$2:$AK$49,Treecost!$AI$2,FALSE),DF57&lt;=VLOOKUP($DG$8,Treecost!$B$2:$AK$49,Treecost!$AJ$2,FALSE)),VLOOKUP($DG$8,Treecost!$B$2:$AK$49,Treecost!$AK$2,FALSE)*(1-CN57),0))*IF(DF57&gt;='Options and results'!$K$27,'Options and results'!$K$26,1),0)*IF(1+'Options and results'!$Q$22*(DF57-1)&gt;0,1+'Options and results'!$Q$22*(DF57-1),0)</f>
        <v>0</v>
      </c>
      <c r="FB57" s="894">
        <f>IF(DF57&lt;='Options and results'!$W$20,IF(DN57&gt;0,VLOOKUP($DG$8,Treecost!$B$6:$AH$49,Treecost!$AE$2,FALSE)/60*DN57,0)*IF(DF57&gt;='Options and results'!$K$25,'Options and results'!$K$24,1),0)</f>
        <v>0</v>
      </c>
      <c r="FC57" s="740">
        <f>IF(DF57&lt;='Options and results'!$W$20,IF(DN57&gt;0,VLOOKUP($DG$8,Treecost!$B$6:$AH$49,Treecost!$AF$2,FALSE)/60*DN57,0)*IF(DF57&gt;='Options and results'!$K$25,'Options and results'!$K$24,1),0)</f>
        <v>0</v>
      </c>
      <c r="FD57" s="740">
        <f>(FB57*$EI$20+FC57*$EI$21)*IF(DF57&gt;='Options and results'!$K$27,'Options and results'!$K$26,1)*IF(1+'Options and results'!$Q$21*(DF57-1)&gt;0,1+'Options and results'!$Q$21*(DF57-1),0)</f>
        <v>0</v>
      </c>
      <c r="FE57" s="894">
        <f>IF(DF57&lt;='Options and results'!$W$20,IF(DO57&gt;0,(VLOOKUP($DG$8,Treecost!$B$6:$AH$49,Treecost!$AG$2,FALSE)/60*DO57)*IF(DF57&gt;='Options and results'!$K$25,'Options and results'!$K$24,1),0),0)</f>
        <v>0</v>
      </c>
      <c r="FF57" s="740">
        <f>IF(DF57&lt;='Options and results'!$W$20,IF(DO57&gt;0,(VLOOKUP($DG$8,Treecost!$B$6:$AH$49,Treecost!$AH$2,FALSE)/60*DO57)*IF(DF57&gt;='Options and results'!$K$25,'Options and results'!$K$24,1),0),0)</f>
        <v>0</v>
      </c>
      <c r="FG57" s="740">
        <f>(FE57*$EI$22+FF57*$EI$23)*IF(DF57&gt;='Options and results'!$K$27,'Options and results'!$K$26,1)*IF(1+'Options and results'!$Q$21*(DF57-1)&gt;0,1+'Options and results'!$Q$21*(DF57-1),0)</f>
        <v>0</v>
      </c>
      <c r="FH57" s="894">
        <f t="shared" si="157"/>
        <v>0</v>
      </c>
      <c r="FI57" s="1027">
        <f t="shared" si="158"/>
        <v>0</v>
      </c>
      <c r="FJ57" s="1027">
        <f t="shared" si="159"/>
        <v>0</v>
      </c>
      <c r="FK57" s="1027">
        <f t="shared" si="160"/>
        <v>0</v>
      </c>
      <c r="FL57" s="1027">
        <f t="shared" si="190"/>
        <v>0</v>
      </c>
      <c r="FM57" s="1027">
        <f>IF($DF57&lt;='Options and results'!$W$20,SUM(FI$8:$FI57),0)</f>
        <v>0</v>
      </c>
      <c r="FN57" s="1027">
        <f>IF($DF57&lt;='Options and results'!$W$20,SUM($FJ$8:FJ57),0)</f>
        <v>0</v>
      </c>
      <c r="FO57" s="1027">
        <f>IF($DF57&lt;='Options and results'!$W$20,SUM($FK$8:FK57),0)</f>
        <v>0</v>
      </c>
      <c r="FP57" s="1027">
        <f>IF($DF57&lt;='Options and results'!$W$20,FM57+FN57-FO57,0)</f>
        <v>0</v>
      </c>
      <c r="FQ57" s="1027">
        <f t="shared" si="162"/>
        <v>0</v>
      </c>
      <c r="FR57" s="1027">
        <f t="shared" si="163"/>
        <v>0</v>
      </c>
      <c r="FS57" s="1027">
        <f t="shared" si="164"/>
        <v>0</v>
      </c>
      <c r="FT57" s="1189">
        <f>IF(DF57&lt;='Options and results'!$W$20,FP57+DZ57,0)</f>
        <v>0</v>
      </c>
      <c r="FU57" s="401"/>
      <c r="FV57" s="895">
        <f t="shared" si="165"/>
        <v>50</v>
      </c>
      <c r="FW57" s="894">
        <f>G57/(1+'Options and results'!$W$33)^(FV57-1)</f>
        <v>0</v>
      </c>
      <c r="FX57" s="740">
        <f>(AP57+AR57+AS57)/(1+'Options and results'!$W$33)^(FV57-1)</f>
        <v>0</v>
      </c>
      <c r="FY57" s="740">
        <f>CQ57/(1+'Options and results'!$W$33)^(FV57-1)</f>
        <v>0</v>
      </c>
      <c r="FZ57" s="740">
        <f>(EA57+EC57+ED57)/(1+'Options and results'!$W$33)^(FV57-1)</f>
        <v>0</v>
      </c>
      <c r="GA57" s="1019">
        <f t="shared" si="180"/>
        <v>0</v>
      </c>
      <c r="GB57" s="1026">
        <f>(AO57+AQ57)/(1+'Options and results'!$W$33)^(FV57-1)+FX57</f>
        <v>0</v>
      </c>
      <c r="GC57" s="1027">
        <f>IF(FV57&gt;'Options and results'!$W$27,0,GB57-GB56)</f>
        <v>0</v>
      </c>
      <c r="GD57" s="1027">
        <f>(DZ57+EB57)/(1+'Options and results'!$W$33)^(FV57-1)+FZ57</f>
        <v>0</v>
      </c>
      <c r="GE57" s="1379">
        <f>IF(FV57&gt;'Options and results'!$W$27,0,GD57-GD56)</f>
        <v>0</v>
      </c>
      <c r="GF57" s="894">
        <f>IF(FV57&lt;='Options and results'!$W$20,SUM(FW$8:FW57),0)</f>
        <v>0</v>
      </c>
      <c r="GG57" s="740">
        <f>IF(FV57&lt;='Options and results'!$W$20,SUM(FX$8:FX57), 0)</f>
        <v>0</v>
      </c>
      <c r="GH57" s="740">
        <f>IF(FV57&lt;='Options and results'!$W$20,SUM(FY$8:FY57),0)</f>
        <v>0</v>
      </c>
      <c r="GI57" s="740">
        <f>IF(FV57&lt;='Options and results'!$W$20,SUM(FZ$8:FZ57),0)</f>
        <v>0</v>
      </c>
      <c r="GJ57" s="1019">
        <f t="shared" si="166"/>
        <v>0</v>
      </c>
      <c r="GK57" s="894">
        <f>IF(FV57&gt;'Options and results'!$W$27,0,GG57+SUM(GC$8:GC57)-FX57)</f>
        <v>0</v>
      </c>
      <c r="GL57" s="740">
        <f>IF(FV57&lt;='Options and results'!$W$20,SUM(GD$8:GD57),0)</f>
        <v>0</v>
      </c>
      <c r="GM57" s="1034">
        <f t="shared" si="167"/>
        <v>0</v>
      </c>
      <c r="GN57" s="401"/>
      <c r="GO57" s="895">
        <f t="shared" si="168"/>
        <v>50</v>
      </c>
      <c r="GP57" s="894">
        <f>H57/(1+'Options and results'!$W$33)^(GO57-1)</f>
        <v>0</v>
      </c>
      <c r="GQ57" s="740">
        <f>SUM(AT57:AV57)/(1+'Options and results'!$W$33)^(GO57-1)</f>
        <v>0</v>
      </c>
      <c r="GR57" s="740">
        <f>CR57/(1+'Options and results'!$W$33)^(GO57-1)</f>
        <v>0</v>
      </c>
      <c r="GS57" s="740">
        <f>SUM(EE57:EG57)/(1+'Options and results'!$W$33)^(GO57-1)</f>
        <v>0</v>
      </c>
      <c r="GT57" s="1019">
        <f t="shared" si="181"/>
        <v>0</v>
      </c>
      <c r="GU57" s="894">
        <f>IF(GO57&lt;='Options and results'!$W$20,SUM(GP$8:GP57),0)</f>
        <v>0</v>
      </c>
      <c r="GV57" s="740">
        <f>IF(GO57&lt;='Options and results'!$W$20,SUM(GQ$8:GQ57),0)</f>
        <v>0</v>
      </c>
      <c r="GW57" s="740">
        <f>IF(GO57&lt;='Options and results'!$W$20,SUM(GR$8:GR57),0)</f>
        <v>0</v>
      </c>
      <c r="GX57" s="740">
        <f>IF(GO57&lt;='Options and results'!$W$20,SUM(GS$8:GS57),0)</f>
        <v>0</v>
      </c>
      <c r="GY57" s="1034">
        <f>IF(GO57&lt;='Options and results'!$W$20,SUM(GT$8:GT57),0)</f>
        <v>0</v>
      </c>
      <c r="GZ57" s="401"/>
      <c r="HA57" s="895">
        <f t="shared" si="169"/>
        <v>50</v>
      </c>
      <c r="HB57" s="1026">
        <f>(J57+L57+(M57*N57))/(1+'Options and results'!$W$33)^(HA57-1)</f>
        <v>0</v>
      </c>
      <c r="HC57" s="740">
        <f>BZ57/(1+'Options and results'!$W$33)^(HA57-1)</f>
        <v>0</v>
      </c>
      <c r="HD57" s="1027">
        <f>(CT57+CV57+(CW57*CX57))/(1+'Options and results'!$W$33)^(HA57-1)</f>
        <v>0</v>
      </c>
      <c r="HE57" s="740">
        <f>FK57/(1+'Options and results'!$W$33)^(HA57-1)</f>
        <v>0</v>
      </c>
      <c r="HF57" s="1019">
        <f t="shared" si="182"/>
        <v>0</v>
      </c>
      <c r="HG57" s="894">
        <f>IF(HA57&lt;='Options and results'!$W$20,SUM(HB$8:HB57),0)</f>
        <v>0</v>
      </c>
      <c r="HH57" s="740">
        <f>IF(HA57&lt;='Options and results'!$W$20,SUM(HC$8:HC57),0)</f>
        <v>0</v>
      </c>
      <c r="HI57" s="740">
        <f>IF(HA57&lt;='Options and results'!$W$20,SUM(HD$8:HD57),0)</f>
        <v>0</v>
      </c>
      <c r="HJ57" s="740">
        <f>IF(HA57&lt;='Options and results'!$W$20,SUM(HE$8:HE57),0)</f>
        <v>0</v>
      </c>
      <c r="HK57" s="1034">
        <f>IF(HA57&lt;='Options and results'!$W$20,SUM(HF$8:HF57),0)</f>
        <v>0</v>
      </c>
      <c r="HL57" s="405"/>
      <c r="HM57" s="895">
        <f t="shared" si="189"/>
        <v>50</v>
      </c>
      <c r="HN57" s="1026">
        <f t="shared" si="171"/>
        <v>0</v>
      </c>
      <c r="HO57" s="1027">
        <f t="shared" si="172"/>
        <v>0</v>
      </c>
      <c r="HP57" s="1027">
        <f t="shared" si="173"/>
        <v>0</v>
      </c>
      <c r="HQ57" s="1027">
        <f t="shared" si="174"/>
        <v>0</v>
      </c>
      <c r="HR57" s="1027">
        <f t="shared" si="175"/>
        <v>0</v>
      </c>
      <c r="HS57" s="1379">
        <f t="shared" si="176"/>
        <v>0</v>
      </c>
      <c r="HT57" s="1026">
        <f>IF($HM57&lt;='Options and results'!$W$20,SUM(HN$8:HN57),0)</f>
        <v>0</v>
      </c>
      <c r="HU57" s="1027">
        <f>IF($HM57&lt;='Options and results'!$W$20,SUM(HO$8:HO57),0)</f>
        <v>0</v>
      </c>
      <c r="HV57" s="1027">
        <f>IF($HM57&lt;='Options and results'!$W$20,SUM(HP$8:HP57),0)</f>
        <v>0</v>
      </c>
      <c r="HW57" s="1027">
        <f>IF($HM57&lt;='Options and results'!$W$20,SUM(HQ$8:HQ57),0)</f>
        <v>0</v>
      </c>
      <c r="HX57" s="1027">
        <f t="shared" si="177"/>
        <v>0</v>
      </c>
      <c r="HY57" s="1027">
        <f>IF($HM57&lt;='Options and results'!$W$20,SUM(HR$8:HR57),0)</f>
        <v>0</v>
      </c>
      <c r="HZ57" s="1027">
        <f>IF($HM57&lt;='Options and results'!$W$20,SUM(HS$8:HS57),0)</f>
        <v>0</v>
      </c>
      <c r="IA57" s="1189">
        <f t="shared" si="178"/>
        <v>0</v>
      </c>
    </row>
    <row r="58" spans="1:235" x14ac:dyDescent="0.25">
      <c r="A58" s="1010">
        <f t="shared" si="126"/>
        <v>51</v>
      </c>
      <c r="B58" s="1011" t="str">
        <f>IF('Options and results'!$C$17="None",0,CONCATENATE('Options and results'!$C$23," ",(HLOOKUP(CONCATENATE('Options and results'!$C$17," ",Arablesystem!$B$11),Arablesystem!$B$10:$ER$72,$A58+3,FALSE))))</f>
        <v xml:space="preserve">UK - Agriculture (BPS: from 2015) </v>
      </c>
      <c r="C58" s="1012">
        <f>IF(HLOOKUP(CONCATENATE('Options and results'!$C$17," ",Arablesystem!$C$11),Arablesystem!$B$10:$ER$72,$A58+3,FALSE)="T",(VLOOKUP(B58,Arablefinance!$Z$6:$AB$105,Arablefinance!$AB$2,FALSE)*E58+VLOOKUP(B58,Arablefinance!$Z$6:$AC$105,Arablefinance!$AC$2,FALSE)*F58)/VLOOKUP(B58,Arablefinance!$Z$6:$AA$105,Arablefinance!$AA$2,FALSE),0)</f>
        <v>0</v>
      </c>
      <c r="D58" s="1012">
        <f>IF(B58=0,0,HLOOKUP(CONCATENATE('Options and results'!$C$17," ",Arablesystem!$D$11),Arablesystem!$B$10:$ER$72,$A58+3,FALSE))</f>
        <v>0</v>
      </c>
      <c r="E58" s="1440">
        <f>IF(B58=0,0,HLOOKUP(CONCATENATE('Options and results'!$C$17," ",Arablesystem!$E$11),Arablesystem!$B$10:$ER$72,$A58+3,FALSE)*IF(A58&gt;='Options and results'!$H$19,'Options and results'!$H$18,1))</f>
        <v>0</v>
      </c>
      <c r="F58" s="1440">
        <f>IF(B58=0,0,HLOOKUP(CONCATENATE('Options and results'!$C$17," ",Arablesystem!$F$11),Arablesystem!$B$10:$ER$72,$A58+3,FALSE)*IF(A58&gt;='Options and results'!$H$19,'Options and results'!$H$18,1))</f>
        <v>0</v>
      </c>
      <c r="G58" s="1013">
        <f>IF(D58&lt;=0,0,IF(A58&lt;='Options and results'!$W$20,IF(C58&gt;0,VLOOKUP(B58,Arablefinance!$Z$6:$AE$105,Arablefinance!$AD$2,FALSE)*C58*D58,((VLOOKUP(B58,Arablefinance!$E$6:$G$126,Arablefinance!$F$2,FALSE)*(E58*D58)+VLOOKUP(B58,Arablefinance!$E$6:$G$126,Arablefinance!$G$2,FALSE)*(F58*D58)))),0)*IF(A58&gt;='Options and results'!$H$21,'Options and results'!$H$20,1))*IF(1+'Options and results'!$O$20*(A58-1)&gt;0,1+'Options and results'!$O$20*(A58-1),0)</f>
        <v>0</v>
      </c>
      <c r="H58" s="1441">
        <f>IF(D58&lt;=0,0,IF(A58&lt;='Options and results'!$W$20,IF(AND(C58&gt;0,VLOOKUP(B58,Arablefinance!$Z$6:$AI$105,Arablefinance!$AI$2,FALSE)=2),VLOOKUP(B58,Arablefinance!$Z$6:$AE$105,Arablefinance!$AE$2,FALSE)*C58*D58,(VLOOKUP(B58,Arablefinance!$E$6:$H$126,Arablefinance!$H$2,FALSE)*D58))*IF(A58&gt;='Options and results'!$H$23,'Options and results'!$H$22,1),0)*IF(AND(1+'Options and results'!$O$23*(A58-1)&gt;0,1+'Options and results'!$O$23*(A58-1)&gt;'Options and results'!$S$24),1+'Options and results'!$O$23*(A58-1),'Options and results'!$S$24))</f>
        <v>0</v>
      </c>
      <c r="I58" s="1441">
        <f t="shared" si="127"/>
        <v>0</v>
      </c>
      <c r="J58" s="1441">
        <f>IF(D58&lt;=0,0,IF(A58&lt;='Options and results'!$W$20,IF(C58&gt;0,VLOOKUP(B58,Arablefinance!$Z$6:$AF$105,Arablefinance!$AF$2,FALSE)*C58*D58,(VLOOKUP(B58,Arablefinance!$E$6:$X$126,Arablefinance!$R$2,FALSE))*D58),0)*IF(A58&gt;='Options and results'!$H$27,'Options and results'!$H$26,1))*IF(1+'Options and results'!$O$22*(A58-1)&gt;0,1+'Options and results'!$O$22*(A58-1),0)</f>
        <v>0</v>
      </c>
      <c r="K58" s="1441">
        <f t="shared" si="128"/>
        <v>0</v>
      </c>
      <c r="L58" s="1441">
        <f>IF(D58&lt;=0,0,IF(A58&lt;='Options and results'!$W$20,IF(C58&gt;0,VLOOKUP(B58,Arablefinance!$Z$6:$AG$105,Arablefinance!$AG$2,FALSE)*C58*D58,VLOOKUP(B58,Arablefinance!$E$6:$X$126,Arablefinance!$X$2,FALSE)*D58),0)*IF(A58&gt;='Options and results'!$H$27,'Options and results'!$H$26,1))*IF(1+'Options and results'!$O$22*(A58-1)&gt;0,1+'Options and results'!$O$22*(A58-1),0)</f>
        <v>0</v>
      </c>
      <c r="M58" s="1442">
        <f>IF(D58&lt;=0,0,IF(A58&lt;='Options and results'!$W$20,'Options and results'!$C$27,0)*IF(A58&gt;='Options and results'!$H$27,'Options and results'!$H$26,1))*IF(1+'Options and results'!$O$21*(A58-1)&gt;0,1+'Options and results'!$O$21*(A58-1),0)</f>
        <v>0</v>
      </c>
      <c r="N58" s="1442">
        <f>IF(D58&lt;=0,0,IF(A58&lt;='Options and results'!$W$20,IF(C58&gt;0,VLOOKUP(B58,Arablefinance!$Z$6:$AH$105,Arablefinance!$AH$2,FALSE)*C58*D58,VLOOKUP(B58,Arablefinance!$E$6:$W$126,Arablefinance!$V$2,FALSE)*D58),0)*IF(A58&gt;='Options and results'!$H$25,'Options and results'!$H$24,1))</f>
        <v>0</v>
      </c>
      <c r="O58" s="1013">
        <f t="shared" si="129"/>
        <v>0</v>
      </c>
      <c r="P58" s="1353">
        <f t="shared" si="130"/>
        <v>0</v>
      </c>
      <c r="Q58" s="1013">
        <f>IF(A58&lt;='Options and results'!$W$20,SUM(G$8:$G58),0)</f>
        <v>0</v>
      </c>
      <c r="R58" s="1441">
        <f>IF($A58&lt;='Options and results'!$W$20,SUM($H$8:H58),0)</f>
        <v>0</v>
      </c>
      <c r="S58" s="1441">
        <f>IF($A58&lt;='Options and results'!$W$20,SUM($O$8:O58),0)</f>
        <v>0</v>
      </c>
      <c r="T58" s="1032">
        <f>IF(A58&lt;='Options and results'!$W$20,Q58+R58-S58,0)</f>
        <v>0</v>
      </c>
      <c r="U58" s="405"/>
      <c r="V58" s="1010">
        <f t="shared" si="131"/>
        <v>51</v>
      </c>
      <c r="W58" s="173"/>
      <c r="X58" s="1036"/>
      <c r="Y58" s="1030">
        <f>IF(V58&lt;='Options and results'!$M$34,'Options and results'!$M$33,0)</f>
        <v>0</v>
      </c>
      <c r="Z58" s="1441">
        <f t="shared" si="132"/>
        <v>0</v>
      </c>
      <c r="AA58" s="1441">
        <f t="shared" si="133"/>
        <v>0</v>
      </c>
      <c r="AB58" s="1428">
        <f t="shared" si="134"/>
        <v>0</v>
      </c>
      <c r="AC58" s="1441">
        <f>IF($W$8=0,0,IF(HLOOKUP(CONCATENATE('Options and results'!$C$32," ",Forestrysystem!$C$8),Forestrysystem!$A$7:$IH$70,V58+4,FALSE)&lt;AB58,HLOOKUP(CONCATENATE('Options and results'!$C$32," ",Forestrysystem!$C$8),Forestrysystem!$A$7:$IH$70,V58+4,FALSE),0))</f>
        <v>0</v>
      </c>
      <c r="AD58" s="1441">
        <f>IF($W$8=0,0,IF(HLOOKUP(CONCATENATE('Options and results'!$C$32," ",Forestrysystem!$C$8),Forestrysystem!$A$7:$IH$70,V58+4,FALSE)&gt;=AB58,AB58,0))</f>
        <v>0</v>
      </c>
      <c r="AE58" s="1440">
        <f>IF($W$8=0,0,HLOOKUP(CONCATENATE('Options and results'!$C$32," ",Forestrysystem!$D$8),Forestrysystem!$A$7:$IH$70,$V58+4,FALSE))</f>
        <v>0</v>
      </c>
      <c r="AF58" s="1037"/>
      <c r="AG58" s="1440">
        <f>IF($W$8=0,0,IF(V58=1,'Options and results'!$M$36,0)+IF('Options and results'!$M$39="yes",IF(AND(AG57+'Options and results'!$M$37&lt;=$AF$8,AG57+'Options and results'!$M$37+IF(V58=1,'Options and results'!$M$36,0)&lt;='Options and results'!$M$38*AE58),AG57+'Options and results'!$M$37,AG57),(HLOOKUP(CONCATENATE('Options and results'!$C$32," ",Forestrysystem!$E$8),Forestrysystem!$A$7:$IH$70,V58+4,FALSE))-IF(V58=1,'Options and results'!$M$36,0)))</f>
        <v>0</v>
      </c>
      <c r="AH58" s="1442">
        <f>IF(OR($W$8=0,AB58&lt;=0),0,(HLOOKUP(CONCATENATE('Options and results'!$C$32," ",Forestrysystem!$F$8),Forestrysystem!$A$7:$IH$70,$V58+4,FALSE)) * IF(V58&gt;='Options and results'!$I$19,'Options and results'!$I$18,1) )</f>
        <v>0</v>
      </c>
      <c r="AI58" s="1452">
        <f t="shared" si="179"/>
        <v>0</v>
      </c>
      <c r="AJ58" s="1442">
        <f t="shared" si="135"/>
        <v>0</v>
      </c>
      <c r="AK58" s="1453">
        <f>IF(OR($W$8=0,AE58&lt;=0),0,(HLOOKUP(CONCATENATE('Options and results'!$C$32," ",Forestrysystem!$G$8),Forestrysystem!$A$7:$IH$70,$V58+4,FALSE)) * IF(Y58&gt;='Options and results'!$I$19,'Options and results'!$I$18,1) )</f>
        <v>0</v>
      </c>
      <c r="AL58" s="1453">
        <f>IF($W$8=0,0,HLOOKUP(CONCATENATE('Options and results'!$C$32," ",Forestrysystem!$H$8),Forestrysystem!$A$7:$IH$70,$V58+4,FALSE)*IF(V58&gt;='Options and results'!$I$19,'Options and results'!$I$18,1))</f>
        <v>0</v>
      </c>
      <c r="AM58" s="1383">
        <f>IF($W$8=0,0,HLOOKUP(CONCATENATE('Options and results'!$C$32," ",Forestrysystem!$I$8),Forestrysystem!$A$7:$IH$70,$V58+4,FALSE)*IF(V58&gt;='Options and results'!$I$19,'Options and results'!$I$18,1))</f>
        <v>0</v>
      </c>
      <c r="AN58" s="1382">
        <f>IF(AI58&gt;0,HLOOKUP(AI58,Treevalue!$I$4:$BC$34,'Options and results'!$C$39+1),0)*IF(V58&gt;='Options and results'!$I$21,'Options and results'!$I$20,1)*IF(1+'Options and results'!$Q$20*(V58-1)&gt;0,1+'Options and results'!$Q$20*(V58-1),0)</f>
        <v>0</v>
      </c>
      <c r="AO58" s="1454">
        <f t="shared" si="136"/>
        <v>0</v>
      </c>
      <c r="AP58" s="1454">
        <f t="shared" si="187"/>
        <v>0</v>
      </c>
      <c r="AQ58" s="1454">
        <f>(IF('Options and results'!$C$39&gt;0,IF(V58&lt;='Options and results'!$W$20,VLOOKUP('Options and results'!$C$39,Treevalue!$A$4:$F$34,5,FALSE),0),0)*AK58)*IF(V58&gt;='Options and results'!$I$21,'Options and results'!$I$20,1)*IF(1+'Options and results'!$Q$20*(V58-1)&gt;0,1+'Options and results'!$Q$20*(V58-1),0)-AR58</f>
        <v>0</v>
      </c>
      <c r="AR58" s="1441">
        <f>(IF('Options and results'!$C$39&gt;0,IF(V58&lt;='Options and results'!$W$20,VLOOKUP('Options and results'!$C$39,Treevalue!$A$4:$F$34,5,FALSE),0),0)*AL58)*IF(V58&gt;='Options and results'!$I$21,'Options and results'!$I$20,1)*IF(1+'Options and results'!$Q$20*(V58-1)&gt;0,1+'Options and results'!$Q$20*(V58-1),0)</f>
        <v>0</v>
      </c>
      <c r="AS58" s="1441">
        <f>(IF('Options and results'!$C$39&gt;0,IF(V58&lt;='Options and results'!$W$20,VLOOKUP('Options and results'!$C$39,Treevalue!$A$4:$F$34,6,FALSE),0),0)*AM58)*IF(V58&gt;='Options and results'!$I$21,'Options and results'!$I$20,1)*IF(1+'Options and results'!$Q$20*(V58-1)&gt;0,1+'Options and results'!$Q$20*(V58-1),0)</f>
        <v>0</v>
      </c>
      <c r="AT58" s="1441">
        <f>IF(V58&lt;='Options and results'!$W$20,(IF(AB58&lt;=0,0,IF('Options and results'!$C$43="cost",(IF(V58&lt;='Options and results'!$C$44,BZ58*SUM('Options and results'!$C$45:$C$46),0)),IF('Options and results'!$C$41&gt;0,(IF(VLOOKUP('Options and results'!$C$42,Treegrant!$B$6:$L$42,Treegrant!$C$2,FALSE)=V58,VLOOKUP('Options and results'!$C$42,Treegrant!$B$6:$L$42,Treegrant!$D$2,FALSE),0)+IF(VLOOKUP('Options and results'!$C$42,Treegrant!$B$6:$L$42,Treegrant!$E$2,FALSE)=V58,VLOOKUP('Options and results'!$C$42,Treegrant!$B$6:$L$42,Treegrant!$F$2,FALSE),0)+IF(VLOOKUP('Options and results'!$C$42,Treegrant!$B$6:$L$42,Treegrant!$G$2,FALSE)=V58,VLOOKUP('Options and results'!$C$42,Treegrant!$B$6:$L$42,Treegrant!$H$2,FALSE)))*IF('Options and results'!$C$43="area",1,'Options and results'!$C$43),0)))*IF(V58&gt;='Options and results'!$I$23,'Options and results'!$I$22,1)),0)*IF(1+'Options and results'!$Q$23*(V58-1)&gt;0,1+'Options and results'!$Q$23*(V58-1),0)</f>
        <v>0</v>
      </c>
      <c r="AU58" s="1441">
        <f>IF($W$8=0,0,IF(V58&lt;='Options and results'!$W$20,IF(AB58&lt;=0,0,IF('Options and results'!$C$41&gt;0,IF(AND(VLOOKUP('Options and results'!$C$42,Treegrant!$B$6:$L$42,Treegrant!$J$2,FALSE)&lt;=V58,VLOOKUP('Options and results'!$C$42,Treegrant!$B$6:$L$42,Treegrant!$K$2,FALSE)&gt;=V58),(VLOOKUP('Options and results'!$C$42,Treegrant!$B$6:$L$42,Treegrant!$L$2,FALSE)),0)*IF('Options and results'!$C$47="full",1,'Options and results'!$C$47))*IF(V58&gt;='Options and results'!$I$23,'Options and results'!$I$22,1)),0))*IF(1+'Options and results'!$Q$23*(V58-1)&gt;0,1+'Options and results'!$Q$23*(V58-1),0)</f>
        <v>0</v>
      </c>
      <c r="AV58" s="1032">
        <f>IF($W$8=0,0,IF(V58&lt;='Options and results'!$W$20,IF(AB58&lt;=0,0,(IF('Options and results'!$C$41&gt;0,(IF(AND(VLOOKUP('Options and results'!$C$42,Treegrant!$B$6:$O$42,Treegrant!$M$2,FALSE)&lt;=V58,VLOOKUP('Options and results'!$C$42,Treegrant!$B$6:$O$42,Treegrant!$N$2,FALSE)&gt;=V58),(VLOOKUP('Options and results'!$C$42,Treegrant!$B$6:$O$42,Treegrant!$O$2,FALSE)),0)*IF('Options and results'!$C$48="full",1,'Options and results'!$C$48))+(IF(AND(VLOOKUP('Options and results'!$C$42,Treegrant!$B$6:$R$42,Treegrant!$P$2,FALSE)&lt;=V58,VLOOKUP('Options and results'!$C$42,Treegrant!$B$6:$R$42,Treegrant!$Q$2,FALSE)&gt;=V58),(VLOOKUP('Options and results'!$C$42,Treegrant!$B$6:$R$42,Treegrant!$R$2,FALSE)),0))*IF('Options and results'!$C$49="full",1,'Options and results'!$C$49)))*IF(V58&gt;='Options and results'!$I$23,'Options and results'!$I$22,1)),0))*IF(1+'Options and results'!$Q$23*(V58-1)&gt;0,1+'Options and results'!$Q$23*(V58-1),0)</f>
        <v>0</v>
      </c>
      <c r="AW58" s="1041"/>
      <c r="AX58" s="1042"/>
      <c r="AY58" s="1419">
        <f>IF($W$8=0,0,IF(V58=1,VLOOKUP($W$8,Treecost!$B$6:$AH$49,Treecost!$E$2,FALSE),0)*IF(V58&gt;='Options and results'!$I$25,'Options and results'!$I$24,1))</f>
        <v>0</v>
      </c>
      <c r="AZ58" s="889">
        <f>IF($W$8=0,0,IF(V58=1,VLOOKUP($W$8,Treecost!$B$6:$AH$49,Treecost!$F$2,FALSE),0)*IF(V58&gt;='Options and results'!$I$25,'Options and results'!$I$24,1))</f>
        <v>0</v>
      </c>
      <c r="BA58" s="889">
        <f>IF($W$8=0,0,IF(V58=1,VLOOKUP($W$8,Treecost!$B$6:$AH$49,Treecost!$G$2,FALSE),0)*IF(V58&gt;='Options and results'!$I$25,'Options and results'!$I$24,1))</f>
        <v>0</v>
      </c>
      <c r="BB58" s="889">
        <f>IF($W$8=0,0,IF(V58&lt;='Options and results'!$W$20,((VLOOKUP($W$8,Treecost!$B$6:$AH$49,Treecost!$H$2,FALSE)*(X58+AA58))/60)*IF(V58&gt;='Options and results'!$I$25,'Options and results'!$I$24,1),0))</f>
        <v>0</v>
      </c>
      <c r="BC58" s="889">
        <f>IF($W$8=0,0,IF(V58&lt;='Options and results'!$W$20,(((VLOOKUP($W$8,Treecost!$B$6:$AH$49,Treecost!$I$2,FALSE))*(X58+AA58))/60)*IF(V58&gt;='Options and results'!$I$25,'Options and results'!$I$24,1),0))</f>
        <v>0</v>
      </c>
      <c r="BD58" s="889">
        <f>IF($W$8=0,0,IF(V58&lt;='Options and results'!$W$20,(((VLOOKUP($W$8,Treecost!$B$6:$AH$49,Treecost!$J$2,FALSE))/60)*(X58+AA58))*IF(V58&gt;='Options and results'!$I$25,'Options and results'!$I$24,1),0))</f>
        <v>0</v>
      </c>
      <c r="BE58" s="1019">
        <f>IF($W$8=0,0,IF(V58&lt;='Options and results'!$W$20,(((VLOOKUP($W$8,Treecost!$B$6:$AH$49,Treecost!$C$2,FALSE)+VLOOKUP($W$8,Treecost!$B$6:$AH$49,Treecost!$D$2,FALSE))*(X58+AA58)*IF(1+'Options and results'!$Q$22*(V58-1)&gt;0,1+'Options and results'!$Q$22*(V58-1),0))+((AY58*$AX$8+AZ58*$AX$9+BA58*$AX$10+BB58*$AX$11+BC58*$AX$12+BD58*$AX$13)*IF(1+'Options and results'!$Q$21*(V58-1)&gt;0,1+'Options and results'!$Q$21*(V58-1),0)))*IF(V58&gt;='Options and results'!$I$27,'Options and results'!$I$26,1),0))</f>
        <v>0</v>
      </c>
      <c r="BF58" s="889">
        <f>IF($W$8=0,0,IF(V58&lt;='Options and results'!$W$20,IF(AND(VLOOKUP($W$8,Treecost!$B$6:$AH$49,Treecost!$K$2,FALSE)&lt;=V58,V58&lt;=(VLOOKUP($W$8,Treecost!$B$6:$AH$49,Treecost!$L$2,FALSE))),VLOOKUP($W$8,Treecost!$B$6:$AH$49,Treecost!$M$2,FALSE)*AB58/60,0)*IF(V58&gt;='Options and results'!$I$25,'Options and results'!$I$24,1),0))</f>
        <v>0</v>
      </c>
      <c r="BG58" s="1019">
        <f>IF(BF58&gt;0,(VLOOKUP($W$8,Treecost!$B$6:$AH$49,Treecost!$N$2,FALSE)*AB58*IF(1+'Options and results'!$Q$22*(V58-1)&gt;0,1+'Options and results'!$Q$22*(V58-1),0)+BF58*$AX$14*IF(1+'Options and results'!$Q$21*(V58-1)&gt;0,1+'Options and results'!$Q$21*(V58-1),0)),0)*IF(V58&gt;='Options and results'!$I$27,'Options and results'!$I$26,1)</f>
        <v>0</v>
      </c>
      <c r="BH58" s="889">
        <f>IF(V58&lt;='Options and results'!$W$20,IF(AND(AG58-AG57&gt;0,AG58&gt;'Options and results'!$M$36),(AB58-AC58)*(VLOOKUP($W$8,Treecost!$B$6:$AH$49,Treecost!$Y$2,FALSE)+(VLOOKUP($W$8,Treecost!$B$6:$AH$49,Treecost!$AA$2,FALSE)-VLOOKUP($W$8,Treecost!$B$6:$AH$49,Treecost!$Y$2,FALSE))/(VLOOKUP($W$8,Treecost!$B$6:$AH$49,Treecost!$Z$2,FALSE)-VLOOKUP($W$8,Treecost!$B$6:$AH$49,Treecost!$X$2,FALSE))*(AG58-VLOOKUP($W$8,Treecost!$B$6:$AH$49,Treecost!$X$2,FALSE)))/60,0)*IF(V58&gt;='Options and results'!$I$25,'Options and results'!$I$24,1),0)</f>
        <v>0</v>
      </c>
      <c r="BI58" s="303">
        <f>IF(V58&lt;='Options and results'!$W$20,IF(BH58&gt;0,VLOOKUP($W$8,Treecost!$B$6:$AH$49,Treecost!$AB$2,FALSE)/60*AB58,0)*IF(V58&gt;='Options and results'!$I$25,'Options and results'!$I$24,1),0)*((BH58-(MIN($BH$8:$BH$67)))/((MAX($BH$8:$BH$67))-(MIN($BH$8:$BH$67))))</f>
        <v>0</v>
      </c>
      <c r="BJ58" s="740">
        <f>IF(BH58&gt;0,(BH58*$AX$15+BI58*$AX$19)*IF(1+'Options and results'!$Q$21*(V58-1)&gt;0,1+'Options and results'!$Q$21*(V58-1),0),0)*IF(V58&gt;='Options and results'!$I$27,'Options and results'!$I$26,1)</f>
        <v>0</v>
      </c>
      <c r="BK58" s="891">
        <f>IF($W$8=0,0,IF(V58&lt;='Options and results'!$W$20,IF(VLOOKUP($W$8,Treecost!$B$2:$AH$49,Treecost!$O$2,FALSE)=V58,VLOOKUP($W$8,Treecost!$B$2:$AH$49,Treecost!$P$2,FALSE),0)*IF(V58&gt;='Options and results'!$I$25,'Options and results'!$I$24,1),0))</f>
        <v>0</v>
      </c>
      <c r="BL58" s="889">
        <f>IF($W$8=0,0,IF(V58&lt;='Options and results'!$W$20,IF(AND(V58&gt;VLOOKUP($W$8,Treecost!$B$2:$AH$49,Treecost!$O$2,FALSE),V58&lt;=VLOOKUP($W$8,Treecost!$B$2:$AH$49,Treecost!$R$2,FALSE)),VLOOKUP($W$8,Treecost!$B$2:$AH$49,Treecost!$S$2,FALSE),0)*IF(V58&gt;='Options and results'!$I$25,'Options and results'!$I$24,1),0))</f>
        <v>0</v>
      </c>
      <c r="BM58" s="740">
        <f>IF($W$8=0,0,IF(V58&lt;='Options and results'!$W$20,((IF(VLOOKUP($W$8,Treecost!$B$2:$AH$49,Treecost!$O$2,FALSE)=V58,VLOOKUP($W$8,Treecost!$B$2:$AH$49,Treecost!$Q$2,FALSE),0)+IF(AND(V58&gt;VLOOKUP($W$8,Treecost!$B$2:$AH$49,Treecost!$O$2,FALSE),V58&lt;=VLOOKUP($W$8,Treecost!$B$2:$AH$49,Treecost!$R$2,FALSE)),VLOOKUP($W$8,Treecost!$B$2:$AH$49,Treecost!$T$2,FALSE),0)*IF(1+'Options and results'!$Q$22*(V58-1)&gt;0,1+'Options and results'!$Q$22*(V58-1),0))+(BK58*$AX$16+BL58*$AX$17)*IF(1+'Options and results'!$Q$21*(V58-1)&gt;0,1+'Options and results'!$Q$21*(V58-1),0))*IF(V58&gt;='Options and results'!$I$27,'Options and results'!$I$26,1),0))</f>
        <v>0</v>
      </c>
      <c r="BN58" s="894">
        <f>IF($W$8=0,0,IF(V58&lt;='Options and results'!$W$20,IF(AND(V58&gt;=VLOOKUP($W$8,Treecost!$B$2:$W$49,Treecost!$U$2,FALSE),V58&lt;=VLOOKUP($W$8,Treecost!$B$2:$W$49,Treecost!$V$2,FALSE)),(AB58*VLOOKUP($W$8,Treecost!$B$2:$W$49,Treecost!$W$2,FALSE)/60),0)*IF(V58&gt;='Options and results'!$I$25,'Options and results'!$I$24,1),0))</f>
        <v>0</v>
      </c>
      <c r="BO58" s="740">
        <f>BN58*$AX$18*IF(V58&gt;='Options and results'!$I$27,'Options and results'!$I$26,1)*IF(1+'Options and results'!$Q$21*(V58-1)&gt;0,1+'Options and results'!$Q$21*(V58-1),0)</f>
        <v>0</v>
      </c>
      <c r="BP58" s="894">
        <f>IF(V58&lt;='Options and results'!$W$20,IF(AB58&lt;=0,0,VLOOKUP($W$8,Treecost!$B$6:$AH$49,Treecost!$AC$2,FALSE)+VLOOKUP($W$8,Treecost!$B$6:$AH$49,Treecost!$AD$2,FALSE)+IF(AND(V58&gt;=VLOOKUP($W$8,Treecost!$B$2:$AK$49,Treecost!$AI$2,FALSE),V58&lt;=VLOOKUP($W$8,Treecost!$B$2:$AK$49,Treecost!$AJ$2,FALSE)),(VLOOKUP($W$8,Treecost!$B$2:$AK$49,Treecost!$AK$2,FALSE)),0))*IF(V58&gt;='Options and results'!$I$27,'Options and results'!$I$26,1),0)*IF(1+'Options and results'!$Q$22*(V58-1)&gt;0,1+'Options and results'!$Q$22*(V58-1),0)</f>
        <v>0</v>
      </c>
      <c r="BQ58" s="894">
        <f>IF(V58&lt;='Options and results'!$W$20,IF(AC58&gt;0,VLOOKUP($W$8,Treecost!$B$6:$AH$49,Treecost!$AE$2,FALSE)/60*AC58,0)*IF(V58&gt;='Options and results'!$I$25,'Options and results'!$I$24,1),0)</f>
        <v>0</v>
      </c>
      <c r="BR58" s="740">
        <f>IF(V58&lt;='Options and results'!$W$20,IF(AC58&gt;0,VLOOKUP($W$8,Treecost!$B$6:$AH$49,Treecost!$AF$2,FALSE)/60*AC58,0)*IF(V58&gt;='Options and results'!$I$25,'Options and results'!$I$24,1),0)</f>
        <v>0</v>
      </c>
      <c r="BS58" s="740">
        <f>(BQ58*$AX$20+BR58*$AX$21)*IF(V58&gt;='Options and results'!$I$27,'Options and results'!$I$26,1)*IF(1+'Options and results'!$Q$21*(V58-1)&gt;0,1+'Options and results'!$Q$21*(V58-1),0)</f>
        <v>0</v>
      </c>
      <c r="BT58" s="894">
        <f>IF(V58&lt;='Options and results'!$W$20,IF(AD58&gt;0,(VLOOKUP($W$8,Treecost!$B$6:$AH$49,Treecost!$AG$2,FALSE)/60*AD58)*IF(V58&gt;='Options and results'!$I$25,'Options and results'!$I$24,1),0),0)</f>
        <v>0</v>
      </c>
      <c r="BU58" s="740">
        <f>IF(V58&lt;='Options and results'!$W$20,IF(AD58&gt;0,(VLOOKUP($W$8,Treecost!$B$6:$AH$49,Treecost!$AH$2,FALSE)/60*AD58)*IF(V58&gt;='Options and results'!$I$25,'Options and results'!$I$24,1),0),0)</f>
        <v>0</v>
      </c>
      <c r="BV58" s="740">
        <f>(BT58*$AX$22+BU58*$AX$23)*IF(V58&gt;='Options and results'!$I$27,'Options and results'!$I$26,1)*IF(1+'Options and results'!$Q$21*(V58-1)&gt;0,1+'Options and results'!$Q$21*(V58-1),0)</f>
        <v>0</v>
      </c>
      <c r="BW58" s="1033">
        <f t="shared" si="138"/>
        <v>0</v>
      </c>
      <c r="BX58" s="1027">
        <f t="shared" si="139"/>
        <v>0</v>
      </c>
      <c r="BY58" s="1027">
        <f t="shared" si="140"/>
        <v>0</v>
      </c>
      <c r="BZ58" s="740">
        <f t="shared" si="188"/>
        <v>0</v>
      </c>
      <c r="CA58" s="740">
        <f t="shared" si="141"/>
        <v>0</v>
      </c>
      <c r="CB58" s="894">
        <f>IF($V58&lt;='Options and results'!$W$20,SUM(BX$8:$BX58),0)</f>
        <v>0</v>
      </c>
      <c r="CC58" s="740">
        <f>IF($V58&lt;='Options and results'!$W$20,SUM($BY$8:BY58),0)</f>
        <v>0</v>
      </c>
      <c r="CD58" s="740">
        <f>IF($V58&lt;='Options and results'!$W$20,SUM($BZ$8:BZ58),0)</f>
        <v>0</v>
      </c>
      <c r="CE58" s="740">
        <f>IF(V58&lt;='Options and results'!$W$20,CB58+CC58-CD58,0)</f>
        <v>0</v>
      </c>
      <c r="CF58" s="1381">
        <f t="shared" si="142"/>
        <v>0</v>
      </c>
      <c r="CG58" s="1027">
        <f t="shared" si="143"/>
        <v>0</v>
      </c>
      <c r="CH58" s="1027">
        <f t="shared" si="144"/>
        <v>0</v>
      </c>
      <c r="CI58" s="1189">
        <f>IF(V58&lt;='Options and results'!$W$20,CE58+AO58,0)</f>
        <v>0</v>
      </c>
      <c r="CJ58" s="1023"/>
      <c r="CK58" s="895">
        <f t="shared" si="145"/>
        <v>51</v>
      </c>
      <c r="CL58" s="1011" t="str">
        <f>IF('Options and results'!$C$54="None",0,IF(AND(CK58&gt;='Options and results'!$K$57,CK57&lt;'Options and results'!$W$20),'Options and results'!$K$56,IF(Optimisation!$B$3="No",CONCATENATE('Options and results'!$C$60," ",(HLOOKUP(CONCATENATE('Options and results'!$C$54," ",Agroforestrysystem!$B$12),Agroforestrysystem!$B$11:$IM$74,$CK58+4,FALSE))),Optimisation!AA78)))</f>
        <v xml:space="preserve">UK - Agriculture (BPS: from 2015) </v>
      </c>
      <c r="CM58" s="1012">
        <f>IF(HLOOKUP(CONCATENATE('Options and results'!$C$54," ",Agroforestrysystem!$C$12),Agroforestrysystem!$B$11:$IM$74,$CK58+4,FALSE)="T",(VLOOKUP(CL58,Arablefinance!$Z$6:$AB$105,Arablefinance!$AB$2,FALSE)*CO58+VLOOKUP(CL58,Arablefinance!$Z$6:$AC$105,Arablefinance!$AC$2,FALSE)*CP58)/VLOOKUP(CL58,Arablefinance!$Z$6:$AA$105,Arablefinance!$AA$2,FALSE),0)</f>
        <v>0</v>
      </c>
      <c r="CN58" s="1012">
        <f>IF(CL58=0,0,HLOOKUP(CONCATENATE('Options and results'!$C$54," ",Agroforestrysystem!$D$12),Agroforestrysystem!$B$11:$IM$74,$CK58+4,FALSE))</f>
        <v>0</v>
      </c>
      <c r="CO58" s="1440">
        <f ca="1">IF(CL58=0,0,IF(AND(Optimisation!$B$3="yes",Optimisation!$B$4=1,CK58&gt;Optimisation!$B$9),0,HLOOKUP(CONCATENATE('Options and results'!$C$54," ",Agroforestrysystem!$E$12),Agroforestrysystem!$B$11:$IM$74,$CK58+4,FALSE)*IF(CK58&gt;='Options and results'!$J$19,'Options and results'!$J$18,1)))</f>
        <v>0</v>
      </c>
      <c r="CP58" s="1440">
        <f ca="1">IF(CL58=0,0,IF(AND(Optimisation!$B$3="yes",Optimisation!$B$4=1,CK58&gt;Optimisation!$B$9),0,HLOOKUP(CONCATENATE('Options and results'!$C$54," ",Agroforestrysystem!$F$12),Agroforestrysystem!$B$11:$IM$74,$CK58+4,FALSE)*IF(CK58&gt;='Options and results'!$J$19,'Options and results'!$J$18,1)))</f>
        <v>0</v>
      </c>
      <c r="CQ58" s="1013">
        <f>IF(CN58&lt;=0,0,IF(CK58&lt;='Options and results'!$W$20,IF(CM58&gt;0,VLOOKUP(CL58,Arablefinance!$Z$6:$AE$105,Arablefinance!$AD$2,FALSE)*CM58*CN58,((VLOOKUP(CL58,Arablefinance!$E$6:$H$126,2,FALSE)*CO58+VLOOKUP(CL58,Arablefinance!$E$6:$H$126,3,FALSE)*CP58)*CN58)),0)*IF(CK58&gt;='Options and results'!$J$21,'Options and results'!$J$20,1))*IF(1+'Options and results'!$O$20*(CK58-1)&gt;0,1+'Options and results'!$O$20*(CK58-1),0)</f>
        <v>0</v>
      </c>
      <c r="CR58" s="1441">
        <f>IF(CN58&lt;=0,0,IF(AND(CM58&gt;0,VLOOKUP(CL58,Arablefinance!$Z$6:$AI$105,Arablefinance!$AI$2,FALSE)=2),VLOOKUP(CL58,Arablefinance!$Z$6:$AE$105,Arablefinance!$AE$2,FALSE)*CM58*CN58,IF('Options and results'!$C$62&gt;0,IF(VLOOKUP(CL58,Arablefinance!$E$6:$W$126,Arablefinance!$H$2,FALSE)*(1-Plot!DM58*'Options and results'!$C$62)&gt;0,VLOOKUP(CL58,Arablefinance!$E$6:$W$126,Arablefinance!$H$2,FALSE)*(1-Plot!DM58*'Options and results'!$C$62),0),IF(CK58&lt;='Options and results'!$W$20,(VLOOKUP(CL58,Arablefinance!$E$6:$W$126,Arablefinance!$H$2,FALSE)*IF('Options and results'!$C$61="area",CN58,'Options and results'!$C$61)),0)))*IF(CK58&gt;='Options and results'!$J$23,'Options and results'!$J$22,1))*IF(AND(1+'Options and results'!$O$23*(CK58-1)&gt;0,1+'Options and results'!$O$23*(CK58-1)&gt;'Options and results'!$S$24),1+'Options and results'!$O$23*(CK58-1),'Options and results'!$S$24)</f>
        <v>0</v>
      </c>
      <c r="CS58" s="1441">
        <f t="shared" si="185"/>
        <v>0</v>
      </c>
      <c r="CT58" s="1441">
        <f>IF(CN58&lt;=0,0,IF(CK58&lt;='Options and results'!$W$20,IF(CM58&gt;0,VLOOKUP(CL58,Arablefinance!$Z$6:$AF$105,Arablefinance!$AF$2,FALSE)*CM58*CN58,VLOOKUP(CL58,Arablefinance!$E$6:$X$126,Arablefinance!$R$2,FALSE)*CN58),0)*IF(CK58&gt;='Options and results'!$J$27,'Options and results'!$J$26,1))*IF(1+'Options and results'!$O$22*(CK58-1)&gt;0,1+'Options and results'!$O$22*(CK58-1),0)</f>
        <v>0</v>
      </c>
      <c r="CU58" s="1441">
        <f t="shared" si="186"/>
        <v>0</v>
      </c>
      <c r="CV58" s="1441">
        <f>IF(CN58&lt;=0,0,IF(CK58&lt;='Options and results'!$W$20,IF(CM58&gt;0,VLOOKUP(CL58,Arablefinance!$Z$6:$AG$105,Arablefinance!$AG$2,FALSE)*CM58*CN58,VLOOKUP(CL58,Arablefinance!$E$6:$X$126,Arablefinance!$X$2,FALSE)*CN58),0)*IF(CK58&gt;='Options and results'!$J$27,'Options and results'!$J$26,1))*IF(1+'Options and results'!$O$22*(CK58-1)&gt;0,1+'Options and results'!$O$22*(CK58-1),0)</f>
        <v>0</v>
      </c>
      <c r="CW58" s="1442">
        <f>IF(CN58&lt;=0,0,IF(CK58&lt;='Options and results'!$W$20,'Options and results'!$C$27*IF(CK58&gt;='Options and results'!$J$27,'Options and results'!$J$26,1),0))*IF(1+'Options and results'!$O$21*(CK58-1)&gt;0,1+'Options and results'!$O$21*(CK58-1),0)</f>
        <v>0</v>
      </c>
      <c r="CX58" s="1442">
        <f>IF(CN58&lt;=0,0,IF(CK58&lt;='Options and results'!$W$20,IF(CM58&gt;0,VLOOKUP(CL58,Arablefinance!$Z$6:$AH$105,Arablefinance!$AH$2,FALSE)*CM58*CN58,VLOOKUP(CL58,Arablefinance!$E$6:$W$126,Arablefinance!$V$2,FALSE)*CN58),0)*IF(CK58&gt;='Options and results'!$J$25,'Options and results'!$J$24,1))</f>
        <v>0</v>
      </c>
      <c r="CY58" s="1013">
        <f t="shared" si="148"/>
        <v>0</v>
      </c>
      <c r="CZ58" s="1353">
        <f t="shared" si="149"/>
        <v>0</v>
      </c>
      <c r="DA58" s="1013">
        <f>IF($CK58&lt;='Options and results'!$W$20,SUM($CQ$8:CQ58),0)</f>
        <v>0</v>
      </c>
      <c r="DB58" s="1441">
        <f>IF($CK58&lt;='Options and results'!$W$20,SUM($CR$8:CR58),0)</f>
        <v>0</v>
      </c>
      <c r="DC58" s="1441">
        <f>IF($CK58&lt;='Options and results'!$W$20,SUM($CY$8:CY58),0)</f>
        <v>0</v>
      </c>
      <c r="DD58" s="1189">
        <f>IF(CK58&lt;='Options and results'!$W$20,DA58+DB58-DC58,0)</f>
        <v>0</v>
      </c>
      <c r="DE58" s="401"/>
      <c r="DF58" s="895">
        <f t="shared" si="150"/>
        <v>51</v>
      </c>
      <c r="DG58" s="173"/>
      <c r="DH58" s="1422"/>
      <c r="DI58" s="1427">
        <f>IF(DF58&lt;='Options and results'!$M$61,'Options and results'!$M$60,0)</f>
        <v>0</v>
      </c>
      <c r="DJ58" s="740">
        <f t="shared" si="151"/>
        <v>0</v>
      </c>
      <c r="DK58" s="740">
        <f t="shared" si="152"/>
        <v>0</v>
      </c>
      <c r="DL58" s="1428">
        <f t="shared" si="153"/>
        <v>0</v>
      </c>
      <c r="DM58" s="1429">
        <f>IF($DG$8=0,0,HLOOKUP(CONCATENATE('Options and results'!$C$54," ",Agroforestrysystem!$J$12),Agroforestrysystem!$11:$74,DF58+3,FALSE))/100</f>
        <v>0</v>
      </c>
      <c r="DN58" s="740">
        <f>IF($DG$8=0,0,IF(HLOOKUP(CONCATENATE('Options and results'!$C$54," ",Agroforestrysystem!$H$12),Agroforestrysystem!$11:$74,DF58+4,FALSE)&lt;DL58,HLOOKUP(CONCATENATE('Options and results'!$C$54," ",Agroforestrysystem!$H$12),Agroforestrysystem!$11:$74,DF58+4,FALSE),0))</f>
        <v>0</v>
      </c>
      <c r="DO58" s="1027">
        <f>IF($DG$8=0,0,IF(HLOOKUP(CONCATENATE('Options and results'!$C$54," ",Agroforestrysystem!$H$12),Agroforestrysystem!$11:$74,DF58+4,FALSE)&gt;=DL58,DL58,0))</f>
        <v>0</v>
      </c>
      <c r="DP58" s="1430">
        <f>IF($DG$8=0,0,HLOOKUP(CONCATENATE('Options and results'!$C$54," ",Agroforestrysystem!$I$12),Agroforestrysystem!$11:$74,DF58+4,FALSE))</f>
        <v>0</v>
      </c>
      <c r="DQ58" s="1038"/>
      <c r="DR58" s="1430">
        <f>IF($DG$8=0,0,IF(DF58&gt;'Options and results'!$W$20,0,)+IF(DF58=1,'Options and results'!$M$64)+IF('Options and results'!$M$67="yes",IF(AND(DR57+'Options and results'!$M$65&lt;=$DQ$8,DR57+'Options and results'!$M$65+IF(DF58=1,'Options and results'!$M$64,0)&lt;='Options and results'!$M$66*DP58),DR57+'Options and results'!$M$65,DR57),(HLOOKUP(CONCATENATE('Options and results'!$C$54," ",Agroforestrysystem!$K$12),Agroforestrysystem!$11:$74,DF58+4,FALSE)-IF(DF58=1,'Options and results'!$M$64))))</f>
        <v>0</v>
      </c>
      <c r="DS58" s="1027">
        <f>IF(OR($DG$8=0,DL58=0),0,HLOOKUP(CONCATENATE('Options and results'!$C$54," ",Agroforestrysystem!$L$12),Agroforestrysystem!$11:$74,DF58+4,FALSE)*IF(DF58&gt;='Options and results'!$K$19,'Options and results'!$K$18,1))</f>
        <v>0</v>
      </c>
      <c r="DT58" s="1431">
        <f t="shared" si="154"/>
        <v>0</v>
      </c>
      <c r="DU58" s="889">
        <f t="shared" si="155"/>
        <v>0</v>
      </c>
      <c r="DV58" s="1027">
        <f>IF($DG$8=0,0,(HLOOKUP(CONCATENATE('Options and results'!$C$54," ",Agroforestrysystem!$M$12),Agroforestrysystem!$11:$74,DF58+4,FALSE))*IF(DF58&gt;='Options and results'!$K$19,'Options and results'!$K$18,1))-DW58</f>
        <v>0</v>
      </c>
      <c r="DW58" s="303">
        <f>IF($DG$8=0,0,(HLOOKUP(CONCATENATE('Options and results'!$C$54," ",Agroforestrysystem!$N$12),Agroforestrysystem!$11:$74,DF58+4,FALSE))*IF(DF58&gt;='Options and results'!$K$19,'Options and results'!$K$18,1))</f>
        <v>0</v>
      </c>
      <c r="DX58" s="303">
        <f>IF($DG$8=0,0,HLOOKUP(CONCATENATE('Options and results'!$C$54," ",Agroforestrysystem!$O$12),Agroforestrysystem!$11:$74,DF58+4,FALSE)*IF(DF58&gt;='Options and results'!$K$19,'Options and results'!$K$18,1))</f>
        <v>0</v>
      </c>
      <c r="DY58" s="1192">
        <f>IF(DT58&gt;0,HLOOKUP(DT58,Treevalue!$I$4:$BC$34,'Options and results'!$C$66+1),0)*IF(DF58&gt;='Options and results'!$K$21,'Options and results'!$K$20,1)*IF(1+'Options and results'!$Q$20*(DF58-1)&gt;0,1+'Options and results'!$Q$20*(DF58-1),0)</f>
        <v>0</v>
      </c>
      <c r="DZ58" s="1027">
        <f t="shared" si="156"/>
        <v>0</v>
      </c>
      <c r="EA58" s="1027">
        <f t="shared" si="125"/>
        <v>0</v>
      </c>
      <c r="EB58" s="1027">
        <f>(IF('Options and results'!$C$66&gt;0,IF(DF58&lt;='Options and results'!$W$20,VLOOKUP('Options and results'!$C$66,Treevalue!$A$4:$F$34,5,FALSE),0),0)*DV58)*IF(DF58&gt;='Options and results'!$K$21,'Options and results'!$K$20,1)*IF(1+'Options and results'!$Q$20*(DF58-1)&gt;0,1+'Options and results'!$Q$20*(DF58-1),0)</f>
        <v>0</v>
      </c>
      <c r="EC58" s="740">
        <f>(IF('Options and results'!$C$66&gt;0,IF(DF58&lt;='Options and results'!$W$20,VLOOKUP('Options and results'!$C$66,Treevalue!$A$4:$F$34,5,FALSE),0),0)*DW58)*IF(DF58&gt;='Options and results'!$K$21,'Options and results'!$K$20,1)*IF(1+'Options and results'!$Q$20*(DF58-1)&gt;0,1+'Options and results'!$Q$20*(DF58-1),0)</f>
        <v>0</v>
      </c>
      <c r="ED58" s="889">
        <f>(IF('Options and results'!$C$66&gt;0,IF(DF58&lt;='Options and results'!$W$20,VLOOKUP('Options and results'!$C$66,Treevalue!$A$4:$F$34,6,FALSE),0),0)*DX58)*IF(DF58&gt;='Options and results'!$K$21,'Options and results'!$K$20,1)*IF(1+'Options and results'!$Q$20*(DF58-1)&gt;0,1+'Options and results'!$Q$20*(DF58-1),0)</f>
        <v>0</v>
      </c>
      <c r="EE58" s="740">
        <f>IF(DF58&lt;='Options and results'!$W$20,IF(DL58&lt;=0,0,IF('Options and results'!$C$70="cost",(IF(DF58&lt;='Options and results'!$C$71,FK58*SUM('Options and results'!$C$72:$C$73),0)),IF('Options and results'!$C$68&gt;0,(IF(VLOOKUP('Options and results'!$C$69,Treegrant!$B$6:$L$42,Treegrant!$C$2,FALSE)=DF58,VLOOKUP('Options and results'!$C$69,Treegrant!$B$6:$L$42,Treegrant!$D$2,FALSE),0)+IF(VLOOKUP('Options and results'!$C$69,Treegrant!$B$6:$L$42,Treegrant!$E$2,FALSE)=DF58,VLOOKUP('Options and results'!$C$69,Treegrant!$B$6:$L$42,Treegrant!$F$2,FALSE),0)+IF(VLOOKUP('Options and results'!$C$69,Treegrant!$B$6:$L$42,Treegrant!$G$2,FALSE)=DF58,VLOOKUP('Options and results'!$C$69,Treegrant!$B$6:$L$42,Treegrant!$H$2,FALSE)))*IF('Options and results'!$C$70="area",Unit!C59,'Options and results'!$C$70),0))*IF(DF58&gt;='Options and results'!$K$23,'Options and results'!$K$22,1)),0)*IF(1+'Options and results'!$Q$23*(DF58-1)&gt;0,1+'Options and results'!$Q$23*(DF58-1),0)</f>
        <v>0</v>
      </c>
      <c r="EF58" s="740">
        <f>IF($DG$8=0,0,IF(DF58&lt;='Options and results'!$W$20,IF(DL58&lt;=0,0,IF('Options and results'!$C$68&gt;0,IF(AND(VLOOKUP('Options and results'!$C$69,Treegrant!$B$6:$L$42,Treegrant!$J$2,FALSE)&lt;=DF58,VLOOKUP('Options and results'!$C$69,Treegrant!$B$6:$L$42,Treegrant!$K$2,FALSE)&gt;=DF58),(VLOOKUP('Options and results'!$C$69,Treegrant!$B$6:$L$42,Treegrant!$L$2,FALSE)),0)*IF('Options and results'!$C$74="area",Unit!C59,'Options and results'!$C$74))*IF(DF58&gt;='Options and results'!$K$23,'Options and results'!$K$22,1)),0))*IF(1+'Options and results'!$Q$23*(DF58-1)&gt;0,1+'Options and results'!$Q$23*(DF58-1),0)</f>
        <v>0</v>
      </c>
      <c r="EG58" s="1034">
        <f>IF($DG$8=0,0,IF(DF58&lt;='Options and results'!$W$20,IF(DL58&lt;=0,0,IF('Options and results'!$C$68&gt;0,((IF(AND(VLOOKUP('Options and results'!$C$69,Treegrant!$B$6:$O$42,Treegrant!$M$2,FALSE)&lt;=DF58,VLOOKUP('Options and results'!$C$69,Treegrant!$B$6:$O$42,Treegrant!$N$2,FALSE)&gt;=DF58),(VLOOKUP('Options and results'!$C$69,Treegrant!$B$6:$O$42,Treegrant!$O$2,FALSE)),0)*IF('Options and results'!$C$75="area",Unit!C59,'Options and results'!$C$75))+(IF(AND(VLOOKUP('Options and results'!$C$69,Treegrant!$B$6:$R$42,Treegrant!$P$2,FALSE)&lt;=DF58,VLOOKUP('Options and results'!$C$69,Treegrant!$B$6:$R$42,Treegrant!$Q$2,FALSE)&gt;=DF58),(VLOOKUP('Options and results'!$C$69,Treegrant!$B$6:$R$42,Treegrant!$R$2,FALSE)),0))*IF('Options and results'!$C$76="area",Unit!C59,'Options and results'!$C$76)))*IF(DF58&gt;='Options and results'!$K$23,'Options and results'!$K$22,1)),0))*IF(1+'Options and results'!$Q$23*(DF58-1)&gt;0,1+'Options and results'!$Q$23*(DF58-1),0)</f>
        <v>0</v>
      </c>
      <c r="EH58" s="1041"/>
      <c r="EI58" s="1042"/>
      <c r="EJ58" s="1419">
        <f>IF($DH$8+DK58&lt;1,0,IF(DF58=1,VLOOKUP($DG$8,Treecost!$B$6:$AH$49,Treecost!$E$2,FALSE),0)*IF(DF58&gt;='Options and results'!$K$25,'Options and results'!$K$24,1))</f>
        <v>0</v>
      </c>
      <c r="EK58" s="889">
        <f>IF($DH$8+DK58&lt;1,0,IF(DF58=1,VLOOKUP($DG$8,Treecost!$B$6:$AH$49,Treecost!$F$2,FALSE),0)*IF(DF58&gt;='Options and results'!$K$25,'Options and results'!$K$24,1))</f>
        <v>0</v>
      </c>
      <c r="EL58" s="889">
        <f>IF($DH$8+DK58&lt;1,0,IF(DF58=1,VLOOKUP($DG$8,Treecost!$B$6:$AH$49,Treecost!$G$2,FALSE),0)*IF(DF58&gt;='Options and results'!$K$25,'Options and results'!$K$24,1))</f>
        <v>0</v>
      </c>
      <c r="EM58" s="889">
        <f>IF($DG$8=0,0,IF(DF58&lt;='Options and results'!$W$20,((VLOOKUP($DG$8,Treecost!$B$6:$AH$49,Treecost!$H$2,FALSE)*(DH58+DK58))/60)*IF(DF58&gt;='Options and results'!$K$25,'Options and results'!$K$24,1),0))</f>
        <v>0</v>
      </c>
      <c r="EN58" s="889">
        <f>IF($DG$8=0,0,IF(DF58&lt;='Options and results'!$W$20,(((VLOOKUP($DG$8,Treecost!$B$6:$AH$49,Treecost!$I$2,FALSE))*(DH58+DK58))/60)*IF(DF58&gt;='Options and results'!$K$25,'Options and results'!$K$24,1),0))</f>
        <v>0</v>
      </c>
      <c r="EO58" s="889">
        <f>IF($DG$8=0,0,IF(DF58&lt;='Options and results'!$W$20,(((VLOOKUP($DG$8,Treecost!$B$6:$AH$49,Treecost!$J$2,FALSE))/60)*(DH58+DK58))*IF(DF58&gt;='Options and results'!$K$25,'Options and results'!$K$24,1),0))</f>
        <v>0</v>
      </c>
      <c r="EP58" s="1019">
        <f>IF($DG$8=0,0,IF(DF58&lt;='Options and results'!$W$20,(((VLOOKUP($DG$8,Treecost!$B$6:$AH$49,Treecost!$C$2,FALSE)+VLOOKUP($DG$8,Treecost!$B$6:$AH$49,Treecost!$D$2,FALSE))*(DH58+DK58)*IF(1+'Options and results'!$Q$22*(DF58-1)&gt;0,1+'Options and results'!$Q$22*(DF58-1),0))+(EJ58*$EI$8+EK58*$EI$9+EL58*$EI$10+EM58*$EI$11+EN58*$EI$12+EO58*$EI$13)*IF(1+'Options and results'!$Q$21*(DF58-1)&gt;0,1+'Options and results'!$Q$21*(DF58-1),0))*IF(DF58&gt;='Options and results'!$K$27,'Options and results'!$K$26,1),0))</f>
        <v>0</v>
      </c>
      <c r="EQ58" s="740">
        <f>IF($DG$8=0,0,IF(DF58&lt;='Options and results'!$W$20,IF(AND(VLOOKUP($DG$8,Treecost!$B$6:$AH$49,Treecost!$K$2,FALSE)&lt;=DF58,DF58&lt;=(VLOOKUP($DG$8,Treecost!$B$6:$AH$49,Treecost!$L$2,FALSE))),VLOOKUP($DG$8,Treecost!$B$6:$AH$49,Treecost!$M$2,FALSE)*DL58/60,0)*IF(DF58&gt;='Options and results'!$K$25,'Options and results'!$K$24,1),0))</f>
        <v>0</v>
      </c>
      <c r="ER58" s="1019">
        <f>IF(EQ58&gt;0,(VLOOKUP($DG$8,Treecost!$B$6:$AH$49,Treecost!$N$2,FALSE)*DL58*IF(1+'Options and results'!$Q$22*(DF58-1)&gt;0,1+'Options and results'!$Q$22*(DF58-1),0)+EQ58*$EI$14*IF(1+'Options and results'!$Q$21*(DF58-1)&gt;0,1+'Options and results'!$Q$21*(DF58-1),0)),0)*IF(DF58&gt;='Options and results'!$K$27,'Options and results'!$K$26,1)</f>
        <v>0</v>
      </c>
      <c r="ES58" s="889">
        <f>IF(DF58&lt;='Options and results'!$W$20,IF(AND(DR58-DR57&gt;0,DR58&gt;'Options and results'!$M$64),(DL58-DN58)*(VLOOKUP($DG$8,Treecost!$B$6:$AH$49,Treecost!$Y$2,FALSE)+(VLOOKUP($DG$8,Treecost!$B$6:$AH$49,Treecost!$AA$2,FALSE)-VLOOKUP($DG$8,Treecost!$B$6:$AH$49,Treecost!$Y$2,FALSE))/(VLOOKUP($DG$8,Treecost!$B$6:$AH$49,Treecost!$Z$2,FALSE)-VLOOKUP($DG$8,Treecost!$B$6:$AH$49,Treecost!$X$2,FALSE))*(DR58-VLOOKUP($DG$8,Treecost!$B$6:$AH$49,Treecost!$X$2,FALSE)))/60,0)*IF(DF58&gt;='Options and results'!$K$25,'Options and results'!$K$24,1),0)</f>
        <v>0</v>
      </c>
      <c r="ET58" s="889">
        <f>IF(DF58&lt;='Options and results'!$W$20,IF(ES58&gt;0,VLOOKUP($DG$8,Treecost!$B$6:$AH$49,Treecost!$AB$2,FALSE)/60*DL58,0)*IF(DF58&gt;='Options and results'!$K$25,'Options and results'!$K$24,1),0)*((ES58-(MIN($ES$8:$ES$67)))/((MAX($ES$8:$ES$67))-(MIN($ES$8:$ES$67))))</f>
        <v>0</v>
      </c>
      <c r="EU58" s="740">
        <f>IF(ES58&gt;0,(ES58*$EI$15+ET58*$EI$19)*IF(1+'Options and results'!$Q$21*(DF58-1)&gt;0,1+'Options and results'!$Q$21*(DF58-1),0),0)*IF(DF58&gt;='Options and results'!$K$27,'Options and results'!$K$26,1)</f>
        <v>0</v>
      </c>
      <c r="EV58" s="891">
        <f>IF($DG$8=0,0,IF(DF58&lt;='Options and results'!$W$20,IF(AND(VLOOKUP($DG$8,Treecost!$B$2:$AH$49,Treecost!$O$2,FALSE)=DF58,DF58&lt;=IF(AND(Optimisation!$B$3="Yes",Optimisation!$B$4=1),Optimisation!$B$9)),VLOOKUP($DG$8,Treecost!$B$2:$AH$49,Treecost!$P$2,FALSE)*(1-CN58),0)*IF(DF58&gt;='Options and results'!$K$25,'Options and results'!$K$24,1),0))</f>
        <v>0</v>
      </c>
      <c r="EW58" s="889">
        <f>IF($DG$8=0,0,IF(DF58&lt;='Options and results'!$W$20,IF(AND(DF58&gt;VLOOKUP($DG$8,Treecost!$B$2:$AH$49,Treecost!$O$2,FALSE),DF58&lt;=IF(AND(Optimisation!$B$3="Yes",Optimisation!$B$4=1),Optimisation!$B$9,VLOOKUP($DG$8,Treecost!$B$2:$AH$49,Treecost!$R$2,FALSE))),VLOOKUP($DG$8,Treecost!$B$2:$AH$49,Treecost!$S$2,FALSE)*(1-CN58),0)*IF(DF58&gt;='Options and results'!$K$25,'Options and results'!$K$24,1),0))</f>
        <v>0</v>
      </c>
      <c r="EX58" s="740">
        <f>IF($DG$8=0,0,IF(DF58&lt;='Options and results'!$W$20,(IF(AND(VLOOKUP($DG$8,Treecost!$B$2:$AH$49,Treecost!$O$2,FALSE)=DF58,DF58&lt;=IF(AND(Optimisation!$B$3="Yes",Optimisation!$B$4=1),Optimisation!$B$9)),VLOOKUP($DG$8,Treecost!$B$2:$AH$49,Treecost!$Q$2,FALSE),0)*(1-CN58)+IF(AND(DF58&gt;VLOOKUP($DG$8,Treecost!$B$2:$AH$49,Treecost!$O$2,FALSE),DF58&lt;=IF(AND(Optimisation!$B$3="Yes",Optimisation!$B$4=1),Optimisation!$B$9,VLOOKUP($DG$8,Treecost!$B$2:$AH$49,Treecost!$R$2,FALSE))),VLOOKUP($DG$8,Treecost!$B$2:$AH$49,Treecost!$T$2,FALSE),0)*(1-CN58)+(EV58*$EI$16+EW58*$EI$17))*IF(DF58&gt;='Options and results'!$K$27,'Options and results'!$K$26,1),0))*IF(1+'Options and results'!$Q$21*(DF58-1)&gt;0,1+'Options and results'!$Q$21*(DF58-1),0)</f>
        <v>0</v>
      </c>
      <c r="EY58" s="894">
        <f>IF($DG$8=0,0,IF(DF58&lt;='Options and results'!$W$20,IF(AND(DF58&gt;=VLOOKUP($DG$8,Treecost!$B$2:$W$49,Treecost!$U$2,FALSE),DF58&lt;=VLOOKUP($DG$8,Treecost!$B$2:$W$49,Treecost!$V$2,FALSE)),(DL58*VLOOKUP($DG$8,Treecost!$B$2:$W$49,Treecost!$W$2,FALSE)/60),0)*IF(DF58&gt;='Options and results'!$K$25,'Options and results'!$K$24,1),0))</f>
        <v>0</v>
      </c>
      <c r="EZ58" s="740">
        <f>EY58*$EI$18*IF(DF58&gt;='Options and results'!$K$27,'Options and results'!$K$26,1)*IF(1+'Options and results'!$Q$21*(DF58-1)&gt;0,1+'Options and results'!$Q$21*(DF58-1),0)</f>
        <v>0</v>
      </c>
      <c r="FA58" s="1025">
        <f>IF(DF58&lt;='Options and results'!$W$20,IF(DL58&lt;=0,0,VLOOKUP($DG$8,Treecost!$B$6:$AH$49,Treecost!$AC$2,FALSE)+VLOOKUP($DG$8,Treecost!$B$6:$AH$49,Treecost!$AD$2,FALSE)+IF(AND(DF58&gt;=VLOOKUP($DG$8,Treecost!$B$2:$AK$49,Treecost!$AI$2,FALSE),DF58&lt;=VLOOKUP($DG$8,Treecost!$B$2:$AK$49,Treecost!$AJ$2,FALSE)),VLOOKUP($DG$8,Treecost!$B$2:$AK$49,Treecost!$AK$2,FALSE)*(1-CN58),0))*IF(DF58&gt;='Options and results'!$K$27,'Options and results'!$K$26,1),0)*IF(1+'Options and results'!$Q$22*(DF58-1)&gt;0,1+'Options and results'!$Q$22*(DF58-1),0)</f>
        <v>0</v>
      </c>
      <c r="FB58" s="894">
        <f>IF(DF58&lt;='Options and results'!$W$20,IF(DN58&gt;0,VLOOKUP($DG$8,Treecost!$B$6:$AH$49,Treecost!$AE$2,FALSE)/60*DN58,0)*IF(DF58&gt;='Options and results'!$K$25,'Options and results'!$K$24,1),0)</f>
        <v>0</v>
      </c>
      <c r="FC58" s="740">
        <f>IF(DF58&lt;='Options and results'!$W$20,IF(DN58&gt;0,VLOOKUP($DG$8,Treecost!$B$6:$AH$49,Treecost!$AF$2,FALSE)/60*DN58,0)*IF(DF58&gt;='Options and results'!$K$25,'Options and results'!$K$24,1),0)</f>
        <v>0</v>
      </c>
      <c r="FD58" s="740">
        <f>(FB58*$EI$20+FC58*$EI$21)*IF(DF58&gt;='Options and results'!$K$27,'Options and results'!$K$26,1)*IF(1+'Options and results'!$Q$21*(DF58-1)&gt;0,1+'Options and results'!$Q$21*(DF58-1),0)</f>
        <v>0</v>
      </c>
      <c r="FE58" s="894">
        <f>IF(DF58&lt;='Options and results'!$W$20,IF(DO58&gt;0,(VLOOKUP($DG$8,Treecost!$B$6:$AH$49,Treecost!$AG$2,FALSE)/60*DO58)*IF(DF58&gt;='Options and results'!$K$25,'Options and results'!$K$24,1),0),0)</f>
        <v>0</v>
      </c>
      <c r="FF58" s="740">
        <f>IF(DF58&lt;='Options and results'!$W$20,IF(DO58&gt;0,(VLOOKUP($DG$8,Treecost!$B$6:$AH$49,Treecost!$AH$2,FALSE)/60*DO58)*IF(DF58&gt;='Options and results'!$K$25,'Options and results'!$K$24,1),0),0)</f>
        <v>0</v>
      </c>
      <c r="FG58" s="740">
        <f>(FE58*$EI$22+FF58*$EI$23)*IF(DF58&gt;='Options and results'!$K$27,'Options and results'!$K$26,1)*IF(1+'Options and results'!$Q$21*(DF58-1)&gt;0,1+'Options and results'!$Q$21*(DF58-1),0)</f>
        <v>0</v>
      </c>
      <c r="FH58" s="894">
        <f t="shared" si="157"/>
        <v>0</v>
      </c>
      <c r="FI58" s="1027">
        <f t="shared" si="158"/>
        <v>0</v>
      </c>
      <c r="FJ58" s="1027">
        <f t="shared" si="159"/>
        <v>0</v>
      </c>
      <c r="FK58" s="1027">
        <f t="shared" si="160"/>
        <v>0</v>
      </c>
      <c r="FL58" s="1027">
        <f t="shared" si="190"/>
        <v>0</v>
      </c>
      <c r="FM58" s="1027">
        <f>IF($DF58&lt;='Options and results'!$W$20,SUM(FI$8:$FI58),0)</f>
        <v>0</v>
      </c>
      <c r="FN58" s="1027">
        <f>IF($DF58&lt;='Options and results'!$W$20,SUM($FJ$8:FJ58),0)</f>
        <v>0</v>
      </c>
      <c r="FO58" s="1027">
        <f>IF($DF58&lt;='Options and results'!$W$20,SUM($FK$8:FK58),0)</f>
        <v>0</v>
      </c>
      <c r="FP58" s="1027">
        <f>IF($DF58&lt;='Options and results'!$W$20,FM58+FN58-FO58,0)</f>
        <v>0</v>
      </c>
      <c r="FQ58" s="1027">
        <f t="shared" si="162"/>
        <v>0</v>
      </c>
      <c r="FR58" s="1027">
        <f t="shared" si="163"/>
        <v>0</v>
      </c>
      <c r="FS58" s="1027">
        <f t="shared" si="164"/>
        <v>0</v>
      </c>
      <c r="FT58" s="1189">
        <f>IF(DF58&lt;='Options and results'!$W$20,FP58+DZ58,0)</f>
        <v>0</v>
      </c>
      <c r="FU58" s="401"/>
      <c r="FV58" s="895">
        <f t="shared" si="165"/>
        <v>51</v>
      </c>
      <c r="FW58" s="894">
        <f>G58/(1+'Options and results'!$W$33)^(FV58-1)</f>
        <v>0</v>
      </c>
      <c r="FX58" s="740">
        <f>(AP58+AR58+AS58)/(1+'Options and results'!$W$33)^(FV58-1)</f>
        <v>0</v>
      </c>
      <c r="FY58" s="740">
        <f>CQ58/(1+'Options and results'!$W$33)^(FV58-1)</f>
        <v>0</v>
      </c>
      <c r="FZ58" s="740">
        <f>(EA58+EC58+ED58)/(1+'Options and results'!$W$33)^(FV58-1)</f>
        <v>0</v>
      </c>
      <c r="GA58" s="1019">
        <f t="shared" si="180"/>
        <v>0</v>
      </c>
      <c r="GB58" s="1026">
        <f>(AO58+AQ58)/(1+'Options and results'!$W$33)^(FV58-1)+FX58</f>
        <v>0</v>
      </c>
      <c r="GC58" s="1027">
        <f>IF(FV58&gt;'Options and results'!$W$27,0,GB58-GB57)</f>
        <v>0</v>
      </c>
      <c r="GD58" s="1027">
        <f>(DZ58+EB58)/(1+'Options and results'!$W$33)^(FV58-1)+FZ58</f>
        <v>0</v>
      </c>
      <c r="GE58" s="1379">
        <f>IF(FV58&gt;'Options and results'!$W$27,0,GD58-GD57)</f>
        <v>0</v>
      </c>
      <c r="GF58" s="894">
        <f>IF(FV58&lt;='Options and results'!$W$20,SUM(FW$8:FW58),0)</f>
        <v>0</v>
      </c>
      <c r="GG58" s="740">
        <f>IF(FV58&lt;='Options and results'!$W$20,SUM(FX$8:FX58), 0)</f>
        <v>0</v>
      </c>
      <c r="GH58" s="740">
        <f>IF(FV58&lt;='Options and results'!$W$20,SUM(FY$8:FY58),0)</f>
        <v>0</v>
      </c>
      <c r="GI58" s="740">
        <f>IF(FV58&lt;='Options and results'!$W$20,SUM(FZ$8:FZ58),0)</f>
        <v>0</v>
      </c>
      <c r="GJ58" s="1019">
        <f t="shared" si="166"/>
        <v>0</v>
      </c>
      <c r="GK58" s="894">
        <f>IF(FV58&gt;'Options and results'!$W$27,0,GG58+SUM(GC$8:GC58)-FX58)</f>
        <v>0</v>
      </c>
      <c r="GL58" s="740">
        <f>IF(FV58&lt;='Options and results'!$W$20,SUM(GD$8:GD58),0)</f>
        <v>0</v>
      </c>
      <c r="GM58" s="1034">
        <f t="shared" si="167"/>
        <v>0</v>
      </c>
      <c r="GN58" s="401"/>
      <c r="GO58" s="895">
        <f t="shared" si="168"/>
        <v>51</v>
      </c>
      <c r="GP58" s="894">
        <f>H58/(1+'Options and results'!$W$33)^(GO58-1)</f>
        <v>0</v>
      </c>
      <c r="GQ58" s="740">
        <f>SUM(AT58:AV58)/(1+'Options and results'!$W$33)^(GO58-1)</f>
        <v>0</v>
      </c>
      <c r="GR58" s="740">
        <f>CR58/(1+'Options and results'!$W$33)^(GO58-1)</f>
        <v>0</v>
      </c>
      <c r="GS58" s="740">
        <f>SUM(EE58:EG58)/(1+'Options and results'!$W$33)^(GO58-1)</f>
        <v>0</v>
      </c>
      <c r="GT58" s="1019">
        <f t="shared" si="181"/>
        <v>0</v>
      </c>
      <c r="GU58" s="894">
        <f>IF(GO58&lt;='Options and results'!$W$20,SUM(GP$8:GP58),0)</f>
        <v>0</v>
      </c>
      <c r="GV58" s="740">
        <f>IF(GO58&lt;='Options and results'!$W$20,SUM(GQ$8:GQ58),0)</f>
        <v>0</v>
      </c>
      <c r="GW58" s="740">
        <f>IF(GO58&lt;='Options and results'!$W$20,SUM(GR$8:GR58),0)</f>
        <v>0</v>
      </c>
      <c r="GX58" s="740">
        <f>IF(GO58&lt;='Options and results'!$W$20,SUM(GS$8:GS58),0)</f>
        <v>0</v>
      </c>
      <c r="GY58" s="1034">
        <f>IF(GO58&lt;='Options and results'!$W$20,SUM(GT$8:GT58),0)</f>
        <v>0</v>
      </c>
      <c r="GZ58" s="401"/>
      <c r="HA58" s="895">
        <f t="shared" si="169"/>
        <v>51</v>
      </c>
      <c r="HB58" s="1026">
        <f>(J58+L58+(M58*N58))/(1+'Options and results'!$W$33)^(HA58-1)</f>
        <v>0</v>
      </c>
      <c r="HC58" s="740">
        <f>BZ58/(1+'Options and results'!$W$33)^(HA58-1)</f>
        <v>0</v>
      </c>
      <c r="HD58" s="1027">
        <f>(CT58+CV58+(CW58*CX58))/(1+'Options and results'!$W$33)^(HA58-1)</f>
        <v>0</v>
      </c>
      <c r="HE58" s="740">
        <f>FK58/(1+'Options and results'!$W$33)^(HA58-1)</f>
        <v>0</v>
      </c>
      <c r="HF58" s="1019">
        <f t="shared" si="182"/>
        <v>0</v>
      </c>
      <c r="HG58" s="894">
        <f>IF(HA58&lt;='Options and results'!$W$20,SUM(HB$8:HB58),0)</f>
        <v>0</v>
      </c>
      <c r="HH58" s="740">
        <f>IF(HA58&lt;='Options and results'!$W$20,SUM(HC$8:HC58),0)</f>
        <v>0</v>
      </c>
      <c r="HI58" s="740">
        <f>IF(HA58&lt;='Options and results'!$W$20,SUM(HD$8:HD58),0)</f>
        <v>0</v>
      </c>
      <c r="HJ58" s="740">
        <f>IF(HA58&lt;='Options and results'!$W$20,SUM(HE$8:HE58),0)</f>
        <v>0</v>
      </c>
      <c r="HK58" s="1034">
        <f>IF(HA58&lt;='Options and results'!$W$20,SUM(HF$8:HF58),0)</f>
        <v>0</v>
      </c>
      <c r="HL58" s="405"/>
      <c r="HM58" s="895">
        <f t="shared" si="189"/>
        <v>51</v>
      </c>
      <c r="HN58" s="1026">
        <f t="shared" si="171"/>
        <v>0</v>
      </c>
      <c r="HO58" s="1027">
        <f t="shared" si="172"/>
        <v>0</v>
      </c>
      <c r="HP58" s="1027">
        <f t="shared" si="173"/>
        <v>0</v>
      </c>
      <c r="HQ58" s="1027">
        <f t="shared" si="174"/>
        <v>0</v>
      </c>
      <c r="HR58" s="1027">
        <f t="shared" si="175"/>
        <v>0</v>
      </c>
      <c r="HS58" s="1379">
        <f t="shared" si="176"/>
        <v>0</v>
      </c>
      <c r="HT58" s="1026">
        <f>IF($HM58&lt;='Options and results'!$W$20,SUM(HN$8:HN58),0)</f>
        <v>0</v>
      </c>
      <c r="HU58" s="1027">
        <f>IF($HM58&lt;='Options and results'!$W$20,SUM(HO$8:HO58),0)</f>
        <v>0</v>
      </c>
      <c r="HV58" s="1027">
        <f>IF($HM58&lt;='Options and results'!$W$20,SUM(HP$8:HP58),0)</f>
        <v>0</v>
      </c>
      <c r="HW58" s="1027">
        <f>IF($HM58&lt;='Options and results'!$W$20,SUM(HQ$8:HQ58),0)</f>
        <v>0</v>
      </c>
      <c r="HX58" s="1027">
        <f t="shared" si="177"/>
        <v>0</v>
      </c>
      <c r="HY58" s="1027">
        <f>IF($HM58&lt;='Options and results'!$W$20,SUM(HR$8:HR58),0)</f>
        <v>0</v>
      </c>
      <c r="HZ58" s="1027">
        <f>IF($HM58&lt;='Options and results'!$W$20,SUM(HS$8:HS58),0)</f>
        <v>0</v>
      </c>
      <c r="IA58" s="1189">
        <f t="shared" si="178"/>
        <v>0</v>
      </c>
    </row>
    <row r="59" spans="1:235" x14ac:dyDescent="0.25">
      <c r="A59" s="1010">
        <f t="shared" si="126"/>
        <v>52</v>
      </c>
      <c r="B59" s="1011" t="str">
        <f>IF('Options and results'!$C$17="None",0,CONCATENATE('Options and results'!$C$23," ",(HLOOKUP(CONCATENATE('Options and results'!$C$17," ",Arablesystem!$B$11),Arablesystem!$B$10:$ER$72,$A59+3,FALSE))))</f>
        <v xml:space="preserve">UK - Agriculture (BPS: from 2015) </v>
      </c>
      <c r="C59" s="1012">
        <f>IF(HLOOKUP(CONCATENATE('Options and results'!$C$17," ",Arablesystem!$C$11),Arablesystem!$B$10:$ER$72,$A59+3,FALSE)="T",(VLOOKUP(B59,Arablefinance!$Z$6:$AB$105,Arablefinance!$AB$2,FALSE)*E59+VLOOKUP(B59,Arablefinance!$Z$6:$AC$105,Arablefinance!$AC$2,FALSE)*F59)/VLOOKUP(B59,Arablefinance!$Z$6:$AA$105,Arablefinance!$AA$2,FALSE),0)</f>
        <v>0</v>
      </c>
      <c r="D59" s="1012">
        <f>IF(B59=0,0,HLOOKUP(CONCATENATE('Options and results'!$C$17," ",Arablesystem!$D$11),Arablesystem!$B$10:$ER$72,$A59+3,FALSE))</f>
        <v>0</v>
      </c>
      <c r="E59" s="1440">
        <f>IF(B59=0,0,HLOOKUP(CONCATENATE('Options and results'!$C$17," ",Arablesystem!$E$11),Arablesystem!$B$10:$ER$72,$A59+3,FALSE)*IF(A59&gt;='Options and results'!$H$19,'Options and results'!$H$18,1))</f>
        <v>0</v>
      </c>
      <c r="F59" s="1440">
        <f>IF(B59=0,0,HLOOKUP(CONCATENATE('Options and results'!$C$17," ",Arablesystem!$F$11),Arablesystem!$B$10:$ER$72,$A59+3,FALSE)*IF(A59&gt;='Options and results'!$H$19,'Options and results'!$H$18,1))</f>
        <v>0</v>
      </c>
      <c r="G59" s="1013">
        <f>IF(D59&lt;=0,0,IF(A59&lt;='Options and results'!$W$20,IF(C59&gt;0,VLOOKUP(B59,Arablefinance!$Z$6:$AE$105,Arablefinance!$AD$2,FALSE)*C59*D59,((VLOOKUP(B59,Arablefinance!$E$6:$G$126,Arablefinance!$F$2,FALSE)*(E59*D59)+VLOOKUP(B59,Arablefinance!$E$6:$G$126,Arablefinance!$G$2,FALSE)*(F59*D59)))),0)*IF(A59&gt;='Options and results'!$H$21,'Options and results'!$H$20,1))*IF(1+'Options and results'!$O$20*(A59-1)&gt;0,1+'Options and results'!$O$20*(A59-1),0)</f>
        <v>0</v>
      </c>
      <c r="H59" s="1441">
        <f>IF(D59&lt;=0,0,IF(A59&lt;='Options and results'!$W$20,IF(AND(C59&gt;0,VLOOKUP(B59,Arablefinance!$Z$6:$AI$105,Arablefinance!$AI$2,FALSE)=2),VLOOKUP(B59,Arablefinance!$Z$6:$AE$105,Arablefinance!$AE$2,FALSE)*C59*D59,(VLOOKUP(B59,Arablefinance!$E$6:$H$126,Arablefinance!$H$2,FALSE)*D59))*IF(A59&gt;='Options and results'!$H$23,'Options and results'!$H$22,1),0)*IF(AND(1+'Options and results'!$O$23*(A59-1)&gt;0,1+'Options and results'!$O$23*(A59-1)&gt;'Options and results'!$S$24),1+'Options and results'!$O$23*(A59-1),'Options and results'!$S$24))</f>
        <v>0</v>
      </c>
      <c r="I59" s="1441">
        <f t="shared" si="127"/>
        <v>0</v>
      </c>
      <c r="J59" s="1441">
        <f>IF(D59&lt;=0,0,IF(A59&lt;='Options and results'!$W$20,IF(C59&gt;0,VLOOKUP(B59,Arablefinance!$Z$6:$AF$105,Arablefinance!$AF$2,FALSE)*C59*D59,(VLOOKUP(B59,Arablefinance!$E$6:$X$126,Arablefinance!$R$2,FALSE))*D59),0)*IF(A59&gt;='Options and results'!$H$27,'Options and results'!$H$26,1))*IF(1+'Options and results'!$O$22*(A59-1)&gt;0,1+'Options and results'!$O$22*(A59-1),0)</f>
        <v>0</v>
      </c>
      <c r="K59" s="1441">
        <f t="shared" si="128"/>
        <v>0</v>
      </c>
      <c r="L59" s="1441">
        <f>IF(D59&lt;=0,0,IF(A59&lt;='Options and results'!$W$20,IF(C59&gt;0,VLOOKUP(B59,Arablefinance!$Z$6:$AG$105,Arablefinance!$AG$2,FALSE)*C59*D59,VLOOKUP(B59,Arablefinance!$E$6:$X$126,Arablefinance!$X$2,FALSE)*D59),0)*IF(A59&gt;='Options and results'!$H$27,'Options and results'!$H$26,1))*IF(1+'Options and results'!$O$22*(A59-1)&gt;0,1+'Options and results'!$O$22*(A59-1),0)</f>
        <v>0</v>
      </c>
      <c r="M59" s="1442">
        <f>IF(D59&lt;=0,0,IF(A59&lt;='Options and results'!$W$20,'Options and results'!$C$27,0)*IF(A59&gt;='Options and results'!$H$27,'Options and results'!$H$26,1))*IF(1+'Options and results'!$O$21*(A59-1)&gt;0,1+'Options and results'!$O$21*(A59-1),0)</f>
        <v>0</v>
      </c>
      <c r="N59" s="1442">
        <f>IF(D59&lt;=0,0,IF(A59&lt;='Options and results'!$W$20,IF(C59&gt;0,VLOOKUP(B59,Arablefinance!$Z$6:$AH$105,Arablefinance!$AH$2,FALSE)*C59*D59,VLOOKUP(B59,Arablefinance!$E$6:$W$126,Arablefinance!$V$2,FALSE)*D59),0)*IF(A59&gt;='Options and results'!$H$25,'Options and results'!$H$24,1))</f>
        <v>0</v>
      </c>
      <c r="O59" s="1013">
        <f t="shared" si="129"/>
        <v>0</v>
      </c>
      <c r="P59" s="1353">
        <f t="shared" si="130"/>
        <v>0</v>
      </c>
      <c r="Q59" s="1013">
        <f>IF(A59&lt;='Options and results'!$W$20,SUM(G$8:$G59),0)</f>
        <v>0</v>
      </c>
      <c r="R59" s="1441">
        <f>IF($A59&lt;='Options and results'!$W$20,SUM($H$8:H59),0)</f>
        <v>0</v>
      </c>
      <c r="S59" s="1441">
        <f>IF($A59&lt;='Options and results'!$W$20,SUM($O$8:O59),0)</f>
        <v>0</v>
      </c>
      <c r="T59" s="1032">
        <f>IF(A59&lt;='Options and results'!$W$20,Q59+R59-S59,0)</f>
        <v>0</v>
      </c>
      <c r="U59" s="405"/>
      <c r="V59" s="1010">
        <f t="shared" si="131"/>
        <v>52</v>
      </c>
      <c r="W59" s="173"/>
      <c r="X59" s="1036"/>
      <c r="Y59" s="1030">
        <f>IF(V59&lt;='Options and results'!$M$34,'Options and results'!$M$33,0)</f>
        <v>0</v>
      </c>
      <c r="Z59" s="1441">
        <f t="shared" si="132"/>
        <v>0</v>
      </c>
      <c r="AA59" s="1441">
        <f t="shared" si="133"/>
        <v>0</v>
      </c>
      <c r="AB59" s="1428">
        <f t="shared" si="134"/>
        <v>0</v>
      </c>
      <c r="AC59" s="1441">
        <f>IF($W$8=0,0,IF(HLOOKUP(CONCATENATE('Options and results'!$C$32," ",Forestrysystem!$C$8),Forestrysystem!$A$7:$IH$70,V59+4,FALSE)&lt;AB59,HLOOKUP(CONCATENATE('Options and results'!$C$32," ",Forestrysystem!$C$8),Forestrysystem!$A$7:$IH$70,V59+4,FALSE),0))</f>
        <v>0</v>
      </c>
      <c r="AD59" s="1441">
        <f>IF($W$8=0,0,IF(HLOOKUP(CONCATENATE('Options and results'!$C$32," ",Forestrysystem!$C$8),Forestrysystem!$A$7:$IH$70,V59+4,FALSE)&gt;=AB59,AB59,0))</f>
        <v>0</v>
      </c>
      <c r="AE59" s="1440">
        <f>IF($W$8=0,0,HLOOKUP(CONCATENATE('Options and results'!$C$32," ",Forestrysystem!$D$8),Forestrysystem!$A$7:$IH$70,$V59+4,FALSE))</f>
        <v>0</v>
      </c>
      <c r="AF59" s="1037"/>
      <c r="AG59" s="1440">
        <f>IF($W$8=0,0,IF(V59=1,'Options and results'!$M$36,0)+IF('Options and results'!$M$39="yes",IF(AND(AG58+'Options and results'!$M$37&lt;=$AF$8,AG58+'Options and results'!$M$37+IF(V59=1,'Options and results'!$M$36,0)&lt;='Options and results'!$M$38*AE59),AG58+'Options and results'!$M$37,AG58),(HLOOKUP(CONCATENATE('Options and results'!$C$32," ",Forestrysystem!$E$8),Forestrysystem!$A$7:$IH$70,V59+4,FALSE))-IF(V59=1,'Options and results'!$M$36,0)))</f>
        <v>0</v>
      </c>
      <c r="AH59" s="1442">
        <f>IF(OR($W$8=0,AB59&lt;=0),0,(HLOOKUP(CONCATENATE('Options and results'!$C$32," ",Forestrysystem!$F$8),Forestrysystem!$A$7:$IH$70,$V59+4,FALSE)) * IF(V59&gt;='Options and results'!$I$19,'Options and results'!$I$18,1) )</f>
        <v>0</v>
      </c>
      <c r="AI59" s="1452">
        <f t="shared" si="179"/>
        <v>0</v>
      </c>
      <c r="AJ59" s="1442">
        <f t="shared" si="135"/>
        <v>0</v>
      </c>
      <c r="AK59" s="1453">
        <f>IF(OR($W$8=0,AE59&lt;=0),0,(HLOOKUP(CONCATENATE('Options and results'!$C$32," ",Forestrysystem!$G$8),Forestrysystem!$A$7:$IH$70,$V59+4,FALSE)) * IF(Y59&gt;='Options and results'!$I$19,'Options and results'!$I$18,1) )</f>
        <v>0</v>
      </c>
      <c r="AL59" s="1453">
        <f>IF($W$8=0,0,HLOOKUP(CONCATENATE('Options and results'!$C$32," ",Forestrysystem!$H$8),Forestrysystem!$A$7:$IH$70,$V59+4,FALSE)*IF(V59&gt;='Options and results'!$I$19,'Options and results'!$I$18,1))</f>
        <v>0</v>
      </c>
      <c r="AM59" s="1383">
        <f>IF($W$8=0,0,HLOOKUP(CONCATENATE('Options and results'!$C$32," ",Forestrysystem!$I$8),Forestrysystem!$A$7:$IH$70,$V59+4,FALSE)*IF(V59&gt;='Options and results'!$I$19,'Options and results'!$I$18,1))</f>
        <v>0</v>
      </c>
      <c r="AN59" s="1382">
        <f>IF(AI59&gt;0,HLOOKUP(AI59,Treevalue!$I$4:$BC$34,'Options and results'!$C$39+1),0)*IF(V59&gt;='Options and results'!$I$21,'Options and results'!$I$20,1)*IF(1+'Options and results'!$Q$20*(V59-1)&gt;0,1+'Options and results'!$Q$20*(V59-1),0)</f>
        <v>0</v>
      </c>
      <c r="AO59" s="1454">
        <f t="shared" si="136"/>
        <v>0</v>
      </c>
      <c r="AP59" s="1454">
        <f t="shared" si="187"/>
        <v>0</v>
      </c>
      <c r="AQ59" s="1454">
        <f>(IF('Options and results'!$C$39&gt;0,IF(V59&lt;='Options and results'!$W$20,VLOOKUP('Options and results'!$C$39,Treevalue!$A$4:$F$34,5,FALSE),0),0)*AK59)*IF(V59&gt;='Options and results'!$I$21,'Options and results'!$I$20,1)*IF(1+'Options and results'!$Q$20*(V59-1)&gt;0,1+'Options and results'!$Q$20*(V59-1),0)-AR59</f>
        <v>0</v>
      </c>
      <c r="AR59" s="1441">
        <f>(IF('Options and results'!$C$39&gt;0,IF(V59&lt;='Options and results'!$W$20,VLOOKUP('Options and results'!$C$39,Treevalue!$A$4:$F$34,5,FALSE),0),0)*AL59)*IF(V59&gt;='Options and results'!$I$21,'Options and results'!$I$20,1)*IF(1+'Options and results'!$Q$20*(V59-1)&gt;0,1+'Options and results'!$Q$20*(V59-1),0)</f>
        <v>0</v>
      </c>
      <c r="AS59" s="1441">
        <f>(IF('Options and results'!$C$39&gt;0,IF(V59&lt;='Options and results'!$W$20,VLOOKUP('Options and results'!$C$39,Treevalue!$A$4:$F$34,6,FALSE),0),0)*AM59)*IF(V59&gt;='Options and results'!$I$21,'Options and results'!$I$20,1)*IF(1+'Options and results'!$Q$20*(V59-1)&gt;0,1+'Options and results'!$Q$20*(V59-1),0)</f>
        <v>0</v>
      </c>
      <c r="AT59" s="1441">
        <f>IF(V59&lt;='Options and results'!$W$20,(IF(AB59&lt;=0,0,IF('Options and results'!$C$43="cost",(IF(V59&lt;='Options and results'!$C$44,BZ59*SUM('Options and results'!$C$45:$C$46),0)),IF('Options and results'!$C$41&gt;0,(IF(VLOOKUP('Options and results'!$C$42,Treegrant!$B$6:$L$42,Treegrant!$C$2,FALSE)=V59,VLOOKUP('Options and results'!$C$42,Treegrant!$B$6:$L$42,Treegrant!$D$2,FALSE),0)+IF(VLOOKUP('Options and results'!$C$42,Treegrant!$B$6:$L$42,Treegrant!$E$2,FALSE)=V59,VLOOKUP('Options and results'!$C$42,Treegrant!$B$6:$L$42,Treegrant!$F$2,FALSE),0)+IF(VLOOKUP('Options and results'!$C$42,Treegrant!$B$6:$L$42,Treegrant!$G$2,FALSE)=V59,VLOOKUP('Options and results'!$C$42,Treegrant!$B$6:$L$42,Treegrant!$H$2,FALSE)))*IF('Options and results'!$C$43="area",1,'Options and results'!$C$43),0)))*IF(V59&gt;='Options and results'!$I$23,'Options and results'!$I$22,1)),0)*IF(1+'Options and results'!$Q$23*(V59-1)&gt;0,1+'Options and results'!$Q$23*(V59-1),0)</f>
        <v>0</v>
      </c>
      <c r="AU59" s="1441">
        <f>IF($W$8=0,0,IF(V59&lt;='Options and results'!$W$20,IF(AB59&lt;=0,0,IF('Options and results'!$C$41&gt;0,IF(AND(VLOOKUP('Options and results'!$C$42,Treegrant!$B$6:$L$42,Treegrant!$J$2,FALSE)&lt;=V59,VLOOKUP('Options and results'!$C$42,Treegrant!$B$6:$L$42,Treegrant!$K$2,FALSE)&gt;=V59),(VLOOKUP('Options and results'!$C$42,Treegrant!$B$6:$L$42,Treegrant!$L$2,FALSE)),0)*IF('Options and results'!$C$47="full",1,'Options and results'!$C$47))*IF(V59&gt;='Options and results'!$I$23,'Options and results'!$I$22,1)),0))*IF(1+'Options and results'!$Q$23*(V59-1)&gt;0,1+'Options and results'!$Q$23*(V59-1),0)</f>
        <v>0</v>
      </c>
      <c r="AV59" s="1032">
        <f>IF($W$8=0,0,IF(V59&lt;='Options and results'!$W$20,IF(AB59&lt;=0,0,(IF('Options and results'!$C$41&gt;0,(IF(AND(VLOOKUP('Options and results'!$C$42,Treegrant!$B$6:$O$42,Treegrant!$M$2,FALSE)&lt;=V59,VLOOKUP('Options and results'!$C$42,Treegrant!$B$6:$O$42,Treegrant!$N$2,FALSE)&gt;=V59),(VLOOKUP('Options and results'!$C$42,Treegrant!$B$6:$O$42,Treegrant!$O$2,FALSE)),0)*IF('Options and results'!$C$48="full",1,'Options and results'!$C$48))+(IF(AND(VLOOKUP('Options and results'!$C$42,Treegrant!$B$6:$R$42,Treegrant!$P$2,FALSE)&lt;=V59,VLOOKUP('Options and results'!$C$42,Treegrant!$B$6:$R$42,Treegrant!$Q$2,FALSE)&gt;=V59),(VLOOKUP('Options and results'!$C$42,Treegrant!$B$6:$R$42,Treegrant!$R$2,FALSE)),0))*IF('Options and results'!$C$49="full",1,'Options and results'!$C$49)))*IF(V59&gt;='Options and results'!$I$23,'Options and results'!$I$22,1)),0))*IF(1+'Options and results'!$Q$23*(V59-1)&gt;0,1+'Options and results'!$Q$23*(V59-1),0)</f>
        <v>0</v>
      </c>
      <c r="AW59" s="1041"/>
      <c r="AX59" s="1042"/>
      <c r="AY59" s="1419">
        <f>IF($W$8=0,0,IF(V59=1,VLOOKUP($W$8,Treecost!$B$6:$AH$49,Treecost!$E$2,FALSE),0)*IF(V59&gt;='Options and results'!$I$25,'Options and results'!$I$24,1))</f>
        <v>0</v>
      </c>
      <c r="AZ59" s="889">
        <f>IF($W$8=0,0,IF(V59=1,VLOOKUP($W$8,Treecost!$B$6:$AH$49,Treecost!$F$2,FALSE),0)*IF(V59&gt;='Options and results'!$I$25,'Options and results'!$I$24,1))</f>
        <v>0</v>
      </c>
      <c r="BA59" s="889">
        <f>IF($W$8=0,0,IF(V59=1,VLOOKUP($W$8,Treecost!$B$6:$AH$49,Treecost!$G$2,FALSE),0)*IF(V59&gt;='Options and results'!$I$25,'Options and results'!$I$24,1))</f>
        <v>0</v>
      </c>
      <c r="BB59" s="889">
        <f>IF($W$8=0,0,IF(V59&lt;='Options and results'!$W$20,((VLOOKUP($W$8,Treecost!$B$6:$AH$49,Treecost!$H$2,FALSE)*(X59+AA59))/60)*IF(V59&gt;='Options and results'!$I$25,'Options and results'!$I$24,1),0))</f>
        <v>0</v>
      </c>
      <c r="BC59" s="889">
        <f>IF($W$8=0,0,IF(V59&lt;='Options and results'!$W$20,(((VLOOKUP($W$8,Treecost!$B$6:$AH$49,Treecost!$I$2,FALSE))*(X59+AA59))/60)*IF(V59&gt;='Options and results'!$I$25,'Options and results'!$I$24,1),0))</f>
        <v>0</v>
      </c>
      <c r="BD59" s="889">
        <f>IF($W$8=0,0,IF(V59&lt;='Options and results'!$W$20,(((VLOOKUP($W$8,Treecost!$B$6:$AH$49,Treecost!$J$2,FALSE))/60)*(X59+AA59))*IF(V59&gt;='Options and results'!$I$25,'Options and results'!$I$24,1),0))</f>
        <v>0</v>
      </c>
      <c r="BE59" s="1019">
        <f>IF($W$8=0,0,IF(V59&lt;='Options and results'!$W$20,(((VLOOKUP($W$8,Treecost!$B$6:$AH$49,Treecost!$C$2,FALSE)+VLOOKUP($W$8,Treecost!$B$6:$AH$49,Treecost!$D$2,FALSE))*(X59+AA59)*IF(1+'Options and results'!$Q$22*(V59-1)&gt;0,1+'Options and results'!$Q$22*(V59-1),0))+((AY59*$AX$8+AZ59*$AX$9+BA59*$AX$10+BB59*$AX$11+BC59*$AX$12+BD59*$AX$13)*IF(1+'Options and results'!$Q$21*(V59-1)&gt;0,1+'Options and results'!$Q$21*(V59-1),0)))*IF(V59&gt;='Options and results'!$I$27,'Options and results'!$I$26,1),0))</f>
        <v>0</v>
      </c>
      <c r="BF59" s="889">
        <f>IF($W$8=0,0,IF(V59&lt;='Options and results'!$W$20,IF(AND(VLOOKUP($W$8,Treecost!$B$6:$AH$49,Treecost!$K$2,FALSE)&lt;=V59,V59&lt;=(VLOOKUP($W$8,Treecost!$B$6:$AH$49,Treecost!$L$2,FALSE))),VLOOKUP($W$8,Treecost!$B$6:$AH$49,Treecost!$M$2,FALSE)*AB59/60,0)*IF(V59&gt;='Options and results'!$I$25,'Options and results'!$I$24,1),0))</f>
        <v>0</v>
      </c>
      <c r="BG59" s="1019">
        <f>IF(BF59&gt;0,(VLOOKUP($W$8,Treecost!$B$6:$AH$49,Treecost!$N$2,FALSE)*AB59*IF(1+'Options and results'!$Q$22*(V59-1)&gt;0,1+'Options and results'!$Q$22*(V59-1),0)+BF59*$AX$14*IF(1+'Options and results'!$Q$21*(V59-1)&gt;0,1+'Options and results'!$Q$21*(V59-1),0)),0)*IF(V59&gt;='Options and results'!$I$27,'Options and results'!$I$26,1)</f>
        <v>0</v>
      </c>
      <c r="BH59" s="889">
        <f>IF(V59&lt;='Options and results'!$W$20,IF(AND(AG59-AG58&gt;0,AG59&gt;'Options and results'!$M$36),(AB59-AC59)*(VLOOKUP($W$8,Treecost!$B$6:$AH$49,Treecost!$Y$2,FALSE)+(VLOOKUP($W$8,Treecost!$B$6:$AH$49,Treecost!$AA$2,FALSE)-VLOOKUP($W$8,Treecost!$B$6:$AH$49,Treecost!$Y$2,FALSE))/(VLOOKUP($W$8,Treecost!$B$6:$AH$49,Treecost!$Z$2,FALSE)-VLOOKUP($W$8,Treecost!$B$6:$AH$49,Treecost!$X$2,FALSE))*(AG59-VLOOKUP($W$8,Treecost!$B$6:$AH$49,Treecost!$X$2,FALSE)))/60,0)*IF(V59&gt;='Options and results'!$I$25,'Options and results'!$I$24,1),0)</f>
        <v>0</v>
      </c>
      <c r="BI59" s="303">
        <f>IF(V59&lt;='Options and results'!$W$20,IF(BH59&gt;0,VLOOKUP($W$8,Treecost!$B$6:$AH$49,Treecost!$AB$2,FALSE)/60*AB59,0)*IF(V59&gt;='Options and results'!$I$25,'Options and results'!$I$24,1),0)*((BH59-(MIN($BH$8:$BH$67)))/((MAX($BH$8:$BH$67))-(MIN($BH$8:$BH$67))))</f>
        <v>0</v>
      </c>
      <c r="BJ59" s="740">
        <f>IF(BH59&gt;0,(BH59*$AX$15+BI59*$AX$19)*IF(1+'Options and results'!$Q$21*(V59-1)&gt;0,1+'Options and results'!$Q$21*(V59-1),0),0)*IF(V59&gt;='Options and results'!$I$27,'Options and results'!$I$26,1)</f>
        <v>0</v>
      </c>
      <c r="BK59" s="891">
        <f>IF($W$8=0,0,IF(V59&lt;='Options and results'!$W$20,IF(VLOOKUP($W$8,Treecost!$B$2:$AH$49,Treecost!$O$2,FALSE)=V59,VLOOKUP($W$8,Treecost!$B$2:$AH$49,Treecost!$P$2,FALSE),0)*IF(V59&gt;='Options and results'!$I$25,'Options and results'!$I$24,1),0))</f>
        <v>0</v>
      </c>
      <c r="BL59" s="889">
        <f>IF($W$8=0,0,IF(V59&lt;='Options and results'!$W$20,IF(AND(V59&gt;VLOOKUP($W$8,Treecost!$B$2:$AH$49,Treecost!$O$2,FALSE),V59&lt;=VLOOKUP($W$8,Treecost!$B$2:$AH$49,Treecost!$R$2,FALSE)),VLOOKUP($W$8,Treecost!$B$2:$AH$49,Treecost!$S$2,FALSE),0)*IF(V59&gt;='Options and results'!$I$25,'Options and results'!$I$24,1),0))</f>
        <v>0</v>
      </c>
      <c r="BM59" s="740">
        <f>IF($W$8=0,0,IF(V59&lt;='Options and results'!$W$20,((IF(VLOOKUP($W$8,Treecost!$B$2:$AH$49,Treecost!$O$2,FALSE)=V59,VLOOKUP($W$8,Treecost!$B$2:$AH$49,Treecost!$Q$2,FALSE),0)+IF(AND(V59&gt;VLOOKUP($W$8,Treecost!$B$2:$AH$49,Treecost!$O$2,FALSE),V59&lt;=VLOOKUP($W$8,Treecost!$B$2:$AH$49,Treecost!$R$2,FALSE)),VLOOKUP($W$8,Treecost!$B$2:$AH$49,Treecost!$T$2,FALSE),0)*IF(1+'Options and results'!$Q$22*(V59-1)&gt;0,1+'Options and results'!$Q$22*(V59-1),0))+(BK59*$AX$16+BL59*$AX$17)*IF(1+'Options and results'!$Q$21*(V59-1)&gt;0,1+'Options and results'!$Q$21*(V59-1),0))*IF(V59&gt;='Options and results'!$I$27,'Options and results'!$I$26,1),0))</f>
        <v>0</v>
      </c>
      <c r="BN59" s="894">
        <f>IF($W$8=0,0,IF(V59&lt;='Options and results'!$W$20,IF(AND(V59&gt;=VLOOKUP($W$8,Treecost!$B$2:$W$49,Treecost!$U$2,FALSE),V59&lt;=VLOOKUP($W$8,Treecost!$B$2:$W$49,Treecost!$V$2,FALSE)),(AB59*VLOOKUP($W$8,Treecost!$B$2:$W$49,Treecost!$W$2,FALSE)/60),0)*IF(V59&gt;='Options and results'!$I$25,'Options and results'!$I$24,1),0))</f>
        <v>0</v>
      </c>
      <c r="BO59" s="740">
        <f>BN59*$AX$18*IF(V59&gt;='Options and results'!$I$27,'Options and results'!$I$26,1)*IF(1+'Options and results'!$Q$21*(V59-1)&gt;0,1+'Options and results'!$Q$21*(V59-1),0)</f>
        <v>0</v>
      </c>
      <c r="BP59" s="894">
        <f>IF(V59&lt;='Options and results'!$W$20,IF(AB59&lt;=0,0,VLOOKUP($W$8,Treecost!$B$6:$AH$49,Treecost!$AC$2,FALSE)+VLOOKUP($W$8,Treecost!$B$6:$AH$49,Treecost!$AD$2,FALSE)+IF(AND(V59&gt;=VLOOKUP($W$8,Treecost!$B$2:$AK$49,Treecost!$AI$2,FALSE),V59&lt;=VLOOKUP($W$8,Treecost!$B$2:$AK$49,Treecost!$AJ$2,FALSE)),(VLOOKUP($W$8,Treecost!$B$2:$AK$49,Treecost!$AK$2,FALSE)),0))*IF(V59&gt;='Options and results'!$I$27,'Options and results'!$I$26,1),0)*IF(1+'Options and results'!$Q$22*(V59-1)&gt;0,1+'Options and results'!$Q$22*(V59-1),0)</f>
        <v>0</v>
      </c>
      <c r="BQ59" s="894">
        <f>IF(V59&lt;='Options and results'!$W$20,IF(AC59&gt;0,VLOOKUP($W$8,Treecost!$B$6:$AH$49,Treecost!$AE$2,FALSE)/60*AC59,0)*IF(V59&gt;='Options and results'!$I$25,'Options and results'!$I$24,1),0)</f>
        <v>0</v>
      </c>
      <c r="BR59" s="740">
        <f>IF(V59&lt;='Options and results'!$W$20,IF(AC59&gt;0,VLOOKUP($W$8,Treecost!$B$6:$AH$49,Treecost!$AF$2,FALSE)/60*AC59,0)*IF(V59&gt;='Options and results'!$I$25,'Options and results'!$I$24,1),0)</f>
        <v>0</v>
      </c>
      <c r="BS59" s="740">
        <f>(BQ59*$AX$20+BR59*$AX$21)*IF(V59&gt;='Options and results'!$I$27,'Options and results'!$I$26,1)*IF(1+'Options and results'!$Q$21*(V59-1)&gt;0,1+'Options and results'!$Q$21*(V59-1),0)</f>
        <v>0</v>
      </c>
      <c r="BT59" s="894">
        <f>IF(V59&lt;='Options and results'!$W$20,IF(AD59&gt;0,(VLOOKUP($W$8,Treecost!$B$6:$AH$49,Treecost!$AG$2,FALSE)/60*AD59)*IF(V59&gt;='Options and results'!$I$25,'Options and results'!$I$24,1),0),0)</f>
        <v>0</v>
      </c>
      <c r="BU59" s="740">
        <f>IF(V59&lt;='Options and results'!$W$20,IF(AD59&gt;0,(VLOOKUP($W$8,Treecost!$B$6:$AH$49,Treecost!$AH$2,FALSE)/60*AD59)*IF(V59&gt;='Options and results'!$I$25,'Options and results'!$I$24,1),0),0)</f>
        <v>0</v>
      </c>
      <c r="BV59" s="740">
        <f>(BT59*$AX$22+BU59*$AX$23)*IF(V59&gt;='Options and results'!$I$27,'Options and results'!$I$26,1)*IF(1+'Options and results'!$Q$21*(V59-1)&gt;0,1+'Options and results'!$Q$21*(V59-1),0)</f>
        <v>0</v>
      </c>
      <c r="BW59" s="1033">
        <f t="shared" si="138"/>
        <v>0</v>
      </c>
      <c r="BX59" s="1027">
        <f t="shared" si="139"/>
        <v>0</v>
      </c>
      <c r="BY59" s="1027">
        <f t="shared" si="140"/>
        <v>0</v>
      </c>
      <c r="BZ59" s="740">
        <f t="shared" si="188"/>
        <v>0</v>
      </c>
      <c r="CA59" s="740">
        <f t="shared" si="141"/>
        <v>0</v>
      </c>
      <c r="CB59" s="894">
        <f>IF($V59&lt;='Options and results'!$W$20,SUM(BX$8:$BX59),0)</f>
        <v>0</v>
      </c>
      <c r="CC59" s="740">
        <f>IF($V59&lt;='Options and results'!$W$20,SUM($BY$8:BY59),0)</f>
        <v>0</v>
      </c>
      <c r="CD59" s="740">
        <f>IF($V59&lt;='Options and results'!$W$20,SUM($BZ$8:BZ59),0)</f>
        <v>0</v>
      </c>
      <c r="CE59" s="740">
        <f>IF(V59&lt;='Options and results'!$W$20,CB59+CC59-CD59,0)</f>
        <v>0</v>
      </c>
      <c r="CF59" s="1381">
        <f t="shared" si="142"/>
        <v>0</v>
      </c>
      <c r="CG59" s="1027">
        <f t="shared" si="143"/>
        <v>0</v>
      </c>
      <c r="CH59" s="1027">
        <f t="shared" si="144"/>
        <v>0</v>
      </c>
      <c r="CI59" s="1189">
        <f>IF(V59&lt;='Options and results'!$W$20,CE59+AO59,0)</f>
        <v>0</v>
      </c>
      <c r="CJ59" s="1023"/>
      <c r="CK59" s="895">
        <f t="shared" si="145"/>
        <v>52</v>
      </c>
      <c r="CL59" s="1011" t="str">
        <f>IF('Options and results'!$C$54="None",0,IF(AND(CK59&gt;='Options and results'!$K$57,CK58&lt;'Options and results'!$W$20),'Options and results'!$K$56,IF(Optimisation!$B$3="No",CONCATENATE('Options and results'!$C$60," ",(HLOOKUP(CONCATENATE('Options and results'!$C$54," ",Agroforestrysystem!$B$12),Agroforestrysystem!$B$11:$IM$74,$CK59+4,FALSE))),Optimisation!AA79)))</f>
        <v xml:space="preserve">UK - Agriculture (BPS: from 2015) </v>
      </c>
      <c r="CM59" s="1012">
        <f>IF(HLOOKUP(CONCATENATE('Options and results'!$C$54," ",Agroforestrysystem!$C$12),Agroforestrysystem!$B$11:$IM$74,$CK59+4,FALSE)="T",(VLOOKUP(CL59,Arablefinance!$Z$6:$AB$105,Arablefinance!$AB$2,FALSE)*CO59+VLOOKUP(CL59,Arablefinance!$Z$6:$AC$105,Arablefinance!$AC$2,FALSE)*CP59)/VLOOKUP(CL59,Arablefinance!$Z$6:$AA$105,Arablefinance!$AA$2,FALSE),0)</f>
        <v>0</v>
      </c>
      <c r="CN59" s="1012">
        <f>IF(CL59=0,0,HLOOKUP(CONCATENATE('Options and results'!$C$54," ",Agroforestrysystem!$D$12),Agroforestrysystem!$B$11:$IM$74,$CK59+4,FALSE))</f>
        <v>0</v>
      </c>
      <c r="CO59" s="1440">
        <f ca="1">IF(CL59=0,0,IF(AND(Optimisation!$B$3="yes",Optimisation!$B$4=1,CK59&gt;Optimisation!$B$9),0,HLOOKUP(CONCATENATE('Options and results'!$C$54," ",Agroforestrysystem!$E$12),Agroforestrysystem!$B$11:$IM$74,$CK59+4,FALSE)*IF(CK59&gt;='Options and results'!$J$19,'Options and results'!$J$18,1)))</f>
        <v>0</v>
      </c>
      <c r="CP59" s="1440">
        <f ca="1">IF(CL59=0,0,IF(AND(Optimisation!$B$3="yes",Optimisation!$B$4=1,CK59&gt;Optimisation!$B$9),0,HLOOKUP(CONCATENATE('Options and results'!$C$54," ",Agroforestrysystem!$F$12),Agroforestrysystem!$B$11:$IM$74,$CK59+4,FALSE)*IF(CK59&gt;='Options and results'!$J$19,'Options and results'!$J$18,1)))</f>
        <v>0</v>
      </c>
      <c r="CQ59" s="1013">
        <f>IF(CN59&lt;=0,0,IF(CK59&lt;='Options and results'!$W$20,IF(CM59&gt;0,VLOOKUP(CL59,Arablefinance!$Z$6:$AE$105,Arablefinance!$AD$2,FALSE)*CM59*CN59,((VLOOKUP(CL59,Arablefinance!$E$6:$H$126,2,FALSE)*CO59+VLOOKUP(CL59,Arablefinance!$E$6:$H$126,3,FALSE)*CP59)*CN59)),0)*IF(CK59&gt;='Options and results'!$J$21,'Options and results'!$J$20,1))*IF(1+'Options and results'!$O$20*(CK59-1)&gt;0,1+'Options and results'!$O$20*(CK59-1),0)</f>
        <v>0</v>
      </c>
      <c r="CR59" s="1441">
        <f>IF(CN59&lt;=0,0,IF(AND(CM59&gt;0,VLOOKUP(CL59,Arablefinance!$Z$6:$AI$105,Arablefinance!$AI$2,FALSE)=2),VLOOKUP(CL59,Arablefinance!$Z$6:$AE$105,Arablefinance!$AE$2,FALSE)*CM59*CN59,IF('Options and results'!$C$62&gt;0,IF(VLOOKUP(CL59,Arablefinance!$E$6:$W$126,Arablefinance!$H$2,FALSE)*(1-Plot!DM59*'Options and results'!$C$62)&gt;0,VLOOKUP(CL59,Arablefinance!$E$6:$W$126,Arablefinance!$H$2,FALSE)*(1-Plot!DM59*'Options and results'!$C$62),0),IF(CK59&lt;='Options and results'!$W$20,(VLOOKUP(CL59,Arablefinance!$E$6:$W$126,Arablefinance!$H$2,FALSE)*IF('Options and results'!$C$61="area",CN59,'Options and results'!$C$61)),0)))*IF(CK59&gt;='Options and results'!$J$23,'Options and results'!$J$22,1))*IF(AND(1+'Options and results'!$O$23*(CK59-1)&gt;0,1+'Options and results'!$O$23*(CK59-1)&gt;'Options and results'!$S$24),1+'Options and results'!$O$23*(CK59-1),'Options and results'!$S$24)</f>
        <v>0</v>
      </c>
      <c r="CS59" s="1441">
        <f t="shared" si="185"/>
        <v>0</v>
      </c>
      <c r="CT59" s="1441">
        <f>IF(CN59&lt;=0,0,IF(CK59&lt;='Options and results'!$W$20,IF(CM59&gt;0,VLOOKUP(CL59,Arablefinance!$Z$6:$AF$105,Arablefinance!$AF$2,FALSE)*CM59*CN59,VLOOKUP(CL59,Arablefinance!$E$6:$X$126,Arablefinance!$R$2,FALSE)*CN59),0)*IF(CK59&gt;='Options and results'!$J$27,'Options and results'!$J$26,1))*IF(1+'Options and results'!$O$22*(CK59-1)&gt;0,1+'Options and results'!$O$22*(CK59-1),0)</f>
        <v>0</v>
      </c>
      <c r="CU59" s="1441">
        <f t="shared" si="186"/>
        <v>0</v>
      </c>
      <c r="CV59" s="1441">
        <f>IF(CN59&lt;=0,0,IF(CK59&lt;='Options and results'!$W$20,IF(CM59&gt;0,VLOOKUP(CL59,Arablefinance!$Z$6:$AG$105,Arablefinance!$AG$2,FALSE)*CM59*CN59,VLOOKUP(CL59,Arablefinance!$E$6:$X$126,Arablefinance!$X$2,FALSE)*CN59),0)*IF(CK59&gt;='Options and results'!$J$27,'Options and results'!$J$26,1))*IF(1+'Options and results'!$O$22*(CK59-1)&gt;0,1+'Options and results'!$O$22*(CK59-1),0)</f>
        <v>0</v>
      </c>
      <c r="CW59" s="1442">
        <f>IF(CN59&lt;=0,0,IF(CK59&lt;='Options and results'!$W$20,'Options and results'!$C$27*IF(CK59&gt;='Options and results'!$J$27,'Options and results'!$J$26,1),0))*IF(1+'Options and results'!$O$21*(CK59-1)&gt;0,1+'Options and results'!$O$21*(CK59-1),0)</f>
        <v>0</v>
      </c>
      <c r="CX59" s="1442">
        <f>IF(CN59&lt;=0,0,IF(CK59&lt;='Options and results'!$W$20,IF(CM59&gt;0,VLOOKUP(CL59,Arablefinance!$Z$6:$AH$105,Arablefinance!$AH$2,FALSE)*CM59*CN59,VLOOKUP(CL59,Arablefinance!$E$6:$W$126,Arablefinance!$V$2,FALSE)*CN59),0)*IF(CK59&gt;='Options and results'!$J$25,'Options and results'!$J$24,1))</f>
        <v>0</v>
      </c>
      <c r="CY59" s="1013">
        <f t="shared" si="148"/>
        <v>0</v>
      </c>
      <c r="CZ59" s="1353">
        <f t="shared" si="149"/>
        <v>0</v>
      </c>
      <c r="DA59" s="1013">
        <f>IF($CK59&lt;='Options and results'!$W$20,SUM($CQ$8:CQ59),0)</f>
        <v>0</v>
      </c>
      <c r="DB59" s="1441">
        <f>IF($CK59&lt;='Options and results'!$W$20,SUM($CR$8:CR59),0)</f>
        <v>0</v>
      </c>
      <c r="DC59" s="1441">
        <f>IF($CK59&lt;='Options and results'!$W$20,SUM($CY$8:CY59),0)</f>
        <v>0</v>
      </c>
      <c r="DD59" s="1189">
        <f>IF(CK59&lt;='Options and results'!$W$20,DA59+DB59-DC59,0)</f>
        <v>0</v>
      </c>
      <c r="DE59" s="401"/>
      <c r="DF59" s="895">
        <f t="shared" si="150"/>
        <v>52</v>
      </c>
      <c r="DG59" s="173"/>
      <c r="DH59" s="1422"/>
      <c r="DI59" s="1427">
        <f>IF(DF59&lt;='Options and results'!$M$61,'Options and results'!$M$60,0)</f>
        <v>0</v>
      </c>
      <c r="DJ59" s="740">
        <f t="shared" si="151"/>
        <v>0</v>
      </c>
      <c r="DK59" s="740">
        <f t="shared" si="152"/>
        <v>0</v>
      </c>
      <c r="DL59" s="1428">
        <f t="shared" si="153"/>
        <v>0</v>
      </c>
      <c r="DM59" s="1429">
        <f>IF($DG$8=0,0,HLOOKUP(CONCATENATE('Options and results'!$C$54," ",Agroforestrysystem!$J$12),Agroforestrysystem!$11:$74,DF59+3,FALSE))/100</f>
        <v>0</v>
      </c>
      <c r="DN59" s="740">
        <f>IF($DG$8=0,0,IF(HLOOKUP(CONCATENATE('Options and results'!$C$54," ",Agroforestrysystem!$H$12),Agroforestrysystem!$11:$74,DF59+4,FALSE)&lt;DL59,HLOOKUP(CONCATENATE('Options and results'!$C$54," ",Agroforestrysystem!$H$12),Agroforestrysystem!$11:$74,DF59+4,FALSE),0))</f>
        <v>0</v>
      </c>
      <c r="DO59" s="1027">
        <f>IF($DG$8=0,0,IF(HLOOKUP(CONCATENATE('Options and results'!$C$54," ",Agroforestrysystem!$H$12),Agroforestrysystem!$11:$74,DF59+4,FALSE)&gt;=DL59,DL59,0))</f>
        <v>0</v>
      </c>
      <c r="DP59" s="1430">
        <f>IF($DG$8=0,0,HLOOKUP(CONCATENATE('Options and results'!$C$54," ",Agroforestrysystem!$I$12),Agroforestrysystem!$11:$74,DF59+4,FALSE))</f>
        <v>0</v>
      </c>
      <c r="DQ59" s="1038"/>
      <c r="DR59" s="1430">
        <f>IF($DG$8=0,0,IF(DF59&gt;'Options and results'!$W$20,0,)+IF(DF59=1,'Options and results'!$M$64)+IF('Options and results'!$M$67="yes",IF(AND(DR58+'Options and results'!$M$65&lt;=$DQ$8,DR58+'Options and results'!$M$65+IF(DF59=1,'Options and results'!$M$64,0)&lt;='Options and results'!$M$66*DP59),DR58+'Options and results'!$M$65,DR58),(HLOOKUP(CONCATENATE('Options and results'!$C$54," ",Agroforestrysystem!$K$12),Agroforestrysystem!$11:$74,DF59+4,FALSE)-IF(DF59=1,'Options and results'!$M$64))))</f>
        <v>0</v>
      </c>
      <c r="DS59" s="1027">
        <f>IF(OR($DG$8=0,DL59=0),0,HLOOKUP(CONCATENATE('Options and results'!$C$54," ",Agroforestrysystem!$L$12),Agroforestrysystem!$11:$74,DF59+4,FALSE)*IF(DF59&gt;='Options and results'!$K$19,'Options and results'!$K$18,1))</f>
        <v>0</v>
      </c>
      <c r="DT59" s="1431">
        <f t="shared" si="154"/>
        <v>0</v>
      </c>
      <c r="DU59" s="889">
        <f t="shared" si="155"/>
        <v>0</v>
      </c>
      <c r="DV59" s="1027">
        <f>IF($DG$8=0,0,(HLOOKUP(CONCATENATE('Options and results'!$C$54," ",Agroforestrysystem!$M$12),Agroforestrysystem!$11:$74,DF59+4,FALSE))*IF(DF59&gt;='Options and results'!$K$19,'Options and results'!$K$18,1))-DW59</f>
        <v>0</v>
      </c>
      <c r="DW59" s="303">
        <f>IF($DG$8=0,0,(HLOOKUP(CONCATENATE('Options and results'!$C$54," ",Agroforestrysystem!$N$12),Agroforestrysystem!$11:$74,DF59+4,FALSE))*IF(DF59&gt;='Options and results'!$K$19,'Options and results'!$K$18,1))</f>
        <v>0</v>
      </c>
      <c r="DX59" s="303">
        <f>IF($DG$8=0,0,HLOOKUP(CONCATENATE('Options and results'!$C$54," ",Agroforestrysystem!$O$12),Agroforestrysystem!$11:$74,DF59+4,FALSE)*IF(DF59&gt;='Options and results'!$K$19,'Options and results'!$K$18,1))</f>
        <v>0</v>
      </c>
      <c r="DY59" s="1192">
        <f>IF(DT59&gt;0,HLOOKUP(DT59,Treevalue!$I$4:$BC$34,'Options and results'!$C$66+1),0)*IF(DF59&gt;='Options and results'!$K$21,'Options and results'!$K$20,1)*IF(1+'Options and results'!$Q$20*(DF59-1)&gt;0,1+'Options and results'!$Q$20*(DF59-1),0)</f>
        <v>0</v>
      </c>
      <c r="DZ59" s="1027">
        <f t="shared" si="156"/>
        <v>0</v>
      </c>
      <c r="EA59" s="1027">
        <f t="shared" si="125"/>
        <v>0</v>
      </c>
      <c r="EB59" s="1027">
        <f>(IF('Options and results'!$C$66&gt;0,IF(DF59&lt;='Options and results'!$W$20,VLOOKUP('Options and results'!$C$66,Treevalue!$A$4:$F$34,5,FALSE),0),0)*DV59)*IF(DF59&gt;='Options and results'!$K$21,'Options and results'!$K$20,1)*IF(1+'Options and results'!$Q$20*(DF59-1)&gt;0,1+'Options and results'!$Q$20*(DF59-1),0)</f>
        <v>0</v>
      </c>
      <c r="EC59" s="740">
        <f>(IF('Options and results'!$C$66&gt;0,IF(DF59&lt;='Options and results'!$W$20,VLOOKUP('Options and results'!$C$66,Treevalue!$A$4:$F$34,5,FALSE),0),0)*DW59)*IF(DF59&gt;='Options and results'!$K$21,'Options and results'!$K$20,1)*IF(1+'Options and results'!$Q$20*(DF59-1)&gt;0,1+'Options and results'!$Q$20*(DF59-1),0)</f>
        <v>0</v>
      </c>
      <c r="ED59" s="889">
        <f>(IF('Options and results'!$C$66&gt;0,IF(DF59&lt;='Options and results'!$W$20,VLOOKUP('Options and results'!$C$66,Treevalue!$A$4:$F$34,6,FALSE),0),0)*DX59)*IF(DF59&gt;='Options and results'!$K$21,'Options and results'!$K$20,1)*IF(1+'Options and results'!$Q$20*(DF59-1)&gt;0,1+'Options and results'!$Q$20*(DF59-1),0)</f>
        <v>0</v>
      </c>
      <c r="EE59" s="740">
        <f>IF(DF59&lt;='Options and results'!$W$20,IF(DL59&lt;=0,0,IF('Options and results'!$C$70="cost",(IF(DF59&lt;='Options and results'!$C$71,FK59*SUM('Options and results'!$C$72:$C$73),0)),IF('Options and results'!$C$68&gt;0,(IF(VLOOKUP('Options and results'!$C$69,Treegrant!$B$6:$L$42,Treegrant!$C$2,FALSE)=DF59,VLOOKUP('Options and results'!$C$69,Treegrant!$B$6:$L$42,Treegrant!$D$2,FALSE),0)+IF(VLOOKUP('Options and results'!$C$69,Treegrant!$B$6:$L$42,Treegrant!$E$2,FALSE)=DF59,VLOOKUP('Options and results'!$C$69,Treegrant!$B$6:$L$42,Treegrant!$F$2,FALSE),0)+IF(VLOOKUP('Options and results'!$C$69,Treegrant!$B$6:$L$42,Treegrant!$G$2,FALSE)=DF59,VLOOKUP('Options and results'!$C$69,Treegrant!$B$6:$L$42,Treegrant!$H$2,FALSE)))*IF('Options and results'!$C$70="area",Unit!C60,'Options and results'!$C$70),0))*IF(DF59&gt;='Options and results'!$K$23,'Options and results'!$K$22,1)),0)*IF(1+'Options and results'!$Q$23*(DF59-1)&gt;0,1+'Options and results'!$Q$23*(DF59-1),0)</f>
        <v>0</v>
      </c>
      <c r="EF59" s="740">
        <f>IF($DG$8=0,0,IF(DF59&lt;='Options and results'!$W$20,IF(DL59&lt;=0,0,IF('Options and results'!$C$68&gt;0,IF(AND(VLOOKUP('Options and results'!$C$69,Treegrant!$B$6:$L$42,Treegrant!$J$2,FALSE)&lt;=DF59,VLOOKUP('Options and results'!$C$69,Treegrant!$B$6:$L$42,Treegrant!$K$2,FALSE)&gt;=DF59),(VLOOKUP('Options and results'!$C$69,Treegrant!$B$6:$L$42,Treegrant!$L$2,FALSE)),0)*IF('Options and results'!$C$74="area",Unit!C60,'Options and results'!$C$74))*IF(DF59&gt;='Options and results'!$K$23,'Options and results'!$K$22,1)),0))*IF(1+'Options and results'!$Q$23*(DF59-1)&gt;0,1+'Options and results'!$Q$23*(DF59-1),0)</f>
        <v>0</v>
      </c>
      <c r="EG59" s="1034">
        <f>IF($DG$8=0,0,IF(DF59&lt;='Options and results'!$W$20,IF(DL59&lt;=0,0,IF('Options and results'!$C$68&gt;0,((IF(AND(VLOOKUP('Options and results'!$C$69,Treegrant!$B$6:$O$42,Treegrant!$M$2,FALSE)&lt;=DF59,VLOOKUP('Options and results'!$C$69,Treegrant!$B$6:$O$42,Treegrant!$N$2,FALSE)&gt;=DF59),(VLOOKUP('Options and results'!$C$69,Treegrant!$B$6:$O$42,Treegrant!$O$2,FALSE)),0)*IF('Options and results'!$C$75="area",Unit!C60,'Options and results'!$C$75))+(IF(AND(VLOOKUP('Options and results'!$C$69,Treegrant!$B$6:$R$42,Treegrant!$P$2,FALSE)&lt;=DF59,VLOOKUP('Options and results'!$C$69,Treegrant!$B$6:$R$42,Treegrant!$Q$2,FALSE)&gt;=DF59),(VLOOKUP('Options and results'!$C$69,Treegrant!$B$6:$R$42,Treegrant!$R$2,FALSE)),0))*IF('Options and results'!$C$76="area",Unit!C60,'Options and results'!$C$76)))*IF(DF59&gt;='Options and results'!$K$23,'Options and results'!$K$22,1)),0))*IF(1+'Options and results'!$Q$23*(DF59-1)&gt;0,1+'Options and results'!$Q$23*(DF59-1),0)</f>
        <v>0</v>
      </c>
      <c r="EH59" s="1041"/>
      <c r="EI59" s="1042"/>
      <c r="EJ59" s="1419">
        <f>IF($DH$8+DK59&lt;1,0,IF(DF59=1,VLOOKUP($DG$8,Treecost!$B$6:$AH$49,Treecost!$E$2,FALSE),0)*IF(DF59&gt;='Options and results'!$K$25,'Options and results'!$K$24,1))</f>
        <v>0</v>
      </c>
      <c r="EK59" s="889">
        <f>IF($DH$8+DK59&lt;1,0,IF(DF59=1,VLOOKUP($DG$8,Treecost!$B$6:$AH$49,Treecost!$F$2,FALSE),0)*IF(DF59&gt;='Options and results'!$K$25,'Options and results'!$K$24,1))</f>
        <v>0</v>
      </c>
      <c r="EL59" s="889">
        <f>IF($DH$8+DK59&lt;1,0,IF(DF59=1,VLOOKUP($DG$8,Treecost!$B$6:$AH$49,Treecost!$G$2,FALSE),0)*IF(DF59&gt;='Options and results'!$K$25,'Options and results'!$K$24,1))</f>
        <v>0</v>
      </c>
      <c r="EM59" s="889">
        <f>IF($DG$8=0,0,IF(DF59&lt;='Options and results'!$W$20,((VLOOKUP($DG$8,Treecost!$B$6:$AH$49,Treecost!$H$2,FALSE)*(DH59+DK59))/60)*IF(DF59&gt;='Options and results'!$K$25,'Options and results'!$K$24,1),0))</f>
        <v>0</v>
      </c>
      <c r="EN59" s="889">
        <f>IF($DG$8=0,0,IF(DF59&lt;='Options and results'!$W$20,(((VLOOKUP($DG$8,Treecost!$B$6:$AH$49,Treecost!$I$2,FALSE))*(DH59+DK59))/60)*IF(DF59&gt;='Options and results'!$K$25,'Options and results'!$K$24,1),0))</f>
        <v>0</v>
      </c>
      <c r="EO59" s="889">
        <f>IF($DG$8=0,0,IF(DF59&lt;='Options and results'!$W$20,(((VLOOKUP($DG$8,Treecost!$B$6:$AH$49,Treecost!$J$2,FALSE))/60)*(DH59+DK59))*IF(DF59&gt;='Options and results'!$K$25,'Options and results'!$K$24,1),0))</f>
        <v>0</v>
      </c>
      <c r="EP59" s="1019">
        <f>IF($DG$8=0,0,IF(DF59&lt;='Options and results'!$W$20,(((VLOOKUP($DG$8,Treecost!$B$6:$AH$49,Treecost!$C$2,FALSE)+VLOOKUP($DG$8,Treecost!$B$6:$AH$49,Treecost!$D$2,FALSE))*(DH59+DK59)*IF(1+'Options and results'!$Q$22*(DF59-1)&gt;0,1+'Options and results'!$Q$22*(DF59-1),0))+(EJ59*$EI$8+EK59*$EI$9+EL59*$EI$10+EM59*$EI$11+EN59*$EI$12+EO59*$EI$13)*IF(1+'Options and results'!$Q$21*(DF59-1)&gt;0,1+'Options and results'!$Q$21*(DF59-1),0))*IF(DF59&gt;='Options and results'!$K$27,'Options and results'!$K$26,1),0))</f>
        <v>0</v>
      </c>
      <c r="EQ59" s="740">
        <f>IF($DG$8=0,0,IF(DF59&lt;='Options and results'!$W$20,IF(AND(VLOOKUP($DG$8,Treecost!$B$6:$AH$49,Treecost!$K$2,FALSE)&lt;=DF59,DF59&lt;=(VLOOKUP($DG$8,Treecost!$B$6:$AH$49,Treecost!$L$2,FALSE))),VLOOKUP($DG$8,Treecost!$B$6:$AH$49,Treecost!$M$2,FALSE)*DL59/60,0)*IF(DF59&gt;='Options and results'!$K$25,'Options and results'!$K$24,1),0))</f>
        <v>0</v>
      </c>
      <c r="ER59" s="1019">
        <f>IF(EQ59&gt;0,(VLOOKUP($DG$8,Treecost!$B$6:$AH$49,Treecost!$N$2,FALSE)*DL59*IF(1+'Options and results'!$Q$22*(DF59-1)&gt;0,1+'Options and results'!$Q$22*(DF59-1),0)+EQ59*$EI$14*IF(1+'Options and results'!$Q$21*(DF59-1)&gt;0,1+'Options and results'!$Q$21*(DF59-1),0)),0)*IF(DF59&gt;='Options and results'!$K$27,'Options and results'!$K$26,1)</f>
        <v>0</v>
      </c>
      <c r="ES59" s="889">
        <f>IF(DF59&lt;='Options and results'!$W$20,IF(AND(DR59-DR58&gt;0,DR59&gt;'Options and results'!$M$64),(DL59-DN59)*(VLOOKUP($DG$8,Treecost!$B$6:$AH$49,Treecost!$Y$2,FALSE)+(VLOOKUP($DG$8,Treecost!$B$6:$AH$49,Treecost!$AA$2,FALSE)-VLOOKUP($DG$8,Treecost!$B$6:$AH$49,Treecost!$Y$2,FALSE))/(VLOOKUP($DG$8,Treecost!$B$6:$AH$49,Treecost!$Z$2,FALSE)-VLOOKUP($DG$8,Treecost!$B$6:$AH$49,Treecost!$X$2,FALSE))*(DR59-VLOOKUP($DG$8,Treecost!$B$6:$AH$49,Treecost!$X$2,FALSE)))/60,0)*IF(DF59&gt;='Options and results'!$K$25,'Options and results'!$K$24,1),0)</f>
        <v>0</v>
      </c>
      <c r="ET59" s="889">
        <f>IF(DF59&lt;='Options and results'!$W$20,IF(ES59&gt;0,VLOOKUP($DG$8,Treecost!$B$6:$AH$49,Treecost!$AB$2,FALSE)/60*DL59,0)*IF(DF59&gt;='Options and results'!$K$25,'Options and results'!$K$24,1),0)*((ES59-(MIN($ES$8:$ES$67)))/((MAX($ES$8:$ES$67))-(MIN($ES$8:$ES$67))))</f>
        <v>0</v>
      </c>
      <c r="EU59" s="740">
        <f>IF(ES59&gt;0,(ES59*$EI$15+ET59*$EI$19)*IF(1+'Options and results'!$Q$21*(DF59-1)&gt;0,1+'Options and results'!$Q$21*(DF59-1),0),0)*IF(DF59&gt;='Options and results'!$K$27,'Options and results'!$K$26,1)</f>
        <v>0</v>
      </c>
      <c r="EV59" s="891">
        <f>IF($DG$8=0,0,IF(DF59&lt;='Options and results'!$W$20,IF(AND(VLOOKUP($DG$8,Treecost!$B$2:$AH$49,Treecost!$O$2,FALSE)=DF59,DF59&lt;=IF(AND(Optimisation!$B$3="Yes",Optimisation!$B$4=1),Optimisation!$B$9)),VLOOKUP($DG$8,Treecost!$B$2:$AH$49,Treecost!$P$2,FALSE)*(1-CN59),0)*IF(DF59&gt;='Options and results'!$K$25,'Options and results'!$K$24,1),0))</f>
        <v>0</v>
      </c>
      <c r="EW59" s="889">
        <f>IF($DG$8=0,0,IF(DF59&lt;='Options and results'!$W$20,IF(AND(DF59&gt;VLOOKUP($DG$8,Treecost!$B$2:$AH$49,Treecost!$O$2,FALSE),DF59&lt;=IF(AND(Optimisation!$B$3="Yes",Optimisation!$B$4=1),Optimisation!$B$9,VLOOKUP($DG$8,Treecost!$B$2:$AH$49,Treecost!$R$2,FALSE))),VLOOKUP($DG$8,Treecost!$B$2:$AH$49,Treecost!$S$2,FALSE)*(1-CN59),0)*IF(DF59&gt;='Options and results'!$K$25,'Options and results'!$K$24,1),0))</f>
        <v>0</v>
      </c>
      <c r="EX59" s="740">
        <f>IF($DG$8=0,0,IF(DF59&lt;='Options and results'!$W$20,(IF(AND(VLOOKUP($DG$8,Treecost!$B$2:$AH$49,Treecost!$O$2,FALSE)=DF59,DF59&lt;=IF(AND(Optimisation!$B$3="Yes",Optimisation!$B$4=1),Optimisation!$B$9)),VLOOKUP($DG$8,Treecost!$B$2:$AH$49,Treecost!$Q$2,FALSE),0)*(1-CN59)+IF(AND(DF59&gt;VLOOKUP($DG$8,Treecost!$B$2:$AH$49,Treecost!$O$2,FALSE),DF59&lt;=IF(AND(Optimisation!$B$3="Yes",Optimisation!$B$4=1),Optimisation!$B$9,VLOOKUP($DG$8,Treecost!$B$2:$AH$49,Treecost!$R$2,FALSE))),VLOOKUP($DG$8,Treecost!$B$2:$AH$49,Treecost!$T$2,FALSE),0)*(1-CN59)+(EV59*$EI$16+EW59*$EI$17))*IF(DF59&gt;='Options and results'!$K$27,'Options and results'!$K$26,1),0))*IF(1+'Options and results'!$Q$21*(DF59-1)&gt;0,1+'Options and results'!$Q$21*(DF59-1),0)</f>
        <v>0</v>
      </c>
      <c r="EY59" s="894">
        <f>IF($DG$8=0,0,IF(DF59&lt;='Options and results'!$W$20,IF(AND(DF59&gt;=VLOOKUP($DG$8,Treecost!$B$2:$W$49,Treecost!$U$2,FALSE),DF59&lt;=VLOOKUP($DG$8,Treecost!$B$2:$W$49,Treecost!$V$2,FALSE)),(DL59*VLOOKUP($DG$8,Treecost!$B$2:$W$49,Treecost!$W$2,FALSE)/60),0)*IF(DF59&gt;='Options and results'!$K$25,'Options and results'!$K$24,1),0))</f>
        <v>0</v>
      </c>
      <c r="EZ59" s="740">
        <f>EY59*$EI$18*IF(DF59&gt;='Options and results'!$K$27,'Options and results'!$K$26,1)*IF(1+'Options and results'!$Q$21*(DF59-1)&gt;0,1+'Options and results'!$Q$21*(DF59-1),0)</f>
        <v>0</v>
      </c>
      <c r="FA59" s="1025">
        <f>IF(DF59&lt;='Options and results'!$W$20,IF(DL59&lt;=0,0,VLOOKUP($DG$8,Treecost!$B$6:$AH$49,Treecost!$AC$2,FALSE)+VLOOKUP($DG$8,Treecost!$B$6:$AH$49,Treecost!$AD$2,FALSE)+IF(AND(DF59&gt;=VLOOKUP($DG$8,Treecost!$B$2:$AK$49,Treecost!$AI$2,FALSE),DF59&lt;=VLOOKUP($DG$8,Treecost!$B$2:$AK$49,Treecost!$AJ$2,FALSE)),VLOOKUP($DG$8,Treecost!$B$2:$AK$49,Treecost!$AK$2,FALSE)*(1-CN59),0))*IF(DF59&gt;='Options and results'!$K$27,'Options and results'!$K$26,1),0)*IF(1+'Options and results'!$Q$22*(DF59-1)&gt;0,1+'Options and results'!$Q$22*(DF59-1),0)</f>
        <v>0</v>
      </c>
      <c r="FB59" s="894">
        <f>IF(DF59&lt;='Options and results'!$W$20,IF(DN59&gt;0,VLOOKUP($DG$8,Treecost!$B$6:$AH$49,Treecost!$AE$2,FALSE)/60*DN59,0)*IF(DF59&gt;='Options and results'!$K$25,'Options and results'!$K$24,1),0)</f>
        <v>0</v>
      </c>
      <c r="FC59" s="740">
        <f>IF(DF59&lt;='Options and results'!$W$20,IF(DN59&gt;0,VLOOKUP($DG$8,Treecost!$B$6:$AH$49,Treecost!$AF$2,FALSE)/60*DN59,0)*IF(DF59&gt;='Options and results'!$K$25,'Options and results'!$K$24,1),0)</f>
        <v>0</v>
      </c>
      <c r="FD59" s="740">
        <f>(FB59*$EI$20+FC59*$EI$21)*IF(DF59&gt;='Options and results'!$K$27,'Options and results'!$K$26,1)*IF(1+'Options and results'!$Q$21*(DF59-1)&gt;0,1+'Options and results'!$Q$21*(DF59-1),0)</f>
        <v>0</v>
      </c>
      <c r="FE59" s="894">
        <f>IF(DF59&lt;='Options and results'!$W$20,IF(DO59&gt;0,(VLOOKUP($DG$8,Treecost!$B$6:$AH$49,Treecost!$AG$2,FALSE)/60*DO59)*IF(DF59&gt;='Options and results'!$K$25,'Options and results'!$K$24,1),0),0)</f>
        <v>0</v>
      </c>
      <c r="FF59" s="740">
        <f>IF(DF59&lt;='Options and results'!$W$20,IF(DO59&gt;0,(VLOOKUP($DG$8,Treecost!$B$6:$AH$49,Treecost!$AH$2,FALSE)/60*DO59)*IF(DF59&gt;='Options and results'!$K$25,'Options and results'!$K$24,1),0),0)</f>
        <v>0</v>
      </c>
      <c r="FG59" s="740">
        <f>(FE59*$EI$22+FF59*$EI$23)*IF(DF59&gt;='Options and results'!$K$27,'Options and results'!$K$26,1)*IF(1+'Options and results'!$Q$21*(DF59-1)&gt;0,1+'Options and results'!$Q$21*(DF59-1),0)</f>
        <v>0</v>
      </c>
      <c r="FH59" s="894">
        <f t="shared" si="157"/>
        <v>0</v>
      </c>
      <c r="FI59" s="1027">
        <f t="shared" si="158"/>
        <v>0</v>
      </c>
      <c r="FJ59" s="1027">
        <f t="shared" si="159"/>
        <v>0</v>
      </c>
      <c r="FK59" s="1027">
        <f t="shared" si="160"/>
        <v>0</v>
      </c>
      <c r="FL59" s="1027">
        <f t="shared" si="190"/>
        <v>0</v>
      </c>
      <c r="FM59" s="1027">
        <f>IF($DF59&lt;='Options and results'!$W$20,SUM(FI$8:$FI59),0)</f>
        <v>0</v>
      </c>
      <c r="FN59" s="1027">
        <f>IF($DF59&lt;='Options and results'!$W$20,SUM($FJ$8:FJ59),0)</f>
        <v>0</v>
      </c>
      <c r="FO59" s="1027">
        <f>IF($DF59&lt;='Options and results'!$W$20,SUM($FK$8:FK59),0)</f>
        <v>0</v>
      </c>
      <c r="FP59" s="1027">
        <f>IF($DF59&lt;='Options and results'!$W$20,FM59+FN59-FO59,0)</f>
        <v>0</v>
      </c>
      <c r="FQ59" s="1027">
        <f t="shared" si="162"/>
        <v>0</v>
      </c>
      <c r="FR59" s="1027">
        <f t="shared" si="163"/>
        <v>0</v>
      </c>
      <c r="FS59" s="1027">
        <f t="shared" si="164"/>
        <v>0</v>
      </c>
      <c r="FT59" s="1189">
        <f>IF(DF59&lt;='Options and results'!$W$20,FP59+DZ59,0)</f>
        <v>0</v>
      </c>
      <c r="FU59" s="401"/>
      <c r="FV59" s="895">
        <f t="shared" si="165"/>
        <v>52</v>
      </c>
      <c r="FW59" s="894">
        <f>G59/(1+'Options and results'!$W$33)^(FV59-1)</f>
        <v>0</v>
      </c>
      <c r="FX59" s="740">
        <f>(AP59+AR59+AS59)/(1+'Options and results'!$W$33)^(FV59-1)</f>
        <v>0</v>
      </c>
      <c r="FY59" s="740">
        <f>CQ59/(1+'Options and results'!$W$33)^(FV59-1)</f>
        <v>0</v>
      </c>
      <c r="FZ59" s="740">
        <f>(EA59+EC59+ED59)/(1+'Options and results'!$W$33)^(FV59-1)</f>
        <v>0</v>
      </c>
      <c r="GA59" s="1019">
        <f t="shared" si="180"/>
        <v>0</v>
      </c>
      <c r="GB59" s="1026">
        <f>(AO59+AQ59)/(1+'Options and results'!$W$33)^(FV59-1)+FX59</f>
        <v>0</v>
      </c>
      <c r="GC59" s="1027">
        <f>IF(FV59&gt;'Options and results'!$W$27,0,GB59-GB58)</f>
        <v>0</v>
      </c>
      <c r="GD59" s="1027">
        <f>(DZ59+EB59)/(1+'Options and results'!$W$33)^(FV59-1)+FZ59</f>
        <v>0</v>
      </c>
      <c r="GE59" s="1379">
        <f>IF(FV59&gt;'Options and results'!$W$27,0,GD59-GD58)</f>
        <v>0</v>
      </c>
      <c r="GF59" s="894">
        <f>IF(FV59&lt;='Options and results'!$W$20,SUM(FW$8:FW59),0)</f>
        <v>0</v>
      </c>
      <c r="GG59" s="740">
        <f>IF(FV59&lt;='Options and results'!$W$20,SUM(FX$8:FX59), 0)</f>
        <v>0</v>
      </c>
      <c r="GH59" s="740">
        <f>IF(FV59&lt;='Options and results'!$W$20,SUM(FY$8:FY59),0)</f>
        <v>0</v>
      </c>
      <c r="GI59" s="740">
        <f>IF(FV59&lt;='Options and results'!$W$20,SUM(FZ$8:FZ59),0)</f>
        <v>0</v>
      </c>
      <c r="GJ59" s="1019">
        <f t="shared" si="166"/>
        <v>0</v>
      </c>
      <c r="GK59" s="894">
        <f>IF(FV59&gt;'Options and results'!$W$27,0,GG59+SUM(GC$8:GC59)-FX59)</f>
        <v>0</v>
      </c>
      <c r="GL59" s="740">
        <f>IF(FV59&lt;='Options and results'!$W$20,SUM(GD$8:GD59),0)</f>
        <v>0</v>
      </c>
      <c r="GM59" s="1034">
        <f t="shared" si="167"/>
        <v>0</v>
      </c>
      <c r="GN59" s="401"/>
      <c r="GO59" s="895">
        <f t="shared" si="168"/>
        <v>52</v>
      </c>
      <c r="GP59" s="894">
        <f>H59/(1+'Options and results'!$W$33)^(GO59-1)</f>
        <v>0</v>
      </c>
      <c r="GQ59" s="740">
        <f>SUM(AT59:AV59)/(1+'Options and results'!$W$33)^(GO59-1)</f>
        <v>0</v>
      </c>
      <c r="GR59" s="740">
        <f>CR59/(1+'Options and results'!$W$33)^(GO59-1)</f>
        <v>0</v>
      </c>
      <c r="GS59" s="740">
        <f>SUM(EE59:EG59)/(1+'Options and results'!$W$33)^(GO59-1)</f>
        <v>0</v>
      </c>
      <c r="GT59" s="1019">
        <f t="shared" si="181"/>
        <v>0</v>
      </c>
      <c r="GU59" s="894">
        <f>IF(GO59&lt;='Options and results'!$W$20,SUM(GP$8:GP59),0)</f>
        <v>0</v>
      </c>
      <c r="GV59" s="740">
        <f>IF(GO59&lt;='Options and results'!$W$20,SUM(GQ$8:GQ59),0)</f>
        <v>0</v>
      </c>
      <c r="GW59" s="740">
        <f>IF(GO59&lt;='Options and results'!$W$20,SUM(GR$8:GR59),0)</f>
        <v>0</v>
      </c>
      <c r="GX59" s="740">
        <f>IF(GO59&lt;='Options and results'!$W$20,SUM(GS$8:GS59),0)</f>
        <v>0</v>
      </c>
      <c r="GY59" s="1034">
        <f>IF(GO59&lt;='Options and results'!$W$20,SUM(GT$8:GT59),0)</f>
        <v>0</v>
      </c>
      <c r="GZ59" s="401"/>
      <c r="HA59" s="895">
        <f t="shared" si="169"/>
        <v>52</v>
      </c>
      <c r="HB59" s="1026">
        <f>(J59+L59+(M59*N59))/(1+'Options and results'!$W$33)^(HA59-1)</f>
        <v>0</v>
      </c>
      <c r="HC59" s="740">
        <f>BZ59/(1+'Options and results'!$W$33)^(HA59-1)</f>
        <v>0</v>
      </c>
      <c r="HD59" s="1027">
        <f>(CT59+CV59+(CW59*CX59))/(1+'Options and results'!$W$33)^(HA59-1)</f>
        <v>0</v>
      </c>
      <c r="HE59" s="740">
        <f>FK59/(1+'Options and results'!$W$33)^(HA59-1)</f>
        <v>0</v>
      </c>
      <c r="HF59" s="1019">
        <f t="shared" si="182"/>
        <v>0</v>
      </c>
      <c r="HG59" s="894">
        <f>IF(HA59&lt;='Options and results'!$W$20,SUM(HB$8:HB59),0)</f>
        <v>0</v>
      </c>
      <c r="HH59" s="740">
        <f>IF(HA59&lt;='Options and results'!$W$20,SUM(HC$8:HC59),0)</f>
        <v>0</v>
      </c>
      <c r="HI59" s="740">
        <f>IF(HA59&lt;='Options and results'!$W$20,SUM(HD$8:HD59),0)</f>
        <v>0</v>
      </c>
      <c r="HJ59" s="740">
        <f>IF(HA59&lt;='Options and results'!$W$20,SUM(HE$8:HE59),0)</f>
        <v>0</v>
      </c>
      <c r="HK59" s="1034">
        <f>IF(HA59&lt;='Options and results'!$W$20,SUM(HF$8:HF59),0)</f>
        <v>0</v>
      </c>
      <c r="HL59" s="405"/>
      <c r="HM59" s="895">
        <f t="shared" si="189"/>
        <v>52</v>
      </c>
      <c r="HN59" s="1026">
        <f t="shared" si="171"/>
        <v>0</v>
      </c>
      <c r="HO59" s="1027">
        <f t="shared" si="172"/>
        <v>0</v>
      </c>
      <c r="HP59" s="1027">
        <f t="shared" si="173"/>
        <v>0</v>
      </c>
      <c r="HQ59" s="1027">
        <f t="shared" si="174"/>
        <v>0</v>
      </c>
      <c r="HR59" s="1027">
        <f t="shared" si="175"/>
        <v>0</v>
      </c>
      <c r="HS59" s="1379">
        <f t="shared" si="176"/>
        <v>0</v>
      </c>
      <c r="HT59" s="1026">
        <f>IF($HM59&lt;='Options and results'!$W$20,SUM(HN$8:HN59),0)</f>
        <v>0</v>
      </c>
      <c r="HU59" s="1027">
        <f>IF($HM59&lt;='Options and results'!$W$20,SUM(HO$8:HO59),0)</f>
        <v>0</v>
      </c>
      <c r="HV59" s="1027">
        <f>IF($HM59&lt;='Options and results'!$W$20,SUM(HP$8:HP59),0)</f>
        <v>0</v>
      </c>
      <c r="HW59" s="1027">
        <f>IF($HM59&lt;='Options and results'!$W$20,SUM(HQ$8:HQ59),0)</f>
        <v>0</v>
      </c>
      <c r="HX59" s="1027">
        <f t="shared" si="177"/>
        <v>0</v>
      </c>
      <c r="HY59" s="1027">
        <f>IF($HM59&lt;='Options and results'!$W$20,SUM(HR$8:HR59),0)</f>
        <v>0</v>
      </c>
      <c r="HZ59" s="1027">
        <f>IF($HM59&lt;='Options and results'!$W$20,SUM(HS$8:HS59),0)</f>
        <v>0</v>
      </c>
      <c r="IA59" s="1189">
        <f t="shared" si="178"/>
        <v>0</v>
      </c>
    </row>
    <row r="60" spans="1:235" x14ac:dyDescent="0.25">
      <c r="A60" s="1010">
        <f t="shared" si="126"/>
        <v>53</v>
      </c>
      <c r="B60" s="1011" t="str">
        <f>IF('Options and results'!$C$17="None",0,CONCATENATE('Options and results'!$C$23," ",(HLOOKUP(CONCATENATE('Options and results'!$C$17," ",Arablesystem!$B$11),Arablesystem!$B$10:$ER$72,$A60+3,FALSE))))</f>
        <v xml:space="preserve">UK - Agriculture (BPS: from 2015) </v>
      </c>
      <c r="C60" s="1012">
        <f>IF(HLOOKUP(CONCATENATE('Options and results'!$C$17," ",Arablesystem!$C$11),Arablesystem!$B$10:$ER$72,$A60+3,FALSE)="T",(VLOOKUP(B60,Arablefinance!$Z$6:$AB$105,Arablefinance!$AB$2,FALSE)*E60+VLOOKUP(B60,Arablefinance!$Z$6:$AC$105,Arablefinance!$AC$2,FALSE)*F60)/VLOOKUP(B60,Arablefinance!$Z$6:$AA$105,Arablefinance!$AA$2,FALSE),0)</f>
        <v>0</v>
      </c>
      <c r="D60" s="1012">
        <f>IF(B60=0,0,HLOOKUP(CONCATENATE('Options and results'!$C$17," ",Arablesystem!$D$11),Arablesystem!$B$10:$ER$72,$A60+3,FALSE))</f>
        <v>0</v>
      </c>
      <c r="E60" s="1440">
        <f>IF(B60=0,0,HLOOKUP(CONCATENATE('Options and results'!$C$17," ",Arablesystem!$E$11),Arablesystem!$B$10:$ER$72,$A60+3,FALSE)*IF(A60&gt;='Options and results'!$H$19,'Options and results'!$H$18,1))</f>
        <v>0</v>
      </c>
      <c r="F60" s="1440">
        <f>IF(B60=0,0,HLOOKUP(CONCATENATE('Options and results'!$C$17," ",Arablesystem!$F$11),Arablesystem!$B$10:$ER$72,$A60+3,FALSE)*IF(A60&gt;='Options and results'!$H$19,'Options and results'!$H$18,1))</f>
        <v>0</v>
      </c>
      <c r="G60" s="1013">
        <f>IF(D60&lt;=0,0,IF(A60&lt;='Options and results'!$W$20,IF(C60&gt;0,VLOOKUP(B60,Arablefinance!$Z$6:$AE$105,Arablefinance!$AD$2,FALSE)*C60*D60,((VLOOKUP(B60,Arablefinance!$E$6:$G$126,Arablefinance!$F$2,FALSE)*(E60*D60)+VLOOKUP(B60,Arablefinance!$E$6:$G$126,Arablefinance!$G$2,FALSE)*(F60*D60)))),0)*IF(A60&gt;='Options and results'!$H$21,'Options and results'!$H$20,1))*IF(1+'Options and results'!$O$20*(A60-1)&gt;0,1+'Options and results'!$O$20*(A60-1),0)</f>
        <v>0</v>
      </c>
      <c r="H60" s="1441">
        <f>IF(D60&lt;=0,0,IF(A60&lt;='Options and results'!$W$20,IF(AND(C60&gt;0,VLOOKUP(B60,Arablefinance!$Z$6:$AI$105,Arablefinance!$AI$2,FALSE)=2),VLOOKUP(B60,Arablefinance!$Z$6:$AE$105,Arablefinance!$AE$2,FALSE)*C60*D60,(VLOOKUP(B60,Arablefinance!$E$6:$H$126,Arablefinance!$H$2,FALSE)*D60))*IF(A60&gt;='Options and results'!$H$23,'Options and results'!$H$22,1),0)*IF(AND(1+'Options and results'!$O$23*(A60-1)&gt;0,1+'Options and results'!$O$23*(A60-1)&gt;'Options and results'!$S$24),1+'Options and results'!$O$23*(A60-1),'Options and results'!$S$24))</f>
        <v>0</v>
      </c>
      <c r="I60" s="1441">
        <f t="shared" si="127"/>
        <v>0</v>
      </c>
      <c r="J60" s="1441">
        <f>IF(D60&lt;=0,0,IF(A60&lt;='Options and results'!$W$20,IF(C60&gt;0,VLOOKUP(B60,Arablefinance!$Z$6:$AF$105,Arablefinance!$AF$2,FALSE)*C60*D60,(VLOOKUP(B60,Arablefinance!$E$6:$X$126,Arablefinance!$R$2,FALSE))*D60),0)*IF(A60&gt;='Options and results'!$H$27,'Options and results'!$H$26,1))*IF(1+'Options and results'!$O$22*(A60-1)&gt;0,1+'Options and results'!$O$22*(A60-1),0)</f>
        <v>0</v>
      </c>
      <c r="K60" s="1441">
        <f t="shared" si="128"/>
        <v>0</v>
      </c>
      <c r="L60" s="1441">
        <f>IF(D60&lt;=0,0,IF(A60&lt;='Options and results'!$W$20,IF(C60&gt;0,VLOOKUP(B60,Arablefinance!$Z$6:$AG$105,Arablefinance!$AG$2,FALSE)*C60*D60,VLOOKUP(B60,Arablefinance!$E$6:$X$126,Arablefinance!$X$2,FALSE)*D60),0)*IF(A60&gt;='Options and results'!$H$27,'Options and results'!$H$26,1))*IF(1+'Options and results'!$O$22*(A60-1)&gt;0,1+'Options and results'!$O$22*(A60-1),0)</f>
        <v>0</v>
      </c>
      <c r="M60" s="1442">
        <f>IF(D60&lt;=0,0,IF(A60&lt;='Options and results'!$W$20,'Options and results'!$C$27,0)*IF(A60&gt;='Options and results'!$H$27,'Options and results'!$H$26,1))*IF(1+'Options and results'!$O$21*(A60-1)&gt;0,1+'Options and results'!$O$21*(A60-1),0)</f>
        <v>0</v>
      </c>
      <c r="N60" s="1442">
        <f>IF(D60&lt;=0,0,IF(A60&lt;='Options and results'!$W$20,IF(C60&gt;0,VLOOKUP(B60,Arablefinance!$Z$6:$AH$105,Arablefinance!$AH$2,FALSE)*C60*D60,VLOOKUP(B60,Arablefinance!$E$6:$W$126,Arablefinance!$V$2,FALSE)*D60),0)*IF(A60&gt;='Options and results'!$H$25,'Options and results'!$H$24,1))</f>
        <v>0</v>
      </c>
      <c r="O60" s="1013">
        <f t="shared" si="129"/>
        <v>0</v>
      </c>
      <c r="P60" s="1353">
        <f t="shared" si="130"/>
        <v>0</v>
      </c>
      <c r="Q60" s="1013">
        <f>IF(A60&lt;='Options and results'!$W$20,SUM(G$8:$G60),0)</f>
        <v>0</v>
      </c>
      <c r="R60" s="1441">
        <f>IF($A60&lt;='Options and results'!$W$20,SUM($H$8:H60),0)</f>
        <v>0</v>
      </c>
      <c r="S60" s="1441">
        <f>IF($A60&lt;='Options and results'!$W$20,SUM($O$8:O60),0)</f>
        <v>0</v>
      </c>
      <c r="T60" s="1032">
        <f>IF(A60&lt;='Options and results'!$W$20,Q60+R60-S60,0)</f>
        <v>0</v>
      </c>
      <c r="U60" s="405"/>
      <c r="V60" s="1010">
        <f t="shared" si="131"/>
        <v>53</v>
      </c>
      <c r="W60" s="173"/>
      <c r="X60" s="1036"/>
      <c r="Y60" s="1030">
        <f>IF(V60&lt;='Options and results'!$M$34,'Options and results'!$M$33,0)</f>
        <v>0</v>
      </c>
      <c r="Z60" s="1441">
        <f t="shared" si="132"/>
        <v>0</v>
      </c>
      <c r="AA60" s="1441">
        <f t="shared" si="133"/>
        <v>0</v>
      </c>
      <c r="AB60" s="1428">
        <f t="shared" si="134"/>
        <v>0</v>
      </c>
      <c r="AC60" s="1441">
        <f>IF($W$8=0,0,IF(HLOOKUP(CONCATENATE('Options and results'!$C$32," ",Forestrysystem!$C$8),Forestrysystem!$A$7:$IH$70,V60+4,FALSE)&lt;AB60,HLOOKUP(CONCATENATE('Options and results'!$C$32," ",Forestrysystem!$C$8),Forestrysystem!$A$7:$IH$70,V60+4,FALSE),0))</f>
        <v>0</v>
      </c>
      <c r="AD60" s="1441">
        <f>IF($W$8=0,0,IF(HLOOKUP(CONCATENATE('Options and results'!$C$32," ",Forestrysystem!$C$8),Forestrysystem!$A$7:$IH$70,V60+4,FALSE)&gt;=AB60,AB60,0))</f>
        <v>0</v>
      </c>
      <c r="AE60" s="1440">
        <f>IF($W$8=0,0,HLOOKUP(CONCATENATE('Options and results'!$C$32," ",Forestrysystem!$D$8),Forestrysystem!$A$7:$IH$70,$V60+4,FALSE))</f>
        <v>0</v>
      </c>
      <c r="AF60" s="1037"/>
      <c r="AG60" s="1440">
        <f>IF($W$8=0,0,IF(V60=1,'Options and results'!$M$36,0)+IF('Options and results'!$M$39="yes",IF(AND(AG59+'Options and results'!$M$37&lt;=$AF$8,AG59+'Options and results'!$M$37+IF(V60=1,'Options and results'!$M$36,0)&lt;='Options and results'!$M$38*AE60),AG59+'Options and results'!$M$37,AG59),(HLOOKUP(CONCATENATE('Options and results'!$C$32," ",Forestrysystem!$E$8),Forestrysystem!$A$7:$IH$70,V60+4,FALSE))-IF(V60=1,'Options and results'!$M$36,0)))</f>
        <v>0</v>
      </c>
      <c r="AH60" s="1442">
        <f>IF(OR($W$8=0,AB60&lt;=0),0,(HLOOKUP(CONCATENATE('Options and results'!$C$32," ",Forestrysystem!$F$8),Forestrysystem!$A$7:$IH$70,$V60+4,FALSE)) * IF(V60&gt;='Options and results'!$I$19,'Options and results'!$I$18,1) )</f>
        <v>0</v>
      </c>
      <c r="AI60" s="1452">
        <f t="shared" si="179"/>
        <v>0</v>
      </c>
      <c r="AJ60" s="1442">
        <f t="shared" si="135"/>
        <v>0</v>
      </c>
      <c r="AK60" s="1453">
        <f>IF(OR($W$8=0,AE60&lt;=0),0,(HLOOKUP(CONCATENATE('Options and results'!$C$32," ",Forestrysystem!$G$8),Forestrysystem!$A$7:$IH$70,$V60+4,FALSE)) * IF(Y60&gt;='Options and results'!$I$19,'Options and results'!$I$18,1) )</f>
        <v>0</v>
      </c>
      <c r="AL60" s="1453">
        <f>IF($W$8=0,0,HLOOKUP(CONCATENATE('Options and results'!$C$32," ",Forestrysystem!$H$8),Forestrysystem!$A$7:$IH$70,$V60+4,FALSE)*IF(V60&gt;='Options and results'!$I$19,'Options and results'!$I$18,1))</f>
        <v>0</v>
      </c>
      <c r="AM60" s="1383">
        <f>IF($W$8=0,0,HLOOKUP(CONCATENATE('Options and results'!$C$32," ",Forestrysystem!$I$8),Forestrysystem!$A$7:$IH$70,$V60+4,FALSE)*IF(V60&gt;='Options and results'!$I$19,'Options and results'!$I$18,1))</f>
        <v>0</v>
      </c>
      <c r="AN60" s="1382">
        <f>IF(AI60&gt;0,HLOOKUP(AI60,Treevalue!$I$4:$BC$34,'Options and results'!$C$39+1),0)*IF(V60&gt;='Options and results'!$I$21,'Options and results'!$I$20,1)*IF(1+'Options and results'!$Q$20*(V60-1)&gt;0,1+'Options and results'!$Q$20*(V60-1),0)</f>
        <v>0</v>
      </c>
      <c r="AO60" s="1454">
        <f t="shared" si="136"/>
        <v>0</v>
      </c>
      <c r="AP60" s="1454">
        <f t="shared" si="187"/>
        <v>0</v>
      </c>
      <c r="AQ60" s="1454">
        <f>(IF('Options and results'!$C$39&gt;0,IF(V60&lt;='Options and results'!$W$20,VLOOKUP('Options and results'!$C$39,Treevalue!$A$4:$F$34,5,FALSE),0),0)*AK60)*IF(V60&gt;='Options and results'!$I$21,'Options and results'!$I$20,1)*IF(1+'Options and results'!$Q$20*(V60-1)&gt;0,1+'Options and results'!$Q$20*(V60-1),0)-AR60</f>
        <v>0</v>
      </c>
      <c r="AR60" s="1441">
        <f>(IF('Options and results'!$C$39&gt;0,IF(V60&lt;='Options and results'!$W$20,VLOOKUP('Options and results'!$C$39,Treevalue!$A$4:$F$34,5,FALSE),0),0)*AL60)*IF(V60&gt;='Options and results'!$I$21,'Options and results'!$I$20,1)*IF(1+'Options and results'!$Q$20*(V60-1)&gt;0,1+'Options and results'!$Q$20*(V60-1),0)</f>
        <v>0</v>
      </c>
      <c r="AS60" s="1441">
        <f>(IF('Options and results'!$C$39&gt;0,IF(V60&lt;='Options and results'!$W$20,VLOOKUP('Options and results'!$C$39,Treevalue!$A$4:$F$34,6,FALSE),0),0)*AM60)*IF(V60&gt;='Options and results'!$I$21,'Options and results'!$I$20,1)*IF(1+'Options and results'!$Q$20*(V60-1)&gt;0,1+'Options and results'!$Q$20*(V60-1),0)</f>
        <v>0</v>
      </c>
      <c r="AT60" s="1441">
        <f>IF(V60&lt;='Options and results'!$W$20,(IF(AB60&lt;=0,0,IF('Options and results'!$C$43="cost",(IF(V60&lt;='Options and results'!$C$44,BZ60*SUM('Options and results'!$C$45:$C$46),0)),IF('Options and results'!$C$41&gt;0,(IF(VLOOKUP('Options and results'!$C$42,Treegrant!$B$6:$L$42,Treegrant!$C$2,FALSE)=V60,VLOOKUP('Options and results'!$C$42,Treegrant!$B$6:$L$42,Treegrant!$D$2,FALSE),0)+IF(VLOOKUP('Options and results'!$C$42,Treegrant!$B$6:$L$42,Treegrant!$E$2,FALSE)=V60,VLOOKUP('Options and results'!$C$42,Treegrant!$B$6:$L$42,Treegrant!$F$2,FALSE),0)+IF(VLOOKUP('Options and results'!$C$42,Treegrant!$B$6:$L$42,Treegrant!$G$2,FALSE)=V60,VLOOKUP('Options and results'!$C$42,Treegrant!$B$6:$L$42,Treegrant!$H$2,FALSE)))*IF('Options and results'!$C$43="area",1,'Options and results'!$C$43),0)))*IF(V60&gt;='Options and results'!$I$23,'Options and results'!$I$22,1)),0)*IF(1+'Options and results'!$Q$23*(V60-1)&gt;0,1+'Options and results'!$Q$23*(V60-1),0)</f>
        <v>0</v>
      </c>
      <c r="AU60" s="1441">
        <f>IF($W$8=0,0,IF(V60&lt;='Options and results'!$W$20,IF(AB60&lt;=0,0,IF('Options and results'!$C$41&gt;0,IF(AND(VLOOKUP('Options and results'!$C$42,Treegrant!$B$6:$L$42,Treegrant!$J$2,FALSE)&lt;=V60,VLOOKUP('Options and results'!$C$42,Treegrant!$B$6:$L$42,Treegrant!$K$2,FALSE)&gt;=V60),(VLOOKUP('Options and results'!$C$42,Treegrant!$B$6:$L$42,Treegrant!$L$2,FALSE)),0)*IF('Options and results'!$C$47="full",1,'Options and results'!$C$47))*IF(V60&gt;='Options and results'!$I$23,'Options and results'!$I$22,1)),0))*IF(1+'Options and results'!$Q$23*(V60-1)&gt;0,1+'Options and results'!$Q$23*(V60-1),0)</f>
        <v>0</v>
      </c>
      <c r="AV60" s="1032">
        <f>IF($W$8=0,0,IF(V60&lt;='Options and results'!$W$20,IF(AB60&lt;=0,0,(IF('Options and results'!$C$41&gt;0,(IF(AND(VLOOKUP('Options and results'!$C$42,Treegrant!$B$6:$O$42,Treegrant!$M$2,FALSE)&lt;=V60,VLOOKUP('Options and results'!$C$42,Treegrant!$B$6:$O$42,Treegrant!$N$2,FALSE)&gt;=V60),(VLOOKUP('Options and results'!$C$42,Treegrant!$B$6:$O$42,Treegrant!$O$2,FALSE)),0)*IF('Options and results'!$C$48="full",1,'Options and results'!$C$48))+(IF(AND(VLOOKUP('Options and results'!$C$42,Treegrant!$B$6:$R$42,Treegrant!$P$2,FALSE)&lt;=V60,VLOOKUP('Options and results'!$C$42,Treegrant!$B$6:$R$42,Treegrant!$Q$2,FALSE)&gt;=V60),(VLOOKUP('Options and results'!$C$42,Treegrant!$B$6:$R$42,Treegrant!$R$2,FALSE)),0))*IF('Options and results'!$C$49="full",1,'Options and results'!$C$49)))*IF(V60&gt;='Options and results'!$I$23,'Options and results'!$I$22,1)),0))*IF(1+'Options and results'!$Q$23*(V60-1)&gt;0,1+'Options and results'!$Q$23*(V60-1),0)</f>
        <v>0</v>
      </c>
      <c r="AW60" s="1041"/>
      <c r="AX60" s="1042"/>
      <c r="AY60" s="1419">
        <f>IF($W$8=0,0,IF(V60=1,VLOOKUP($W$8,Treecost!$B$6:$AH$49,Treecost!$E$2,FALSE),0)*IF(V60&gt;='Options and results'!$I$25,'Options and results'!$I$24,1))</f>
        <v>0</v>
      </c>
      <c r="AZ60" s="889">
        <f>IF($W$8=0,0,IF(V60=1,VLOOKUP($W$8,Treecost!$B$6:$AH$49,Treecost!$F$2,FALSE),0)*IF(V60&gt;='Options and results'!$I$25,'Options and results'!$I$24,1))</f>
        <v>0</v>
      </c>
      <c r="BA60" s="889">
        <f>IF($W$8=0,0,IF(V60=1,VLOOKUP($W$8,Treecost!$B$6:$AH$49,Treecost!$G$2,FALSE),0)*IF(V60&gt;='Options and results'!$I$25,'Options and results'!$I$24,1))</f>
        <v>0</v>
      </c>
      <c r="BB60" s="889">
        <f>IF($W$8=0,0,IF(V60&lt;='Options and results'!$W$20,((VLOOKUP($W$8,Treecost!$B$6:$AH$49,Treecost!$H$2,FALSE)*(X60+AA60))/60)*IF(V60&gt;='Options and results'!$I$25,'Options and results'!$I$24,1),0))</f>
        <v>0</v>
      </c>
      <c r="BC60" s="889">
        <f>IF($W$8=0,0,IF(V60&lt;='Options and results'!$W$20,(((VLOOKUP($W$8,Treecost!$B$6:$AH$49,Treecost!$I$2,FALSE))*(X60+AA60))/60)*IF(V60&gt;='Options and results'!$I$25,'Options and results'!$I$24,1),0))</f>
        <v>0</v>
      </c>
      <c r="BD60" s="889">
        <f>IF($W$8=0,0,IF(V60&lt;='Options and results'!$W$20,(((VLOOKUP($W$8,Treecost!$B$6:$AH$49,Treecost!$J$2,FALSE))/60)*(X60+AA60))*IF(V60&gt;='Options and results'!$I$25,'Options and results'!$I$24,1),0))</f>
        <v>0</v>
      </c>
      <c r="BE60" s="1019">
        <f>IF($W$8=0,0,IF(V60&lt;='Options and results'!$W$20,(((VLOOKUP($W$8,Treecost!$B$6:$AH$49,Treecost!$C$2,FALSE)+VLOOKUP($W$8,Treecost!$B$6:$AH$49,Treecost!$D$2,FALSE))*(X60+AA60)*IF(1+'Options and results'!$Q$22*(V60-1)&gt;0,1+'Options and results'!$Q$22*(V60-1),0))+((AY60*$AX$8+AZ60*$AX$9+BA60*$AX$10+BB60*$AX$11+BC60*$AX$12+BD60*$AX$13)*IF(1+'Options and results'!$Q$21*(V60-1)&gt;0,1+'Options and results'!$Q$21*(V60-1),0)))*IF(V60&gt;='Options and results'!$I$27,'Options and results'!$I$26,1),0))</f>
        <v>0</v>
      </c>
      <c r="BF60" s="889">
        <f>IF($W$8=0,0,IF(V60&lt;='Options and results'!$W$20,IF(AND(VLOOKUP($W$8,Treecost!$B$6:$AH$49,Treecost!$K$2,FALSE)&lt;=V60,V60&lt;=(VLOOKUP($W$8,Treecost!$B$6:$AH$49,Treecost!$L$2,FALSE))),VLOOKUP($W$8,Treecost!$B$6:$AH$49,Treecost!$M$2,FALSE)*AB60/60,0)*IF(V60&gt;='Options and results'!$I$25,'Options and results'!$I$24,1),0))</f>
        <v>0</v>
      </c>
      <c r="BG60" s="1019">
        <f>IF(BF60&gt;0,(VLOOKUP($W$8,Treecost!$B$6:$AH$49,Treecost!$N$2,FALSE)*AB60*IF(1+'Options and results'!$Q$22*(V60-1)&gt;0,1+'Options and results'!$Q$22*(V60-1),0)+BF60*$AX$14*IF(1+'Options and results'!$Q$21*(V60-1)&gt;0,1+'Options and results'!$Q$21*(V60-1),0)),0)*IF(V60&gt;='Options and results'!$I$27,'Options and results'!$I$26,1)</f>
        <v>0</v>
      </c>
      <c r="BH60" s="889">
        <f>IF(V60&lt;='Options and results'!$W$20,IF(AND(AG60-AG59&gt;0,AG60&gt;'Options and results'!$M$36),(AB60-AC60)*(VLOOKUP($W$8,Treecost!$B$6:$AH$49,Treecost!$Y$2,FALSE)+(VLOOKUP($W$8,Treecost!$B$6:$AH$49,Treecost!$AA$2,FALSE)-VLOOKUP($W$8,Treecost!$B$6:$AH$49,Treecost!$Y$2,FALSE))/(VLOOKUP($W$8,Treecost!$B$6:$AH$49,Treecost!$Z$2,FALSE)-VLOOKUP($W$8,Treecost!$B$6:$AH$49,Treecost!$X$2,FALSE))*(AG60-VLOOKUP($W$8,Treecost!$B$6:$AH$49,Treecost!$X$2,FALSE)))/60,0)*IF(V60&gt;='Options and results'!$I$25,'Options and results'!$I$24,1),0)</f>
        <v>0</v>
      </c>
      <c r="BI60" s="303">
        <f>IF(V60&lt;='Options and results'!$W$20,IF(BH60&gt;0,VLOOKUP($W$8,Treecost!$B$6:$AH$49,Treecost!$AB$2,FALSE)/60*AB60,0)*IF(V60&gt;='Options and results'!$I$25,'Options and results'!$I$24,1),0)*((BH60-(MIN($BH$8:$BH$67)))/((MAX($BH$8:$BH$67))-(MIN($BH$8:$BH$67))))</f>
        <v>0</v>
      </c>
      <c r="BJ60" s="740">
        <f>IF(BH60&gt;0,(BH60*$AX$15+BI60*$AX$19)*IF(1+'Options and results'!$Q$21*(V60-1)&gt;0,1+'Options and results'!$Q$21*(V60-1),0),0)*IF(V60&gt;='Options and results'!$I$27,'Options and results'!$I$26,1)</f>
        <v>0</v>
      </c>
      <c r="BK60" s="891">
        <f>IF($W$8=0,0,IF(V60&lt;='Options and results'!$W$20,IF(VLOOKUP($W$8,Treecost!$B$2:$AH$49,Treecost!$O$2,FALSE)=V60,VLOOKUP($W$8,Treecost!$B$2:$AH$49,Treecost!$P$2,FALSE),0)*IF(V60&gt;='Options and results'!$I$25,'Options and results'!$I$24,1),0))</f>
        <v>0</v>
      </c>
      <c r="BL60" s="889">
        <f>IF($W$8=0,0,IF(V60&lt;='Options and results'!$W$20,IF(AND(V60&gt;VLOOKUP($W$8,Treecost!$B$2:$AH$49,Treecost!$O$2,FALSE),V60&lt;=VLOOKUP($W$8,Treecost!$B$2:$AH$49,Treecost!$R$2,FALSE)),VLOOKUP($W$8,Treecost!$B$2:$AH$49,Treecost!$S$2,FALSE),0)*IF(V60&gt;='Options and results'!$I$25,'Options and results'!$I$24,1),0))</f>
        <v>0</v>
      </c>
      <c r="BM60" s="740">
        <f>IF($W$8=0,0,IF(V60&lt;='Options and results'!$W$20,((IF(VLOOKUP($W$8,Treecost!$B$2:$AH$49,Treecost!$O$2,FALSE)=V60,VLOOKUP($W$8,Treecost!$B$2:$AH$49,Treecost!$Q$2,FALSE),0)+IF(AND(V60&gt;VLOOKUP($W$8,Treecost!$B$2:$AH$49,Treecost!$O$2,FALSE),V60&lt;=VLOOKUP($W$8,Treecost!$B$2:$AH$49,Treecost!$R$2,FALSE)),VLOOKUP($W$8,Treecost!$B$2:$AH$49,Treecost!$T$2,FALSE),0)*IF(1+'Options and results'!$Q$22*(V60-1)&gt;0,1+'Options and results'!$Q$22*(V60-1),0))+(BK60*$AX$16+BL60*$AX$17)*IF(1+'Options and results'!$Q$21*(V60-1)&gt;0,1+'Options and results'!$Q$21*(V60-1),0))*IF(V60&gt;='Options and results'!$I$27,'Options and results'!$I$26,1),0))</f>
        <v>0</v>
      </c>
      <c r="BN60" s="894">
        <f>IF($W$8=0,0,IF(V60&lt;='Options and results'!$W$20,IF(AND(V60&gt;=VLOOKUP($W$8,Treecost!$B$2:$W$49,Treecost!$U$2,FALSE),V60&lt;=VLOOKUP($W$8,Treecost!$B$2:$W$49,Treecost!$V$2,FALSE)),(AB60*VLOOKUP($W$8,Treecost!$B$2:$W$49,Treecost!$W$2,FALSE)/60),0)*IF(V60&gt;='Options and results'!$I$25,'Options and results'!$I$24,1),0))</f>
        <v>0</v>
      </c>
      <c r="BO60" s="740">
        <f>BN60*$AX$18*IF(V60&gt;='Options and results'!$I$27,'Options and results'!$I$26,1)*IF(1+'Options and results'!$Q$21*(V60-1)&gt;0,1+'Options and results'!$Q$21*(V60-1),0)</f>
        <v>0</v>
      </c>
      <c r="BP60" s="894">
        <f>IF(V60&lt;='Options and results'!$W$20,IF(AB60&lt;=0,0,VLOOKUP($W$8,Treecost!$B$6:$AH$49,Treecost!$AC$2,FALSE)+VLOOKUP($W$8,Treecost!$B$6:$AH$49,Treecost!$AD$2,FALSE)+IF(AND(V60&gt;=VLOOKUP($W$8,Treecost!$B$2:$AK$49,Treecost!$AI$2,FALSE),V60&lt;=VLOOKUP($W$8,Treecost!$B$2:$AK$49,Treecost!$AJ$2,FALSE)),(VLOOKUP($W$8,Treecost!$B$2:$AK$49,Treecost!$AK$2,FALSE)),0))*IF(V60&gt;='Options and results'!$I$27,'Options and results'!$I$26,1),0)*IF(1+'Options and results'!$Q$22*(V60-1)&gt;0,1+'Options and results'!$Q$22*(V60-1),0)</f>
        <v>0</v>
      </c>
      <c r="BQ60" s="894">
        <f>IF(V60&lt;='Options and results'!$W$20,IF(AC60&gt;0,VLOOKUP($W$8,Treecost!$B$6:$AH$49,Treecost!$AE$2,FALSE)/60*AC60,0)*IF(V60&gt;='Options and results'!$I$25,'Options and results'!$I$24,1),0)</f>
        <v>0</v>
      </c>
      <c r="BR60" s="740">
        <f>IF(V60&lt;='Options and results'!$W$20,IF(AC60&gt;0,VLOOKUP($W$8,Treecost!$B$6:$AH$49,Treecost!$AF$2,FALSE)/60*AC60,0)*IF(V60&gt;='Options and results'!$I$25,'Options and results'!$I$24,1),0)</f>
        <v>0</v>
      </c>
      <c r="BS60" s="740">
        <f>(BQ60*$AX$20+BR60*$AX$21)*IF(V60&gt;='Options and results'!$I$27,'Options and results'!$I$26,1)*IF(1+'Options and results'!$Q$21*(V60-1)&gt;0,1+'Options and results'!$Q$21*(V60-1),0)</f>
        <v>0</v>
      </c>
      <c r="BT60" s="894">
        <f>IF(V60&lt;='Options and results'!$W$20,IF(AD60&gt;0,(VLOOKUP($W$8,Treecost!$B$6:$AH$49,Treecost!$AG$2,FALSE)/60*AD60)*IF(V60&gt;='Options and results'!$I$25,'Options and results'!$I$24,1),0),0)</f>
        <v>0</v>
      </c>
      <c r="BU60" s="740">
        <f>IF(V60&lt;='Options and results'!$W$20,IF(AD60&gt;0,(VLOOKUP($W$8,Treecost!$B$6:$AH$49,Treecost!$AH$2,FALSE)/60*AD60)*IF(V60&gt;='Options and results'!$I$25,'Options and results'!$I$24,1),0),0)</f>
        <v>0</v>
      </c>
      <c r="BV60" s="740">
        <f>(BT60*$AX$22+BU60*$AX$23)*IF(V60&gt;='Options and results'!$I$27,'Options and results'!$I$26,1)*IF(1+'Options and results'!$Q$21*(V60-1)&gt;0,1+'Options and results'!$Q$21*(V60-1),0)</f>
        <v>0</v>
      </c>
      <c r="BW60" s="1033">
        <f t="shared" si="138"/>
        <v>0</v>
      </c>
      <c r="BX60" s="1027">
        <f t="shared" si="139"/>
        <v>0</v>
      </c>
      <c r="BY60" s="1027">
        <f t="shared" si="140"/>
        <v>0</v>
      </c>
      <c r="BZ60" s="740">
        <f t="shared" si="188"/>
        <v>0</v>
      </c>
      <c r="CA60" s="740">
        <f t="shared" si="141"/>
        <v>0</v>
      </c>
      <c r="CB60" s="894">
        <f>IF($V60&lt;='Options and results'!$W$20,SUM(BX$8:$BX60),0)</f>
        <v>0</v>
      </c>
      <c r="CC60" s="740">
        <f>IF($V60&lt;='Options and results'!$W$20,SUM($BY$8:BY60),0)</f>
        <v>0</v>
      </c>
      <c r="CD60" s="740">
        <f>IF($V60&lt;='Options and results'!$W$20,SUM($BZ$8:BZ60),0)</f>
        <v>0</v>
      </c>
      <c r="CE60" s="740">
        <f>IF(V60&lt;='Options and results'!$W$20,CB60+CC60-CD60,0)</f>
        <v>0</v>
      </c>
      <c r="CF60" s="1381">
        <f t="shared" si="142"/>
        <v>0</v>
      </c>
      <c r="CG60" s="1027">
        <f t="shared" si="143"/>
        <v>0</v>
      </c>
      <c r="CH60" s="1027">
        <f t="shared" si="144"/>
        <v>0</v>
      </c>
      <c r="CI60" s="1189">
        <f>IF(V60&lt;='Options and results'!$W$20,CE60+AO60,0)</f>
        <v>0</v>
      </c>
      <c r="CJ60" s="1023"/>
      <c r="CK60" s="895">
        <f t="shared" si="145"/>
        <v>53</v>
      </c>
      <c r="CL60" s="1011" t="str">
        <f>IF('Options and results'!$C$54="None",0,IF(AND(CK60&gt;='Options and results'!$K$57,CK59&lt;'Options and results'!$W$20),'Options and results'!$K$56,IF(Optimisation!$B$3="No",CONCATENATE('Options and results'!$C$60," ",(HLOOKUP(CONCATENATE('Options and results'!$C$54," ",Agroforestrysystem!$B$12),Agroforestrysystem!$B$11:$IM$74,$CK60+4,FALSE))),Optimisation!AA80)))</f>
        <v xml:space="preserve">UK - Agriculture (BPS: from 2015) </v>
      </c>
      <c r="CM60" s="1012">
        <f>IF(HLOOKUP(CONCATENATE('Options and results'!$C$54," ",Agroforestrysystem!$C$12),Agroforestrysystem!$B$11:$IM$74,$CK60+4,FALSE)="T",(VLOOKUP(CL60,Arablefinance!$Z$6:$AB$105,Arablefinance!$AB$2,FALSE)*CO60+VLOOKUP(CL60,Arablefinance!$Z$6:$AC$105,Arablefinance!$AC$2,FALSE)*CP60)/VLOOKUP(CL60,Arablefinance!$Z$6:$AA$105,Arablefinance!$AA$2,FALSE),0)</f>
        <v>0</v>
      </c>
      <c r="CN60" s="1012">
        <f>IF(CL60=0,0,HLOOKUP(CONCATENATE('Options and results'!$C$54," ",Agroforestrysystem!$D$12),Agroforestrysystem!$B$11:$IM$74,$CK60+4,FALSE))</f>
        <v>0</v>
      </c>
      <c r="CO60" s="1440">
        <f ca="1">IF(CL60=0,0,IF(AND(Optimisation!$B$3="yes",Optimisation!$B$4=1,CK60&gt;Optimisation!$B$9),0,HLOOKUP(CONCATENATE('Options and results'!$C$54," ",Agroforestrysystem!$E$12),Agroforestrysystem!$B$11:$IM$74,$CK60+4,FALSE)*IF(CK60&gt;='Options and results'!$J$19,'Options and results'!$J$18,1)))</f>
        <v>0</v>
      </c>
      <c r="CP60" s="1440">
        <f ca="1">IF(CL60=0,0,IF(AND(Optimisation!$B$3="yes",Optimisation!$B$4=1,CK60&gt;Optimisation!$B$9),0,HLOOKUP(CONCATENATE('Options and results'!$C$54," ",Agroforestrysystem!$F$12),Agroforestrysystem!$B$11:$IM$74,$CK60+4,FALSE)*IF(CK60&gt;='Options and results'!$J$19,'Options and results'!$J$18,1)))</f>
        <v>0</v>
      </c>
      <c r="CQ60" s="1013">
        <f>IF(CN60&lt;=0,0,IF(CK60&lt;='Options and results'!$W$20,IF(CM60&gt;0,VLOOKUP(CL60,Arablefinance!$Z$6:$AE$105,Arablefinance!$AD$2,FALSE)*CM60*CN60,((VLOOKUP(CL60,Arablefinance!$E$6:$H$126,2,FALSE)*CO60+VLOOKUP(CL60,Arablefinance!$E$6:$H$126,3,FALSE)*CP60)*CN60)),0)*IF(CK60&gt;='Options and results'!$J$21,'Options and results'!$J$20,1))*IF(1+'Options and results'!$O$20*(CK60-1)&gt;0,1+'Options and results'!$O$20*(CK60-1),0)</f>
        <v>0</v>
      </c>
      <c r="CR60" s="1441">
        <f>IF(CN60&lt;=0,0,IF(AND(CM60&gt;0,VLOOKUP(CL60,Arablefinance!$Z$6:$AI$105,Arablefinance!$AI$2,FALSE)=2),VLOOKUP(CL60,Arablefinance!$Z$6:$AE$105,Arablefinance!$AE$2,FALSE)*CM60*CN60,IF('Options and results'!$C$62&gt;0,IF(VLOOKUP(CL60,Arablefinance!$E$6:$W$126,Arablefinance!$H$2,FALSE)*(1-Plot!DM60*'Options and results'!$C$62)&gt;0,VLOOKUP(CL60,Arablefinance!$E$6:$W$126,Arablefinance!$H$2,FALSE)*(1-Plot!DM60*'Options and results'!$C$62),0),IF(CK60&lt;='Options and results'!$W$20,(VLOOKUP(CL60,Arablefinance!$E$6:$W$126,Arablefinance!$H$2,FALSE)*IF('Options and results'!$C$61="area",CN60,'Options and results'!$C$61)),0)))*IF(CK60&gt;='Options and results'!$J$23,'Options and results'!$J$22,1))*IF(AND(1+'Options and results'!$O$23*(CK60-1)&gt;0,1+'Options and results'!$O$23*(CK60-1)&gt;'Options and results'!$S$24),1+'Options and results'!$O$23*(CK60-1),'Options and results'!$S$24)</f>
        <v>0</v>
      </c>
      <c r="CS60" s="1441">
        <f t="shared" si="185"/>
        <v>0</v>
      </c>
      <c r="CT60" s="1441">
        <f>IF(CN60&lt;=0,0,IF(CK60&lt;='Options and results'!$W$20,IF(CM60&gt;0,VLOOKUP(CL60,Arablefinance!$Z$6:$AF$105,Arablefinance!$AF$2,FALSE)*CM60*CN60,VLOOKUP(CL60,Arablefinance!$E$6:$X$126,Arablefinance!$R$2,FALSE)*CN60),0)*IF(CK60&gt;='Options and results'!$J$27,'Options and results'!$J$26,1))*IF(1+'Options and results'!$O$22*(CK60-1)&gt;0,1+'Options and results'!$O$22*(CK60-1),0)</f>
        <v>0</v>
      </c>
      <c r="CU60" s="1441">
        <f t="shared" si="186"/>
        <v>0</v>
      </c>
      <c r="CV60" s="1441">
        <f>IF(CN60&lt;=0,0,IF(CK60&lt;='Options and results'!$W$20,IF(CM60&gt;0,VLOOKUP(CL60,Arablefinance!$Z$6:$AG$105,Arablefinance!$AG$2,FALSE)*CM60*CN60,VLOOKUP(CL60,Arablefinance!$E$6:$X$126,Arablefinance!$X$2,FALSE)*CN60),0)*IF(CK60&gt;='Options and results'!$J$27,'Options and results'!$J$26,1))*IF(1+'Options and results'!$O$22*(CK60-1)&gt;0,1+'Options and results'!$O$22*(CK60-1),0)</f>
        <v>0</v>
      </c>
      <c r="CW60" s="1442">
        <f>IF(CN60&lt;=0,0,IF(CK60&lt;='Options and results'!$W$20,'Options and results'!$C$27*IF(CK60&gt;='Options and results'!$J$27,'Options and results'!$J$26,1),0))*IF(1+'Options and results'!$O$21*(CK60-1)&gt;0,1+'Options and results'!$O$21*(CK60-1),0)</f>
        <v>0</v>
      </c>
      <c r="CX60" s="1442">
        <f>IF(CN60&lt;=0,0,IF(CK60&lt;='Options and results'!$W$20,IF(CM60&gt;0,VLOOKUP(CL60,Arablefinance!$Z$6:$AH$105,Arablefinance!$AH$2,FALSE)*CM60*CN60,VLOOKUP(CL60,Arablefinance!$E$6:$W$126,Arablefinance!$V$2,FALSE)*CN60),0)*IF(CK60&gt;='Options and results'!$J$25,'Options and results'!$J$24,1))</f>
        <v>0</v>
      </c>
      <c r="CY60" s="1013">
        <f t="shared" si="148"/>
        <v>0</v>
      </c>
      <c r="CZ60" s="1353">
        <f t="shared" si="149"/>
        <v>0</v>
      </c>
      <c r="DA60" s="1013">
        <f>IF($CK60&lt;='Options and results'!$W$20,SUM($CQ$8:CQ60),0)</f>
        <v>0</v>
      </c>
      <c r="DB60" s="1441">
        <f>IF($CK60&lt;='Options and results'!$W$20,SUM($CR$8:CR60),0)</f>
        <v>0</v>
      </c>
      <c r="DC60" s="1441">
        <f>IF($CK60&lt;='Options and results'!$W$20,SUM($CY$8:CY60),0)</f>
        <v>0</v>
      </c>
      <c r="DD60" s="1189">
        <f>IF(CK60&lt;='Options and results'!$W$20,DA60+DB60-DC60,0)</f>
        <v>0</v>
      </c>
      <c r="DE60" s="401"/>
      <c r="DF60" s="895">
        <f t="shared" si="150"/>
        <v>53</v>
      </c>
      <c r="DG60" s="173"/>
      <c r="DH60" s="1422"/>
      <c r="DI60" s="1427">
        <f>IF(DF60&lt;='Options and results'!$M$61,'Options and results'!$M$60,0)</f>
        <v>0</v>
      </c>
      <c r="DJ60" s="740">
        <f t="shared" si="151"/>
        <v>0</v>
      </c>
      <c r="DK60" s="740">
        <f t="shared" si="152"/>
        <v>0</v>
      </c>
      <c r="DL60" s="1428">
        <f t="shared" si="153"/>
        <v>0</v>
      </c>
      <c r="DM60" s="1429">
        <f>IF($DG$8=0,0,HLOOKUP(CONCATENATE('Options and results'!$C$54," ",Agroforestrysystem!$J$12),Agroforestrysystem!$11:$74,DF60+3,FALSE))/100</f>
        <v>0</v>
      </c>
      <c r="DN60" s="740">
        <f>IF($DG$8=0,0,IF(HLOOKUP(CONCATENATE('Options and results'!$C$54," ",Agroforestrysystem!$H$12),Agroforestrysystem!$11:$74,DF60+4,FALSE)&lt;DL60,HLOOKUP(CONCATENATE('Options and results'!$C$54," ",Agroforestrysystem!$H$12),Agroforestrysystem!$11:$74,DF60+4,FALSE),0))</f>
        <v>0</v>
      </c>
      <c r="DO60" s="1027">
        <f>IF($DG$8=0,0,IF(HLOOKUP(CONCATENATE('Options and results'!$C$54," ",Agroforestrysystem!$H$12),Agroforestrysystem!$11:$74,DF60+4,FALSE)&gt;=DL60,DL60,0))</f>
        <v>0</v>
      </c>
      <c r="DP60" s="1430">
        <f>IF($DG$8=0,0,HLOOKUP(CONCATENATE('Options and results'!$C$54," ",Agroforestrysystem!$I$12),Agroforestrysystem!$11:$74,DF60+4,FALSE))</f>
        <v>0</v>
      </c>
      <c r="DQ60" s="1038"/>
      <c r="DR60" s="1430">
        <f>IF($DG$8=0,0,IF(DF60&gt;'Options and results'!$W$20,0,)+IF(DF60=1,'Options and results'!$M$64)+IF('Options and results'!$M$67="yes",IF(AND(DR59+'Options and results'!$M$65&lt;=$DQ$8,DR59+'Options and results'!$M$65+IF(DF60=1,'Options and results'!$M$64,0)&lt;='Options and results'!$M$66*DP60),DR59+'Options and results'!$M$65,DR59),(HLOOKUP(CONCATENATE('Options and results'!$C$54," ",Agroforestrysystem!$K$12),Agroforestrysystem!$11:$74,DF60+4,FALSE)-IF(DF60=1,'Options and results'!$M$64))))</f>
        <v>0</v>
      </c>
      <c r="DS60" s="1027">
        <f>IF(OR($DG$8=0,DL60=0),0,HLOOKUP(CONCATENATE('Options and results'!$C$54," ",Agroforestrysystem!$L$12),Agroforestrysystem!$11:$74,DF60+4,FALSE)*IF(DF60&gt;='Options and results'!$K$19,'Options and results'!$K$18,1))</f>
        <v>0</v>
      </c>
      <c r="DT60" s="1431">
        <f t="shared" si="154"/>
        <v>0</v>
      </c>
      <c r="DU60" s="889">
        <f t="shared" si="155"/>
        <v>0</v>
      </c>
      <c r="DV60" s="1027">
        <f>IF($DG$8=0,0,(HLOOKUP(CONCATENATE('Options and results'!$C$54," ",Agroforestrysystem!$M$12),Agroforestrysystem!$11:$74,DF60+4,FALSE))*IF(DF60&gt;='Options and results'!$K$19,'Options and results'!$K$18,1))-DW60</f>
        <v>0</v>
      </c>
      <c r="DW60" s="303">
        <f>IF($DG$8=0,0,(HLOOKUP(CONCATENATE('Options and results'!$C$54," ",Agroforestrysystem!$N$12),Agroforestrysystem!$11:$74,DF60+4,FALSE))*IF(DF60&gt;='Options and results'!$K$19,'Options and results'!$K$18,1))</f>
        <v>0</v>
      </c>
      <c r="DX60" s="303">
        <f>IF($DG$8=0,0,HLOOKUP(CONCATENATE('Options and results'!$C$54," ",Agroforestrysystem!$O$12),Agroforestrysystem!$11:$74,DF60+4,FALSE)*IF(DF60&gt;='Options and results'!$K$19,'Options and results'!$K$18,1))</f>
        <v>0</v>
      </c>
      <c r="DY60" s="1192">
        <f>IF(DT60&gt;0,HLOOKUP(DT60,Treevalue!$I$4:$BC$34,'Options and results'!$C$66+1),0)*IF(DF60&gt;='Options and results'!$K$21,'Options and results'!$K$20,1)*IF(1+'Options and results'!$Q$20*(DF60-1)&gt;0,1+'Options and results'!$Q$20*(DF60-1),0)</f>
        <v>0</v>
      </c>
      <c r="DZ60" s="1027">
        <f t="shared" si="156"/>
        <v>0</v>
      </c>
      <c r="EA60" s="1027">
        <f t="shared" si="125"/>
        <v>0</v>
      </c>
      <c r="EB60" s="1027">
        <f>(IF('Options and results'!$C$66&gt;0,IF(DF60&lt;='Options and results'!$W$20,VLOOKUP('Options and results'!$C$66,Treevalue!$A$4:$F$34,5,FALSE),0),0)*DV60)*IF(DF60&gt;='Options and results'!$K$21,'Options and results'!$K$20,1)*IF(1+'Options and results'!$Q$20*(DF60-1)&gt;0,1+'Options and results'!$Q$20*(DF60-1),0)</f>
        <v>0</v>
      </c>
      <c r="EC60" s="740">
        <f>(IF('Options and results'!$C$66&gt;0,IF(DF60&lt;='Options and results'!$W$20,VLOOKUP('Options and results'!$C$66,Treevalue!$A$4:$F$34,5,FALSE),0),0)*DW60)*IF(DF60&gt;='Options and results'!$K$21,'Options and results'!$K$20,1)*IF(1+'Options and results'!$Q$20*(DF60-1)&gt;0,1+'Options and results'!$Q$20*(DF60-1),0)</f>
        <v>0</v>
      </c>
      <c r="ED60" s="889">
        <f>(IF('Options and results'!$C$66&gt;0,IF(DF60&lt;='Options and results'!$W$20,VLOOKUP('Options and results'!$C$66,Treevalue!$A$4:$F$34,6,FALSE),0),0)*DX60)*IF(DF60&gt;='Options and results'!$K$21,'Options and results'!$K$20,1)*IF(1+'Options and results'!$Q$20*(DF60-1)&gt;0,1+'Options and results'!$Q$20*(DF60-1),0)</f>
        <v>0</v>
      </c>
      <c r="EE60" s="740">
        <f>IF(DF60&lt;='Options and results'!$W$20,IF(DL60&lt;=0,0,IF('Options and results'!$C$70="cost",(IF(DF60&lt;='Options and results'!$C$71,FK60*SUM('Options and results'!$C$72:$C$73),0)),IF('Options and results'!$C$68&gt;0,(IF(VLOOKUP('Options and results'!$C$69,Treegrant!$B$6:$L$42,Treegrant!$C$2,FALSE)=DF60,VLOOKUP('Options and results'!$C$69,Treegrant!$B$6:$L$42,Treegrant!$D$2,FALSE),0)+IF(VLOOKUP('Options and results'!$C$69,Treegrant!$B$6:$L$42,Treegrant!$E$2,FALSE)=DF60,VLOOKUP('Options and results'!$C$69,Treegrant!$B$6:$L$42,Treegrant!$F$2,FALSE),0)+IF(VLOOKUP('Options and results'!$C$69,Treegrant!$B$6:$L$42,Treegrant!$G$2,FALSE)=DF60,VLOOKUP('Options and results'!$C$69,Treegrant!$B$6:$L$42,Treegrant!$H$2,FALSE)))*IF('Options and results'!$C$70="area",Unit!C61,'Options and results'!$C$70),0))*IF(DF60&gt;='Options and results'!$K$23,'Options and results'!$K$22,1)),0)*IF(1+'Options and results'!$Q$23*(DF60-1)&gt;0,1+'Options and results'!$Q$23*(DF60-1),0)</f>
        <v>0</v>
      </c>
      <c r="EF60" s="740">
        <f>IF($DG$8=0,0,IF(DF60&lt;='Options and results'!$W$20,IF(DL60&lt;=0,0,IF('Options and results'!$C$68&gt;0,IF(AND(VLOOKUP('Options and results'!$C$69,Treegrant!$B$6:$L$42,Treegrant!$J$2,FALSE)&lt;=DF60,VLOOKUP('Options and results'!$C$69,Treegrant!$B$6:$L$42,Treegrant!$K$2,FALSE)&gt;=DF60),(VLOOKUP('Options and results'!$C$69,Treegrant!$B$6:$L$42,Treegrant!$L$2,FALSE)),0)*IF('Options and results'!$C$74="area",Unit!C61,'Options and results'!$C$74))*IF(DF60&gt;='Options and results'!$K$23,'Options and results'!$K$22,1)),0))*IF(1+'Options and results'!$Q$23*(DF60-1)&gt;0,1+'Options and results'!$Q$23*(DF60-1),0)</f>
        <v>0</v>
      </c>
      <c r="EG60" s="1034">
        <f>IF($DG$8=0,0,IF(DF60&lt;='Options and results'!$W$20,IF(DL60&lt;=0,0,IF('Options and results'!$C$68&gt;0,((IF(AND(VLOOKUP('Options and results'!$C$69,Treegrant!$B$6:$O$42,Treegrant!$M$2,FALSE)&lt;=DF60,VLOOKUP('Options and results'!$C$69,Treegrant!$B$6:$O$42,Treegrant!$N$2,FALSE)&gt;=DF60),(VLOOKUP('Options and results'!$C$69,Treegrant!$B$6:$O$42,Treegrant!$O$2,FALSE)),0)*IF('Options and results'!$C$75="area",Unit!C61,'Options and results'!$C$75))+(IF(AND(VLOOKUP('Options and results'!$C$69,Treegrant!$B$6:$R$42,Treegrant!$P$2,FALSE)&lt;=DF60,VLOOKUP('Options and results'!$C$69,Treegrant!$B$6:$R$42,Treegrant!$Q$2,FALSE)&gt;=DF60),(VLOOKUP('Options and results'!$C$69,Treegrant!$B$6:$R$42,Treegrant!$R$2,FALSE)),0))*IF('Options and results'!$C$76="area",Unit!C61,'Options and results'!$C$76)))*IF(DF60&gt;='Options and results'!$K$23,'Options and results'!$K$22,1)),0))*IF(1+'Options and results'!$Q$23*(DF60-1)&gt;0,1+'Options and results'!$Q$23*(DF60-1),0)</f>
        <v>0</v>
      </c>
      <c r="EH60" s="1041"/>
      <c r="EI60" s="1042"/>
      <c r="EJ60" s="1419">
        <f>IF($DH$8+DK60&lt;1,0,IF(DF60=1,VLOOKUP($DG$8,Treecost!$B$6:$AH$49,Treecost!$E$2,FALSE),0)*IF(DF60&gt;='Options and results'!$K$25,'Options and results'!$K$24,1))</f>
        <v>0</v>
      </c>
      <c r="EK60" s="889">
        <f>IF($DH$8+DK60&lt;1,0,IF(DF60=1,VLOOKUP($DG$8,Treecost!$B$6:$AH$49,Treecost!$F$2,FALSE),0)*IF(DF60&gt;='Options and results'!$K$25,'Options and results'!$K$24,1))</f>
        <v>0</v>
      </c>
      <c r="EL60" s="889">
        <f>IF($DH$8+DK60&lt;1,0,IF(DF60=1,VLOOKUP($DG$8,Treecost!$B$6:$AH$49,Treecost!$G$2,FALSE),0)*IF(DF60&gt;='Options and results'!$K$25,'Options and results'!$K$24,1))</f>
        <v>0</v>
      </c>
      <c r="EM60" s="889">
        <f>IF($DG$8=0,0,IF(DF60&lt;='Options and results'!$W$20,((VLOOKUP($DG$8,Treecost!$B$6:$AH$49,Treecost!$H$2,FALSE)*(DH60+DK60))/60)*IF(DF60&gt;='Options and results'!$K$25,'Options and results'!$K$24,1),0))</f>
        <v>0</v>
      </c>
      <c r="EN60" s="889">
        <f>IF($DG$8=0,0,IF(DF60&lt;='Options and results'!$W$20,(((VLOOKUP($DG$8,Treecost!$B$6:$AH$49,Treecost!$I$2,FALSE))*(DH60+DK60))/60)*IF(DF60&gt;='Options and results'!$K$25,'Options and results'!$K$24,1),0))</f>
        <v>0</v>
      </c>
      <c r="EO60" s="889">
        <f>IF($DG$8=0,0,IF(DF60&lt;='Options and results'!$W$20,(((VLOOKUP($DG$8,Treecost!$B$6:$AH$49,Treecost!$J$2,FALSE))/60)*(DH60+DK60))*IF(DF60&gt;='Options and results'!$K$25,'Options and results'!$K$24,1),0))</f>
        <v>0</v>
      </c>
      <c r="EP60" s="1019">
        <f>IF($DG$8=0,0,IF(DF60&lt;='Options and results'!$W$20,(((VLOOKUP($DG$8,Treecost!$B$6:$AH$49,Treecost!$C$2,FALSE)+VLOOKUP($DG$8,Treecost!$B$6:$AH$49,Treecost!$D$2,FALSE))*(DH60+DK60)*IF(1+'Options and results'!$Q$22*(DF60-1)&gt;0,1+'Options and results'!$Q$22*(DF60-1),0))+(EJ60*$EI$8+EK60*$EI$9+EL60*$EI$10+EM60*$EI$11+EN60*$EI$12+EO60*$EI$13)*IF(1+'Options and results'!$Q$21*(DF60-1)&gt;0,1+'Options and results'!$Q$21*(DF60-1),0))*IF(DF60&gt;='Options and results'!$K$27,'Options and results'!$K$26,1),0))</f>
        <v>0</v>
      </c>
      <c r="EQ60" s="740">
        <f>IF($DG$8=0,0,IF(DF60&lt;='Options and results'!$W$20,IF(AND(VLOOKUP($DG$8,Treecost!$B$6:$AH$49,Treecost!$K$2,FALSE)&lt;=DF60,DF60&lt;=(VLOOKUP($DG$8,Treecost!$B$6:$AH$49,Treecost!$L$2,FALSE))),VLOOKUP($DG$8,Treecost!$B$6:$AH$49,Treecost!$M$2,FALSE)*DL60/60,0)*IF(DF60&gt;='Options and results'!$K$25,'Options and results'!$K$24,1),0))</f>
        <v>0</v>
      </c>
      <c r="ER60" s="1019">
        <f>IF(EQ60&gt;0,(VLOOKUP($DG$8,Treecost!$B$6:$AH$49,Treecost!$N$2,FALSE)*DL60*IF(1+'Options and results'!$Q$22*(DF60-1)&gt;0,1+'Options and results'!$Q$22*(DF60-1),0)+EQ60*$EI$14*IF(1+'Options and results'!$Q$21*(DF60-1)&gt;0,1+'Options and results'!$Q$21*(DF60-1),0)),0)*IF(DF60&gt;='Options and results'!$K$27,'Options and results'!$K$26,1)</f>
        <v>0</v>
      </c>
      <c r="ES60" s="889">
        <f>IF(DF60&lt;='Options and results'!$W$20,IF(AND(DR60-DR59&gt;0,DR60&gt;'Options and results'!$M$64),(DL60-DN60)*(VLOOKUP($DG$8,Treecost!$B$6:$AH$49,Treecost!$Y$2,FALSE)+(VLOOKUP($DG$8,Treecost!$B$6:$AH$49,Treecost!$AA$2,FALSE)-VLOOKUP($DG$8,Treecost!$B$6:$AH$49,Treecost!$Y$2,FALSE))/(VLOOKUP($DG$8,Treecost!$B$6:$AH$49,Treecost!$Z$2,FALSE)-VLOOKUP($DG$8,Treecost!$B$6:$AH$49,Treecost!$X$2,FALSE))*(DR60-VLOOKUP($DG$8,Treecost!$B$6:$AH$49,Treecost!$X$2,FALSE)))/60,0)*IF(DF60&gt;='Options and results'!$K$25,'Options and results'!$K$24,1),0)</f>
        <v>0</v>
      </c>
      <c r="ET60" s="889">
        <f>IF(DF60&lt;='Options and results'!$W$20,IF(ES60&gt;0,VLOOKUP($DG$8,Treecost!$B$6:$AH$49,Treecost!$AB$2,FALSE)/60*DL60,0)*IF(DF60&gt;='Options and results'!$K$25,'Options and results'!$K$24,1),0)*((ES60-(MIN($ES$8:$ES$67)))/((MAX($ES$8:$ES$67))-(MIN($ES$8:$ES$67))))</f>
        <v>0</v>
      </c>
      <c r="EU60" s="740">
        <f>IF(ES60&gt;0,(ES60*$EI$15+ET60*$EI$19)*IF(1+'Options and results'!$Q$21*(DF60-1)&gt;0,1+'Options and results'!$Q$21*(DF60-1),0),0)*IF(DF60&gt;='Options and results'!$K$27,'Options and results'!$K$26,1)</f>
        <v>0</v>
      </c>
      <c r="EV60" s="891">
        <f>IF($DG$8=0,0,IF(DF60&lt;='Options and results'!$W$20,IF(AND(VLOOKUP($DG$8,Treecost!$B$2:$AH$49,Treecost!$O$2,FALSE)=DF60,DF60&lt;=IF(AND(Optimisation!$B$3="Yes",Optimisation!$B$4=1),Optimisation!$B$9)),VLOOKUP($DG$8,Treecost!$B$2:$AH$49,Treecost!$P$2,FALSE)*(1-CN60),0)*IF(DF60&gt;='Options and results'!$K$25,'Options and results'!$K$24,1),0))</f>
        <v>0</v>
      </c>
      <c r="EW60" s="889">
        <f>IF($DG$8=0,0,IF(DF60&lt;='Options and results'!$W$20,IF(AND(DF60&gt;VLOOKUP($DG$8,Treecost!$B$2:$AH$49,Treecost!$O$2,FALSE),DF60&lt;=IF(AND(Optimisation!$B$3="Yes",Optimisation!$B$4=1),Optimisation!$B$9,VLOOKUP($DG$8,Treecost!$B$2:$AH$49,Treecost!$R$2,FALSE))),VLOOKUP($DG$8,Treecost!$B$2:$AH$49,Treecost!$S$2,FALSE)*(1-CN60),0)*IF(DF60&gt;='Options and results'!$K$25,'Options and results'!$K$24,1),0))</f>
        <v>0</v>
      </c>
      <c r="EX60" s="740">
        <f>IF($DG$8=0,0,IF(DF60&lt;='Options and results'!$W$20,(IF(AND(VLOOKUP($DG$8,Treecost!$B$2:$AH$49,Treecost!$O$2,FALSE)=DF60,DF60&lt;=IF(AND(Optimisation!$B$3="Yes",Optimisation!$B$4=1),Optimisation!$B$9)),VLOOKUP($DG$8,Treecost!$B$2:$AH$49,Treecost!$Q$2,FALSE),0)*(1-CN60)+IF(AND(DF60&gt;VLOOKUP($DG$8,Treecost!$B$2:$AH$49,Treecost!$O$2,FALSE),DF60&lt;=IF(AND(Optimisation!$B$3="Yes",Optimisation!$B$4=1),Optimisation!$B$9,VLOOKUP($DG$8,Treecost!$B$2:$AH$49,Treecost!$R$2,FALSE))),VLOOKUP($DG$8,Treecost!$B$2:$AH$49,Treecost!$T$2,FALSE),0)*(1-CN60)+(EV60*$EI$16+EW60*$EI$17))*IF(DF60&gt;='Options and results'!$K$27,'Options and results'!$K$26,1),0))*IF(1+'Options and results'!$Q$21*(DF60-1)&gt;0,1+'Options and results'!$Q$21*(DF60-1),0)</f>
        <v>0</v>
      </c>
      <c r="EY60" s="894">
        <f>IF($DG$8=0,0,IF(DF60&lt;='Options and results'!$W$20,IF(AND(DF60&gt;=VLOOKUP($DG$8,Treecost!$B$2:$W$49,Treecost!$U$2,FALSE),DF60&lt;=VLOOKUP($DG$8,Treecost!$B$2:$W$49,Treecost!$V$2,FALSE)),(DL60*VLOOKUP($DG$8,Treecost!$B$2:$W$49,Treecost!$W$2,FALSE)/60),0)*IF(DF60&gt;='Options and results'!$K$25,'Options and results'!$K$24,1),0))</f>
        <v>0</v>
      </c>
      <c r="EZ60" s="740">
        <f>EY60*$EI$18*IF(DF60&gt;='Options and results'!$K$27,'Options and results'!$K$26,1)*IF(1+'Options and results'!$Q$21*(DF60-1)&gt;0,1+'Options and results'!$Q$21*(DF60-1),0)</f>
        <v>0</v>
      </c>
      <c r="FA60" s="1025">
        <f>IF(DF60&lt;='Options and results'!$W$20,IF(DL60&lt;=0,0,VLOOKUP($DG$8,Treecost!$B$6:$AH$49,Treecost!$AC$2,FALSE)+VLOOKUP($DG$8,Treecost!$B$6:$AH$49,Treecost!$AD$2,FALSE)+IF(AND(DF60&gt;=VLOOKUP($DG$8,Treecost!$B$2:$AK$49,Treecost!$AI$2,FALSE),DF60&lt;=VLOOKUP($DG$8,Treecost!$B$2:$AK$49,Treecost!$AJ$2,FALSE)),VLOOKUP($DG$8,Treecost!$B$2:$AK$49,Treecost!$AK$2,FALSE)*(1-CN60),0))*IF(DF60&gt;='Options and results'!$K$27,'Options and results'!$K$26,1),0)*IF(1+'Options and results'!$Q$22*(DF60-1)&gt;0,1+'Options and results'!$Q$22*(DF60-1),0)</f>
        <v>0</v>
      </c>
      <c r="FB60" s="894">
        <f>IF(DF60&lt;='Options and results'!$W$20,IF(DN60&gt;0,VLOOKUP($DG$8,Treecost!$B$6:$AH$49,Treecost!$AE$2,FALSE)/60*DN60,0)*IF(DF60&gt;='Options and results'!$K$25,'Options and results'!$K$24,1),0)</f>
        <v>0</v>
      </c>
      <c r="FC60" s="740">
        <f>IF(DF60&lt;='Options and results'!$W$20,IF(DN60&gt;0,VLOOKUP($DG$8,Treecost!$B$6:$AH$49,Treecost!$AF$2,FALSE)/60*DN60,0)*IF(DF60&gt;='Options and results'!$K$25,'Options and results'!$K$24,1),0)</f>
        <v>0</v>
      </c>
      <c r="FD60" s="740">
        <f>(FB60*$EI$20+FC60*$EI$21)*IF(DF60&gt;='Options and results'!$K$27,'Options and results'!$K$26,1)*IF(1+'Options and results'!$Q$21*(DF60-1)&gt;0,1+'Options and results'!$Q$21*(DF60-1),0)</f>
        <v>0</v>
      </c>
      <c r="FE60" s="894">
        <f>IF(DF60&lt;='Options and results'!$W$20,IF(DO60&gt;0,(VLOOKUP($DG$8,Treecost!$B$6:$AH$49,Treecost!$AG$2,FALSE)/60*DO60)*IF(DF60&gt;='Options and results'!$K$25,'Options and results'!$K$24,1),0),0)</f>
        <v>0</v>
      </c>
      <c r="FF60" s="740">
        <f>IF(DF60&lt;='Options and results'!$W$20,IF(DO60&gt;0,(VLOOKUP($DG$8,Treecost!$B$6:$AH$49,Treecost!$AH$2,FALSE)/60*DO60)*IF(DF60&gt;='Options and results'!$K$25,'Options and results'!$K$24,1),0),0)</f>
        <v>0</v>
      </c>
      <c r="FG60" s="740">
        <f>(FE60*$EI$22+FF60*$EI$23)*IF(DF60&gt;='Options and results'!$K$27,'Options and results'!$K$26,1)*IF(1+'Options and results'!$Q$21*(DF60-1)&gt;0,1+'Options and results'!$Q$21*(DF60-1),0)</f>
        <v>0</v>
      </c>
      <c r="FH60" s="894">
        <f t="shared" si="157"/>
        <v>0</v>
      </c>
      <c r="FI60" s="1027">
        <f t="shared" si="158"/>
        <v>0</v>
      </c>
      <c r="FJ60" s="1027">
        <f t="shared" si="159"/>
        <v>0</v>
      </c>
      <c r="FK60" s="1027">
        <f t="shared" si="160"/>
        <v>0</v>
      </c>
      <c r="FL60" s="1027">
        <f t="shared" si="190"/>
        <v>0</v>
      </c>
      <c r="FM60" s="1027">
        <f>IF($DF60&lt;='Options and results'!$W$20,SUM(FI$8:$FI60),0)</f>
        <v>0</v>
      </c>
      <c r="FN60" s="1027">
        <f>IF($DF60&lt;='Options and results'!$W$20,SUM($FJ$8:FJ60),0)</f>
        <v>0</v>
      </c>
      <c r="FO60" s="1027">
        <f>IF($DF60&lt;='Options and results'!$W$20,SUM($FK$8:FK60),0)</f>
        <v>0</v>
      </c>
      <c r="FP60" s="1027">
        <f>IF($DF60&lt;='Options and results'!$W$20,FM60+FN60-FO60,0)</f>
        <v>0</v>
      </c>
      <c r="FQ60" s="1027">
        <f t="shared" si="162"/>
        <v>0</v>
      </c>
      <c r="FR60" s="1027">
        <f t="shared" si="163"/>
        <v>0</v>
      </c>
      <c r="FS60" s="1027">
        <f t="shared" si="164"/>
        <v>0</v>
      </c>
      <c r="FT60" s="1189">
        <f>IF(DF60&lt;='Options and results'!$W$20,FP60+DZ60,0)</f>
        <v>0</v>
      </c>
      <c r="FU60" s="401"/>
      <c r="FV60" s="895">
        <f t="shared" si="165"/>
        <v>53</v>
      </c>
      <c r="FW60" s="894">
        <f>G60/(1+'Options and results'!$W$33)^(FV60-1)</f>
        <v>0</v>
      </c>
      <c r="FX60" s="740">
        <f>(AP60+AR60+AS60)/(1+'Options and results'!$W$33)^(FV60-1)</f>
        <v>0</v>
      </c>
      <c r="FY60" s="740">
        <f>CQ60/(1+'Options and results'!$W$33)^(FV60-1)</f>
        <v>0</v>
      </c>
      <c r="FZ60" s="740">
        <f>(EA60+EC60+ED60)/(1+'Options and results'!$W$33)^(FV60-1)</f>
        <v>0</v>
      </c>
      <c r="GA60" s="1019">
        <f t="shared" si="180"/>
        <v>0</v>
      </c>
      <c r="GB60" s="1026">
        <f>(AO60+AQ60)/(1+'Options and results'!$W$33)^(FV60-1)+FX60</f>
        <v>0</v>
      </c>
      <c r="GC60" s="1027">
        <f>IF(FV60&gt;'Options and results'!$W$27,0,GB60-GB59)</f>
        <v>0</v>
      </c>
      <c r="GD60" s="1027">
        <f>(DZ60+EB60)/(1+'Options and results'!$W$33)^(FV60-1)+FZ60</f>
        <v>0</v>
      </c>
      <c r="GE60" s="1379">
        <f>IF(FV60&gt;'Options and results'!$W$27,0,GD60-GD59)</f>
        <v>0</v>
      </c>
      <c r="GF60" s="894">
        <f>IF(FV60&lt;='Options and results'!$W$20,SUM(FW$8:FW60),0)</f>
        <v>0</v>
      </c>
      <c r="GG60" s="740">
        <f>IF(FV60&lt;='Options and results'!$W$20,SUM(FX$8:FX60), 0)</f>
        <v>0</v>
      </c>
      <c r="GH60" s="740">
        <f>IF(FV60&lt;='Options and results'!$W$20,SUM(FY$8:FY60),0)</f>
        <v>0</v>
      </c>
      <c r="GI60" s="740">
        <f>IF(FV60&lt;='Options and results'!$W$20,SUM(FZ$8:FZ60),0)</f>
        <v>0</v>
      </c>
      <c r="GJ60" s="1019">
        <f t="shared" si="166"/>
        <v>0</v>
      </c>
      <c r="GK60" s="894">
        <f>IF(FV60&gt;'Options and results'!$W$27,0,GG60+SUM(GC$8:GC60)-FX60)</f>
        <v>0</v>
      </c>
      <c r="GL60" s="740">
        <f>IF(FV60&lt;='Options and results'!$W$20,SUM(GD$8:GD60),0)</f>
        <v>0</v>
      </c>
      <c r="GM60" s="1034">
        <f t="shared" si="167"/>
        <v>0</v>
      </c>
      <c r="GN60" s="401"/>
      <c r="GO60" s="895">
        <f t="shared" si="168"/>
        <v>53</v>
      </c>
      <c r="GP60" s="894">
        <f>H60/(1+'Options and results'!$W$33)^(GO60-1)</f>
        <v>0</v>
      </c>
      <c r="GQ60" s="740">
        <f>SUM(AT60:AV60)/(1+'Options and results'!$W$33)^(GO60-1)</f>
        <v>0</v>
      </c>
      <c r="GR60" s="740">
        <f>CR60/(1+'Options and results'!$W$33)^(GO60-1)</f>
        <v>0</v>
      </c>
      <c r="GS60" s="740">
        <f>SUM(EE60:EG60)/(1+'Options and results'!$W$33)^(GO60-1)</f>
        <v>0</v>
      </c>
      <c r="GT60" s="1019">
        <f t="shared" si="181"/>
        <v>0</v>
      </c>
      <c r="GU60" s="894">
        <f>IF(GO60&lt;='Options and results'!$W$20,SUM(GP$8:GP60),0)</f>
        <v>0</v>
      </c>
      <c r="GV60" s="740">
        <f>IF(GO60&lt;='Options and results'!$W$20,SUM(GQ$8:GQ60),0)</f>
        <v>0</v>
      </c>
      <c r="GW60" s="740">
        <f>IF(GO60&lt;='Options and results'!$W$20,SUM(GR$8:GR60),0)</f>
        <v>0</v>
      </c>
      <c r="GX60" s="740">
        <f>IF(GO60&lt;='Options and results'!$W$20,SUM(GS$8:GS60),0)</f>
        <v>0</v>
      </c>
      <c r="GY60" s="1034">
        <f>IF(GO60&lt;='Options and results'!$W$20,SUM(GT$8:GT60),0)</f>
        <v>0</v>
      </c>
      <c r="GZ60" s="401"/>
      <c r="HA60" s="895">
        <f t="shared" si="169"/>
        <v>53</v>
      </c>
      <c r="HB60" s="1026">
        <f>(J60+L60+(M60*N60))/(1+'Options and results'!$W$33)^(HA60-1)</f>
        <v>0</v>
      </c>
      <c r="HC60" s="740">
        <f>BZ60/(1+'Options and results'!$W$33)^(HA60-1)</f>
        <v>0</v>
      </c>
      <c r="HD60" s="1027">
        <f>(CT60+CV60+(CW60*CX60))/(1+'Options and results'!$W$33)^(HA60-1)</f>
        <v>0</v>
      </c>
      <c r="HE60" s="740">
        <f>FK60/(1+'Options and results'!$W$33)^(HA60-1)</f>
        <v>0</v>
      </c>
      <c r="HF60" s="1019">
        <f t="shared" si="182"/>
        <v>0</v>
      </c>
      <c r="HG60" s="894">
        <f>IF(HA60&lt;='Options and results'!$W$20,SUM(HB$8:HB60),0)</f>
        <v>0</v>
      </c>
      <c r="HH60" s="740">
        <f>IF(HA60&lt;='Options and results'!$W$20,SUM(HC$8:HC60),0)</f>
        <v>0</v>
      </c>
      <c r="HI60" s="740">
        <f>IF(HA60&lt;='Options and results'!$W$20,SUM(HD$8:HD60),0)</f>
        <v>0</v>
      </c>
      <c r="HJ60" s="740">
        <f>IF(HA60&lt;='Options and results'!$W$20,SUM(HE$8:HE60),0)</f>
        <v>0</v>
      </c>
      <c r="HK60" s="1034">
        <f>IF(HA60&lt;='Options and results'!$W$20,SUM(HF$8:HF60),0)</f>
        <v>0</v>
      </c>
      <c r="HL60" s="405"/>
      <c r="HM60" s="895">
        <f t="shared" si="189"/>
        <v>53</v>
      </c>
      <c r="HN60" s="1026">
        <f t="shared" si="171"/>
        <v>0</v>
      </c>
      <c r="HO60" s="1027">
        <f t="shared" si="172"/>
        <v>0</v>
      </c>
      <c r="HP60" s="1027">
        <f t="shared" si="173"/>
        <v>0</v>
      </c>
      <c r="HQ60" s="1027">
        <f t="shared" si="174"/>
        <v>0</v>
      </c>
      <c r="HR60" s="1027">
        <f t="shared" si="175"/>
        <v>0</v>
      </c>
      <c r="HS60" s="1379">
        <f t="shared" si="176"/>
        <v>0</v>
      </c>
      <c r="HT60" s="1026">
        <f>IF($HM60&lt;='Options and results'!$W$20,SUM(HN$8:HN60),0)</f>
        <v>0</v>
      </c>
      <c r="HU60" s="1027">
        <f>IF($HM60&lt;='Options and results'!$W$20,SUM(HO$8:HO60),0)</f>
        <v>0</v>
      </c>
      <c r="HV60" s="1027">
        <f>IF($HM60&lt;='Options and results'!$W$20,SUM(HP$8:HP60),0)</f>
        <v>0</v>
      </c>
      <c r="HW60" s="1027">
        <f>IF($HM60&lt;='Options and results'!$W$20,SUM(HQ$8:HQ60),0)</f>
        <v>0</v>
      </c>
      <c r="HX60" s="1027">
        <f t="shared" si="177"/>
        <v>0</v>
      </c>
      <c r="HY60" s="1027">
        <f>IF($HM60&lt;='Options and results'!$W$20,SUM(HR$8:HR60),0)</f>
        <v>0</v>
      </c>
      <c r="HZ60" s="1027">
        <f>IF($HM60&lt;='Options and results'!$W$20,SUM(HS$8:HS60),0)</f>
        <v>0</v>
      </c>
      <c r="IA60" s="1189">
        <f t="shared" si="178"/>
        <v>0</v>
      </c>
    </row>
    <row r="61" spans="1:235" x14ac:dyDescent="0.25">
      <c r="A61" s="1010">
        <f t="shared" si="126"/>
        <v>54</v>
      </c>
      <c r="B61" s="1011" t="str">
        <f>IF('Options and results'!$C$17="None",0,CONCATENATE('Options and results'!$C$23," ",(HLOOKUP(CONCATENATE('Options and results'!$C$17," ",Arablesystem!$B$11),Arablesystem!$B$10:$ER$72,$A61+3,FALSE))))</f>
        <v xml:space="preserve">UK - Agriculture (BPS: from 2015) </v>
      </c>
      <c r="C61" s="1012">
        <f>IF(HLOOKUP(CONCATENATE('Options and results'!$C$17," ",Arablesystem!$C$11),Arablesystem!$B$10:$ER$72,$A61+3,FALSE)="T",(VLOOKUP(B61,Arablefinance!$Z$6:$AB$105,Arablefinance!$AB$2,FALSE)*E61+VLOOKUP(B61,Arablefinance!$Z$6:$AC$105,Arablefinance!$AC$2,FALSE)*F61)/VLOOKUP(B61,Arablefinance!$Z$6:$AA$105,Arablefinance!$AA$2,FALSE),0)</f>
        <v>0</v>
      </c>
      <c r="D61" s="1012">
        <f>IF(B61=0,0,HLOOKUP(CONCATENATE('Options and results'!$C$17," ",Arablesystem!$D$11),Arablesystem!$B$10:$ER$72,$A61+3,FALSE))</f>
        <v>0</v>
      </c>
      <c r="E61" s="1440">
        <f>IF(B61=0,0,HLOOKUP(CONCATENATE('Options and results'!$C$17," ",Arablesystem!$E$11),Arablesystem!$B$10:$ER$72,$A61+3,FALSE)*IF(A61&gt;='Options and results'!$H$19,'Options and results'!$H$18,1))</f>
        <v>0</v>
      </c>
      <c r="F61" s="1440">
        <f>IF(B61=0,0,HLOOKUP(CONCATENATE('Options and results'!$C$17," ",Arablesystem!$F$11),Arablesystem!$B$10:$ER$72,$A61+3,FALSE)*IF(A61&gt;='Options and results'!$H$19,'Options and results'!$H$18,1))</f>
        <v>0</v>
      </c>
      <c r="G61" s="1013">
        <f>IF(D61&lt;=0,0,IF(A61&lt;='Options and results'!$W$20,IF(C61&gt;0,VLOOKUP(B61,Arablefinance!$Z$6:$AE$105,Arablefinance!$AD$2,FALSE)*C61*D61,((VLOOKUP(B61,Arablefinance!$E$6:$G$126,Arablefinance!$F$2,FALSE)*(E61*D61)+VLOOKUP(B61,Arablefinance!$E$6:$G$126,Arablefinance!$G$2,FALSE)*(F61*D61)))),0)*IF(A61&gt;='Options and results'!$H$21,'Options and results'!$H$20,1))*IF(1+'Options and results'!$O$20*(A61-1)&gt;0,1+'Options and results'!$O$20*(A61-1),0)</f>
        <v>0</v>
      </c>
      <c r="H61" s="1441">
        <f>IF(D61&lt;=0,0,IF(A61&lt;='Options and results'!$W$20,IF(AND(C61&gt;0,VLOOKUP(B61,Arablefinance!$Z$6:$AI$105,Arablefinance!$AI$2,FALSE)=2),VLOOKUP(B61,Arablefinance!$Z$6:$AE$105,Arablefinance!$AE$2,FALSE)*C61*D61,(VLOOKUP(B61,Arablefinance!$E$6:$H$126,Arablefinance!$H$2,FALSE)*D61))*IF(A61&gt;='Options and results'!$H$23,'Options and results'!$H$22,1),0)*IF(AND(1+'Options and results'!$O$23*(A61-1)&gt;0,1+'Options and results'!$O$23*(A61-1)&gt;'Options and results'!$S$24),1+'Options and results'!$O$23*(A61-1),'Options and results'!$S$24))</f>
        <v>0</v>
      </c>
      <c r="I61" s="1441">
        <f t="shared" si="127"/>
        <v>0</v>
      </c>
      <c r="J61" s="1441">
        <f>IF(D61&lt;=0,0,IF(A61&lt;='Options and results'!$W$20,IF(C61&gt;0,VLOOKUP(B61,Arablefinance!$Z$6:$AF$105,Arablefinance!$AF$2,FALSE)*C61*D61,(VLOOKUP(B61,Arablefinance!$E$6:$X$126,Arablefinance!$R$2,FALSE))*D61),0)*IF(A61&gt;='Options and results'!$H$27,'Options and results'!$H$26,1))*IF(1+'Options and results'!$O$22*(A61-1)&gt;0,1+'Options and results'!$O$22*(A61-1),0)</f>
        <v>0</v>
      </c>
      <c r="K61" s="1441">
        <f t="shared" si="128"/>
        <v>0</v>
      </c>
      <c r="L61" s="1441">
        <f>IF(D61&lt;=0,0,IF(A61&lt;='Options and results'!$W$20,IF(C61&gt;0,VLOOKUP(B61,Arablefinance!$Z$6:$AG$105,Arablefinance!$AG$2,FALSE)*C61*D61,VLOOKUP(B61,Arablefinance!$E$6:$X$126,Arablefinance!$X$2,FALSE)*D61),0)*IF(A61&gt;='Options and results'!$H$27,'Options and results'!$H$26,1))*IF(1+'Options and results'!$O$22*(A61-1)&gt;0,1+'Options and results'!$O$22*(A61-1),0)</f>
        <v>0</v>
      </c>
      <c r="M61" s="1442">
        <f>IF(D61&lt;=0,0,IF(A61&lt;='Options and results'!$W$20,'Options and results'!$C$27,0)*IF(A61&gt;='Options and results'!$H$27,'Options and results'!$H$26,1))*IF(1+'Options and results'!$O$21*(A61-1)&gt;0,1+'Options and results'!$O$21*(A61-1),0)</f>
        <v>0</v>
      </c>
      <c r="N61" s="1442">
        <f>IF(D61&lt;=0,0,IF(A61&lt;='Options and results'!$W$20,IF(C61&gt;0,VLOOKUP(B61,Arablefinance!$Z$6:$AH$105,Arablefinance!$AH$2,FALSE)*C61*D61,VLOOKUP(B61,Arablefinance!$E$6:$W$126,Arablefinance!$V$2,FALSE)*D61),0)*IF(A61&gt;='Options and results'!$H$25,'Options and results'!$H$24,1))</f>
        <v>0</v>
      </c>
      <c r="O61" s="1013">
        <f t="shared" si="129"/>
        <v>0</v>
      </c>
      <c r="P61" s="1353">
        <f t="shared" si="130"/>
        <v>0</v>
      </c>
      <c r="Q61" s="1013">
        <f>IF(A61&lt;='Options and results'!$W$20,SUM(G$8:$G61),0)</f>
        <v>0</v>
      </c>
      <c r="R61" s="1441">
        <f>IF($A61&lt;='Options and results'!$W$20,SUM($H$8:H61),0)</f>
        <v>0</v>
      </c>
      <c r="S61" s="1441">
        <f>IF($A61&lt;='Options and results'!$W$20,SUM($O$8:O61),0)</f>
        <v>0</v>
      </c>
      <c r="T61" s="1032">
        <f>IF(A61&lt;='Options and results'!$W$20,Q61+R61-S61,0)</f>
        <v>0</v>
      </c>
      <c r="U61" s="405"/>
      <c r="V61" s="1010">
        <f t="shared" si="131"/>
        <v>54</v>
      </c>
      <c r="W61" s="173"/>
      <c r="X61" s="1036"/>
      <c r="Y61" s="1030">
        <f>IF(V61&lt;='Options and results'!$M$34,'Options and results'!$M$33,0)</f>
        <v>0</v>
      </c>
      <c r="Z61" s="1441">
        <f t="shared" si="132"/>
        <v>0</v>
      </c>
      <c r="AA61" s="1441">
        <f t="shared" si="133"/>
        <v>0</v>
      </c>
      <c r="AB61" s="1428">
        <f t="shared" si="134"/>
        <v>0</v>
      </c>
      <c r="AC61" s="1441">
        <f>IF($W$8=0,0,IF(HLOOKUP(CONCATENATE('Options and results'!$C$32," ",Forestrysystem!$C$8),Forestrysystem!$A$7:$IH$70,V61+4,FALSE)&lt;AB61,HLOOKUP(CONCATENATE('Options and results'!$C$32," ",Forestrysystem!$C$8),Forestrysystem!$A$7:$IH$70,V61+4,FALSE),0))</f>
        <v>0</v>
      </c>
      <c r="AD61" s="1441">
        <f>IF($W$8=0,0,IF(HLOOKUP(CONCATENATE('Options and results'!$C$32," ",Forestrysystem!$C$8),Forestrysystem!$A$7:$IH$70,V61+4,FALSE)&gt;=AB61,AB61,0))</f>
        <v>0</v>
      </c>
      <c r="AE61" s="1440">
        <f>IF($W$8=0,0,HLOOKUP(CONCATENATE('Options and results'!$C$32," ",Forestrysystem!$D$8),Forestrysystem!$A$7:$IH$70,$V61+4,FALSE))</f>
        <v>0</v>
      </c>
      <c r="AF61" s="1037"/>
      <c r="AG61" s="1440">
        <f>IF($W$8=0,0,IF(V61=1,'Options and results'!$M$36,0)+IF('Options and results'!$M$39="yes",IF(AND(AG60+'Options and results'!$M$37&lt;=$AF$8,AG60+'Options and results'!$M$37+IF(V61=1,'Options and results'!$M$36,0)&lt;='Options and results'!$M$38*AE61),AG60+'Options and results'!$M$37,AG60),(HLOOKUP(CONCATENATE('Options and results'!$C$32," ",Forestrysystem!$E$8),Forestrysystem!$A$7:$IH$70,V61+4,FALSE))-IF(V61=1,'Options and results'!$M$36,0)))</f>
        <v>0</v>
      </c>
      <c r="AH61" s="1442">
        <f>IF(OR($W$8=0,AB61&lt;=0),0,(HLOOKUP(CONCATENATE('Options and results'!$C$32," ",Forestrysystem!$F$8),Forestrysystem!$A$7:$IH$70,$V61+4,FALSE)) * IF(V61&gt;='Options and results'!$I$19,'Options and results'!$I$18,1) )</f>
        <v>0</v>
      </c>
      <c r="AI61" s="1452">
        <f t="shared" si="179"/>
        <v>0</v>
      </c>
      <c r="AJ61" s="1442">
        <f t="shared" si="135"/>
        <v>0</v>
      </c>
      <c r="AK61" s="1453">
        <f>IF(OR($W$8=0,AE61&lt;=0),0,(HLOOKUP(CONCATENATE('Options and results'!$C$32," ",Forestrysystem!$G$8),Forestrysystem!$A$7:$IH$70,$V61+4,FALSE)) * IF(Y61&gt;='Options and results'!$I$19,'Options and results'!$I$18,1) )</f>
        <v>0</v>
      </c>
      <c r="AL61" s="1453">
        <f>IF($W$8=0,0,HLOOKUP(CONCATENATE('Options and results'!$C$32," ",Forestrysystem!$H$8),Forestrysystem!$A$7:$IH$70,$V61+4,FALSE)*IF(V61&gt;='Options and results'!$I$19,'Options and results'!$I$18,1))</f>
        <v>0</v>
      </c>
      <c r="AM61" s="1383">
        <f>IF($W$8=0,0,HLOOKUP(CONCATENATE('Options and results'!$C$32," ",Forestrysystem!$I$8),Forestrysystem!$A$7:$IH$70,$V61+4,FALSE)*IF(V61&gt;='Options and results'!$I$19,'Options and results'!$I$18,1))</f>
        <v>0</v>
      </c>
      <c r="AN61" s="1382">
        <f>IF(AI61&gt;0,HLOOKUP(AI61,Treevalue!$I$4:$BC$34,'Options and results'!$C$39+1),0)*IF(V61&gt;='Options and results'!$I$21,'Options and results'!$I$20,1)*IF(1+'Options and results'!$Q$20*(V61-1)&gt;0,1+'Options and results'!$Q$20*(V61-1),0)</f>
        <v>0</v>
      </c>
      <c r="AO61" s="1454">
        <f t="shared" si="136"/>
        <v>0</v>
      </c>
      <c r="AP61" s="1454">
        <f t="shared" si="187"/>
        <v>0</v>
      </c>
      <c r="AQ61" s="1454">
        <f>(IF('Options and results'!$C$39&gt;0,IF(V61&lt;='Options and results'!$W$20,VLOOKUP('Options and results'!$C$39,Treevalue!$A$4:$F$34,5,FALSE),0),0)*AK61)*IF(V61&gt;='Options and results'!$I$21,'Options and results'!$I$20,1)*IF(1+'Options and results'!$Q$20*(V61-1)&gt;0,1+'Options and results'!$Q$20*(V61-1),0)-AR61</f>
        <v>0</v>
      </c>
      <c r="AR61" s="1441">
        <f>(IF('Options and results'!$C$39&gt;0,IF(V61&lt;='Options and results'!$W$20,VLOOKUP('Options and results'!$C$39,Treevalue!$A$4:$F$34,5,FALSE),0),0)*AL61)*IF(V61&gt;='Options and results'!$I$21,'Options and results'!$I$20,1)*IF(1+'Options and results'!$Q$20*(V61-1)&gt;0,1+'Options and results'!$Q$20*(V61-1),0)</f>
        <v>0</v>
      </c>
      <c r="AS61" s="1441">
        <f>(IF('Options and results'!$C$39&gt;0,IF(V61&lt;='Options and results'!$W$20,VLOOKUP('Options and results'!$C$39,Treevalue!$A$4:$F$34,6,FALSE),0),0)*AM61)*IF(V61&gt;='Options and results'!$I$21,'Options and results'!$I$20,1)*IF(1+'Options and results'!$Q$20*(V61-1)&gt;0,1+'Options and results'!$Q$20*(V61-1),0)</f>
        <v>0</v>
      </c>
      <c r="AT61" s="1441">
        <f>IF(V61&lt;='Options and results'!$W$20,(IF(AB61&lt;=0,0,IF('Options and results'!$C$43="cost",(IF(V61&lt;='Options and results'!$C$44,BZ61*SUM('Options and results'!$C$45:$C$46),0)),IF('Options and results'!$C$41&gt;0,(IF(VLOOKUP('Options and results'!$C$42,Treegrant!$B$6:$L$42,Treegrant!$C$2,FALSE)=V61,VLOOKUP('Options and results'!$C$42,Treegrant!$B$6:$L$42,Treegrant!$D$2,FALSE),0)+IF(VLOOKUP('Options and results'!$C$42,Treegrant!$B$6:$L$42,Treegrant!$E$2,FALSE)=V61,VLOOKUP('Options and results'!$C$42,Treegrant!$B$6:$L$42,Treegrant!$F$2,FALSE),0)+IF(VLOOKUP('Options and results'!$C$42,Treegrant!$B$6:$L$42,Treegrant!$G$2,FALSE)=V61,VLOOKUP('Options and results'!$C$42,Treegrant!$B$6:$L$42,Treegrant!$H$2,FALSE)))*IF('Options and results'!$C$43="area",1,'Options and results'!$C$43),0)))*IF(V61&gt;='Options and results'!$I$23,'Options and results'!$I$22,1)),0)*IF(1+'Options and results'!$Q$23*(V61-1)&gt;0,1+'Options and results'!$Q$23*(V61-1),0)</f>
        <v>0</v>
      </c>
      <c r="AU61" s="1441">
        <f>IF($W$8=0,0,IF(V61&lt;='Options and results'!$W$20,IF(AB61&lt;=0,0,IF('Options and results'!$C$41&gt;0,IF(AND(VLOOKUP('Options and results'!$C$42,Treegrant!$B$6:$L$42,Treegrant!$J$2,FALSE)&lt;=V61,VLOOKUP('Options and results'!$C$42,Treegrant!$B$6:$L$42,Treegrant!$K$2,FALSE)&gt;=V61),(VLOOKUP('Options and results'!$C$42,Treegrant!$B$6:$L$42,Treegrant!$L$2,FALSE)),0)*IF('Options and results'!$C$47="full",1,'Options and results'!$C$47))*IF(V61&gt;='Options and results'!$I$23,'Options and results'!$I$22,1)),0))*IF(1+'Options and results'!$Q$23*(V61-1)&gt;0,1+'Options and results'!$Q$23*(V61-1),0)</f>
        <v>0</v>
      </c>
      <c r="AV61" s="1032">
        <f>IF($W$8=0,0,IF(V61&lt;='Options and results'!$W$20,IF(AB61&lt;=0,0,(IF('Options and results'!$C$41&gt;0,(IF(AND(VLOOKUP('Options and results'!$C$42,Treegrant!$B$6:$O$42,Treegrant!$M$2,FALSE)&lt;=V61,VLOOKUP('Options and results'!$C$42,Treegrant!$B$6:$O$42,Treegrant!$N$2,FALSE)&gt;=V61),(VLOOKUP('Options and results'!$C$42,Treegrant!$B$6:$O$42,Treegrant!$O$2,FALSE)),0)*IF('Options and results'!$C$48="full",1,'Options and results'!$C$48))+(IF(AND(VLOOKUP('Options and results'!$C$42,Treegrant!$B$6:$R$42,Treegrant!$P$2,FALSE)&lt;=V61,VLOOKUP('Options and results'!$C$42,Treegrant!$B$6:$R$42,Treegrant!$Q$2,FALSE)&gt;=V61),(VLOOKUP('Options and results'!$C$42,Treegrant!$B$6:$R$42,Treegrant!$R$2,FALSE)),0))*IF('Options and results'!$C$49="full",1,'Options and results'!$C$49)))*IF(V61&gt;='Options and results'!$I$23,'Options and results'!$I$22,1)),0))*IF(1+'Options and results'!$Q$23*(V61-1)&gt;0,1+'Options and results'!$Q$23*(V61-1),0)</f>
        <v>0</v>
      </c>
      <c r="AW61" s="1041"/>
      <c r="AX61" s="1042"/>
      <c r="AY61" s="1419">
        <f>IF($W$8=0,0,IF(V61=1,VLOOKUP($W$8,Treecost!$B$6:$AH$49,Treecost!$E$2,FALSE),0)*IF(V61&gt;='Options and results'!$I$25,'Options and results'!$I$24,1))</f>
        <v>0</v>
      </c>
      <c r="AZ61" s="889">
        <f>IF($W$8=0,0,IF(V61=1,VLOOKUP($W$8,Treecost!$B$6:$AH$49,Treecost!$F$2,FALSE),0)*IF(V61&gt;='Options and results'!$I$25,'Options and results'!$I$24,1))</f>
        <v>0</v>
      </c>
      <c r="BA61" s="889">
        <f>IF($W$8=0,0,IF(V61=1,VLOOKUP($W$8,Treecost!$B$6:$AH$49,Treecost!$G$2,FALSE),0)*IF(V61&gt;='Options and results'!$I$25,'Options and results'!$I$24,1))</f>
        <v>0</v>
      </c>
      <c r="BB61" s="889">
        <f>IF($W$8=0,0,IF(V61&lt;='Options and results'!$W$20,((VLOOKUP($W$8,Treecost!$B$6:$AH$49,Treecost!$H$2,FALSE)*(X61+AA61))/60)*IF(V61&gt;='Options and results'!$I$25,'Options and results'!$I$24,1),0))</f>
        <v>0</v>
      </c>
      <c r="BC61" s="889">
        <f>IF($W$8=0,0,IF(V61&lt;='Options and results'!$W$20,(((VLOOKUP($W$8,Treecost!$B$6:$AH$49,Treecost!$I$2,FALSE))*(X61+AA61))/60)*IF(V61&gt;='Options and results'!$I$25,'Options and results'!$I$24,1),0))</f>
        <v>0</v>
      </c>
      <c r="BD61" s="889">
        <f>IF($W$8=0,0,IF(V61&lt;='Options and results'!$W$20,(((VLOOKUP($W$8,Treecost!$B$6:$AH$49,Treecost!$J$2,FALSE))/60)*(X61+AA61))*IF(V61&gt;='Options and results'!$I$25,'Options and results'!$I$24,1),0))</f>
        <v>0</v>
      </c>
      <c r="BE61" s="1019">
        <f>IF($W$8=0,0,IF(V61&lt;='Options and results'!$W$20,(((VLOOKUP($W$8,Treecost!$B$6:$AH$49,Treecost!$C$2,FALSE)+VLOOKUP($W$8,Treecost!$B$6:$AH$49,Treecost!$D$2,FALSE))*(X61+AA61)*IF(1+'Options and results'!$Q$22*(V61-1)&gt;0,1+'Options and results'!$Q$22*(V61-1),0))+((AY61*$AX$8+AZ61*$AX$9+BA61*$AX$10+BB61*$AX$11+BC61*$AX$12+BD61*$AX$13)*IF(1+'Options and results'!$Q$21*(V61-1)&gt;0,1+'Options and results'!$Q$21*(V61-1),0)))*IF(V61&gt;='Options and results'!$I$27,'Options and results'!$I$26,1),0))</f>
        <v>0</v>
      </c>
      <c r="BF61" s="889">
        <f>IF($W$8=0,0,IF(V61&lt;='Options and results'!$W$20,IF(AND(VLOOKUP($W$8,Treecost!$B$6:$AH$49,Treecost!$K$2,FALSE)&lt;=V61,V61&lt;=(VLOOKUP($W$8,Treecost!$B$6:$AH$49,Treecost!$L$2,FALSE))),VLOOKUP($W$8,Treecost!$B$6:$AH$49,Treecost!$M$2,FALSE)*AB61/60,0)*IF(V61&gt;='Options and results'!$I$25,'Options and results'!$I$24,1),0))</f>
        <v>0</v>
      </c>
      <c r="BG61" s="1019">
        <f>IF(BF61&gt;0,(VLOOKUP($W$8,Treecost!$B$6:$AH$49,Treecost!$N$2,FALSE)*AB61*IF(1+'Options and results'!$Q$22*(V61-1)&gt;0,1+'Options and results'!$Q$22*(V61-1),0)+BF61*$AX$14*IF(1+'Options and results'!$Q$21*(V61-1)&gt;0,1+'Options and results'!$Q$21*(V61-1),0)),0)*IF(V61&gt;='Options and results'!$I$27,'Options and results'!$I$26,1)</f>
        <v>0</v>
      </c>
      <c r="BH61" s="889">
        <f>IF(V61&lt;='Options and results'!$W$20,IF(AND(AG61-AG60&gt;0,AG61&gt;'Options and results'!$M$36),(AB61-AC61)*(VLOOKUP($W$8,Treecost!$B$6:$AH$49,Treecost!$Y$2,FALSE)+(VLOOKUP($W$8,Treecost!$B$6:$AH$49,Treecost!$AA$2,FALSE)-VLOOKUP($W$8,Treecost!$B$6:$AH$49,Treecost!$Y$2,FALSE))/(VLOOKUP($W$8,Treecost!$B$6:$AH$49,Treecost!$Z$2,FALSE)-VLOOKUP($W$8,Treecost!$B$6:$AH$49,Treecost!$X$2,FALSE))*(AG61-VLOOKUP($W$8,Treecost!$B$6:$AH$49,Treecost!$X$2,FALSE)))/60,0)*IF(V61&gt;='Options and results'!$I$25,'Options and results'!$I$24,1),0)</f>
        <v>0</v>
      </c>
      <c r="BI61" s="303">
        <f>IF(V61&lt;='Options and results'!$W$20,IF(BH61&gt;0,VLOOKUP($W$8,Treecost!$B$6:$AH$49,Treecost!$AB$2,FALSE)/60*AB61,0)*IF(V61&gt;='Options and results'!$I$25,'Options and results'!$I$24,1),0)*((BH61-(MIN($BH$8:$BH$67)))/((MAX($BH$8:$BH$67))-(MIN($BH$8:$BH$67))))</f>
        <v>0</v>
      </c>
      <c r="BJ61" s="740">
        <f>IF(BH61&gt;0,(BH61*$AX$15+BI61*$AX$19)*IF(1+'Options and results'!$Q$21*(V61-1)&gt;0,1+'Options and results'!$Q$21*(V61-1),0),0)*IF(V61&gt;='Options and results'!$I$27,'Options and results'!$I$26,1)</f>
        <v>0</v>
      </c>
      <c r="BK61" s="891">
        <f>IF($W$8=0,0,IF(V61&lt;='Options and results'!$W$20,IF(VLOOKUP($W$8,Treecost!$B$2:$AH$49,Treecost!$O$2,FALSE)=V61,VLOOKUP($W$8,Treecost!$B$2:$AH$49,Treecost!$P$2,FALSE),0)*IF(V61&gt;='Options and results'!$I$25,'Options and results'!$I$24,1),0))</f>
        <v>0</v>
      </c>
      <c r="BL61" s="889">
        <f>IF($W$8=0,0,IF(V61&lt;='Options and results'!$W$20,IF(AND(V61&gt;VLOOKUP($W$8,Treecost!$B$2:$AH$49,Treecost!$O$2,FALSE),V61&lt;=VLOOKUP($W$8,Treecost!$B$2:$AH$49,Treecost!$R$2,FALSE)),VLOOKUP($W$8,Treecost!$B$2:$AH$49,Treecost!$S$2,FALSE),0)*IF(V61&gt;='Options and results'!$I$25,'Options and results'!$I$24,1),0))</f>
        <v>0</v>
      </c>
      <c r="BM61" s="740">
        <f>IF($W$8=0,0,IF(V61&lt;='Options and results'!$W$20,((IF(VLOOKUP($W$8,Treecost!$B$2:$AH$49,Treecost!$O$2,FALSE)=V61,VLOOKUP($W$8,Treecost!$B$2:$AH$49,Treecost!$Q$2,FALSE),0)+IF(AND(V61&gt;VLOOKUP($W$8,Treecost!$B$2:$AH$49,Treecost!$O$2,FALSE),V61&lt;=VLOOKUP($W$8,Treecost!$B$2:$AH$49,Treecost!$R$2,FALSE)),VLOOKUP($W$8,Treecost!$B$2:$AH$49,Treecost!$T$2,FALSE),0)*IF(1+'Options and results'!$Q$22*(V61-1)&gt;0,1+'Options and results'!$Q$22*(V61-1),0))+(BK61*$AX$16+BL61*$AX$17)*IF(1+'Options and results'!$Q$21*(V61-1)&gt;0,1+'Options and results'!$Q$21*(V61-1),0))*IF(V61&gt;='Options and results'!$I$27,'Options and results'!$I$26,1),0))</f>
        <v>0</v>
      </c>
      <c r="BN61" s="894">
        <f>IF($W$8=0,0,IF(V61&lt;='Options and results'!$W$20,IF(AND(V61&gt;=VLOOKUP($W$8,Treecost!$B$2:$W$49,Treecost!$U$2,FALSE),V61&lt;=VLOOKUP($W$8,Treecost!$B$2:$W$49,Treecost!$V$2,FALSE)),(AB61*VLOOKUP($W$8,Treecost!$B$2:$W$49,Treecost!$W$2,FALSE)/60),0)*IF(V61&gt;='Options and results'!$I$25,'Options and results'!$I$24,1),0))</f>
        <v>0</v>
      </c>
      <c r="BO61" s="740">
        <f>BN61*$AX$18*IF(V61&gt;='Options and results'!$I$27,'Options and results'!$I$26,1)*IF(1+'Options and results'!$Q$21*(V61-1)&gt;0,1+'Options and results'!$Q$21*(V61-1),0)</f>
        <v>0</v>
      </c>
      <c r="BP61" s="894">
        <f>IF(V61&lt;='Options and results'!$W$20,IF(AB61&lt;=0,0,VLOOKUP($W$8,Treecost!$B$6:$AH$49,Treecost!$AC$2,FALSE)+VLOOKUP($W$8,Treecost!$B$6:$AH$49,Treecost!$AD$2,FALSE)+IF(AND(V61&gt;=VLOOKUP($W$8,Treecost!$B$2:$AK$49,Treecost!$AI$2,FALSE),V61&lt;=VLOOKUP($W$8,Treecost!$B$2:$AK$49,Treecost!$AJ$2,FALSE)),(VLOOKUP($W$8,Treecost!$B$2:$AK$49,Treecost!$AK$2,FALSE)),0))*IF(V61&gt;='Options and results'!$I$27,'Options and results'!$I$26,1),0)*IF(1+'Options and results'!$Q$22*(V61-1)&gt;0,1+'Options and results'!$Q$22*(V61-1),0)</f>
        <v>0</v>
      </c>
      <c r="BQ61" s="894">
        <f>IF(V61&lt;='Options and results'!$W$20,IF(AC61&gt;0,VLOOKUP($W$8,Treecost!$B$6:$AH$49,Treecost!$AE$2,FALSE)/60*AC61,0)*IF(V61&gt;='Options and results'!$I$25,'Options and results'!$I$24,1),0)</f>
        <v>0</v>
      </c>
      <c r="BR61" s="740">
        <f>IF(V61&lt;='Options and results'!$W$20,IF(AC61&gt;0,VLOOKUP($W$8,Treecost!$B$6:$AH$49,Treecost!$AF$2,FALSE)/60*AC61,0)*IF(V61&gt;='Options and results'!$I$25,'Options and results'!$I$24,1),0)</f>
        <v>0</v>
      </c>
      <c r="BS61" s="740">
        <f>(BQ61*$AX$20+BR61*$AX$21)*IF(V61&gt;='Options and results'!$I$27,'Options and results'!$I$26,1)*IF(1+'Options and results'!$Q$21*(V61-1)&gt;0,1+'Options and results'!$Q$21*(V61-1),0)</f>
        <v>0</v>
      </c>
      <c r="BT61" s="894">
        <f>IF(V61&lt;='Options and results'!$W$20,IF(AD61&gt;0,(VLOOKUP($W$8,Treecost!$B$6:$AH$49,Treecost!$AG$2,FALSE)/60*AD61)*IF(V61&gt;='Options and results'!$I$25,'Options and results'!$I$24,1),0),0)</f>
        <v>0</v>
      </c>
      <c r="BU61" s="740">
        <f>IF(V61&lt;='Options and results'!$W$20,IF(AD61&gt;0,(VLOOKUP($W$8,Treecost!$B$6:$AH$49,Treecost!$AH$2,FALSE)/60*AD61)*IF(V61&gt;='Options and results'!$I$25,'Options and results'!$I$24,1),0),0)</f>
        <v>0</v>
      </c>
      <c r="BV61" s="740">
        <f>(BT61*$AX$22+BU61*$AX$23)*IF(V61&gt;='Options and results'!$I$27,'Options and results'!$I$26,1)*IF(1+'Options and results'!$Q$21*(V61-1)&gt;0,1+'Options and results'!$Q$21*(V61-1),0)</f>
        <v>0</v>
      </c>
      <c r="BW61" s="1033">
        <f t="shared" si="138"/>
        <v>0</v>
      </c>
      <c r="BX61" s="1027">
        <f t="shared" si="139"/>
        <v>0</v>
      </c>
      <c r="BY61" s="1027">
        <f t="shared" si="140"/>
        <v>0</v>
      </c>
      <c r="BZ61" s="740">
        <f t="shared" si="188"/>
        <v>0</v>
      </c>
      <c r="CA61" s="740">
        <f t="shared" si="141"/>
        <v>0</v>
      </c>
      <c r="CB61" s="894">
        <f>IF($V61&lt;='Options and results'!$W$20,SUM(BX$8:$BX61),0)</f>
        <v>0</v>
      </c>
      <c r="CC61" s="740">
        <f>IF($V61&lt;='Options and results'!$W$20,SUM($BY$8:BY61),0)</f>
        <v>0</v>
      </c>
      <c r="CD61" s="740">
        <f>IF($V61&lt;='Options and results'!$W$20,SUM($BZ$8:BZ61),0)</f>
        <v>0</v>
      </c>
      <c r="CE61" s="740">
        <f>IF(V61&lt;='Options and results'!$W$20,CB61+CC61-CD61,0)</f>
        <v>0</v>
      </c>
      <c r="CF61" s="1381">
        <f t="shared" si="142"/>
        <v>0</v>
      </c>
      <c r="CG61" s="1027">
        <f t="shared" si="143"/>
        <v>0</v>
      </c>
      <c r="CH61" s="1027">
        <f t="shared" si="144"/>
        <v>0</v>
      </c>
      <c r="CI61" s="1189">
        <f>IF(V61&lt;='Options and results'!$W$20,CE61+AO61,0)</f>
        <v>0</v>
      </c>
      <c r="CJ61" s="1023"/>
      <c r="CK61" s="895">
        <f t="shared" si="145"/>
        <v>54</v>
      </c>
      <c r="CL61" s="1011" t="str">
        <f>IF('Options and results'!$C$54="None",0,IF(AND(CK61&gt;='Options and results'!$K$57,CK60&lt;'Options and results'!$W$20),'Options and results'!$K$56,IF(Optimisation!$B$3="No",CONCATENATE('Options and results'!$C$60," ",(HLOOKUP(CONCATENATE('Options and results'!$C$54," ",Agroforestrysystem!$B$12),Agroforestrysystem!$B$11:$IM$74,$CK61+4,FALSE))),Optimisation!AA81)))</f>
        <v xml:space="preserve">UK - Agriculture (BPS: from 2015) </v>
      </c>
      <c r="CM61" s="1012">
        <f>IF(HLOOKUP(CONCATENATE('Options and results'!$C$54," ",Agroforestrysystem!$C$12),Agroforestrysystem!$B$11:$IM$74,$CK61+4,FALSE)="T",(VLOOKUP(CL61,Arablefinance!$Z$6:$AB$105,Arablefinance!$AB$2,FALSE)*CO61+VLOOKUP(CL61,Arablefinance!$Z$6:$AC$105,Arablefinance!$AC$2,FALSE)*CP61)/VLOOKUP(CL61,Arablefinance!$Z$6:$AA$105,Arablefinance!$AA$2,FALSE),0)</f>
        <v>0</v>
      </c>
      <c r="CN61" s="1012">
        <f>IF(CL61=0,0,HLOOKUP(CONCATENATE('Options and results'!$C$54," ",Agroforestrysystem!$D$12),Agroforestrysystem!$B$11:$IM$74,$CK61+4,FALSE))</f>
        <v>0</v>
      </c>
      <c r="CO61" s="1440">
        <f ca="1">IF(CL61=0,0,IF(AND(Optimisation!$B$3="yes",Optimisation!$B$4=1,CK61&gt;Optimisation!$B$9),0,HLOOKUP(CONCATENATE('Options and results'!$C$54," ",Agroforestrysystem!$E$12),Agroforestrysystem!$B$11:$IM$74,$CK61+4,FALSE)*IF(CK61&gt;='Options and results'!$J$19,'Options and results'!$J$18,1)))</f>
        <v>0</v>
      </c>
      <c r="CP61" s="1440">
        <f ca="1">IF(CL61=0,0,IF(AND(Optimisation!$B$3="yes",Optimisation!$B$4=1,CK61&gt;Optimisation!$B$9),0,HLOOKUP(CONCATENATE('Options and results'!$C$54," ",Agroforestrysystem!$F$12),Agroforestrysystem!$B$11:$IM$74,$CK61+4,FALSE)*IF(CK61&gt;='Options and results'!$J$19,'Options and results'!$J$18,1)))</f>
        <v>0</v>
      </c>
      <c r="CQ61" s="1013">
        <f>IF(CN61&lt;=0,0,IF(CK61&lt;='Options and results'!$W$20,IF(CM61&gt;0,VLOOKUP(CL61,Arablefinance!$Z$6:$AE$105,Arablefinance!$AD$2,FALSE)*CM61*CN61,((VLOOKUP(CL61,Arablefinance!$E$6:$H$126,2,FALSE)*CO61+VLOOKUP(CL61,Arablefinance!$E$6:$H$126,3,FALSE)*CP61)*CN61)),0)*IF(CK61&gt;='Options and results'!$J$21,'Options and results'!$J$20,1))*IF(1+'Options and results'!$O$20*(CK61-1)&gt;0,1+'Options and results'!$O$20*(CK61-1),0)</f>
        <v>0</v>
      </c>
      <c r="CR61" s="1441">
        <f>IF(CN61&lt;=0,0,IF(AND(CM61&gt;0,VLOOKUP(CL61,Arablefinance!$Z$6:$AI$105,Arablefinance!$AI$2,FALSE)=2),VLOOKUP(CL61,Arablefinance!$Z$6:$AE$105,Arablefinance!$AE$2,FALSE)*CM61*CN61,IF('Options and results'!$C$62&gt;0,IF(VLOOKUP(CL61,Arablefinance!$E$6:$W$126,Arablefinance!$H$2,FALSE)*(1-Plot!DM61*'Options and results'!$C$62)&gt;0,VLOOKUP(CL61,Arablefinance!$E$6:$W$126,Arablefinance!$H$2,FALSE)*(1-Plot!DM61*'Options and results'!$C$62),0),IF(CK61&lt;='Options and results'!$W$20,(VLOOKUP(CL61,Arablefinance!$E$6:$W$126,Arablefinance!$H$2,FALSE)*IF('Options and results'!$C$61="area",CN61,'Options and results'!$C$61)),0)))*IF(CK61&gt;='Options and results'!$J$23,'Options and results'!$J$22,1))*IF(AND(1+'Options and results'!$O$23*(CK61-1)&gt;0,1+'Options and results'!$O$23*(CK61-1)&gt;'Options and results'!$S$24),1+'Options and results'!$O$23*(CK61-1),'Options and results'!$S$24)</f>
        <v>0</v>
      </c>
      <c r="CS61" s="1441">
        <f t="shared" si="185"/>
        <v>0</v>
      </c>
      <c r="CT61" s="1441">
        <f>IF(CN61&lt;=0,0,IF(CK61&lt;='Options and results'!$W$20,IF(CM61&gt;0,VLOOKUP(CL61,Arablefinance!$Z$6:$AF$105,Arablefinance!$AF$2,FALSE)*CM61*CN61,VLOOKUP(CL61,Arablefinance!$E$6:$X$126,Arablefinance!$R$2,FALSE)*CN61),0)*IF(CK61&gt;='Options and results'!$J$27,'Options and results'!$J$26,1))*IF(1+'Options and results'!$O$22*(CK61-1)&gt;0,1+'Options and results'!$O$22*(CK61-1),0)</f>
        <v>0</v>
      </c>
      <c r="CU61" s="1441">
        <f t="shared" si="186"/>
        <v>0</v>
      </c>
      <c r="CV61" s="1441">
        <f>IF(CN61&lt;=0,0,IF(CK61&lt;='Options and results'!$W$20,IF(CM61&gt;0,VLOOKUP(CL61,Arablefinance!$Z$6:$AG$105,Arablefinance!$AG$2,FALSE)*CM61*CN61,VLOOKUP(CL61,Arablefinance!$E$6:$X$126,Arablefinance!$X$2,FALSE)*CN61),0)*IF(CK61&gt;='Options and results'!$J$27,'Options and results'!$J$26,1))*IF(1+'Options and results'!$O$22*(CK61-1)&gt;0,1+'Options and results'!$O$22*(CK61-1),0)</f>
        <v>0</v>
      </c>
      <c r="CW61" s="1442">
        <f>IF(CN61&lt;=0,0,IF(CK61&lt;='Options and results'!$W$20,'Options and results'!$C$27*IF(CK61&gt;='Options and results'!$J$27,'Options and results'!$J$26,1),0))*IF(1+'Options and results'!$O$21*(CK61-1)&gt;0,1+'Options and results'!$O$21*(CK61-1),0)</f>
        <v>0</v>
      </c>
      <c r="CX61" s="1442">
        <f>IF(CN61&lt;=0,0,IF(CK61&lt;='Options and results'!$W$20,IF(CM61&gt;0,VLOOKUP(CL61,Arablefinance!$Z$6:$AH$105,Arablefinance!$AH$2,FALSE)*CM61*CN61,VLOOKUP(CL61,Arablefinance!$E$6:$W$126,Arablefinance!$V$2,FALSE)*CN61),0)*IF(CK61&gt;='Options and results'!$J$25,'Options and results'!$J$24,1))</f>
        <v>0</v>
      </c>
      <c r="CY61" s="1013">
        <f t="shared" si="148"/>
        <v>0</v>
      </c>
      <c r="CZ61" s="1353">
        <f t="shared" si="149"/>
        <v>0</v>
      </c>
      <c r="DA61" s="1013">
        <f>IF($CK61&lt;='Options and results'!$W$20,SUM($CQ$8:CQ61),0)</f>
        <v>0</v>
      </c>
      <c r="DB61" s="1441">
        <f>IF($CK61&lt;='Options and results'!$W$20,SUM($CR$8:CR61),0)</f>
        <v>0</v>
      </c>
      <c r="DC61" s="1441">
        <f>IF($CK61&lt;='Options and results'!$W$20,SUM($CY$8:CY61),0)</f>
        <v>0</v>
      </c>
      <c r="DD61" s="1189">
        <f>IF(CK61&lt;='Options and results'!$W$20,DA61+DB61-DC61,0)</f>
        <v>0</v>
      </c>
      <c r="DE61" s="401"/>
      <c r="DF61" s="895">
        <f t="shared" si="150"/>
        <v>54</v>
      </c>
      <c r="DG61" s="173"/>
      <c r="DH61" s="1422"/>
      <c r="DI61" s="1427">
        <f>IF(DF61&lt;='Options and results'!$M$61,'Options and results'!$M$60,0)</f>
        <v>0</v>
      </c>
      <c r="DJ61" s="740">
        <f t="shared" si="151"/>
        <v>0</v>
      </c>
      <c r="DK61" s="740">
        <f t="shared" si="152"/>
        <v>0</v>
      </c>
      <c r="DL61" s="1428">
        <f t="shared" si="153"/>
        <v>0</v>
      </c>
      <c r="DM61" s="1429">
        <f>IF($DG$8=0,0,HLOOKUP(CONCATENATE('Options and results'!$C$54," ",Agroforestrysystem!$J$12),Agroforestrysystem!$11:$74,DF61+3,FALSE))/100</f>
        <v>0</v>
      </c>
      <c r="DN61" s="740">
        <f>IF($DG$8=0,0,IF(HLOOKUP(CONCATENATE('Options and results'!$C$54," ",Agroforestrysystem!$H$12),Agroforestrysystem!$11:$74,DF61+4,FALSE)&lt;DL61,HLOOKUP(CONCATENATE('Options and results'!$C$54," ",Agroforestrysystem!$H$12),Agroforestrysystem!$11:$74,DF61+4,FALSE),0))</f>
        <v>0</v>
      </c>
      <c r="DO61" s="1027">
        <f>IF($DG$8=0,0,IF(HLOOKUP(CONCATENATE('Options and results'!$C$54," ",Agroforestrysystem!$H$12),Agroforestrysystem!$11:$74,DF61+4,FALSE)&gt;=DL61,DL61,0))</f>
        <v>0</v>
      </c>
      <c r="DP61" s="1430">
        <f>IF($DG$8=0,0,HLOOKUP(CONCATENATE('Options and results'!$C$54," ",Agroforestrysystem!$I$12),Agroforestrysystem!$11:$74,DF61+4,FALSE))</f>
        <v>0</v>
      </c>
      <c r="DQ61" s="1038"/>
      <c r="DR61" s="1430">
        <f>IF($DG$8=0,0,IF(DF61&gt;'Options and results'!$W$20,0,)+IF(DF61=1,'Options and results'!$M$64)+IF('Options and results'!$M$67="yes",IF(AND(DR60+'Options and results'!$M$65&lt;=$DQ$8,DR60+'Options and results'!$M$65+IF(DF61=1,'Options and results'!$M$64,0)&lt;='Options and results'!$M$66*DP61),DR60+'Options and results'!$M$65,DR60),(HLOOKUP(CONCATENATE('Options and results'!$C$54," ",Agroforestrysystem!$K$12),Agroforestrysystem!$11:$74,DF61+4,FALSE)-IF(DF61=1,'Options and results'!$M$64))))</f>
        <v>0</v>
      </c>
      <c r="DS61" s="1027">
        <f>IF(OR($DG$8=0,DL61=0),0,HLOOKUP(CONCATENATE('Options and results'!$C$54," ",Agroforestrysystem!$L$12),Agroforestrysystem!$11:$74,DF61+4,FALSE)*IF(DF61&gt;='Options and results'!$K$19,'Options and results'!$K$18,1))</f>
        <v>0</v>
      </c>
      <c r="DT61" s="1431">
        <f t="shared" si="154"/>
        <v>0</v>
      </c>
      <c r="DU61" s="889">
        <f t="shared" si="155"/>
        <v>0</v>
      </c>
      <c r="DV61" s="1027">
        <f>IF($DG$8=0,0,(HLOOKUP(CONCATENATE('Options and results'!$C$54," ",Agroforestrysystem!$M$12),Agroforestrysystem!$11:$74,DF61+4,FALSE))*IF(DF61&gt;='Options and results'!$K$19,'Options and results'!$K$18,1))-DW61</f>
        <v>0</v>
      </c>
      <c r="DW61" s="303">
        <f>IF($DG$8=0,0,(HLOOKUP(CONCATENATE('Options and results'!$C$54," ",Agroforestrysystem!$N$12),Agroforestrysystem!$11:$74,DF61+4,FALSE))*IF(DF61&gt;='Options and results'!$K$19,'Options and results'!$K$18,1))</f>
        <v>0</v>
      </c>
      <c r="DX61" s="303">
        <f>IF($DG$8=0,0,HLOOKUP(CONCATENATE('Options and results'!$C$54," ",Agroforestrysystem!$O$12),Agroforestrysystem!$11:$74,DF61+4,FALSE)*IF(DF61&gt;='Options and results'!$K$19,'Options and results'!$K$18,1))</f>
        <v>0</v>
      </c>
      <c r="DY61" s="1192">
        <f>IF(DT61&gt;0,HLOOKUP(DT61,Treevalue!$I$4:$BC$34,'Options and results'!$C$66+1),0)*IF(DF61&gt;='Options and results'!$K$21,'Options and results'!$K$20,1)*IF(1+'Options and results'!$Q$20*(DF61-1)&gt;0,1+'Options and results'!$Q$20*(DF61-1),0)</f>
        <v>0</v>
      </c>
      <c r="DZ61" s="1027">
        <f t="shared" si="156"/>
        <v>0</v>
      </c>
      <c r="EA61" s="1027">
        <f t="shared" si="125"/>
        <v>0</v>
      </c>
      <c r="EB61" s="1027">
        <f>(IF('Options and results'!$C$66&gt;0,IF(DF61&lt;='Options and results'!$W$20,VLOOKUP('Options and results'!$C$66,Treevalue!$A$4:$F$34,5,FALSE),0),0)*DV61)*IF(DF61&gt;='Options and results'!$K$21,'Options and results'!$K$20,1)*IF(1+'Options and results'!$Q$20*(DF61-1)&gt;0,1+'Options and results'!$Q$20*(DF61-1),0)</f>
        <v>0</v>
      </c>
      <c r="EC61" s="740">
        <f>(IF('Options and results'!$C$66&gt;0,IF(DF61&lt;='Options and results'!$W$20,VLOOKUP('Options and results'!$C$66,Treevalue!$A$4:$F$34,5,FALSE),0),0)*DW61)*IF(DF61&gt;='Options and results'!$K$21,'Options and results'!$K$20,1)*IF(1+'Options and results'!$Q$20*(DF61-1)&gt;0,1+'Options and results'!$Q$20*(DF61-1),0)</f>
        <v>0</v>
      </c>
      <c r="ED61" s="889">
        <f>(IF('Options and results'!$C$66&gt;0,IF(DF61&lt;='Options and results'!$W$20,VLOOKUP('Options and results'!$C$66,Treevalue!$A$4:$F$34,6,FALSE),0),0)*DX61)*IF(DF61&gt;='Options and results'!$K$21,'Options and results'!$K$20,1)*IF(1+'Options and results'!$Q$20*(DF61-1)&gt;0,1+'Options and results'!$Q$20*(DF61-1),0)</f>
        <v>0</v>
      </c>
      <c r="EE61" s="740">
        <f>IF(DF61&lt;='Options and results'!$W$20,IF(DL61&lt;=0,0,IF('Options and results'!$C$70="cost",(IF(DF61&lt;='Options and results'!$C$71,FK61*SUM('Options and results'!$C$72:$C$73),0)),IF('Options and results'!$C$68&gt;0,(IF(VLOOKUP('Options and results'!$C$69,Treegrant!$B$6:$L$42,Treegrant!$C$2,FALSE)=DF61,VLOOKUP('Options and results'!$C$69,Treegrant!$B$6:$L$42,Treegrant!$D$2,FALSE),0)+IF(VLOOKUP('Options and results'!$C$69,Treegrant!$B$6:$L$42,Treegrant!$E$2,FALSE)=DF61,VLOOKUP('Options and results'!$C$69,Treegrant!$B$6:$L$42,Treegrant!$F$2,FALSE),0)+IF(VLOOKUP('Options and results'!$C$69,Treegrant!$B$6:$L$42,Treegrant!$G$2,FALSE)=DF61,VLOOKUP('Options and results'!$C$69,Treegrant!$B$6:$L$42,Treegrant!$H$2,FALSE)))*IF('Options and results'!$C$70="area",Unit!C62,'Options and results'!$C$70),0))*IF(DF61&gt;='Options and results'!$K$23,'Options and results'!$K$22,1)),0)*IF(1+'Options and results'!$Q$23*(DF61-1)&gt;0,1+'Options and results'!$Q$23*(DF61-1),0)</f>
        <v>0</v>
      </c>
      <c r="EF61" s="740">
        <f>IF($DG$8=0,0,IF(DF61&lt;='Options and results'!$W$20,IF(DL61&lt;=0,0,IF('Options and results'!$C$68&gt;0,IF(AND(VLOOKUP('Options and results'!$C$69,Treegrant!$B$6:$L$42,Treegrant!$J$2,FALSE)&lt;=DF61,VLOOKUP('Options and results'!$C$69,Treegrant!$B$6:$L$42,Treegrant!$K$2,FALSE)&gt;=DF61),(VLOOKUP('Options and results'!$C$69,Treegrant!$B$6:$L$42,Treegrant!$L$2,FALSE)),0)*IF('Options and results'!$C$74="area",Unit!C62,'Options and results'!$C$74))*IF(DF61&gt;='Options and results'!$K$23,'Options and results'!$K$22,1)),0))*IF(1+'Options and results'!$Q$23*(DF61-1)&gt;0,1+'Options and results'!$Q$23*(DF61-1),0)</f>
        <v>0</v>
      </c>
      <c r="EG61" s="1034">
        <f>IF($DG$8=0,0,IF(DF61&lt;='Options and results'!$W$20,IF(DL61&lt;=0,0,IF('Options and results'!$C$68&gt;0,((IF(AND(VLOOKUP('Options and results'!$C$69,Treegrant!$B$6:$O$42,Treegrant!$M$2,FALSE)&lt;=DF61,VLOOKUP('Options and results'!$C$69,Treegrant!$B$6:$O$42,Treegrant!$N$2,FALSE)&gt;=DF61),(VLOOKUP('Options and results'!$C$69,Treegrant!$B$6:$O$42,Treegrant!$O$2,FALSE)),0)*IF('Options and results'!$C$75="area",Unit!C62,'Options and results'!$C$75))+(IF(AND(VLOOKUP('Options and results'!$C$69,Treegrant!$B$6:$R$42,Treegrant!$P$2,FALSE)&lt;=DF61,VLOOKUP('Options and results'!$C$69,Treegrant!$B$6:$R$42,Treegrant!$Q$2,FALSE)&gt;=DF61),(VLOOKUP('Options and results'!$C$69,Treegrant!$B$6:$R$42,Treegrant!$R$2,FALSE)),0))*IF('Options and results'!$C$76="area",Unit!C62,'Options and results'!$C$76)))*IF(DF61&gt;='Options and results'!$K$23,'Options and results'!$K$22,1)),0))*IF(1+'Options and results'!$Q$23*(DF61-1)&gt;0,1+'Options and results'!$Q$23*(DF61-1),0)</f>
        <v>0</v>
      </c>
      <c r="EH61" s="1041"/>
      <c r="EI61" s="1042"/>
      <c r="EJ61" s="1419">
        <f>IF($DH$8+DK61&lt;1,0,IF(DF61=1,VLOOKUP($DG$8,Treecost!$B$6:$AH$49,Treecost!$E$2,FALSE),0)*IF(DF61&gt;='Options and results'!$K$25,'Options and results'!$K$24,1))</f>
        <v>0</v>
      </c>
      <c r="EK61" s="889">
        <f>IF($DH$8+DK61&lt;1,0,IF(DF61=1,VLOOKUP($DG$8,Treecost!$B$6:$AH$49,Treecost!$F$2,FALSE),0)*IF(DF61&gt;='Options and results'!$K$25,'Options and results'!$K$24,1))</f>
        <v>0</v>
      </c>
      <c r="EL61" s="889">
        <f>IF($DH$8+DK61&lt;1,0,IF(DF61=1,VLOOKUP($DG$8,Treecost!$B$6:$AH$49,Treecost!$G$2,FALSE),0)*IF(DF61&gt;='Options and results'!$K$25,'Options and results'!$K$24,1))</f>
        <v>0</v>
      </c>
      <c r="EM61" s="889">
        <f>IF($DG$8=0,0,IF(DF61&lt;='Options and results'!$W$20,((VLOOKUP($DG$8,Treecost!$B$6:$AH$49,Treecost!$H$2,FALSE)*(DH61+DK61))/60)*IF(DF61&gt;='Options and results'!$K$25,'Options and results'!$K$24,1),0))</f>
        <v>0</v>
      </c>
      <c r="EN61" s="889">
        <f>IF($DG$8=0,0,IF(DF61&lt;='Options and results'!$W$20,(((VLOOKUP($DG$8,Treecost!$B$6:$AH$49,Treecost!$I$2,FALSE))*(DH61+DK61))/60)*IF(DF61&gt;='Options and results'!$K$25,'Options and results'!$K$24,1),0))</f>
        <v>0</v>
      </c>
      <c r="EO61" s="889">
        <f>IF($DG$8=0,0,IF(DF61&lt;='Options and results'!$W$20,(((VLOOKUP($DG$8,Treecost!$B$6:$AH$49,Treecost!$J$2,FALSE))/60)*(DH61+DK61))*IF(DF61&gt;='Options and results'!$K$25,'Options and results'!$K$24,1),0))</f>
        <v>0</v>
      </c>
      <c r="EP61" s="1019">
        <f>IF($DG$8=0,0,IF(DF61&lt;='Options and results'!$W$20,(((VLOOKUP($DG$8,Treecost!$B$6:$AH$49,Treecost!$C$2,FALSE)+VLOOKUP($DG$8,Treecost!$B$6:$AH$49,Treecost!$D$2,FALSE))*(DH61+DK61)*IF(1+'Options and results'!$Q$22*(DF61-1)&gt;0,1+'Options and results'!$Q$22*(DF61-1),0))+(EJ61*$EI$8+EK61*$EI$9+EL61*$EI$10+EM61*$EI$11+EN61*$EI$12+EO61*$EI$13)*IF(1+'Options and results'!$Q$21*(DF61-1)&gt;0,1+'Options and results'!$Q$21*(DF61-1),0))*IF(DF61&gt;='Options and results'!$K$27,'Options and results'!$K$26,1),0))</f>
        <v>0</v>
      </c>
      <c r="EQ61" s="740">
        <f>IF($DG$8=0,0,IF(DF61&lt;='Options and results'!$W$20,IF(AND(VLOOKUP($DG$8,Treecost!$B$6:$AH$49,Treecost!$K$2,FALSE)&lt;=DF61,DF61&lt;=(VLOOKUP($DG$8,Treecost!$B$6:$AH$49,Treecost!$L$2,FALSE))),VLOOKUP($DG$8,Treecost!$B$6:$AH$49,Treecost!$M$2,FALSE)*DL61/60,0)*IF(DF61&gt;='Options and results'!$K$25,'Options and results'!$K$24,1),0))</f>
        <v>0</v>
      </c>
      <c r="ER61" s="1019">
        <f>IF(EQ61&gt;0,(VLOOKUP($DG$8,Treecost!$B$6:$AH$49,Treecost!$N$2,FALSE)*DL61*IF(1+'Options and results'!$Q$22*(DF61-1)&gt;0,1+'Options and results'!$Q$22*(DF61-1),0)+EQ61*$EI$14*IF(1+'Options and results'!$Q$21*(DF61-1)&gt;0,1+'Options and results'!$Q$21*(DF61-1),0)),0)*IF(DF61&gt;='Options and results'!$K$27,'Options and results'!$K$26,1)</f>
        <v>0</v>
      </c>
      <c r="ES61" s="889">
        <f>IF(DF61&lt;='Options and results'!$W$20,IF(AND(DR61-DR60&gt;0,DR61&gt;'Options and results'!$M$64),(DL61-DN61)*(VLOOKUP($DG$8,Treecost!$B$6:$AH$49,Treecost!$Y$2,FALSE)+(VLOOKUP($DG$8,Treecost!$B$6:$AH$49,Treecost!$AA$2,FALSE)-VLOOKUP($DG$8,Treecost!$B$6:$AH$49,Treecost!$Y$2,FALSE))/(VLOOKUP($DG$8,Treecost!$B$6:$AH$49,Treecost!$Z$2,FALSE)-VLOOKUP($DG$8,Treecost!$B$6:$AH$49,Treecost!$X$2,FALSE))*(DR61-VLOOKUP($DG$8,Treecost!$B$6:$AH$49,Treecost!$X$2,FALSE)))/60,0)*IF(DF61&gt;='Options and results'!$K$25,'Options and results'!$K$24,1),0)</f>
        <v>0</v>
      </c>
      <c r="ET61" s="889">
        <f>IF(DF61&lt;='Options and results'!$W$20,IF(ES61&gt;0,VLOOKUP($DG$8,Treecost!$B$6:$AH$49,Treecost!$AB$2,FALSE)/60*DL61,0)*IF(DF61&gt;='Options and results'!$K$25,'Options and results'!$K$24,1),0)*((ES61-(MIN($ES$8:$ES$67)))/((MAX($ES$8:$ES$67))-(MIN($ES$8:$ES$67))))</f>
        <v>0</v>
      </c>
      <c r="EU61" s="740">
        <f>IF(ES61&gt;0,(ES61*$EI$15+ET61*$EI$19)*IF(1+'Options and results'!$Q$21*(DF61-1)&gt;0,1+'Options and results'!$Q$21*(DF61-1),0),0)*IF(DF61&gt;='Options and results'!$K$27,'Options and results'!$K$26,1)</f>
        <v>0</v>
      </c>
      <c r="EV61" s="891">
        <f>IF($DG$8=0,0,IF(DF61&lt;='Options and results'!$W$20,IF(AND(VLOOKUP($DG$8,Treecost!$B$2:$AH$49,Treecost!$O$2,FALSE)=DF61,DF61&lt;=IF(AND(Optimisation!$B$3="Yes",Optimisation!$B$4=1),Optimisation!$B$9)),VLOOKUP($DG$8,Treecost!$B$2:$AH$49,Treecost!$P$2,FALSE)*(1-CN61),0)*IF(DF61&gt;='Options and results'!$K$25,'Options and results'!$K$24,1),0))</f>
        <v>0</v>
      </c>
      <c r="EW61" s="889">
        <f>IF($DG$8=0,0,IF(DF61&lt;='Options and results'!$W$20,IF(AND(DF61&gt;VLOOKUP($DG$8,Treecost!$B$2:$AH$49,Treecost!$O$2,FALSE),DF61&lt;=IF(AND(Optimisation!$B$3="Yes",Optimisation!$B$4=1),Optimisation!$B$9,VLOOKUP($DG$8,Treecost!$B$2:$AH$49,Treecost!$R$2,FALSE))),VLOOKUP($DG$8,Treecost!$B$2:$AH$49,Treecost!$S$2,FALSE)*(1-CN61),0)*IF(DF61&gt;='Options and results'!$K$25,'Options and results'!$K$24,1),0))</f>
        <v>0</v>
      </c>
      <c r="EX61" s="740">
        <f>IF($DG$8=0,0,IF(DF61&lt;='Options and results'!$W$20,(IF(AND(VLOOKUP($DG$8,Treecost!$B$2:$AH$49,Treecost!$O$2,FALSE)=DF61,DF61&lt;=IF(AND(Optimisation!$B$3="Yes",Optimisation!$B$4=1),Optimisation!$B$9)),VLOOKUP($DG$8,Treecost!$B$2:$AH$49,Treecost!$Q$2,FALSE),0)*(1-CN61)+IF(AND(DF61&gt;VLOOKUP($DG$8,Treecost!$B$2:$AH$49,Treecost!$O$2,FALSE),DF61&lt;=IF(AND(Optimisation!$B$3="Yes",Optimisation!$B$4=1),Optimisation!$B$9,VLOOKUP($DG$8,Treecost!$B$2:$AH$49,Treecost!$R$2,FALSE))),VLOOKUP($DG$8,Treecost!$B$2:$AH$49,Treecost!$T$2,FALSE),0)*(1-CN61)+(EV61*$EI$16+EW61*$EI$17))*IF(DF61&gt;='Options and results'!$K$27,'Options and results'!$K$26,1),0))*IF(1+'Options and results'!$Q$21*(DF61-1)&gt;0,1+'Options and results'!$Q$21*(DF61-1),0)</f>
        <v>0</v>
      </c>
      <c r="EY61" s="894">
        <f>IF($DG$8=0,0,IF(DF61&lt;='Options and results'!$W$20,IF(AND(DF61&gt;=VLOOKUP($DG$8,Treecost!$B$2:$W$49,Treecost!$U$2,FALSE),DF61&lt;=VLOOKUP($DG$8,Treecost!$B$2:$W$49,Treecost!$V$2,FALSE)),(DL61*VLOOKUP($DG$8,Treecost!$B$2:$W$49,Treecost!$W$2,FALSE)/60),0)*IF(DF61&gt;='Options and results'!$K$25,'Options and results'!$K$24,1),0))</f>
        <v>0</v>
      </c>
      <c r="EZ61" s="740">
        <f>EY61*$EI$18*IF(DF61&gt;='Options and results'!$K$27,'Options and results'!$K$26,1)*IF(1+'Options and results'!$Q$21*(DF61-1)&gt;0,1+'Options and results'!$Q$21*(DF61-1),0)</f>
        <v>0</v>
      </c>
      <c r="FA61" s="1025">
        <f>IF(DF61&lt;='Options and results'!$W$20,IF(DL61&lt;=0,0,VLOOKUP($DG$8,Treecost!$B$6:$AH$49,Treecost!$AC$2,FALSE)+VLOOKUP($DG$8,Treecost!$B$6:$AH$49,Treecost!$AD$2,FALSE)+IF(AND(DF61&gt;=VLOOKUP($DG$8,Treecost!$B$2:$AK$49,Treecost!$AI$2,FALSE),DF61&lt;=VLOOKUP($DG$8,Treecost!$B$2:$AK$49,Treecost!$AJ$2,FALSE)),VLOOKUP($DG$8,Treecost!$B$2:$AK$49,Treecost!$AK$2,FALSE)*(1-CN61),0))*IF(DF61&gt;='Options and results'!$K$27,'Options and results'!$K$26,1),0)*IF(1+'Options and results'!$Q$22*(DF61-1)&gt;0,1+'Options and results'!$Q$22*(DF61-1),0)</f>
        <v>0</v>
      </c>
      <c r="FB61" s="894">
        <f>IF(DF61&lt;='Options and results'!$W$20,IF(DN61&gt;0,VLOOKUP($DG$8,Treecost!$B$6:$AH$49,Treecost!$AE$2,FALSE)/60*DN61,0)*IF(DF61&gt;='Options and results'!$K$25,'Options and results'!$K$24,1),0)</f>
        <v>0</v>
      </c>
      <c r="FC61" s="740">
        <f>IF(DF61&lt;='Options and results'!$W$20,IF(DN61&gt;0,VLOOKUP($DG$8,Treecost!$B$6:$AH$49,Treecost!$AF$2,FALSE)/60*DN61,0)*IF(DF61&gt;='Options and results'!$K$25,'Options and results'!$K$24,1),0)</f>
        <v>0</v>
      </c>
      <c r="FD61" s="740">
        <f>(FB61*$EI$20+FC61*$EI$21)*IF(DF61&gt;='Options and results'!$K$27,'Options and results'!$K$26,1)*IF(1+'Options and results'!$Q$21*(DF61-1)&gt;0,1+'Options and results'!$Q$21*(DF61-1),0)</f>
        <v>0</v>
      </c>
      <c r="FE61" s="894">
        <f>IF(DF61&lt;='Options and results'!$W$20,IF(DO61&gt;0,(VLOOKUP($DG$8,Treecost!$B$6:$AH$49,Treecost!$AG$2,FALSE)/60*DO61)*IF(DF61&gt;='Options and results'!$K$25,'Options and results'!$K$24,1),0),0)</f>
        <v>0</v>
      </c>
      <c r="FF61" s="740">
        <f>IF(DF61&lt;='Options and results'!$W$20,IF(DO61&gt;0,(VLOOKUP($DG$8,Treecost!$B$6:$AH$49,Treecost!$AH$2,FALSE)/60*DO61)*IF(DF61&gt;='Options and results'!$K$25,'Options and results'!$K$24,1),0),0)</f>
        <v>0</v>
      </c>
      <c r="FG61" s="740">
        <f>(FE61*$EI$22+FF61*$EI$23)*IF(DF61&gt;='Options and results'!$K$27,'Options and results'!$K$26,1)*IF(1+'Options and results'!$Q$21*(DF61-1)&gt;0,1+'Options and results'!$Q$21*(DF61-1),0)</f>
        <v>0</v>
      </c>
      <c r="FH61" s="894">
        <f t="shared" si="157"/>
        <v>0</v>
      </c>
      <c r="FI61" s="1027">
        <f t="shared" si="158"/>
        <v>0</v>
      </c>
      <c r="FJ61" s="1027">
        <f t="shared" si="159"/>
        <v>0</v>
      </c>
      <c r="FK61" s="1027">
        <f t="shared" si="160"/>
        <v>0</v>
      </c>
      <c r="FL61" s="1027">
        <f t="shared" si="190"/>
        <v>0</v>
      </c>
      <c r="FM61" s="1027">
        <f>IF($DF61&lt;='Options and results'!$W$20,SUM(FI$8:$FI61),0)</f>
        <v>0</v>
      </c>
      <c r="FN61" s="1027">
        <f>IF($DF61&lt;='Options and results'!$W$20,SUM($FJ$8:FJ61),0)</f>
        <v>0</v>
      </c>
      <c r="FO61" s="1027">
        <f>IF($DF61&lt;='Options and results'!$W$20,SUM($FK$8:FK61),0)</f>
        <v>0</v>
      </c>
      <c r="FP61" s="1027">
        <f>IF($DF61&lt;='Options and results'!$W$20,FM61+FN61-FO61,0)</f>
        <v>0</v>
      </c>
      <c r="FQ61" s="1027">
        <f t="shared" si="162"/>
        <v>0</v>
      </c>
      <c r="FR61" s="1027">
        <f t="shared" si="163"/>
        <v>0</v>
      </c>
      <c r="FS61" s="1027">
        <f t="shared" si="164"/>
        <v>0</v>
      </c>
      <c r="FT61" s="1189">
        <f>IF(DF61&lt;='Options and results'!$W$20,FP61+DZ61,0)</f>
        <v>0</v>
      </c>
      <c r="FU61" s="401"/>
      <c r="FV61" s="895">
        <f t="shared" si="165"/>
        <v>54</v>
      </c>
      <c r="FW61" s="894">
        <f>G61/(1+'Options and results'!$W$33)^(FV61-1)</f>
        <v>0</v>
      </c>
      <c r="FX61" s="740">
        <f>(AP61+AR61+AS61)/(1+'Options and results'!$W$33)^(FV61-1)</f>
        <v>0</v>
      </c>
      <c r="FY61" s="740">
        <f>CQ61/(1+'Options and results'!$W$33)^(FV61-1)</f>
        <v>0</v>
      </c>
      <c r="FZ61" s="740">
        <f>(EA61+EC61+ED61)/(1+'Options and results'!$W$33)^(FV61-1)</f>
        <v>0</v>
      </c>
      <c r="GA61" s="1019">
        <f t="shared" si="180"/>
        <v>0</v>
      </c>
      <c r="GB61" s="1026">
        <f>(AO61+AQ61)/(1+'Options and results'!$W$33)^(FV61-1)+FX61</f>
        <v>0</v>
      </c>
      <c r="GC61" s="1027">
        <f>IF(FV61&gt;'Options and results'!$W$27,0,GB61-GB60)</f>
        <v>0</v>
      </c>
      <c r="GD61" s="1027">
        <f>(DZ61+EB61)/(1+'Options and results'!$W$33)^(FV61-1)+FZ61</f>
        <v>0</v>
      </c>
      <c r="GE61" s="1379">
        <f>IF(FV61&gt;'Options and results'!$W$27,0,GD61-GD60)</f>
        <v>0</v>
      </c>
      <c r="GF61" s="894">
        <f>IF(FV61&lt;='Options and results'!$W$20,SUM(FW$8:FW61),0)</f>
        <v>0</v>
      </c>
      <c r="GG61" s="740">
        <f>IF(FV61&lt;='Options and results'!$W$20,SUM(FX$8:FX61), 0)</f>
        <v>0</v>
      </c>
      <c r="GH61" s="740">
        <f>IF(FV61&lt;='Options and results'!$W$20,SUM(FY$8:FY61),0)</f>
        <v>0</v>
      </c>
      <c r="GI61" s="740">
        <f>IF(FV61&lt;='Options and results'!$W$20,SUM(FZ$8:FZ61),0)</f>
        <v>0</v>
      </c>
      <c r="GJ61" s="1019">
        <f t="shared" si="166"/>
        <v>0</v>
      </c>
      <c r="GK61" s="894">
        <f>IF(FV61&gt;'Options and results'!$W$27,0,GG61+SUM(GC$8:GC61)-FX61)</f>
        <v>0</v>
      </c>
      <c r="GL61" s="740">
        <f>IF(FV61&lt;='Options and results'!$W$20,SUM(GD$8:GD61),0)</f>
        <v>0</v>
      </c>
      <c r="GM61" s="1034">
        <f t="shared" si="167"/>
        <v>0</v>
      </c>
      <c r="GN61" s="401"/>
      <c r="GO61" s="895">
        <f t="shared" si="168"/>
        <v>54</v>
      </c>
      <c r="GP61" s="894">
        <f>H61/(1+'Options and results'!$W$33)^(GO61-1)</f>
        <v>0</v>
      </c>
      <c r="GQ61" s="740">
        <f>SUM(AT61:AV61)/(1+'Options and results'!$W$33)^(GO61-1)</f>
        <v>0</v>
      </c>
      <c r="GR61" s="740">
        <f>CR61/(1+'Options and results'!$W$33)^(GO61-1)</f>
        <v>0</v>
      </c>
      <c r="GS61" s="740">
        <f>SUM(EE61:EG61)/(1+'Options and results'!$W$33)^(GO61-1)</f>
        <v>0</v>
      </c>
      <c r="GT61" s="1019">
        <f t="shared" si="181"/>
        <v>0</v>
      </c>
      <c r="GU61" s="894">
        <f>IF(GO61&lt;='Options and results'!$W$20,SUM(GP$8:GP61),0)</f>
        <v>0</v>
      </c>
      <c r="GV61" s="740">
        <f>IF(GO61&lt;='Options and results'!$W$20,SUM(GQ$8:GQ61),0)</f>
        <v>0</v>
      </c>
      <c r="GW61" s="740">
        <f>IF(GO61&lt;='Options and results'!$W$20,SUM(GR$8:GR61),0)</f>
        <v>0</v>
      </c>
      <c r="GX61" s="740">
        <f>IF(GO61&lt;='Options and results'!$W$20,SUM(GS$8:GS61),0)</f>
        <v>0</v>
      </c>
      <c r="GY61" s="1034">
        <f>IF(GO61&lt;='Options and results'!$W$20,SUM(GT$8:GT61),0)</f>
        <v>0</v>
      </c>
      <c r="GZ61" s="401"/>
      <c r="HA61" s="895">
        <f t="shared" si="169"/>
        <v>54</v>
      </c>
      <c r="HB61" s="1026">
        <f>(J61+L61+(M61*N61))/(1+'Options and results'!$W$33)^(HA61-1)</f>
        <v>0</v>
      </c>
      <c r="HC61" s="740">
        <f>BZ61/(1+'Options and results'!$W$33)^(HA61-1)</f>
        <v>0</v>
      </c>
      <c r="HD61" s="1027">
        <f>(CT61+CV61+(CW61*CX61))/(1+'Options and results'!$W$33)^(HA61-1)</f>
        <v>0</v>
      </c>
      <c r="HE61" s="740">
        <f>FK61/(1+'Options and results'!$W$33)^(HA61-1)</f>
        <v>0</v>
      </c>
      <c r="HF61" s="1019">
        <f t="shared" si="182"/>
        <v>0</v>
      </c>
      <c r="HG61" s="894">
        <f>IF(HA61&lt;='Options and results'!$W$20,SUM(HB$8:HB61),0)</f>
        <v>0</v>
      </c>
      <c r="HH61" s="740">
        <f>IF(HA61&lt;='Options and results'!$W$20,SUM(HC$8:HC61),0)</f>
        <v>0</v>
      </c>
      <c r="HI61" s="740">
        <f>IF(HA61&lt;='Options and results'!$W$20,SUM(HD$8:HD61),0)</f>
        <v>0</v>
      </c>
      <c r="HJ61" s="740">
        <f>IF(HA61&lt;='Options and results'!$W$20,SUM(HE$8:HE61),0)</f>
        <v>0</v>
      </c>
      <c r="HK61" s="1034">
        <f>IF(HA61&lt;='Options and results'!$W$20,SUM(HF$8:HF61),0)</f>
        <v>0</v>
      </c>
      <c r="HL61" s="405"/>
      <c r="HM61" s="895">
        <f t="shared" si="189"/>
        <v>54</v>
      </c>
      <c r="HN61" s="1026">
        <f t="shared" si="171"/>
        <v>0</v>
      </c>
      <c r="HO61" s="1027">
        <f t="shared" si="172"/>
        <v>0</v>
      </c>
      <c r="HP61" s="1027">
        <f t="shared" si="173"/>
        <v>0</v>
      </c>
      <c r="HQ61" s="1027">
        <f t="shared" si="174"/>
        <v>0</v>
      </c>
      <c r="HR61" s="1027">
        <f t="shared" si="175"/>
        <v>0</v>
      </c>
      <c r="HS61" s="1379">
        <f t="shared" si="176"/>
        <v>0</v>
      </c>
      <c r="HT61" s="1026">
        <f>IF($HM61&lt;='Options and results'!$W$20,SUM(HN$8:HN61),0)</f>
        <v>0</v>
      </c>
      <c r="HU61" s="1027">
        <f>IF($HM61&lt;='Options and results'!$W$20,SUM(HO$8:HO61),0)</f>
        <v>0</v>
      </c>
      <c r="HV61" s="1027">
        <f>IF($HM61&lt;='Options and results'!$W$20,SUM(HP$8:HP61),0)</f>
        <v>0</v>
      </c>
      <c r="HW61" s="1027">
        <f>IF($HM61&lt;='Options and results'!$W$20,SUM(HQ$8:HQ61),0)</f>
        <v>0</v>
      </c>
      <c r="HX61" s="1027">
        <f t="shared" si="177"/>
        <v>0</v>
      </c>
      <c r="HY61" s="1027">
        <f>IF($HM61&lt;='Options and results'!$W$20,SUM(HR$8:HR61),0)</f>
        <v>0</v>
      </c>
      <c r="HZ61" s="1027">
        <f>IF($HM61&lt;='Options and results'!$W$20,SUM(HS$8:HS61),0)</f>
        <v>0</v>
      </c>
      <c r="IA61" s="1189">
        <f t="shared" si="178"/>
        <v>0</v>
      </c>
    </row>
    <row r="62" spans="1:235" x14ac:dyDescent="0.25">
      <c r="A62" s="1010">
        <f t="shared" si="126"/>
        <v>55</v>
      </c>
      <c r="B62" s="1011" t="str">
        <f>IF('Options and results'!$C$17="None",0,CONCATENATE('Options and results'!$C$23," ",(HLOOKUP(CONCATENATE('Options and results'!$C$17," ",Arablesystem!$B$11),Arablesystem!$B$10:$ER$72,$A62+3,FALSE))))</f>
        <v xml:space="preserve">UK - Agriculture (BPS: from 2015) </v>
      </c>
      <c r="C62" s="1012">
        <f>IF(HLOOKUP(CONCATENATE('Options and results'!$C$17," ",Arablesystem!$C$11),Arablesystem!$B$10:$ER$72,$A62+3,FALSE)="T",(VLOOKUP(B62,Arablefinance!$Z$6:$AB$105,Arablefinance!$AB$2,FALSE)*E62+VLOOKUP(B62,Arablefinance!$Z$6:$AC$105,Arablefinance!$AC$2,FALSE)*F62)/VLOOKUP(B62,Arablefinance!$Z$6:$AA$105,Arablefinance!$AA$2,FALSE),0)</f>
        <v>0</v>
      </c>
      <c r="D62" s="1012">
        <f>IF(B62=0,0,HLOOKUP(CONCATENATE('Options and results'!$C$17," ",Arablesystem!$D$11),Arablesystem!$B$10:$ER$72,$A62+3,FALSE))</f>
        <v>0</v>
      </c>
      <c r="E62" s="1440">
        <f>IF(B62=0,0,HLOOKUP(CONCATENATE('Options and results'!$C$17," ",Arablesystem!$E$11),Arablesystem!$B$10:$ER$72,$A62+3,FALSE)*IF(A62&gt;='Options and results'!$H$19,'Options and results'!$H$18,1))</f>
        <v>0</v>
      </c>
      <c r="F62" s="1440">
        <f>IF(B62=0,0,HLOOKUP(CONCATENATE('Options and results'!$C$17," ",Arablesystem!$F$11),Arablesystem!$B$10:$ER$72,$A62+3,FALSE)*IF(A62&gt;='Options and results'!$H$19,'Options and results'!$H$18,1))</f>
        <v>0</v>
      </c>
      <c r="G62" s="1013">
        <f>IF(D62&lt;=0,0,IF(A62&lt;='Options and results'!$W$20,IF(C62&gt;0,VLOOKUP(B62,Arablefinance!$Z$6:$AE$105,Arablefinance!$AD$2,FALSE)*C62*D62,((VLOOKUP(B62,Arablefinance!$E$6:$G$126,Arablefinance!$F$2,FALSE)*(E62*D62)+VLOOKUP(B62,Arablefinance!$E$6:$G$126,Arablefinance!$G$2,FALSE)*(F62*D62)))),0)*IF(A62&gt;='Options and results'!$H$21,'Options and results'!$H$20,1))*IF(1+'Options and results'!$O$20*(A62-1)&gt;0,1+'Options and results'!$O$20*(A62-1),0)</f>
        <v>0</v>
      </c>
      <c r="H62" s="1441">
        <f>IF(D62&lt;=0,0,IF(A62&lt;='Options and results'!$W$20,IF(AND(C62&gt;0,VLOOKUP(B62,Arablefinance!$Z$6:$AI$105,Arablefinance!$AI$2,FALSE)=2),VLOOKUP(B62,Arablefinance!$Z$6:$AE$105,Arablefinance!$AE$2,FALSE)*C62*D62,(VLOOKUP(B62,Arablefinance!$E$6:$H$126,Arablefinance!$H$2,FALSE)*D62))*IF(A62&gt;='Options and results'!$H$23,'Options and results'!$H$22,1),0)*IF(AND(1+'Options and results'!$O$23*(A62-1)&gt;0,1+'Options and results'!$O$23*(A62-1)&gt;'Options and results'!$S$24),1+'Options and results'!$O$23*(A62-1),'Options and results'!$S$24))</f>
        <v>0</v>
      </c>
      <c r="I62" s="1441">
        <f t="shared" si="127"/>
        <v>0</v>
      </c>
      <c r="J62" s="1441">
        <f>IF(D62&lt;=0,0,IF(A62&lt;='Options and results'!$W$20,IF(C62&gt;0,VLOOKUP(B62,Arablefinance!$Z$6:$AF$105,Arablefinance!$AF$2,FALSE)*C62*D62,(VLOOKUP(B62,Arablefinance!$E$6:$X$126,Arablefinance!$R$2,FALSE))*D62),0)*IF(A62&gt;='Options and results'!$H$27,'Options and results'!$H$26,1))*IF(1+'Options and results'!$O$22*(A62-1)&gt;0,1+'Options and results'!$O$22*(A62-1),0)</f>
        <v>0</v>
      </c>
      <c r="K62" s="1441">
        <f t="shared" si="128"/>
        <v>0</v>
      </c>
      <c r="L62" s="1441">
        <f>IF(D62&lt;=0,0,IF(A62&lt;='Options and results'!$W$20,IF(C62&gt;0,VLOOKUP(B62,Arablefinance!$Z$6:$AG$105,Arablefinance!$AG$2,FALSE)*C62*D62,VLOOKUP(B62,Arablefinance!$E$6:$X$126,Arablefinance!$X$2,FALSE)*D62),0)*IF(A62&gt;='Options and results'!$H$27,'Options and results'!$H$26,1))*IF(1+'Options and results'!$O$22*(A62-1)&gt;0,1+'Options and results'!$O$22*(A62-1),0)</f>
        <v>0</v>
      </c>
      <c r="M62" s="1442">
        <f>IF(D62&lt;=0,0,IF(A62&lt;='Options and results'!$W$20,'Options and results'!$C$27,0)*IF(A62&gt;='Options and results'!$H$27,'Options and results'!$H$26,1))*IF(1+'Options and results'!$O$21*(A62-1)&gt;0,1+'Options and results'!$O$21*(A62-1),0)</f>
        <v>0</v>
      </c>
      <c r="N62" s="1442">
        <f>IF(D62&lt;=0,0,IF(A62&lt;='Options and results'!$W$20,IF(C62&gt;0,VLOOKUP(B62,Arablefinance!$Z$6:$AH$105,Arablefinance!$AH$2,FALSE)*C62*D62,VLOOKUP(B62,Arablefinance!$E$6:$W$126,Arablefinance!$V$2,FALSE)*D62),0)*IF(A62&gt;='Options and results'!$H$25,'Options and results'!$H$24,1))</f>
        <v>0</v>
      </c>
      <c r="O62" s="1013">
        <f t="shared" si="129"/>
        <v>0</v>
      </c>
      <c r="P62" s="1353">
        <f t="shared" si="130"/>
        <v>0</v>
      </c>
      <c r="Q62" s="1013">
        <f>IF(A62&lt;='Options and results'!$W$20,SUM(G$8:$G62),0)</f>
        <v>0</v>
      </c>
      <c r="R62" s="1441">
        <f>IF($A62&lt;='Options and results'!$W$20,SUM($H$8:H62),0)</f>
        <v>0</v>
      </c>
      <c r="S62" s="1441">
        <f>IF($A62&lt;='Options and results'!$W$20,SUM($O$8:O62),0)</f>
        <v>0</v>
      </c>
      <c r="T62" s="1032">
        <f>IF(A62&lt;='Options and results'!$W$20,Q62+R62-S62,0)</f>
        <v>0</v>
      </c>
      <c r="U62" s="405"/>
      <c r="V62" s="1010">
        <f t="shared" si="131"/>
        <v>55</v>
      </c>
      <c r="W62" s="173"/>
      <c r="X62" s="1036"/>
      <c r="Y62" s="1030">
        <f>IF(V62&lt;='Options and results'!$M$34,'Options and results'!$M$33,0)</f>
        <v>0</v>
      </c>
      <c r="Z62" s="1441">
        <f t="shared" si="132"/>
        <v>0</v>
      </c>
      <c r="AA62" s="1441">
        <f t="shared" si="133"/>
        <v>0</v>
      </c>
      <c r="AB62" s="1428">
        <f t="shared" si="134"/>
        <v>0</v>
      </c>
      <c r="AC62" s="1441">
        <f>IF($W$8=0,0,IF(HLOOKUP(CONCATENATE('Options and results'!$C$32," ",Forestrysystem!$C$8),Forestrysystem!$A$7:$IH$70,V62+4,FALSE)&lt;AB62,HLOOKUP(CONCATENATE('Options and results'!$C$32," ",Forestrysystem!$C$8),Forestrysystem!$A$7:$IH$70,V62+4,FALSE),0))</f>
        <v>0</v>
      </c>
      <c r="AD62" s="1441">
        <f>IF($W$8=0,0,IF(HLOOKUP(CONCATENATE('Options and results'!$C$32," ",Forestrysystem!$C$8),Forestrysystem!$A$7:$IH$70,V62+4,FALSE)&gt;=AB62,AB62,0))</f>
        <v>0</v>
      </c>
      <c r="AE62" s="1440">
        <f>IF($W$8=0,0,HLOOKUP(CONCATENATE('Options and results'!$C$32," ",Forestrysystem!$D$8),Forestrysystem!$A$7:$IH$70,$V62+4,FALSE))</f>
        <v>0</v>
      </c>
      <c r="AF62" s="1037"/>
      <c r="AG62" s="1440">
        <f>IF($W$8=0,0,IF(V62=1,'Options and results'!$M$36,0)+IF('Options and results'!$M$39="yes",IF(AND(AG61+'Options and results'!$M$37&lt;=$AF$8,AG61+'Options and results'!$M$37+IF(V62=1,'Options and results'!$M$36,0)&lt;='Options and results'!$M$38*AE62),AG61+'Options and results'!$M$37,AG61),(HLOOKUP(CONCATENATE('Options and results'!$C$32," ",Forestrysystem!$E$8),Forestrysystem!$A$7:$IH$70,V62+4,FALSE))-IF(V62=1,'Options and results'!$M$36,0)))</f>
        <v>0</v>
      </c>
      <c r="AH62" s="1442">
        <f>IF(OR($W$8=0,AB62&lt;=0),0,(HLOOKUP(CONCATENATE('Options and results'!$C$32," ",Forestrysystem!$F$8),Forestrysystem!$A$7:$IH$70,$V62+4,FALSE)) * IF(V62&gt;='Options and results'!$I$19,'Options and results'!$I$18,1) )</f>
        <v>0</v>
      </c>
      <c r="AI62" s="1452">
        <f t="shared" si="179"/>
        <v>0</v>
      </c>
      <c r="AJ62" s="1442">
        <f t="shared" si="135"/>
        <v>0</v>
      </c>
      <c r="AK62" s="1453">
        <f>IF(OR($W$8=0,AE62&lt;=0),0,(HLOOKUP(CONCATENATE('Options and results'!$C$32," ",Forestrysystem!$G$8),Forestrysystem!$A$7:$IH$70,$V62+4,FALSE)) * IF(Y62&gt;='Options and results'!$I$19,'Options and results'!$I$18,1) )</f>
        <v>0</v>
      </c>
      <c r="AL62" s="1453">
        <f>IF($W$8=0,0,HLOOKUP(CONCATENATE('Options and results'!$C$32," ",Forestrysystem!$H$8),Forestrysystem!$A$7:$IH$70,$V62+4,FALSE)*IF(V62&gt;='Options and results'!$I$19,'Options and results'!$I$18,1))</f>
        <v>0</v>
      </c>
      <c r="AM62" s="1383">
        <f>IF($W$8=0,0,HLOOKUP(CONCATENATE('Options and results'!$C$32," ",Forestrysystem!$I$8),Forestrysystem!$A$7:$IH$70,$V62+4,FALSE)*IF(V62&gt;='Options and results'!$I$19,'Options and results'!$I$18,1))</f>
        <v>0</v>
      </c>
      <c r="AN62" s="1382">
        <f>IF(AI62&gt;0,HLOOKUP(AI62,Treevalue!$I$4:$BC$34,'Options and results'!$C$39+1),0)*IF(V62&gt;='Options and results'!$I$21,'Options and results'!$I$20,1)*IF(1+'Options and results'!$Q$20*(V62-1)&gt;0,1+'Options and results'!$Q$20*(V62-1),0)</f>
        <v>0</v>
      </c>
      <c r="AO62" s="1454">
        <f t="shared" si="136"/>
        <v>0</v>
      </c>
      <c r="AP62" s="1454">
        <f t="shared" si="187"/>
        <v>0</v>
      </c>
      <c r="AQ62" s="1454">
        <f>(IF('Options and results'!$C$39&gt;0,IF(V62&lt;='Options and results'!$W$20,VLOOKUP('Options and results'!$C$39,Treevalue!$A$4:$F$34,5,FALSE),0),0)*AK62)*IF(V62&gt;='Options and results'!$I$21,'Options and results'!$I$20,1)*IF(1+'Options and results'!$Q$20*(V62-1)&gt;0,1+'Options and results'!$Q$20*(V62-1),0)-AR62</f>
        <v>0</v>
      </c>
      <c r="AR62" s="1441">
        <f>(IF('Options and results'!$C$39&gt;0,IF(V62&lt;='Options and results'!$W$20,VLOOKUP('Options and results'!$C$39,Treevalue!$A$4:$F$34,5,FALSE),0),0)*AL62)*IF(V62&gt;='Options and results'!$I$21,'Options and results'!$I$20,1)*IF(1+'Options and results'!$Q$20*(V62-1)&gt;0,1+'Options and results'!$Q$20*(V62-1),0)</f>
        <v>0</v>
      </c>
      <c r="AS62" s="1441">
        <f>(IF('Options and results'!$C$39&gt;0,IF(V62&lt;='Options and results'!$W$20,VLOOKUP('Options and results'!$C$39,Treevalue!$A$4:$F$34,6,FALSE),0),0)*AM62)*IF(V62&gt;='Options and results'!$I$21,'Options and results'!$I$20,1)*IF(1+'Options and results'!$Q$20*(V62-1)&gt;0,1+'Options and results'!$Q$20*(V62-1),0)</f>
        <v>0</v>
      </c>
      <c r="AT62" s="1441">
        <f>IF(V62&lt;='Options and results'!$W$20,(IF(AB62&lt;=0,0,IF('Options and results'!$C$43="cost",(IF(V62&lt;='Options and results'!$C$44,BZ62*SUM('Options and results'!$C$45:$C$46),0)),IF('Options and results'!$C$41&gt;0,(IF(VLOOKUP('Options and results'!$C$42,Treegrant!$B$6:$L$42,Treegrant!$C$2,FALSE)=V62,VLOOKUP('Options and results'!$C$42,Treegrant!$B$6:$L$42,Treegrant!$D$2,FALSE),0)+IF(VLOOKUP('Options and results'!$C$42,Treegrant!$B$6:$L$42,Treegrant!$E$2,FALSE)=V62,VLOOKUP('Options and results'!$C$42,Treegrant!$B$6:$L$42,Treegrant!$F$2,FALSE),0)+IF(VLOOKUP('Options and results'!$C$42,Treegrant!$B$6:$L$42,Treegrant!$G$2,FALSE)=V62,VLOOKUP('Options and results'!$C$42,Treegrant!$B$6:$L$42,Treegrant!$H$2,FALSE)))*IF('Options and results'!$C$43="area",1,'Options and results'!$C$43),0)))*IF(V62&gt;='Options and results'!$I$23,'Options and results'!$I$22,1)),0)*IF(1+'Options and results'!$Q$23*(V62-1)&gt;0,1+'Options and results'!$Q$23*(V62-1),0)</f>
        <v>0</v>
      </c>
      <c r="AU62" s="1441">
        <f>IF($W$8=0,0,IF(V62&lt;='Options and results'!$W$20,IF(AB62&lt;=0,0,IF('Options and results'!$C$41&gt;0,IF(AND(VLOOKUP('Options and results'!$C$42,Treegrant!$B$6:$L$42,Treegrant!$J$2,FALSE)&lt;=V62,VLOOKUP('Options and results'!$C$42,Treegrant!$B$6:$L$42,Treegrant!$K$2,FALSE)&gt;=V62),(VLOOKUP('Options and results'!$C$42,Treegrant!$B$6:$L$42,Treegrant!$L$2,FALSE)),0)*IF('Options and results'!$C$47="full",1,'Options and results'!$C$47))*IF(V62&gt;='Options and results'!$I$23,'Options and results'!$I$22,1)),0))*IF(1+'Options and results'!$Q$23*(V62-1)&gt;0,1+'Options and results'!$Q$23*(V62-1),0)</f>
        <v>0</v>
      </c>
      <c r="AV62" s="1032">
        <f>IF($W$8=0,0,IF(V62&lt;='Options and results'!$W$20,IF(AB62&lt;=0,0,(IF('Options and results'!$C$41&gt;0,(IF(AND(VLOOKUP('Options and results'!$C$42,Treegrant!$B$6:$O$42,Treegrant!$M$2,FALSE)&lt;=V62,VLOOKUP('Options and results'!$C$42,Treegrant!$B$6:$O$42,Treegrant!$N$2,FALSE)&gt;=V62),(VLOOKUP('Options and results'!$C$42,Treegrant!$B$6:$O$42,Treegrant!$O$2,FALSE)),0)*IF('Options and results'!$C$48="full",1,'Options and results'!$C$48))+(IF(AND(VLOOKUP('Options and results'!$C$42,Treegrant!$B$6:$R$42,Treegrant!$P$2,FALSE)&lt;=V62,VLOOKUP('Options and results'!$C$42,Treegrant!$B$6:$R$42,Treegrant!$Q$2,FALSE)&gt;=V62),(VLOOKUP('Options and results'!$C$42,Treegrant!$B$6:$R$42,Treegrant!$R$2,FALSE)),0))*IF('Options and results'!$C$49="full",1,'Options and results'!$C$49)))*IF(V62&gt;='Options and results'!$I$23,'Options and results'!$I$22,1)),0))*IF(1+'Options and results'!$Q$23*(V62-1)&gt;0,1+'Options and results'!$Q$23*(V62-1),0)</f>
        <v>0</v>
      </c>
      <c r="AW62" s="1041"/>
      <c r="AX62" s="1042"/>
      <c r="AY62" s="1419">
        <f>IF($W$8=0,0,IF(V62=1,VLOOKUP($W$8,Treecost!$B$6:$AH$49,Treecost!$E$2,FALSE),0)*IF(V62&gt;='Options and results'!$I$25,'Options and results'!$I$24,1))</f>
        <v>0</v>
      </c>
      <c r="AZ62" s="889">
        <f>IF($W$8=0,0,IF(V62=1,VLOOKUP($W$8,Treecost!$B$6:$AH$49,Treecost!$F$2,FALSE),0)*IF(V62&gt;='Options and results'!$I$25,'Options and results'!$I$24,1))</f>
        <v>0</v>
      </c>
      <c r="BA62" s="889">
        <f>IF($W$8=0,0,IF(V62=1,VLOOKUP($W$8,Treecost!$B$6:$AH$49,Treecost!$G$2,FALSE),0)*IF(V62&gt;='Options and results'!$I$25,'Options and results'!$I$24,1))</f>
        <v>0</v>
      </c>
      <c r="BB62" s="889">
        <f>IF($W$8=0,0,IF(V62&lt;='Options and results'!$W$20,((VLOOKUP($W$8,Treecost!$B$6:$AH$49,Treecost!$H$2,FALSE)*(X62+AA62))/60)*IF(V62&gt;='Options and results'!$I$25,'Options and results'!$I$24,1),0))</f>
        <v>0</v>
      </c>
      <c r="BC62" s="889">
        <f>IF($W$8=0,0,IF(V62&lt;='Options and results'!$W$20,(((VLOOKUP($W$8,Treecost!$B$6:$AH$49,Treecost!$I$2,FALSE))*(X62+AA62))/60)*IF(V62&gt;='Options and results'!$I$25,'Options and results'!$I$24,1),0))</f>
        <v>0</v>
      </c>
      <c r="BD62" s="889">
        <f>IF($W$8=0,0,IF(V62&lt;='Options and results'!$W$20,(((VLOOKUP($W$8,Treecost!$B$6:$AH$49,Treecost!$J$2,FALSE))/60)*(X62+AA62))*IF(V62&gt;='Options and results'!$I$25,'Options and results'!$I$24,1),0))</f>
        <v>0</v>
      </c>
      <c r="BE62" s="1019">
        <f>IF($W$8=0,0,IF(V62&lt;='Options and results'!$W$20,(((VLOOKUP($W$8,Treecost!$B$6:$AH$49,Treecost!$C$2,FALSE)+VLOOKUP($W$8,Treecost!$B$6:$AH$49,Treecost!$D$2,FALSE))*(X62+AA62)*IF(1+'Options and results'!$Q$22*(V62-1)&gt;0,1+'Options and results'!$Q$22*(V62-1),0))+((AY62*$AX$8+AZ62*$AX$9+BA62*$AX$10+BB62*$AX$11+BC62*$AX$12+BD62*$AX$13)*IF(1+'Options and results'!$Q$21*(V62-1)&gt;0,1+'Options and results'!$Q$21*(V62-1),0)))*IF(V62&gt;='Options and results'!$I$27,'Options and results'!$I$26,1),0))</f>
        <v>0</v>
      </c>
      <c r="BF62" s="889">
        <f>IF($W$8=0,0,IF(V62&lt;='Options and results'!$W$20,IF(AND(VLOOKUP($W$8,Treecost!$B$6:$AH$49,Treecost!$K$2,FALSE)&lt;=V62,V62&lt;=(VLOOKUP($W$8,Treecost!$B$6:$AH$49,Treecost!$L$2,FALSE))),VLOOKUP($W$8,Treecost!$B$6:$AH$49,Treecost!$M$2,FALSE)*AB62/60,0)*IF(V62&gt;='Options and results'!$I$25,'Options and results'!$I$24,1),0))</f>
        <v>0</v>
      </c>
      <c r="BG62" s="1019">
        <f>IF(BF62&gt;0,(VLOOKUP($W$8,Treecost!$B$6:$AH$49,Treecost!$N$2,FALSE)*AB62*IF(1+'Options and results'!$Q$22*(V62-1)&gt;0,1+'Options and results'!$Q$22*(V62-1),0)+BF62*$AX$14*IF(1+'Options and results'!$Q$21*(V62-1)&gt;0,1+'Options and results'!$Q$21*(V62-1),0)),0)*IF(V62&gt;='Options and results'!$I$27,'Options and results'!$I$26,1)</f>
        <v>0</v>
      </c>
      <c r="BH62" s="889">
        <f>IF(V62&lt;='Options and results'!$W$20,IF(AND(AG62-AG61&gt;0,AG62&gt;'Options and results'!$M$36),(AB62-AC62)*(VLOOKUP($W$8,Treecost!$B$6:$AH$49,Treecost!$Y$2,FALSE)+(VLOOKUP($W$8,Treecost!$B$6:$AH$49,Treecost!$AA$2,FALSE)-VLOOKUP($W$8,Treecost!$B$6:$AH$49,Treecost!$Y$2,FALSE))/(VLOOKUP($W$8,Treecost!$B$6:$AH$49,Treecost!$Z$2,FALSE)-VLOOKUP($W$8,Treecost!$B$6:$AH$49,Treecost!$X$2,FALSE))*(AG62-VLOOKUP($W$8,Treecost!$B$6:$AH$49,Treecost!$X$2,FALSE)))/60,0)*IF(V62&gt;='Options and results'!$I$25,'Options and results'!$I$24,1),0)</f>
        <v>0</v>
      </c>
      <c r="BI62" s="303">
        <f>IF(V62&lt;='Options and results'!$W$20,IF(BH62&gt;0,VLOOKUP($W$8,Treecost!$B$6:$AH$49,Treecost!$AB$2,FALSE)/60*AB62,0)*IF(V62&gt;='Options and results'!$I$25,'Options and results'!$I$24,1),0)*((BH62-(MIN($BH$8:$BH$67)))/((MAX($BH$8:$BH$67))-(MIN($BH$8:$BH$67))))</f>
        <v>0</v>
      </c>
      <c r="BJ62" s="740">
        <f>IF(BH62&gt;0,(BH62*$AX$15+BI62*$AX$19)*IF(1+'Options and results'!$Q$21*(V62-1)&gt;0,1+'Options and results'!$Q$21*(V62-1),0),0)*IF(V62&gt;='Options and results'!$I$27,'Options and results'!$I$26,1)</f>
        <v>0</v>
      </c>
      <c r="BK62" s="891">
        <f>IF($W$8=0,0,IF(V62&lt;='Options and results'!$W$20,IF(VLOOKUP($W$8,Treecost!$B$2:$AH$49,Treecost!$O$2,FALSE)=V62,VLOOKUP($W$8,Treecost!$B$2:$AH$49,Treecost!$P$2,FALSE),0)*IF(V62&gt;='Options and results'!$I$25,'Options and results'!$I$24,1),0))</f>
        <v>0</v>
      </c>
      <c r="BL62" s="889">
        <f>IF($W$8=0,0,IF(V62&lt;='Options and results'!$W$20,IF(AND(V62&gt;VLOOKUP($W$8,Treecost!$B$2:$AH$49,Treecost!$O$2,FALSE),V62&lt;=VLOOKUP($W$8,Treecost!$B$2:$AH$49,Treecost!$R$2,FALSE)),VLOOKUP($W$8,Treecost!$B$2:$AH$49,Treecost!$S$2,FALSE),0)*IF(V62&gt;='Options and results'!$I$25,'Options and results'!$I$24,1),0))</f>
        <v>0</v>
      </c>
      <c r="BM62" s="740">
        <f>IF($W$8=0,0,IF(V62&lt;='Options and results'!$W$20,((IF(VLOOKUP($W$8,Treecost!$B$2:$AH$49,Treecost!$O$2,FALSE)=V62,VLOOKUP($W$8,Treecost!$B$2:$AH$49,Treecost!$Q$2,FALSE),0)+IF(AND(V62&gt;VLOOKUP($W$8,Treecost!$B$2:$AH$49,Treecost!$O$2,FALSE),V62&lt;=VLOOKUP($W$8,Treecost!$B$2:$AH$49,Treecost!$R$2,FALSE)),VLOOKUP($W$8,Treecost!$B$2:$AH$49,Treecost!$T$2,FALSE),0)*IF(1+'Options and results'!$Q$22*(V62-1)&gt;0,1+'Options and results'!$Q$22*(V62-1),0))+(BK62*$AX$16+BL62*$AX$17)*IF(1+'Options and results'!$Q$21*(V62-1)&gt;0,1+'Options and results'!$Q$21*(V62-1),0))*IF(V62&gt;='Options and results'!$I$27,'Options and results'!$I$26,1),0))</f>
        <v>0</v>
      </c>
      <c r="BN62" s="894">
        <f>IF($W$8=0,0,IF(V62&lt;='Options and results'!$W$20,IF(AND(V62&gt;=VLOOKUP($W$8,Treecost!$B$2:$W$49,Treecost!$U$2,FALSE),V62&lt;=VLOOKUP($W$8,Treecost!$B$2:$W$49,Treecost!$V$2,FALSE)),(AB62*VLOOKUP($W$8,Treecost!$B$2:$W$49,Treecost!$W$2,FALSE)/60),0)*IF(V62&gt;='Options and results'!$I$25,'Options and results'!$I$24,1),0))</f>
        <v>0</v>
      </c>
      <c r="BO62" s="740">
        <f>BN62*$AX$18*IF(V62&gt;='Options and results'!$I$27,'Options and results'!$I$26,1)*IF(1+'Options and results'!$Q$21*(V62-1)&gt;0,1+'Options and results'!$Q$21*(V62-1),0)</f>
        <v>0</v>
      </c>
      <c r="BP62" s="894">
        <f>IF(V62&lt;='Options and results'!$W$20,IF(AB62&lt;=0,0,VLOOKUP($W$8,Treecost!$B$6:$AH$49,Treecost!$AC$2,FALSE)+VLOOKUP($W$8,Treecost!$B$6:$AH$49,Treecost!$AD$2,FALSE)+IF(AND(V62&gt;=VLOOKUP($W$8,Treecost!$B$2:$AK$49,Treecost!$AI$2,FALSE),V62&lt;=VLOOKUP($W$8,Treecost!$B$2:$AK$49,Treecost!$AJ$2,FALSE)),(VLOOKUP($W$8,Treecost!$B$2:$AK$49,Treecost!$AK$2,FALSE)),0))*IF(V62&gt;='Options and results'!$I$27,'Options and results'!$I$26,1),0)*IF(1+'Options and results'!$Q$22*(V62-1)&gt;0,1+'Options and results'!$Q$22*(V62-1),0)</f>
        <v>0</v>
      </c>
      <c r="BQ62" s="894">
        <f>IF(V62&lt;='Options and results'!$W$20,IF(AC62&gt;0,VLOOKUP($W$8,Treecost!$B$6:$AH$49,Treecost!$AE$2,FALSE)/60*AC62,0)*IF(V62&gt;='Options and results'!$I$25,'Options and results'!$I$24,1),0)</f>
        <v>0</v>
      </c>
      <c r="BR62" s="740">
        <f>IF(V62&lt;='Options and results'!$W$20,IF(AC62&gt;0,VLOOKUP($W$8,Treecost!$B$6:$AH$49,Treecost!$AF$2,FALSE)/60*AC62,0)*IF(V62&gt;='Options and results'!$I$25,'Options and results'!$I$24,1),0)</f>
        <v>0</v>
      </c>
      <c r="BS62" s="740">
        <f>(BQ62*$AX$20+BR62*$AX$21)*IF(V62&gt;='Options and results'!$I$27,'Options and results'!$I$26,1)*IF(1+'Options and results'!$Q$21*(V62-1)&gt;0,1+'Options and results'!$Q$21*(V62-1),0)</f>
        <v>0</v>
      </c>
      <c r="BT62" s="894">
        <f>IF(V62&lt;='Options and results'!$W$20,IF(AD62&gt;0,(VLOOKUP($W$8,Treecost!$B$6:$AH$49,Treecost!$AG$2,FALSE)/60*AD62)*IF(V62&gt;='Options and results'!$I$25,'Options and results'!$I$24,1),0),0)</f>
        <v>0</v>
      </c>
      <c r="BU62" s="740">
        <f>IF(V62&lt;='Options and results'!$W$20,IF(AD62&gt;0,(VLOOKUP($W$8,Treecost!$B$6:$AH$49,Treecost!$AH$2,FALSE)/60*AD62)*IF(V62&gt;='Options and results'!$I$25,'Options and results'!$I$24,1),0),0)</f>
        <v>0</v>
      </c>
      <c r="BV62" s="740">
        <f>(BT62*$AX$22+BU62*$AX$23)*IF(V62&gt;='Options and results'!$I$27,'Options and results'!$I$26,1)*IF(1+'Options and results'!$Q$21*(V62-1)&gt;0,1+'Options and results'!$Q$21*(V62-1),0)</f>
        <v>0</v>
      </c>
      <c r="BW62" s="1033">
        <f t="shared" si="138"/>
        <v>0</v>
      </c>
      <c r="BX62" s="1027">
        <f t="shared" si="139"/>
        <v>0</v>
      </c>
      <c r="BY62" s="1027">
        <f t="shared" si="140"/>
        <v>0</v>
      </c>
      <c r="BZ62" s="740">
        <f t="shared" si="188"/>
        <v>0</v>
      </c>
      <c r="CA62" s="740">
        <f t="shared" si="141"/>
        <v>0</v>
      </c>
      <c r="CB62" s="894">
        <f>IF($V62&lt;='Options and results'!$W$20,SUM(BX$8:$BX62),0)</f>
        <v>0</v>
      </c>
      <c r="CC62" s="740">
        <f>IF($V62&lt;='Options and results'!$W$20,SUM($BY$8:BY62),0)</f>
        <v>0</v>
      </c>
      <c r="CD62" s="740">
        <f>IF($V62&lt;='Options and results'!$W$20,SUM($BZ$8:BZ62),0)</f>
        <v>0</v>
      </c>
      <c r="CE62" s="740">
        <f>IF(V62&lt;='Options and results'!$W$20,CB62+CC62-CD62,0)</f>
        <v>0</v>
      </c>
      <c r="CF62" s="1381">
        <f t="shared" si="142"/>
        <v>0</v>
      </c>
      <c r="CG62" s="1027">
        <f t="shared" si="143"/>
        <v>0</v>
      </c>
      <c r="CH62" s="1027">
        <f t="shared" si="144"/>
        <v>0</v>
      </c>
      <c r="CI62" s="1189">
        <f>IF(V62&lt;='Options and results'!$W$20,CE62+AO62,0)</f>
        <v>0</v>
      </c>
      <c r="CJ62" s="1023"/>
      <c r="CK62" s="895">
        <f t="shared" si="145"/>
        <v>55</v>
      </c>
      <c r="CL62" s="1011" t="str">
        <f>IF('Options and results'!$C$54="None",0,IF(AND(CK62&gt;='Options and results'!$K$57,CK61&lt;'Options and results'!$W$20),'Options and results'!$K$56,IF(Optimisation!$B$3="No",CONCATENATE('Options and results'!$C$60," ",(HLOOKUP(CONCATENATE('Options and results'!$C$54," ",Agroforestrysystem!$B$12),Agroforestrysystem!$B$11:$IM$74,$CK62+4,FALSE))),Optimisation!AA82)))</f>
        <v xml:space="preserve">UK - Agriculture (BPS: from 2015) </v>
      </c>
      <c r="CM62" s="1012">
        <f>IF(HLOOKUP(CONCATENATE('Options and results'!$C$54," ",Agroforestrysystem!$C$12),Agroforestrysystem!$B$11:$IM$74,$CK62+4,FALSE)="T",(VLOOKUP(CL62,Arablefinance!$Z$6:$AB$105,Arablefinance!$AB$2,FALSE)*CO62+VLOOKUP(CL62,Arablefinance!$Z$6:$AC$105,Arablefinance!$AC$2,FALSE)*CP62)/VLOOKUP(CL62,Arablefinance!$Z$6:$AA$105,Arablefinance!$AA$2,FALSE),0)</f>
        <v>0</v>
      </c>
      <c r="CN62" s="1012">
        <f>IF(CL62=0,0,HLOOKUP(CONCATENATE('Options and results'!$C$54," ",Agroforestrysystem!$D$12),Agroforestrysystem!$B$11:$IM$74,$CK62+4,FALSE))</f>
        <v>0</v>
      </c>
      <c r="CO62" s="1440">
        <f ca="1">IF(CL62=0,0,IF(AND(Optimisation!$B$3="yes",Optimisation!$B$4=1,CK62&gt;Optimisation!$B$9),0,HLOOKUP(CONCATENATE('Options and results'!$C$54," ",Agroforestrysystem!$E$12),Agroforestrysystem!$B$11:$IM$74,$CK62+4,FALSE)*IF(CK62&gt;='Options and results'!$J$19,'Options and results'!$J$18,1)))</f>
        <v>0</v>
      </c>
      <c r="CP62" s="1440">
        <f ca="1">IF(CL62=0,0,IF(AND(Optimisation!$B$3="yes",Optimisation!$B$4=1,CK62&gt;Optimisation!$B$9),0,HLOOKUP(CONCATENATE('Options and results'!$C$54," ",Agroforestrysystem!$F$12),Agroforestrysystem!$B$11:$IM$74,$CK62+4,FALSE)*IF(CK62&gt;='Options and results'!$J$19,'Options and results'!$J$18,1)))</f>
        <v>0</v>
      </c>
      <c r="CQ62" s="1013">
        <f>IF(CN62&lt;=0,0,IF(CK62&lt;='Options and results'!$W$20,IF(CM62&gt;0,VLOOKUP(CL62,Arablefinance!$Z$6:$AE$105,Arablefinance!$AD$2,FALSE)*CM62*CN62,((VLOOKUP(CL62,Arablefinance!$E$6:$H$126,2,FALSE)*CO62+VLOOKUP(CL62,Arablefinance!$E$6:$H$126,3,FALSE)*CP62)*CN62)),0)*IF(CK62&gt;='Options and results'!$J$21,'Options and results'!$J$20,1))*IF(1+'Options and results'!$O$20*(CK62-1)&gt;0,1+'Options and results'!$O$20*(CK62-1),0)</f>
        <v>0</v>
      </c>
      <c r="CR62" s="1441">
        <f>IF(CN62&lt;=0,0,IF(AND(CM62&gt;0,VLOOKUP(CL62,Arablefinance!$Z$6:$AI$105,Arablefinance!$AI$2,FALSE)=2),VLOOKUP(CL62,Arablefinance!$Z$6:$AE$105,Arablefinance!$AE$2,FALSE)*CM62*CN62,IF('Options and results'!$C$62&gt;0,IF(VLOOKUP(CL62,Arablefinance!$E$6:$W$126,Arablefinance!$H$2,FALSE)*(1-Plot!DM62*'Options and results'!$C$62)&gt;0,VLOOKUP(CL62,Arablefinance!$E$6:$W$126,Arablefinance!$H$2,FALSE)*(1-Plot!DM62*'Options and results'!$C$62),0),IF(CK62&lt;='Options and results'!$W$20,(VLOOKUP(CL62,Arablefinance!$E$6:$W$126,Arablefinance!$H$2,FALSE)*IF('Options and results'!$C$61="area",CN62,'Options and results'!$C$61)),0)))*IF(CK62&gt;='Options and results'!$J$23,'Options and results'!$J$22,1))*IF(AND(1+'Options and results'!$O$23*(CK62-1)&gt;0,1+'Options and results'!$O$23*(CK62-1)&gt;'Options and results'!$S$24),1+'Options and results'!$O$23*(CK62-1),'Options and results'!$S$24)</f>
        <v>0</v>
      </c>
      <c r="CS62" s="1441">
        <f t="shared" si="185"/>
        <v>0</v>
      </c>
      <c r="CT62" s="1441">
        <f>IF(CN62&lt;=0,0,IF(CK62&lt;='Options and results'!$W$20,IF(CM62&gt;0,VLOOKUP(CL62,Arablefinance!$Z$6:$AF$105,Arablefinance!$AF$2,FALSE)*CM62*CN62,VLOOKUP(CL62,Arablefinance!$E$6:$X$126,Arablefinance!$R$2,FALSE)*CN62),0)*IF(CK62&gt;='Options and results'!$J$27,'Options and results'!$J$26,1))*IF(1+'Options and results'!$O$22*(CK62-1)&gt;0,1+'Options and results'!$O$22*(CK62-1),0)</f>
        <v>0</v>
      </c>
      <c r="CU62" s="1441">
        <f t="shared" si="186"/>
        <v>0</v>
      </c>
      <c r="CV62" s="1441">
        <f>IF(CN62&lt;=0,0,IF(CK62&lt;='Options and results'!$W$20,IF(CM62&gt;0,VLOOKUP(CL62,Arablefinance!$Z$6:$AG$105,Arablefinance!$AG$2,FALSE)*CM62*CN62,VLOOKUP(CL62,Arablefinance!$E$6:$X$126,Arablefinance!$X$2,FALSE)*CN62),0)*IF(CK62&gt;='Options and results'!$J$27,'Options and results'!$J$26,1))*IF(1+'Options and results'!$O$22*(CK62-1)&gt;0,1+'Options and results'!$O$22*(CK62-1),0)</f>
        <v>0</v>
      </c>
      <c r="CW62" s="1442">
        <f>IF(CN62&lt;=0,0,IF(CK62&lt;='Options and results'!$W$20,'Options and results'!$C$27*IF(CK62&gt;='Options and results'!$J$27,'Options and results'!$J$26,1),0))*IF(1+'Options and results'!$O$21*(CK62-1)&gt;0,1+'Options and results'!$O$21*(CK62-1),0)</f>
        <v>0</v>
      </c>
      <c r="CX62" s="1442">
        <f>IF(CN62&lt;=0,0,IF(CK62&lt;='Options and results'!$W$20,IF(CM62&gt;0,VLOOKUP(CL62,Arablefinance!$Z$6:$AH$105,Arablefinance!$AH$2,FALSE)*CM62*CN62,VLOOKUP(CL62,Arablefinance!$E$6:$W$126,Arablefinance!$V$2,FALSE)*CN62),0)*IF(CK62&gt;='Options and results'!$J$25,'Options and results'!$J$24,1))</f>
        <v>0</v>
      </c>
      <c r="CY62" s="1013">
        <f t="shared" si="148"/>
        <v>0</v>
      </c>
      <c r="CZ62" s="1353">
        <f t="shared" si="149"/>
        <v>0</v>
      </c>
      <c r="DA62" s="1013">
        <f>IF($CK62&lt;='Options and results'!$W$20,SUM($CQ$8:CQ62),0)</f>
        <v>0</v>
      </c>
      <c r="DB62" s="1441">
        <f>IF($CK62&lt;='Options and results'!$W$20,SUM($CR$8:CR62),0)</f>
        <v>0</v>
      </c>
      <c r="DC62" s="1441">
        <f>IF($CK62&lt;='Options and results'!$W$20,SUM($CY$8:CY62),0)</f>
        <v>0</v>
      </c>
      <c r="DD62" s="1189">
        <f>IF(CK62&lt;='Options and results'!$W$20,DA62+DB62-DC62,0)</f>
        <v>0</v>
      </c>
      <c r="DE62" s="401"/>
      <c r="DF62" s="895">
        <f t="shared" si="150"/>
        <v>55</v>
      </c>
      <c r="DG62" s="173"/>
      <c r="DH62" s="1422"/>
      <c r="DI62" s="1427">
        <f>IF(DF62&lt;='Options and results'!$M$61,'Options and results'!$M$60,0)</f>
        <v>0</v>
      </c>
      <c r="DJ62" s="740">
        <f t="shared" si="151"/>
        <v>0</v>
      </c>
      <c r="DK62" s="740">
        <f t="shared" si="152"/>
        <v>0</v>
      </c>
      <c r="DL62" s="1428">
        <f t="shared" si="153"/>
        <v>0</v>
      </c>
      <c r="DM62" s="1429">
        <f>IF($DG$8=0,0,HLOOKUP(CONCATENATE('Options and results'!$C$54," ",Agroforestrysystem!$J$12),Agroforestrysystem!$11:$74,DF62+3,FALSE))/100</f>
        <v>0</v>
      </c>
      <c r="DN62" s="740">
        <f>IF($DG$8=0,0,IF(HLOOKUP(CONCATENATE('Options and results'!$C$54," ",Agroforestrysystem!$H$12),Agroforestrysystem!$11:$74,DF62+4,FALSE)&lt;DL62,HLOOKUP(CONCATENATE('Options and results'!$C$54," ",Agroforestrysystem!$H$12),Agroforestrysystem!$11:$74,DF62+4,FALSE),0))</f>
        <v>0</v>
      </c>
      <c r="DO62" s="1027">
        <f>IF($DG$8=0,0,IF(HLOOKUP(CONCATENATE('Options and results'!$C$54," ",Agroforestrysystem!$H$12),Agroforestrysystem!$11:$74,DF62+4,FALSE)&gt;=DL62,DL62,0))</f>
        <v>0</v>
      </c>
      <c r="DP62" s="1430">
        <f>IF($DG$8=0,0,HLOOKUP(CONCATENATE('Options and results'!$C$54," ",Agroforestrysystem!$I$12),Agroforestrysystem!$11:$74,DF62+4,FALSE))</f>
        <v>0</v>
      </c>
      <c r="DQ62" s="1038"/>
      <c r="DR62" s="1430">
        <f>IF($DG$8=0,0,IF(DF62&gt;'Options and results'!$W$20,0,)+IF(DF62=1,'Options and results'!$M$64)+IF('Options and results'!$M$67="yes",IF(AND(DR61+'Options and results'!$M$65&lt;=$DQ$8,DR61+'Options and results'!$M$65+IF(DF62=1,'Options and results'!$M$64,0)&lt;='Options and results'!$M$66*DP62),DR61+'Options and results'!$M$65,DR61),(HLOOKUP(CONCATENATE('Options and results'!$C$54," ",Agroforestrysystem!$K$12),Agroforestrysystem!$11:$74,DF62+4,FALSE)-IF(DF62=1,'Options and results'!$M$64))))</f>
        <v>0</v>
      </c>
      <c r="DS62" s="1027">
        <f>IF(OR($DG$8=0,DL62=0),0,HLOOKUP(CONCATENATE('Options and results'!$C$54," ",Agroforestrysystem!$L$12),Agroforestrysystem!$11:$74,DF62+4,FALSE)*IF(DF62&gt;='Options and results'!$K$19,'Options and results'!$K$18,1))</f>
        <v>0</v>
      </c>
      <c r="DT62" s="1431">
        <f t="shared" si="154"/>
        <v>0</v>
      </c>
      <c r="DU62" s="889">
        <f t="shared" si="155"/>
        <v>0</v>
      </c>
      <c r="DV62" s="1027">
        <f>IF($DG$8=0,0,(HLOOKUP(CONCATENATE('Options and results'!$C$54," ",Agroforestrysystem!$M$12),Agroforestrysystem!$11:$74,DF62+4,FALSE))*IF(DF62&gt;='Options and results'!$K$19,'Options and results'!$K$18,1))-DW62</f>
        <v>0</v>
      </c>
      <c r="DW62" s="303">
        <f>IF($DG$8=0,0,(HLOOKUP(CONCATENATE('Options and results'!$C$54," ",Agroforestrysystem!$N$12),Agroforestrysystem!$11:$74,DF62+4,FALSE))*IF(DF62&gt;='Options and results'!$K$19,'Options and results'!$K$18,1))</f>
        <v>0</v>
      </c>
      <c r="DX62" s="303">
        <f>IF($DG$8=0,0,HLOOKUP(CONCATENATE('Options and results'!$C$54," ",Agroforestrysystem!$O$12),Agroforestrysystem!$11:$74,DF62+4,FALSE)*IF(DF62&gt;='Options and results'!$K$19,'Options and results'!$K$18,1))</f>
        <v>0</v>
      </c>
      <c r="DY62" s="1192">
        <f>IF(DT62&gt;0,HLOOKUP(DT62,Treevalue!$I$4:$BC$34,'Options and results'!$C$66+1),0)*IF(DF62&gt;='Options and results'!$K$21,'Options and results'!$K$20,1)*IF(1+'Options and results'!$Q$20*(DF62-1)&gt;0,1+'Options and results'!$Q$20*(DF62-1),0)</f>
        <v>0</v>
      </c>
      <c r="DZ62" s="1027">
        <f t="shared" si="156"/>
        <v>0</v>
      </c>
      <c r="EA62" s="1027">
        <f t="shared" si="125"/>
        <v>0</v>
      </c>
      <c r="EB62" s="1027">
        <f>(IF('Options and results'!$C$66&gt;0,IF(DF62&lt;='Options and results'!$W$20,VLOOKUP('Options and results'!$C$66,Treevalue!$A$4:$F$34,5,FALSE),0),0)*DV62)*IF(DF62&gt;='Options and results'!$K$21,'Options and results'!$K$20,1)*IF(1+'Options and results'!$Q$20*(DF62-1)&gt;0,1+'Options and results'!$Q$20*(DF62-1),0)</f>
        <v>0</v>
      </c>
      <c r="EC62" s="740">
        <f>(IF('Options and results'!$C$66&gt;0,IF(DF62&lt;='Options and results'!$W$20,VLOOKUP('Options and results'!$C$66,Treevalue!$A$4:$F$34,5,FALSE),0),0)*DW62)*IF(DF62&gt;='Options and results'!$K$21,'Options and results'!$K$20,1)*IF(1+'Options and results'!$Q$20*(DF62-1)&gt;0,1+'Options and results'!$Q$20*(DF62-1),0)</f>
        <v>0</v>
      </c>
      <c r="ED62" s="889">
        <f>(IF('Options and results'!$C$66&gt;0,IF(DF62&lt;='Options and results'!$W$20,VLOOKUP('Options and results'!$C$66,Treevalue!$A$4:$F$34,6,FALSE),0),0)*DX62)*IF(DF62&gt;='Options and results'!$K$21,'Options and results'!$K$20,1)*IF(1+'Options and results'!$Q$20*(DF62-1)&gt;0,1+'Options and results'!$Q$20*(DF62-1),0)</f>
        <v>0</v>
      </c>
      <c r="EE62" s="740">
        <f>IF(DF62&lt;='Options and results'!$W$20,IF(DL62&lt;=0,0,IF('Options and results'!$C$70="cost",(IF(DF62&lt;='Options and results'!$C$71,FK62*SUM('Options and results'!$C$72:$C$73),0)),IF('Options and results'!$C$68&gt;0,(IF(VLOOKUP('Options and results'!$C$69,Treegrant!$B$6:$L$42,Treegrant!$C$2,FALSE)=DF62,VLOOKUP('Options and results'!$C$69,Treegrant!$B$6:$L$42,Treegrant!$D$2,FALSE),0)+IF(VLOOKUP('Options and results'!$C$69,Treegrant!$B$6:$L$42,Treegrant!$E$2,FALSE)=DF62,VLOOKUP('Options and results'!$C$69,Treegrant!$B$6:$L$42,Treegrant!$F$2,FALSE),0)+IF(VLOOKUP('Options and results'!$C$69,Treegrant!$B$6:$L$42,Treegrant!$G$2,FALSE)=DF62,VLOOKUP('Options and results'!$C$69,Treegrant!$B$6:$L$42,Treegrant!$H$2,FALSE)))*IF('Options and results'!$C$70="area",Unit!C63,'Options and results'!$C$70),0))*IF(DF62&gt;='Options and results'!$K$23,'Options and results'!$K$22,1)),0)*IF(1+'Options and results'!$Q$23*(DF62-1)&gt;0,1+'Options and results'!$Q$23*(DF62-1),0)</f>
        <v>0</v>
      </c>
      <c r="EF62" s="740">
        <f>IF($DG$8=0,0,IF(DF62&lt;='Options and results'!$W$20,IF(DL62&lt;=0,0,IF('Options and results'!$C$68&gt;0,IF(AND(VLOOKUP('Options and results'!$C$69,Treegrant!$B$6:$L$42,Treegrant!$J$2,FALSE)&lt;=DF62,VLOOKUP('Options and results'!$C$69,Treegrant!$B$6:$L$42,Treegrant!$K$2,FALSE)&gt;=DF62),(VLOOKUP('Options and results'!$C$69,Treegrant!$B$6:$L$42,Treegrant!$L$2,FALSE)),0)*IF('Options and results'!$C$74="area",Unit!C63,'Options and results'!$C$74))*IF(DF62&gt;='Options and results'!$K$23,'Options and results'!$K$22,1)),0))*IF(1+'Options and results'!$Q$23*(DF62-1)&gt;0,1+'Options and results'!$Q$23*(DF62-1),0)</f>
        <v>0</v>
      </c>
      <c r="EG62" s="1034">
        <f>IF($DG$8=0,0,IF(DF62&lt;='Options and results'!$W$20,IF(DL62&lt;=0,0,IF('Options and results'!$C$68&gt;0,((IF(AND(VLOOKUP('Options and results'!$C$69,Treegrant!$B$6:$O$42,Treegrant!$M$2,FALSE)&lt;=DF62,VLOOKUP('Options and results'!$C$69,Treegrant!$B$6:$O$42,Treegrant!$N$2,FALSE)&gt;=DF62),(VLOOKUP('Options and results'!$C$69,Treegrant!$B$6:$O$42,Treegrant!$O$2,FALSE)),0)*IF('Options and results'!$C$75="area",Unit!C63,'Options and results'!$C$75))+(IF(AND(VLOOKUP('Options and results'!$C$69,Treegrant!$B$6:$R$42,Treegrant!$P$2,FALSE)&lt;=DF62,VLOOKUP('Options and results'!$C$69,Treegrant!$B$6:$R$42,Treegrant!$Q$2,FALSE)&gt;=DF62),(VLOOKUP('Options and results'!$C$69,Treegrant!$B$6:$R$42,Treegrant!$R$2,FALSE)),0))*IF('Options and results'!$C$76="area",Unit!C63,'Options and results'!$C$76)))*IF(DF62&gt;='Options and results'!$K$23,'Options and results'!$K$22,1)),0))*IF(1+'Options and results'!$Q$23*(DF62-1)&gt;0,1+'Options and results'!$Q$23*(DF62-1),0)</f>
        <v>0</v>
      </c>
      <c r="EH62" s="1041"/>
      <c r="EI62" s="1042"/>
      <c r="EJ62" s="1419">
        <f>IF($DH$8+DK62&lt;1,0,IF(DF62=1,VLOOKUP($DG$8,Treecost!$B$6:$AH$49,Treecost!$E$2,FALSE),0)*IF(DF62&gt;='Options and results'!$K$25,'Options and results'!$K$24,1))</f>
        <v>0</v>
      </c>
      <c r="EK62" s="889">
        <f>IF($DH$8+DK62&lt;1,0,IF(DF62=1,VLOOKUP($DG$8,Treecost!$B$6:$AH$49,Treecost!$F$2,FALSE),0)*IF(DF62&gt;='Options and results'!$K$25,'Options and results'!$K$24,1))</f>
        <v>0</v>
      </c>
      <c r="EL62" s="889">
        <f>IF($DH$8+DK62&lt;1,0,IF(DF62=1,VLOOKUP($DG$8,Treecost!$B$6:$AH$49,Treecost!$G$2,FALSE),0)*IF(DF62&gt;='Options and results'!$K$25,'Options and results'!$K$24,1))</f>
        <v>0</v>
      </c>
      <c r="EM62" s="889">
        <f>IF($DG$8=0,0,IF(DF62&lt;='Options and results'!$W$20,((VLOOKUP($DG$8,Treecost!$B$6:$AH$49,Treecost!$H$2,FALSE)*(DH62+DK62))/60)*IF(DF62&gt;='Options and results'!$K$25,'Options and results'!$K$24,1),0))</f>
        <v>0</v>
      </c>
      <c r="EN62" s="889">
        <f>IF($DG$8=0,0,IF(DF62&lt;='Options and results'!$W$20,(((VLOOKUP($DG$8,Treecost!$B$6:$AH$49,Treecost!$I$2,FALSE))*(DH62+DK62))/60)*IF(DF62&gt;='Options and results'!$K$25,'Options and results'!$K$24,1),0))</f>
        <v>0</v>
      </c>
      <c r="EO62" s="889">
        <f>IF($DG$8=0,0,IF(DF62&lt;='Options and results'!$W$20,(((VLOOKUP($DG$8,Treecost!$B$6:$AH$49,Treecost!$J$2,FALSE))/60)*(DH62+DK62))*IF(DF62&gt;='Options and results'!$K$25,'Options and results'!$K$24,1),0))</f>
        <v>0</v>
      </c>
      <c r="EP62" s="1019">
        <f>IF($DG$8=0,0,IF(DF62&lt;='Options and results'!$W$20,(((VLOOKUP($DG$8,Treecost!$B$6:$AH$49,Treecost!$C$2,FALSE)+VLOOKUP($DG$8,Treecost!$B$6:$AH$49,Treecost!$D$2,FALSE))*(DH62+DK62)*IF(1+'Options and results'!$Q$22*(DF62-1)&gt;0,1+'Options and results'!$Q$22*(DF62-1),0))+(EJ62*$EI$8+EK62*$EI$9+EL62*$EI$10+EM62*$EI$11+EN62*$EI$12+EO62*$EI$13)*IF(1+'Options and results'!$Q$21*(DF62-1)&gt;0,1+'Options and results'!$Q$21*(DF62-1),0))*IF(DF62&gt;='Options and results'!$K$27,'Options and results'!$K$26,1),0))</f>
        <v>0</v>
      </c>
      <c r="EQ62" s="740">
        <f>IF($DG$8=0,0,IF(DF62&lt;='Options and results'!$W$20,IF(AND(VLOOKUP($DG$8,Treecost!$B$6:$AH$49,Treecost!$K$2,FALSE)&lt;=DF62,DF62&lt;=(VLOOKUP($DG$8,Treecost!$B$6:$AH$49,Treecost!$L$2,FALSE))),VLOOKUP($DG$8,Treecost!$B$6:$AH$49,Treecost!$M$2,FALSE)*DL62/60,0)*IF(DF62&gt;='Options and results'!$K$25,'Options and results'!$K$24,1),0))</f>
        <v>0</v>
      </c>
      <c r="ER62" s="1019">
        <f>IF(EQ62&gt;0,(VLOOKUP($DG$8,Treecost!$B$6:$AH$49,Treecost!$N$2,FALSE)*DL62*IF(1+'Options and results'!$Q$22*(DF62-1)&gt;0,1+'Options and results'!$Q$22*(DF62-1),0)+EQ62*$EI$14*IF(1+'Options and results'!$Q$21*(DF62-1)&gt;0,1+'Options and results'!$Q$21*(DF62-1),0)),0)*IF(DF62&gt;='Options and results'!$K$27,'Options and results'!$K$26,1)</f>
        <v>0</v>
      </c>
      <c r="ES62" s="889">
        <f>IF(DF62&lt;='Options and results'!$W$20,IF(AND(DR62-DR61&gt;0,DR62&gt;'Options and results'!$M$64),(DL62-DN62)*(VLOOKUP($DG$8,Treecost!$B$6:$AH$49,Treecost!$Y$2,FALSE)+(VLOOKUP($DG$8,Treecost!$B$6:$AH$49,Treecost!$AA$2,FALSE)-VLOOKUP($DG$8,Treecost!$B$6:$AH$49,Treecost!$Y$2,FALSE))/(VLOOKUP($DG$8,Treecost!$B$6:$AH$49,Treecost!$Z$2,FALSE)-VLOOKUP($DG$8,Treecost!$B$6:$AH$49,Treecost!$X$2,FALSE))*(DR62-VLOOKUP($DG$8,Treecost!$B$6:$AH$49,Treecost!$X$2,FALSE)))/60,0)*IF(DF62&gt;='Options and results'!$K$25,'Options and results'!$K$24,1),0)</f>
        <v>0</v>
      </c>
      <c r="ET62" s="889">
        <f>IF(DF62&lt;='Options and results'!$W$20,IF(ES62&gt;0,VLOOKUP($DG$8,Treecost!$B$6:$AH$49,Treecost!$AB$2,FALSE)/60*DL62,0)*IF(DF62&gt;='Options and results'!$K$25,'Options and results'!$K$24,1),0)*((ES62-(MIN($ES$8:$ES$67)))/((MAX($ES$8:$ES$67))-(MIN($ES$8:$ES$67))))</f>
        <v>0</v>
      </c>
      <c r="EU62" s="740">
        <f>IF(ES62&gt;0,(ES62*$EI$15+ET62*$EI$19)*IF(1+'Options and results'!$Q$21*(DF62-1)&gt;0,1+'Options and results'!$Q$21*(DF62-1),0),0)*IF(DF62&gt;='Options and results'!$K$27,'Options and results'!$K$26,1)</f>
        <v>0</v>
      </c>
      <c r="EV62" s="891">
        <f>IF($DG$8=0,0,IF(DF62&lt;='Options and results'!$W$20,IF(AND(VLOOKUP($DG$8,Treecost!$B$2:$AH$49,Treecost!$O$2,FALSE)=DF62,DF62&lt;=IF(AND(Optimisation!$B$3="Yes",Optimisation!$B$4=1),Optimisation!$B$9)),VLOOKUP($DG$8,Treecost!$B$2:$AH$49,Treecost!$P$2,FALSE)*(1-CN62),0)*IF(DF62&gt;='Options and results'!$K$25,'Options and results'!$K$24,1),0))</f>
        <v>0</v>
      </c>
      <c r="EW62" s="889">
        <f>IF($DG$8=0,0,IF(DF62&lt;='Options and results'!$W$20,IF(AND(DF62&gt;VLOOKUP($DG$8,Treecost!$B$2:$AH$49,Treecost!$O$2,FALSE),DF62&lt;=IF(AND(Optimisation!$B$3="Yes",Optimisation!$B$4=1),Optimisation!$B$9,VLOOKUP($DG$8,Treecost!$B$2:$AH$49,Treecost!$R$2,FALSE))),VLOOKUP($DG$8,Treecost!$B$2:$AH$49,Treecost!$S$2,FALSE)*(1-CN62),0)*IF(DF62&gt;='Options and results'!$K$25,'Options and results'!$K$24,1),0))</f>
        <v>0</v>
      </c>
      <c r="EX62" s="740">
        <f>IF($DG$8=0,0,IF(DF62&lt;='Options and results'!$W$20,(IF(AND(VLOOKUP($DG$8,Treecost!$B$2:$AH$49,Treecost!$O$2,FALSE)=DF62,DF62&lt;=IF(AND(Optimisation!$B$3="Yes",Optimisation!$B$4=1),Optimisation!$B$9)),VLOOKUP($DG$8,Treecost!$B$2:$AH$49,Treecost!$Q$2,FALSE),0)*(1-CN62)+IF(AND(DF62&gt;VLOOKUP($DG$8,Treecost!$B$2:$AH$49,Treecost!$O$2,FALSE),DF62&lt;=IF(AND(Optimisation!$B$3="Yes",Optimisation!$B$4=1),Optimisation!$B$9,VLOOKUP($DG$8,Treecost!$B$2:$AH$49,Treecost!$R$2,FALSE))),VLOOKUP($DG$8,Treecost!$B$2:$AH$49,Treecost!$T$2,FALSE),0)*(1-CN62)+(EV62*$EI$16+EW62*$EI$17))*IF(DF62&gt;='Options and results'!$K$27,'Options and results'!$K$26,1),0))*IF(1+'Options and results'!$Q$21*(DF62-1)&gt;0,1+'Options and results'!$Q$21*(DF62-1),0)</f>
        <v>0</v>
      </c>
      <c r="EY62" s="894">
        <f>IF($DG$8=0,0,IF(DF62&lt;='Options and results'!$W$20,IF(AND(DF62&gt;=VLOOKUP($DG$8,Treecost!$B$2:$W$49,Treecost!$U$2,FALSE),DF62&lt;=VLOOKUP($DG$8,Treecost!$B$2:$W$49,Treecost!$V$2,FALSE)),(DL62*VLOOKUP($DG$8,Treecost!$B$2:$W$49,Treecost!$W$2,FALSE)/60),0)*IF(DF62&gt;='Options and results'!$K$25,'Options and results'!$K$24,1),0))</f>
        <v>0</v>
      </c>
      <c r="EZ62" s="740">
        <f>EY62*$EI$18*IF(DF62&gt;='Options and results'!$K$27,'Options and results'!$K$26,1)*IF(1+'Options and results'!$Q$21*(DF62-1)&gt;0,1+'Options and results'!$Q$21*(DF62-1),0)</f>
        <v>0</v>
      </c>
      <c r="FA62" s="1025">
        <f>IF(DF62&lt;='Options and results'!$W$20,IF(DL62&lt;=0,0,VLOOKUP($DG$8,Treecost!$B$6:$AH$49,Treecost!$AC$2,FALSE)+VLOOKUP($DG$8,Treecost!$B$6:$AH$49,Treecost!$AD$2,FALSE)+IF(AND(DF62&gt;=VLOOKUP($DG$8,Treecost!$B$2:$AK$49,Treecost!$AI$2,FALSE),DF62&lt;=VLOOKUP($DG$8,Treecost!$B$2:$AK$49,Treecost!$AJ$2,FALSE)),VLOOKUP($DG$8,Treecost!$B$2:$AK$49,Treecost!$AK$2,FALSE)*(1-CN62),0))*IF(DF62&gt;='Options and results'!$K$27,'Options and results'!$K$26,1),0)*IF(1+'Options and results'!$Q$22*(DF62-1)&gt;0,1+'Options and results'!$Q$22*(DF62-1),0)</f>
        <v>0</v>
      </c>
      <c r="FB62" s="894">
        <f>IF(DF62&lt;='Options and results'!$W$20,IF(DN62&gt;0,VLOOKUP($DG$8,Treecost!$B$6:$AH$49,Treecost!$AE$2,FALSE)/60*DN62,0)*IF(DF62&gt;='Options and results'!$K$25,'Options and results'!$K$24,1),0)</f>
        <v>0</v>
      </c>
      <c r="FC62" s="740">
        <f>IF(DF62&lt;='Options and results'!$W$20,IF(DN62&gt;0,VLOOKUP($DG$8,Treecost!$B$6:$AH$49,Treecost!$AF$2,FALSE)/60*DN62,0)*IF(DF62&gt;='Options and results'!$K$25,'Options and results'!$K$24,1),0)</f>
        <v>0</v>
      </c>
      <c r="FD62" s="740">
        <f>(FB62*$EI$20+FC62*$EI$21)*IF(DF62&gt;='Options and results'!$K$27,'Options and results'!$K$26,1)*IF(1+'Options and results'!$Q$21*(DF62-1)&gt;0,1+'Options and results'!$Q$21*(DF62-1),0)</f>
        <v>0</v>
      </c>
      <c r="FE62" s="894">
        <f>IF(DF62&lt;='Options and results'!$W$20,IF(DO62&gt;0,(VLOOKUP($DG$8,Treecost!$B$6:$AH$49,Treecost!$AG$2,FALSE)/60*DO62)*IF(DF62&gt;='Options and results'!$K$25,'Options and results'!$K$24,1),0),0)</f>
        <v>0</v>
      </c>
      <c r="FF62" s="740">
        <f>IF(DF62&lt;='Options and results'!$W$20,IF(DO62&gt;0,(VLOOKUP($DG$8,Treecost!$B$6:$AH$49,Treecost!$AH$2,FALSE)/60*DO62)*IF(DF62&gt;='Options and results'!$K$25,'Options and results'!$K$24,1),0),0)</f>
        <v>0</v>
      </c>
      <c r="FG62" s="740">
        <f>(FE62*$EI$22+FF62*$EI$23)*IF(DF62&gt;='Options and results'!$K$27,'Options and results'!$K$26,1)*IF(1+'Options and results'!$Q$21*(DF62-1)&gt;0,1+'Options and results'!$Q$21*(DF62-1),0)</f>
        <v>0</v>
      </c>
      <c r="FH62" s="894">
        <f t="shared" si="157"/>
        <v>0</v>
      </c>
      <c r="FI62" s="1027">
        <f t="shared" si="158"/>
        <v>0</v>
      </c>
      <c r="FJ62" s="1027">
        <f t="shared" si="159"/>
        <v>0</v>
      </c>
      <c r="FK62" s="1027">
        <f t="shared" si="160"/>
        <v>0</v>
      </c>
      <c r="FL62" s="1027">
        <f t="shared" si="190"/>
        <v>0</v>
      </c>
      <c r="FM62" s="1027">
        <f>IF($DF62&lt;='Options and results'!$W$20,SUM(FI$8:$FI62),0)</f>
        <v>0</v>
      </c>
      <c r="FN62" s="1027">
        <f>IF($DF62&lt;='Options and results'!$W$20,SUM($FJ$8:FJ62),0)</f>
        <v>0</v>
      </c>
      <c r="FO62" s="1027">
        <f>IF($DF62&lt;='Options and results'!$W$20,SUM($FK$8:FK62),0)</f>
        <v>0</v>
      </c>
      <c r="FP62" s="1027">
        <f>IF($DF62&lt;='Options and results'!$W$20,FM62+FN62-FO62,0)</f>
        <v>0</v>
      </c>
      <c r="FQ62" s="1027">
        <f t="shared" si="162"/>
        <v>0</v>
      </c>
      <c r="FR62" s="1027">
        <f t="shared" si="163"/>
        <v>0</v>
      </c>
      <c r="FS62" s="1027">
        <f t="shared" si="164"/>
        <v>0</v>
      </c>
      <c r="FT62" s="1189">
        <f>IF(DF62&lt;='Options and results'!$W$20,FP62+DZ62,0)</f>
        <v>0</v>
      </c>
      <c r="FU62" s="401"/>
      <c r="FV62" s="895">
        <f t="shared" si="165"/>
        <v>55</v>
      </c>
      <c r="FW62" s="894">
        <f>G62/(1+'Options and results'!$W$33)^(FV62-1)</f>
        <v>0</v>
      </c>
      <c r="FX62" s="740">
        <f>(AP62+AR62+AS62)/(1+'Options and results'!$W$33)^(FV62-1)</f>
        <v>0</v>
      </c>
      <c r="FY62" s="740">
        <f>CQ62/(1+'Options and results'!$W$33)^(FV62-1)</f>
        <v>0</v>
      </c>
      <c r="FZ62" s="740">
        <f>(EA62+EC62+ED62)/(1+'Options and results'!$W$33)^(FV62-1)</f>
        <v>0</v>
      </c>
      <c r="GA62" s="1019">
        <f t="shared" si="180"/>
        <v>0</v>
      </c>
      <c r="GB62" s="1026">
        <f>(AO62+AQ62)/(1+'Options and results'!$W$33)^(FV62-1)+FX62</f>
        <v>0</v>
      </c>
      <c r="GC62" s="1027">
        <f>IF(FV62&gt;'Options and results'!$W$27,0,GB62-GB61)</f>
        <v>0</v>
      </c>
      <c r="GD62" s="1027">
        <f>(DZ62+EB62)/(1+'Options and results'!$W$33)^(FV62-1)+FZ62</f>
        <v>0</v>
      </c>
      <c r="GE62" s="1379">
        <f>IF(FV62&gt;'Options and results'!$W$27,0,GD62-GD61)</f>
        <v>0</v>
      </c>
      <c r="GF62" s="894">
        <f>IF(FV62&lt;='Options and results'!$W$20,SUM(FW$8:FW62),0)</f>
        <v>0</v>
      </c>
      <c r="GG62" s="740">
        <f>IF(FV62&lt;='Options and results'!$W$20,SUM(FX$8:FX62), 0)</f>
        <v>0</v>
      </c>
      <c r="GH62" s="740">
        <f>IF(FV62&lt;='Options and results'!$W$20,SUM(FY$8:FY62),0)</f>
        <v>0</v>
      </c>
      <c r="GI62" s="740">
        <f>IF(FV62&lt;='Options and results'!$W$20,SUM(FZ$8:FZ62),0)</f>
        <v>0</v>
      </c>
      <c r="GJ62" s="1019">
        <f t="shared" si="166"/>
        <v>0</v>
      </c>
      <c r="GK62" s="894">
        <f>IF(FV62&gt;'Options and results'!$W$27,0,GG62+SUM(GC$8:GC62)-FX62)</f>
        <v>0</v>
      </c>
      <c r="GL62" s="740">
        <f>IF(FV62&lt;='Options and results'!$W$20,SUM(GD$8:GD62),0)</f>
        <v>0</v>
      </c>
      <c r="GM62" s="1034">
        <f t="shared" si="167"/>
        <v>0</v>
      </c>
      <c r="GN62" s="401"/>
      <c r="GO62" s="895">
        <f t="shared" si="168"/>
        <v>55</v>
      </c>
      <c r="GP62" s="894">
        <f>H62/(1+'Options and results'!$W$33)^(GO62-1)</f>
        <v>0</v>
      </c>
      <c r="GQ62" s="740">
        <f>SUM(AT62:AV62)/(1+'Options and results'!$W$33)^(GO62-1)</f>
        <v>0</v>
      </c>
      <c r="GR62" s="740">
        <f>CR62/(1+'Options and results'!$W$33)^(GO62-1)</f>
        <v>0</v>
      </c>
      <c r="GS62" s="740">
        <f>SUM(EE62:EG62)/(1+'Options and results'!$W$33)^(GO62-1)</f>
        <v>0</v>
      </c>
      <c r="GT62" s="1019">
        <f t="shared" si="181"/>
        <v>0</v>
      </c>
      <c r="GU62" s="894">
        <f>IF(GO62&lt;='Options and results'!$W$20,SUM(GP$8:GP62),0)</f>
        <v>0</v>
      </c>
      <c r="GV62" s="740">
        <f>IF(GO62&lt;='Options and results'!$W$20,SUM(GQ$8:GQ62),0)</f>
        <v>0</v>
      </c>
      <c r="GW62" s="740">
        <f>IF(GO62&lt;='Options and results'!$W$20,SUM(GR$8:GR62),0)</f>
        <v>0</v>
      </c>
      <c r="GX62" s="740">
        <f>IF(GO62&lt;='Options and results'!$W$20,SUM(GS$8:GS62),0)</f>
        <v>0</v>
      </c>
      <c r="GY62" s="1034">
        <f>IF(GO62&lt;='Options and results'!$W$20,SUM(GT$8:GT62),0)</f>
        <v>0</v>
      </c>
      <c r="GZ62" s="401"/>
      <c r="HA62" s="895">
        <f t="shared" si="169"/>
        <v>55</v>
      </c>
      <c r="HB62" s="1026">
        <f>(J62+L62+(M62*N62))/(1+'Options and results'!$W$33)^(HA62-1)</f>
        <v>0</v>
      </c>
      <c r="HC62" s="740">
        <f>BZ62/(1+'Options and results'!$W$33)^(HA62-1)</f>
        <v>0</v>
      </c>
      <c r="HD62" s="1027">
        <f>(CT62+CV62+(CW62*CX62))/(1+'Options and results'!$W$33)^(HA62-1)</f>
        <v>0</v>
      </c>
      <c r="HE62" s="740">
        <f>FK62/(1+'Options and results'!$W$33)^(HA62-1)</f>
        <v>0</v>
      </c>
      <c r="HF62" s="1019">
        <f t="shared" si="182"/>
        <v>0</v>
      </c>
      <c r="HG62" s="894">
        <f>IF(HA62&lt;='Options and results'!$W$20,SUM(HB$8:HB62),0)</f>
        <v>0</v>
      </c>
      <c r="HH62" s="740">
        <f>IF(HA62&lt;='Options and results'!$W$20,SUM(HC$8:HC62),0)</f>
        <v>0</v>
      </c>
      <c r="HI62" s="740">
        <f>IF(HA62&lt;='Options and results'!$W$20,SUM(HD$8:HD62),0)</f>
        <v>0</v>
      </c>
      <c r="HJ62" s="740">
        <f>IF(HA62&lt;='Options and results'!$W$20,SUM(HE$8:HE62),0)</f>
        <v>0</v>
      </c>
      <c r="HK62" s="1034">
        <f>IF(HA62&lt;='Options and results'!$W$20,SUM(HF$8:HF62),0)</f>
        <v>0</v>
      </c>
      <c r="HL62" s="405"/>
      <c r="HM62" s="895">
        <f t="shared" si="189"/>
        <v>55</v>
      </c>
      <c r="HN62" s="1026">
        <f t="shared" si="171"/>
        <v>0</v>
      </c>
      <c r="HO62" s="1027">
        <f t="shared" si="172"/>
        <v>0</v>
      </c>
      <c r="HP62" s="1027">
        <f t="shared" si="173"/>
        <v>0</v>
      </c>
      <c r="HQ62" s="1027">
        <f t="shared" si="174"/>
        <v>0</v>
      </c>
      <c r="HR62" s="1027">
        <f t="shared" si="175"/>
        <v>0</v>
      </c>
      <c r="HS62" s="1379">
        <f t="shared" si="176"/>
        <v>0</v>
      </c>
      <c r="HT62" s="1026">
        <f>IF($HM62&lt;='Options and results'!$W$20,SUM(HN$8:HN62),0)</f>
        <v>0</v>
      </c>
      <c r="HU62" s="1027">
        <f>IF($HM62&lt;='Options and results'!$W$20,SUM(HO$8:HO62),0)</f>
        <v>0</v>
      </c>
      <c r="HV62" s="1027">
        <f>IF($HM62&lt;='Options and results'!$W$20,SUM(HP$8:HP62),0)</f>
        <v>0</v>
      </c>
      <c r="HW62" s="1027">
        <f>IF($HM62&lt;='Options and results'!$W$20,SUM(HQ$8:HQ62),0)</f>
        <v>0</v>
      </c>
      <c r="HX62" s="1027">
        <f t="shared" si="177"/>
        <v>0</v>
      </c>
      <c r="HY62" s="1027">
        <f>IF($HM62&lt;='Options and results'!$W$20,SUM(HR$8:HR62),0)</f>
        <v>0</v>
      </c>
      <c r="HZ62" s="1027">
        <f>IF($HM62&lt;='Options and results'!$W$20,SUM(HS$8:HS62),0)</f>
        <v>0</v>
      </c>
      <c r="IA62" s="1189">
        <f t="shared" si="178"/>
        <v>0</v>
      </c>
    </row>
    <row r="63" spans="1:235" x14ac:dyDescent="0.25">
      <c r="A63" s="1010">
        <f t="shared" si="126"/>
        <v>56</v>
      </c>
      <c r="B63" s="1011" t="str">
        <f>IF('Options and results'!$C$17="None",0,CONCATENATE('Options and results'!$C$23," ",(HLOOKUP(CONCATENATE('Options and results'!$C$17," ",Arablesystem!$B$11),Arablesystem!$B$10:$ER$72,$A63+3,FALSE))))</f>
        <v xml:space="preserve">UK - Agriculture (BPS: from 2015) </v>
      </c>
      <c r="C63" s="1012">
        <f>IF(HLOOKUP(CONCATENATE('Options and results'!$C$17," ",Arablesystem!$C$11),Arablesystem!$B$10:$ER$72,$A63+3,FALSE)="T",(VLOOKUP(B63,Arablefinance!$Z$6:$AB$105,Arablefinance!$AB$2,FALSE)*E63+VLOOKUP(B63,Arablefinance!$Z$6:$AC$105,Arablefinance!$AC$2,FALSE)*F63)/VLOOKUP(B63,Arablefinance!$Z$6:$AA$105,Arablefinance!$AA$2,FALSE),0)</f>
        <v>0</v>
      </c>
      <c r="D63" s="1012">
        <f>IF(B63=0,0,HLOOKUP(CONCATENATE('Options and results'!$C$17," ",Arablesystem!$D$11),Arablesystem!$B$10:$ER$72,$A63+3,FALSE))</f>
        <v>0</v>
      </c>
      <c r="E63" s="1440">
        <f>IF(B63=0,0,HLOOKUP(CONCATENATE('Options and results'!$C$17," ",Arablesystem!$E$11),Arablesystem!$B$10:$ER$72,$A63+3,FALSE)*IF(A63&gt;='Options and results'!$H$19,'Options and results'!$H$18,1))</f>
        <v>0</v>
      </c>
      <c r="F63" s="1440">
        <f>IF(B63=0,0,HLOOKUP(CONCATENATE('Options and results'!$C$17," ",Arablesystem!$F$11),Arablesystem!$B$10:$ER$72,$A63+3,FALSE)*IF(A63&gt;='Options and results'!$H$19,'Options and results'!$H$18,1))</f>
        <v>0</v>
      </c>
      <c r="G63" s="1013">
        <f>IF(D63&lt;=0,0,IF(A63&lt;='Options and results'!$W$20,IF(C63&gt;0,VLOOKUP(B63,Arablefinance!$Z$6:$AE$105,Arablefinance!$AD$2,FALSE)*C63*D63,((VLOOKUP(B63,Arablefinance!$E$6:$G$126,Arablefinance!$F$2,FALSE)*(E63*D63)+VLOOKUP(B63,Arablefinance!$E$6:$G$126,Arablefinance!$G$2,FALSE)*(F63*D63)))),0)*IF(A63&gt;='Options and results'!$H$21,'Options and results'!$H$20,1))*IF(1+'Options and results'!$O$20*(A63-1)&gt;0,1+'Options and results'!$O$20*(A63-1),0)</f>
        <v>0</v>
      </c>
      <c r="H63" s="1441">
        <f>IF(D63&lt;=0,0,IF(A63&lt;='Options and results'!$W$20,IF(AND(C63&gt;0,VLOOKUP(B63,Arablefinance!$Z$6:$AI$105,Arablefinance!$AI$2,FALSE)=2),VLOOKUP(B63,Arablefinance!$Z$6:$AE$105,Arablefinance!$AE$2,FALSE)*C63*D63,(VLOOKUP(B63,Arablefinance!$E$6:$H$126,Arablefinance!$H$2,FALSE)*D63))*IF(A63&gt;='Options and results'!$H$23,'Options and results'!$H$22,1),0)*IF(AND(1+'Options and results'!$O$23*(A63-1)&gt;0,1+'Options and results'!$O$23*(A63-1)&gt;'Options and results'!$S$24),1+'Options and results'!$O$23*(A63-1),'Options and results'!$S$24))</f>
        <v>0</v>
      </c>
      <c r="I63" s="1441">
        <f t="shared" si="127"/>
        <v>0</v>
      </c>
      <c r="J63" s="1441">
        <f>IF(D63&lt;=0,0,IF(A63&lt;='Options and results'!$W$20,IF(C63&gt;0,VLOOKUP(B63,Arablefinance!$Z$6:$AF$105,Arablefinance!$AF$2,FALSE)*C63*D63,(VLOOKUP(B63,Arablefinance!$E$6:$X$126,Arablefinance!$R$2,FALSE))*D63),0)*IF(A63&gt;='Options and results'!$H$27,'Options and results'!$H$26,1))*IF(1+'Options and results'!$O$22*(A63-1)&gt;0,1+'Options and results'!$O$22*(A63-1),0)</f>
        <v>0</v>
      </c>
      <c r="K63" s="1441">
        <f t="shared" si="128"/>
        <v>0</v>
      </c>
      <c r="L63" s="1441">
        <f>IF(D63&lt;=0,0,IF(A63&lt;='Options and results'!$W$20,IF(C63&gt;0,VLOOKUP(B63,Arablefinance!$Z$6:$AG$105,Arablefinance!$AG$2,FALSE)*C63*D63,VLOOKUP(B63,Arablefinance!$E$6:$X$126,Arablefinance!$X$2,FALSE)*D63),0)*IF(A63&gt;='Options and results'!$H$27,'Options and results'!$H$26,1))*IF(1+'Options and results'!$O$22*(A63-1)&gt;0,1+'Options and results'!$O$22*(A63-1),0)</f>
        <v>0</v>
      </c>
      <c r="M63" s="1442">
        <f>IF(D63&lt;=0,0,IF(A63&lt;='Options and results'!$W$20,'Options and results'!$C$27,0)*IF(A63&gt;='Options and results'!$H$27,'Options and results'!$H$26,1))*IF(1+'Options and results'!$O$21*(A63-1)&gt;0,1+'Options and results'!$O$21*(A63-1),0)</f>
        <v>0</v>
      </c>
      <c r="N63" s="1442">
        <f>IF(D63&lt;=0,0,IF(A63&lt;='Options and results'!$W$20,IF(C63&gt;0,VLOOKUP(B63,Arablefinance!$Z$6:$AH$105,Arablefinance!$AH$2,FALSE)*C63*D63,VLOOKUP(B63,Arablefinance!$E$6:$W$126,Arablefinance!$V$2,FALSE)*D63),0)*IF(A63&gt;='Options and results'!$H$25,'Options and results'!$H$24,1))</f>
        <v>0</v>
      </c>
      <c r="O63" s="1013">
        <f t="shared" si="129"/>
        <v>0</v>
      </c>
      <c r="P63" s="1353">
        <f t="shared" si="130"/>
        <v>0</v>
      </c>
      <c r="Q63" s="1013">
        <f>IF(A63&lt;='Options and results'!$W$20,SUM(G$8:$G63),0)</f>
        <v>0</v>
      </c>
      <c r="R63" s="1441">
        <f>IF($A63&lt;='Options and results'!$W$20,SUM($H$8:H63),0)</f>
        <v>0</v>
      </c>
      <c r="S63" s="1441">
        <f>IF($A63&lt;='Options and results'!$W$20,SUM($O$8:O63),0)</f>
        <v>0</v>
      </c>
      <c r="T63" s="1032">
        <f>IF(A63&lt;='Options and results'!$W$20,Q63+R63-S63,0)</f>
        <v>0</v>
      </c>
      <c r="U63" s="405"/>
      <c r="V63" s="1010">
        <f t="shared" si="131"/>
        <v>56</v>
      </c>
      <c r="W63" s="173"/>
      <c r="X63" s="1036"/>
      <c r="Y63" s="1030">
        <f>IF(V63&lt;='Options and results'!$M$34,'Options and results'!$M$33,0)</f>
        <v>0</v>
      </c>
      <c r="Z63" s="1441">
        <f t="shared" si="132"/>
        <v>0</v>
      </c>
      <c r="AA63" s="1441">
        <f t="shared" si="133"/>
        <v>0</v>
      </c>
      <c r="AB63" s="1428">
        <f t="shared" si="134"/>
        <v>0</v>
      </c>
      <c r="AC63" s="1441">
        <f>IF($W$8=0,0,IF(HLOOKUP(CONCATENATE('Options and results'!$C$32," ",Forestrysystem!$C$8),Forestrysystem!$A$7:$IH$70,V63+4,FALSE)&lt;AB63,HLOOKUP(CONCATENATE('Options and results'!$C$32," ",Forestrysystem!$C$8),Forestrysystem!$A$7:$IH$70,V63+4,FALSE),0))</f>
        <v>0</v>
      </c>
      <c r="AD63" s="1441">
        <f>IF($W$8=0,0,IF(HLOOKUP(CONCATENATE('Options and results'!$C$32," ",Forestrysystem!$C$8),Forestrysystem!$A$7:$IH$70,V63+4,FALSE)&gt;=AB63,AB63,0))</f>
        <v>0</v>
      </c>
      <c r="AE63" s="1440">
        <f>IF($W$8=0,0,HLOOKUP(CONCATENATE('Options and results'!$C$32," ",Forestrysystem!$D$8),Forestrysystem!$A$7:$IH$70,$V63+4,FALSE))</f>
        <v>0</v>
      </c>
      <c r="AF63" s="1037"/>
      <c r="AG63" s="1440">
        <f>IF($W$8=0,0,IF(V63=1,'Options and results'!$M$36,0)+IF('Options and results'!$M$39="yes",IF(AND(AG62+'Options and results'!$M$37&lt;=$AF$8,AG62+'Options and results'!$M$37+IF(V63=1,'Options and results'!$M$36,0)&lt;='Options and results'!$M$38*AE63),AG62+'Options and results'!$M$37,AG62),(HLOOKUP(CONCATENATE('Options and results'!$C$32," ",Forestrysystem!$E$8),Forestrysystem!$A$7:$IH$70,V63+4,FALSE))-IF(V63=1,'Options and results'!$M$36,0)))</f>
        <v>0</v>
      </c>
      <c r="AH63" s="1442">
        <f>IF(OR($W$8=0,AB63&lt;=0),0,(HLOOKUP(CONCATENATE('Options and results'!$C$32," ",Forestrysystem!$F$8),Forestrysystem!$A$7:$IH$70,$V63+4,FALSE)) * IF(V63&gt;='Options and results'!$I$19,'Options and results'!$I$18,1) )</f>
        <v>0</v>
      </c>
      <c r="AI63" s="1452">
        <f t="shared" si="179"/>
        <v>0</v>
      </c>
      <c r="AJ63" s="1442">
        <f t="shared" si="135"/>
        <v>0</v>
      </c>
      <c r="AK63" s="1453">
        <f>IF(OR($W$8=0,AE63&lt;=0),0,(HLOOKUP(CONCATENATE('Options and results'!$C$32," ",Forestrysystem!$G$8),Forestrysystem!$A$7:$IH$70,$V63+4,FALSE)) * IF(Y63&gt;='Options and results'!$I$19,'Options and results'!$I$18,1) )</f>
        <v>0</v>
      </c>
      <c r="AL63" s="1453">
        <f>IF($W$8=0,0,HLOOKUP(CONCATENATE('Options and results'!$C$32," ",Forestrysystem!$H$8),Forestrysystem!$A$7:$IH$70,$V63+4,FALSE)*IF(V63&gt;='Options and results'!$I$19,'Options and results'!$I$18,1))</f>
        <v>0</v>
      </c>
      <c r="AM63" s="1383">
        <f>IF($W$8=0,0,HLOOKUP(CONCATENATE('Options and results'!$C$32," ",Forestrysystem!$I$8),Forestrysystem!$A$7:$IH$70,$V63+4,FALSE)*IF(V63&gt;='Options and results'!$I$19,'Options and results'!$I$18,1))</f>
        <v>0</v>
      </c>
      <c r="AN63" s="1382">
        <f>IF(AI63&gt;0,HLOOKUP(AI63,Treevalue!$I$4:$BC$34,'Options and results'!$C$39+1),0)*IF(V63&gt;='Options and results'!$I$21,'Options and results'!$I$20,1)*IF(1+'Options and results'!$Q$20*(V63-1)&gt;0,1+'Options and results'!$Q$20*(V63-1),0)</f>
        <v>0</v>
      </c>
      <c r="AO63" s="1454">
        <f t="shared" si="136"/>
        <v>0</v>
      </c>
      <c r="AP63" s="1454">
        <f t="shared" si="187"/>
        <v>0</v>
      </c>
      <c r="AQ63" s="1454">
        <f>(IF('Options and results'!$C$39&gt;0,IF(V63&lt;='Options and results'!$W$20,VLOOKUP('Options and results'!$C$39,Treevalue!$A$4:$F$34,5,FALSE),0),0)*AK63)*IF(V63&gt;='Options and results'!$I$21,'Options and results'!$I$20,1)*IF(1+'Options and results'!$Q$20*(V63-1)&gt;0,1+'Options and results'!$Q$20*(V63-1),0)-AR63</f>
        <v>0</v>
      </c>
      <c r="AR63" s="1441">
        <f>(IF('Options and results'!$C$39&gt;0,IF(V63&lt;='Options and results'!$W$20,VLOOKUP('Options and results'!$C$39,Treevalue!$A$4:$F$34,5,FALSE),0),0)*AL63)*IF(V63&gt;='Options and results'!$I$21,'Options and results'!$I$20,1)*IF(1+'Options and results'!$Q$20*(V63-1)&gt;0,1+'Options and results'!$Q$20*(V63-1),0)</f>
        <v>0</v>
      </c>
      <c r="AS63" s="1441">
        <f>(IF('Options and results'!$C$39&gt;0,IF(V63&lt;='Options and results'!$W$20,VLOOKUP('Options and results'!$C$39,Treevalue!$A$4:$F$34,6,FALSE),0),0)*AM63)*IF(V63&gt;='Options and results'!$I$21,'Options and results'!$I$20,1)*IF(1+'Options and results'!$Q$20*(V63-1)&gt;0,1+'Options and results'!$Q$20*(V63-1),0)</f>
        <v>0</v>
      </c>
      <c r="AT63" s="1441">
        <f>IF(V63&lt;='Options and results'!$W$20,(IF(AB63&lt;=0,0,IF('Options and results'!$C$43="cost",(IF(V63&lt;='Options and results'!$C$44,BZ63*SUM('Options and results'!$C$45:$C$46),0)),IF('Options and results'!$C$41&gt;0,(IF(VLOOKUP('Options and results'!$C$42,Treegrant!$B$6:$L$42,Treegrant!$C$2,FALSE)=V63,VLOOKUP('Options and results'!$C$42,Treegrant!$B$6:$L$42,Treegrant!$D$2,FALSE),0)+IF(VLOOKUP('Options and results'!$C$42,Treegrant!$B$6:$L$42,Treegrant!$E$2,FALSE)=V63,VLOOKUP('Options and results'!$C$42,Treegrant!$B$6:$L$42,Treegrant!$F$2,FALSE),0)+IF(VLOOKUP('Options and results'!$C$42,Treegrant!$B$6:$L$42,Treegrant!$G$2,FALSE)=V63,VLOOKUP('Options and results'!$C$42,Treegrant!$B$6:$L$42,Treegrant!$H$2,FALSE)))*IF('Options and results'!$C$43="area",1,'Options and results'!$C$43),0)))*IF(V63&gt;='Options and results'!$I$23,'Options and results'!$I$22,1)),0)*IF(1+'Options and results'!$Q$23*(V63-1)&gt;0,1+'Options and results'!$Q$23*(V63-1),0)</f>
        <v>0</v>
      </c>
      <c r="AU63" s="1441">
        <f>IF($W$8=0,0,IF(V63&lt;='Options and results'!$W$20,IF(AB63&lt;=0,0,IF('Options and results'!$C$41&gt;0,IF(AND(VLOOKUP('Options and results'!$C$42,Treegrant!$B$6:$L$42,Treegrant!$J$2,FALSE)&lt;=V63,VLOOKUP('Options and results'!$C$42,Treegrant!$B$6:$L$42,Treegrant!$K$2,FALSE)&gt;=V63),(VLOOKUP('Options and results'!$C$42,Treegrant!$B$6:$L$42,Treegrant!$L$2,FALSE)),0)*IF('Options and results'!$C$47="full",1,'Options and results'!$C$47))*IF(V63&gt;='Options and results'!$I$23,'Options and results'!$I$22,1)),0))*IF(1+'Options and results'!$Q$23*(V63-1)&gt;0,1+'Options and results'!$Q$23*(V63-1),0)</f>
        <v>0</v>
      </c>
      <c r="AV63" s="1032">
        <f>IF($W$8=0,0,IF(V63&lt;='Options and results'!$W$20,IF(AB63&lt;=0,0,(IF('Options and results'!$C$41&gt;0,(IF(AND(VLOOKUP('Options and results'!$C$42,Treegrant!$B$6:$O$42,Treegrant!$M$2,FALSE)&lt;=V63,VLOOKUP('Options and results'!$C$42,Treegrant!$B$6:$O$42,Treegrant!$N$2,FALSE)&gt;=V63),(VLOOKUP('Options and results'!$C$42,Treegrant!$B$6:$O$42,Treegrant!$O$2,FALSE)),0)*IF('Options and results'!$C$48="full",1,'Options and results'!$C$48))+(IF(AND(VLOOKUP('Options and results'!$C$42,Treegrant!$B$6:$R$42,Treegrant!$P$2,FALSE)&lt;=V63,VLOOKUP('Options and results'!$C$42,Treegrant!$B$6:$R$42,Treegrant!$Q$2,FALSE)&gt;=V63),(VLOOKUP('Options and results'!$C$42,Treegrant!$B$6:$R$42,Treegrant!$R$2,FALSE)),0))*IF('Options and results'!$C$49="full",1,'Options and results'!$C$49)))*IF(V63&gt;='Options and results'!$I$23,'Options and results'!$I$22,1)),0))*IF(1+'Options and results'!$Q$23*(V63-1)&gt;0,1+'Options and results'!$Q$23*(V63-1),0)</f>
        <v>0</v>
      </c>
      <c r="AW63" s="1041"/>
      <c r="AX63" s="1042"/>
      <c r="AY63" s="1419">
        <f>IF($W$8=0,0,IF(V63=1,VLOOKUP($W$8,Treecost!$B$6:$AH$49,Treecost!$E$2,FALSE),0)*IF(V63&gt;='Options and results'!$I$25,'Options and results'!$I$24,1))</f>
        <v>0</v>
      </c>
      <c r="AZ63" s="889">
        <f>IF($W$8=0,0,IF(V63=1,VLOOKUP($W$8,Treecost!$B$6:$AH$49,Treecost!$F$2,FALSE),0)*IF(V63&gt;='Options and results'!$I$25,'Options and results'!$I$24,1))</f>
        <v>0</v>
      </c>
      <c r="BA63" s="889">
        <f>IF($W$8=0,0,IF(V63=1,VLOOKUP($W$8,Treecost!$B$6:$AH$49,Treecost!$G$2,FALSE),0)*IF(V63&gt;='Options and results'!$I$25,'Options and results'!$I$24,1))</f>
        <v>0</v>
      </c>
      <c r="BB63" s="889">
        <f>IF($W$8=0,0,IF(V63&lt;='Options and results'!$W$20,((VLOOKUP($W$8,Treecost!$B$6:$AH$49,Treecost!$H$2,FALSE)*(X63+AA63))/60)*IF(V63&gt;='Options and results'!$I$25,'Options and results'!$I$24,1),0))</f>
        <v>0</v>
      </c>
      <c r="BC63" s="889">
        <f>IF($W$8=0,0,IF(V63&lt;='Options and results'!$W$20,(((VLOOKUP($W$8,Treecost!$B$6:$AH$49,Treecost!$I$2,FALSE))*(X63+AA63))/60)*IF(V63&gt;='Options and results'!$I$25,'Options and results'!$I$24,1),0))</f>
        <v>0</v>
      </c>
      <c r="BD63" s="889">
        <f>IF($W$8=0,0,IF(V63&lt;='Options and results'!$W$20,(((VLOOKUP($W$8,Treecost!$B$6:$AH$49,Treecost!$J$2,FALSE))/60)*(X63+AA63))*IF(V63&gt;='Options and results'!$I$25,'Options and results'!$I$24,1),0))</f>
        <v>0</v>
      </c>
      <c r="BE63" s="1019">
        <f>IF($W$8=0,0,IF(V63&lt;='Options and results'!$W$20,(((VLOOKUP($W$8,Treecost!$B$6:$AH$49,Treecost!$C$2,FALSE)+VLOOKUP($W$8,Treecost!$B$6:$AH$49,Treecost!$D$2,FALSE))*(X63+AA63)*IF(1+'Options and results'!$Q$22*(V63-1)&gt;0,1+'Options and results'!$Q$22*(V63-1),0))+((AY63*$AX$8+AZ63*$AX$9+BA63*$AX$10+BB63*$AX$11+BC63*$AX$12+BD63*$AX$13)*IF(1+'Options and results'!$Q$21*(V63-1)&gt;0,1+'Options and results'!$Q$21*(V63-1),0)))*IF(V63&gt;='Options and results'!$I$27,'Options and results'!$I$26,1),0))</f>
        <v>0</v>
      </c>
      <c r="BF63" s="889">
        <f>IF($W$8=0,0,IF(V63&lt;='Options and results'!$W$20,IF(AND(VLOOKUP($W$8,Treecost!$B$6:$AH$49,Treecost!$K$2,FALSE)&lt;=V63,V63&lt;=(VLOOKUP($W$8,Treecost!$B$6:$AH$49,Treecost!$L$2,FALSE))),VLOOKUP($W$8,Treecost!$B$6:$AH$49,Treecost!$M$2,FALSE)*AB63/60,0)*IF(V63&gt;='Options and results'!$I$25,'Options and results'!$I$24,1),0))</f>
        <v>0</v>
      </c>
      <c r="BG63" s="1019">
        <f>IF(BF63&gt;0,(VLOOKUP($W$8,Treecost!$B$6:$AH$49,Treecost!$N$2,FALSE)*AB63*IF(1+'Options and results'!$Q$22*(V63-1)&gt;0,1+'Options and results'!$Q$22*(V63-1),0)+BF63*$AX$14*IF(1+'Options and results'!$Q$21*(V63-1)&gt;0,1+'Options and results'!$Q$21*(V63-1),0)),0)*IF(V63&gt;='Options and results'!$I$27,'Options and results'!$I$26,1)</f>
        <v>0</v>
      </c>
      <c r="BH63" s="889">
        <f>IF(V63&lt;='Options and results'!$W$20,IF(AND(AG63-AG62&gt;0,AG63&gt;'Options and results'!$M$36),(AB63-AC63)*(VLOOKUP($W$8,Treecost!$B$6:$AH$49,Treecost!$Y$2,FALSE)+(VLOOKUP($W$8,Treecost!$B$6:$AH$49,Treecost!$AA$2,FALSE)-VLOOKUP($W$8,Treecost!$B$6:$AH$49,Treecost!$Y$2,FALSE))/(VLOOKUP($W$8,Treecost!$B$6:$AH$49,Treecost!$Z$2,FALSE)-VLOOKUP($W$8,Treecost!$B$6:$AH$49,Treecost!$X$2,FALSE))*(AG63-VLOOKUP($W$8,Treecost!$B$6:$AH$49,Treecost!$X$2,FALSE)))/60,0)*IF(V63&gt;='Options and results'!$I$25,'Options and results'!$I$24,1),0)</f>
        <v>0</v>
      </c>
      <c r="BI63" s="303">
        <f>IF(V63&lt;='Options and results'!$W$20,IF(BH63&gt;0,VLOOKUP($W$8,Treecost!$B$6:$AH$49,Treecost!$AB$2,FALSE)/60*AB63,0)*IF(V63&gt;='Options and results'!$I$25,'Options and results'!$I$24,1),0)*((BH63-(MIN($BH$8:$BH$67)))/((MAX($BH$8:$BH$67))-(MIN($BH$8:$BH$67))))</f>
        <v>0</v>
      </c>
      <c r="BJ63" s="740">
        <f>IF(BH63&gt;0,(BH63*$AX$15+BI63*$AX$19)*IF(1+'Options and results'!$Q$21*(V63-1)&gt;0,1+'Options and results'!$Q$21*(V63-1),0),0)*IF(V63&gt;='Options and results'!$I$27,'Options and results'!$I$26,1)</f>
        <v>0</v>
      </c>
      <c r="BK63" s="891">
        <f>IF($W$8=0,0,IF(V63&lt;='Options and results'!$W$20,IF(VLOOKUP($W$8,Treecost!$B$2:$AH$49,Treecost!$O$2,FALSE)=V63,VLOOKUP($W$8,Treecost!$B$2:$AH$49,Treecost!$P$2,FALSE),0)*IF(V63&gt;='Options and results'!$I$25,'Options and results'!$I$24,1),0))</f>
        <v>0</v>
      </c>
      <c r="BL63" s="889">
        <f>IF($W$8=0,0,IF(V63&lt;='Options and results'!$W$20,IF(AND(V63&gt;VLOOKUP($W$8,Treecost!$B$2:$AH$49,Treecost!$O$2,FALSE),V63&lt;=VLOOKUP($W$8,Treecost!$B$2:$AH$49,Treecost!$R$2,FALSE)),VLOOKUP($W$8,Treecost!$B$2:$AH$49,Treecost!$S$2,FALSE),0)*IF(V63&gt;='Options and results'!$I$25,'Options and results'!$I$24,1),0))</f>
        <v>0</v>
      </c>
      <c r="BM63" s="740">
        <f>IF($W$8=0,0,IF(V63&lt;='Options and results'!$W$20,((IF(VLOOKUP($W$8,Treecost!$B$2:$AH$49,Treecost!$O$2,FALSE)=V63,VLOOKUP($W$8,Treecost!$B$2:$AH$49,Treecost!$Q$2,FALSE),0)+IF(AND(V63&gt;VLOOKUP($W$8,Treecost!$B$2:$AH$49,Treecost!$O$2,FALSE),V63&lt;=VLOOKUP($W$8,Treecost!$B$2:$AH$49,Treecost!$R$2,FALSE)),VLOOKUP($W$8,Treecost!$B$2:$AH$49,Treecost!$T$2,FALSE),0)*IF(1+'Options and results'!$Q$22*(V63-1)&gt;0,1+'Options and results'!$Q$22*(V63-1),0))+(BK63*$AX$16+BL63*$AX$17)*IF(1+'Options and results'!$Q$21*(V63-1)&gt;0,1+'Options and results'!$Q$21*(V63-1),0))*IF(V63&gt;='Options and results'!$I$27,'Options and results'!$I$26,1),0))</f>
        <v>0</v>
      </c>
      <c r="BN63" s="894">
        <f>IF($W$8=0,0,IF(V63&lt;='Options and results'!$W$20,IF(AND(V63&gt;=VLOOKUP($W$8,Treecost!$B$2:$W$49,Treecost!$U$2,FALSE),V63&lt;=VLOOKUP($W$8,Treecost!$B$2:$W$49,Treecost!$V$2,FALSE)),(AB63*VLOOKUP($W$8,Treecost!$B$2:$W$49,Treecost!$W$2,FALSE)/60),0)*IF(V63&gt;='Options and results'!$I$25,'Options and results'!$I$24,1),0))</f>
        <v>0</v>
      </c>
      <c r="BO63" s="740">
        <f>BN63*$AX$18*IF(V63&gt;='Options and results'!$I$27,'Options and results'!$I$26,1)*IF(1+'Options and results'!$Q$21*(V63-1)&gt;0,1+'Options and results'!$Q$21*(V63-1),0)</f>
        <v>0</v>
      </c>
      <c r="BP63" s="894">
        <f>IF(V63&lt;='Options and results'!$W$20,IF(AB63&lt;=0,0,VLOOKUP($W$8,Treecost!$B$6:$AH$49,Treecost!$AC$2,FALSE)+VLOOKUP($W$8,Treecost!$B$6:$AH$49,Treecost!$AD$2,FALSE)+IF(AND(V63&gt;=VLOOKUP($W$8,Treecost!$B$2:$AK$49,Treecost!$AI$2,FALSE),V63&lt;=VLOOKUP($W$8,Treecost!$B$2:$AK$49,Treecost!$AJ$2,FALSE)),(VLOOKUP($W$8,Treecost!$B$2:$AK$49,Treecost!$AK$2,FALSE)),0))*IF(V63&gt;='Options and results'!$I$27,'Options and results'!$I$26,1),0)*IF(1+'Options and results'!$Q$22*(V63-1)&gt;0,1+'Options and results'!$Q$22*(V63-1),0)</f>
        <v>0</v>
      </c>
      <c r="BQ63" s="894">
        <f>IF(V63&lt;='Options and results'!$W$20,IF(AC63&gt;0,VLOOKUP($W$8,Treecost!$B$6:$AH$49,Treecost!$AE$2,FALSE)/60*AC63,0)*IF(V63&gt;='Options and results'!$I$25,'Options and results'!$I$24,1),0)</f>
        <v>0</v>
      </c>
      <c r="BR63" s="740">
        <f>IF(V63&lt;='Options and results'!$W$20,IF(AC63&gt;0,VLOOKUP($W$8,Treecost!$B$6:$AH$49,Treecost!$AF$2,FALSE)/60*AC63,0)*IF(V63&gt;='Options and results'!$I$25,'Options and results'!$I$24,1),0)</f>
        <v>0</v>
      </c>
      <c r="BS63" s="740">
        <f>(BQ63*$AX$20+BR63*$AX$21)*IF(V63&gt;='Options and results'!$I$27,'Options and results'!$I$26,1)*IF(1+'Options and results'!$Q$21*(V63-1)&gt;0,1+'Options and results'!$Q$21*(V63-1),0)</f>
        <v>0</v>
      </c>
      <c r="BT63" s="894">
        <f>IF(V63&lt;='Options and results'!$W$20,IF(AD63&gt;0,(VLOOKUP($W$8,Treecost!$B$6:$AH$49,Treecost!$AG$2,FALSE)/60*AD63)*IF(V63&gt;='Options and results'!$I$25,'Options and results'!$I$24,1),0),0)</f>
        <v>0</v>
      </c>
      <c r="BU63" s="740">
        <f>IF(V63&lt;='Options and results'!$W$20,IF(AD63&gt;0,(VLOOKUP($W$8,Treecost!$B$6:$AH$49,Treecost!$AH$2,FALSE)/60*AD63)*IF(V63&gt;='Options and results'!$I$25,'Options and results'!$I$24,1),0),0)</f>
        <v>0</v>
      </c>
      <c r="BV63" s="740">
        <f>(BT63*$AX$22+BU63*$AX$23)*IF(V63&gt;='Options and results'!$I$27,'Options and results'!$I$26,1)*IF(1+'Options and results'!$Q$21*(V63-1)&gt;0,1+'Options and results'!$Q$21*(V63-1),0)</f>
        <v>0</v>
      </c>
      <c r="BW63" s="1033">
        <f t="shared" si="138"/>
        <v>0</v>
      </c>
      <c r="BX63" s="1027">
        <f t="shared" si="139"/>
        <v>0</v>
      </c>
      <c r="BY63" s="1027">
        <f t="shared" si="140"/>
        <v>0</v>
      </c>
      <c r="BZ63" s="740">
        <f t="shared" si="188"/>
        <v>0</v>
      </c>
      <c r="CA63" s="740">
        <f t="shared" si="141"/>
        <v>0</v>
      </c>
      <c r="CB63" s="894">
        <f>IF($V63&lt;='Options and results'!$W$20,SUM(BX$8:$BX63),0)</f>
        <v>0</v>
      </c>
      <c r="CC63" s="740">
        <f>IF($V63&lt;='Options and results'!$W$20,SUM($BY$8:BY63),0)</f>
        <v>0</v>
      </c>
      <c r="CD63" s="740">
        <f>IF($V63&lt;='Options and results'!$W$20,SUM($BZ$8:BZ63),0)</f>
        <v>0</v>
      </c>
      <c r="CE63" s="740">
        <f>IF(V63&lt;='Options and results'!$W$20,CB63+CC63-CD63,0)</f>
        <v>0</v>
      </c>
      <c r="CF63" s="1381">
        <f t="shared" si="142"/>
        <v>0</v>
      </c>
      <c r="CG63" s="1027">
        <f t="shared" si="143"/>
        <v>0</v>
      </c>
      <c r="CH63" s="1027">
        <f t="shared" si="144"/>
        <v>0</v>
      </c>
      <c r="CI63" s="1189">
        <f>IF(V63&lt;='Options and results'!$W$20,CE63+AO63,0)</f>
        <v>0</v>
      </c>
      <c r="CJ63" s="1023"/>
      <c r="CK63" s="895">
        <f t="shared" si="145"/>
        <v>56</v>
      </c>
      <c r="CL63" s="1011" t="str">
        <f>IF('Options and results'!$C$54="None",0,IF(AND(CK63&gt;='Options and results'!$K$57,CK62&lt;'Options and results'!$W$20),'Options and results'!$K$56,IF(Optimisation!$B$3="No",CONCATENATE('Options and results'!$C$60," ",(HLOOKUP(CONCATENATE('Options and results'!$C$54," ",Agroforestrysystem!$B$12),Agroforestrysystem!$B$11:$IM$74,$CK63+4,FALSE))),Optimisation!AA83)))</f>
        <v xml:space="preserve">UK - Agriculture (BPS: from 2015) </v>
      </c>
      <c r="CM63" s="1012">
        <f>IF(HLOOKUP(CONCATENATE('Options and results'!$C$54," ",Agroforestrysystem!$C$12),Agroforestrysystem!$B$11:$IM$74,$CK63+4,FALSE)="T",(VLOOKUP(CL63,Arablefinance!$Z$6:$AB$105,Arablefinance!$AB$2,FALSE)*CO63+VLOOKUP(CL63,Arablefinance!$Z$6:$AC$105,Arablefinance!$AC$2,FALSE)*CP63)/VLOOKUP(CL63,Arablefinance!$Z$6:$AA$105,Arablefinance!$AA$2,FALSE),0)</f>
        <v>0</v>
      </c>
      <c r="CN63" s="1012">
        <f>IF(CL63=0,0,HLOOKUP(CONCATENATE('Options and results'!$C$54," ",Agroforestrysystem!$D$12),Agroforestrysystem!$B$11:$IM$74,$CK63+4,FALSE))</f>
        <v>0</v>
      </c>
      <c r="CO63" s="1440">
        <f ca="1">IF(CL63=0,0,IF(AND(Optimisation!$B$3="yes",Optimisation!$B$4=1,CK63&gt;Optimisation!$B$9),0,HLOOKUP(CONCATENATE('Options and results'!$C$54," ",Agroforestrysystem!$E$12),Agroforestrysystem!$B$11:$IM$74,$CK63+4,FALSE)*IF(CK63&gt;='Options and results'!$J$19,'Options and results'!$J$18,1)))</f>
        <v>0</v>
      </c>
      <c r="CP63" s="1440">
        <f ca="1">IF(CL63=0,0,IF(AND(Optimisation!$B$3="yes",Optimisation!$B$4=1,CK63&gt;Optimisation!$B$9),0,HLOOKUP(CONCATENATE('Options and results'!$C$54," ",Agroforestrysystem!$F$12),Agroforestrysystem!$B$11:$IM$74,$CK63+4,FALSE)*IF(CK63&gt;='Options and results'!$J$19,'Options and results'!$J$18,1)))</f>
        <v>0</v>
      </c>
      <c r="CQ63" s="1013">
        <f>IF(CN63&lt;=0,0,IF(CK63&lt;='Options and results'!$W$20,IF(CM63&gt;0,VLOOKUP(CL63,Arablefinance!$Z$6:$AE$105,Arablefinance!$AD$2,FALSE)*CM63*CN63,((VLOOKUP(CL63,Arablefinance!$E$6:$H$126,2,FALSE)*CO63+VLOOKUP(CL63,Arablefinance!$E$6:$H$126,3,FALSE)*CP63)*CN63)),0)*IF(CK63&gt;='Options and results'!$J$21,'Options and results'!$J$20,1))*IF(1+'Options and results'!$O$20*(CK63-1)&gt;0,1+'Options and results'!$O$20*(CK63-1),0)</f>
        <v>0</v>
      </c>
      <c r="CR63" s="1441">
        <f>IF(CN63&lt;=0,0,IF(AND(CM63&gt;0,VLOOKUP(CL63,Arablefinance!$Z$6:$AI$105,Arablefinance!$AI$2,FALSE)=2),VLOOKUP(CL63,Arablefinance!$Z$6:$AE$105,Arablefinance!$AE$2,FALSE)*CM63*CN63,IF('Options and results'!$C$62&gt;0,IF(VLOOKUP(CL63,Arablefinance!$E$6:$W$126,Arablefinance!$H$2,FALSE)*(1-Plot!DM63*'Options and results'!$C$62)&gt;0,VLOOKUP(CL63,Arablefinance!$E$6:$W$126,Arablefinance!$H$2,FALSE)*(1-Plot!DM63*'Options and results'!$C$62),0),IF(CK63&lt;='Options and results'!$W$20,(VLOOKUP(CL63,Arablefinance!$E$6:$W$126,Arablefinance!$H$2,FALSE)*IF('Options and results'!$C$61="area",CN63,'Options and results'!$C$61)),0)))*IF(CK63&gt;='Options and results'!$J$23,'Options and results'!$J$22,1))*IF(AND(1+'Options and results'!$O$23*(CK63-1)&gt;0,1+'Options and results'!$O$23*(CK63-1)&gt;'Options and results'!$S$24),1+'Options and results'!$O$23*(CK63-1),'Options and results'!$S$24)</f>
        <v>0</v>
      </c>
      <c r="CS63" s="1441">
        <f t="shared" si="185"/>
        <v>0</v>
      </c>
      <c r="CT63" s="1441">
        <f>IF(CN63&lt;=0,0,IF(CK63&lt;='Options and results'!$W$20,IF(CM63&gt;0,VLOOKUP(CL63,Arablefinance!$Z$6:$AF$105,Arablefinance!$AF$2,FALSE)*CM63*CN63,VLOOKUP(CL63,Arablefinance!$E$6:$X$126,Arablefinance!$R$2,FALSE)*CN63),0)*IF(CK63&gt;='Options and results'!$J$27,'Options and results'!$J$26,1))*IF(1+'Options and results'!$O$22*(CK63-1)&gt;0,1+'Options and results'!$O$22*(CK63-1),0)</f>
        <v>0</v>
      </c>
      <c r="CU63" s="1441">
        <f t="shared" si="186"/>
        <v>0</v>
      </c>
      <c r="CV63" s="1441">
        <f>IF(CN63&lt;=0,0,IF(CK63&lt;='Options and results'!$W$20,IF(CM63&gt;0,VLOOKUP(CL63,Arablefinance!$Z$6:$AG$105,Arablefinance!$AG$2,FALSE)*CM63*CN63,VLOOKUP(CL63,Arablefinance!$E$6:$X$126,Arablefinance!$X$2,FALSE)*CN63),0)*IF(CK63&gt;='Options and results'!$J$27,'Options and results'!$J$26,1))*IF(1+'Options and results'!$O$22*(CK63-1)&gt;0,1+'Options and results'!$O$22*(CK63-1),0)</f>
        <v>0</v>
      </c>
      <c r="CW63" s="1442">
        <f>IF(CN63&lt;=0,0,IF(CK63&lt;='Options and results'!$W$20,'Options and results'!$C$27*IF(CK63&gt;='Options and results'!$J$27,'Options and results'!$J$26,1),0))*IF(1+'Options and results'!$O$21*(CK63-1)&gt;0,1+'Options and results'!$O$21*(CK63-1),0)</f>
        <v>0</v>
      </c>
      <c r="CX63" s="1442">
        <f>IF(CN63&lt;=0,0,IF(CK63&lt;='Options and results'!$W$20,IF(CM63&gt;0,VLOOKUP(CL63,Arablefinance!$Z$6:$AH$105,Arablefinance!$AH$2,FALSE)*CM63*CN63,VLOOKUP(CL63,Arablefinance!$E$6:$W$126,Arablefinance!$V$2,FALSE)*CN63),0)*IF(CK63&gt;='Options and results'!$J$25,'Options and results'!$J$24,1))</f>
        <v>0</v>
      </c>
      <c r="CY63" s="1013">
        <f t="shared" si="148"/>
        <v>0</v>
      </c>
      <c r="CZ63" s="1353">
        <f t="shared" si="149"/>
        <v>0</v>
      </c>
      <c r="DA63" s="1013">
        <f>IF($CK63&lt;='Options and results'!$W$20,SUM($CQ$8:CQ63),0)</f>
        <v>0</v>
      </c>
      <c r="DB63" s="1441">
        <f>IF($CK63&lt;='Options and results'!$W$20,SUM($CR$8:CR63),0)</f>
        <v>0</v>
      </c>
      <c r="DC63" s="1441">
        <f>IF($CK63&lt;='Options and results'!$W$20,SUM($CY$8:CY63),0)</f>
        <v>0</v>
      </c>
      <c r="DD63" s="1189">
        <f>IF(CK63&lt;='Options and results'!$W$20,DA63+DB63-DC63,0)</f>
        <v>0</v>
      </c>
      <c r="DE63" s="401"/>
      <c r="DF63" s="895">
        <f t="shared" si="150"/>
        <v>56</v>
      </c>
      <c r="DG63" s="173"/>
      <c r="DH63" s="1422"/>
      <c r="DI63" s="1427">
        <f>IF(DF63&lt;='Options and results'!$M$61,'Options and results'!$M$60,0)</f>
        <v>0</v>
      </c>
      <c r="DJ63" s="740">
        <f t="shared" si="151"/>
        <v>0</v>
      </c>
      <c r="DK63" s="740">
        <f t="shared" si="152"/>
        <v>0</v>
      </c>
      <c r="DL63" s="1428">
        <f t="shared" si="153"/>
        <v>0</v>
      </c>
      <c r="DM63" s="1429">
        <f>IF($DG$8=0,0,HLOOKUP(CONCATENATE('Options and results'!$C$54," ",Agroforestrysystem!$J$12),Agroforestrysystem!$11:$74,DF63+3,FALSE))/100</f>
        <v>0</v>
      </c>
      <c r="DN63" s="740">
        <f>IF($DG$8=0,0,IF(HLOOKUP(CONCATENATE('Options and results'!$C$54," ",Agroforestrysystem!$H$12),Agroforestrysystem!$11:$74,DF63+4,FALSE)&lt;DL63,HLOOKUP(CONCATENATE('Options and results'!$C$54," ",Agroforestrysystem!$H$12),Agroforestrysystem!$11:$74,DF63+4,FALSE),0))</f>
        <v>0</v>
      </c>
      <c r="DO63" s="1027">
        <f>IF($DG$8=0,0,IF(HLOOKUP(CONCATENATE('Options and results'!$C$54," ",Agroforestrysystem!$H$12),Agroforestrysystem!$11:$74,DF63+4,FALSE)&gt;=DL63,DL63,0))</f>
        <v>0</v>
      </c>
      <c r="DP63" s="1430">
        <f>IF($DG$8=0,0,HLOOKUP(CONCATENATE('Options and results'!$C$54," ",Agroforestrysystem!$I$12),Agroforestrysystem!$11:$74,DF63+4,FALSE))</f>
        <v>0</v>
      </c>
      <c r="DQ63" s="1038"/>
      <c r="DR63" s="1430">
        <f>IF($DG$8=0,0,IF(DF63&gt;'Options and results'!$W$20,0,)+IF(DF63=1,'Options and results'!$M$64)+IF('Options and results'!$M$67="yes",IF(AND(DR62+'Options and results'!$M$65&lt;=$DQ$8,DR62+'Options and results'!$M$65+IF(DF63=1,'Options and results'!$M$64,0)&lt;='Options and results'!$M$66*DP63),DR62+'Options and results'!$M$65,DR62),(HLOOKUP(CONCATENATE('Options and results'!$C$54," ",Agroforestrysystem!$K$12),Agroforestrysystem!$11:$74,DF63+4,FALSE)-IF(DF63=1,'Options and results'!$M$64))))</f>
        <v>0</v>
      </c>
      <c r="DS63" s="1027">
        <f>IF(OR($DG$8=0,DL63=0),0,HLOOKUP(CONCATENATE('Options and results'!$C$54," ",Agroforestrysystem!$L$12),Agroforestrysystem!$11:$74,DF63+4,FALSE)*IF(DF63&gt;='Options and results'!$K$19,'Options and results'!$K$18,1))</f>
        <v>0</v>
      </c>
      <c r="DT63" s="1431">
        <f t="shared" si="154"/>
        <v>0</v>
      </c>
      <c r="DU63" s="889">
        <f t="shared" si="155"/>
        <v>0</v>
      </c>
      <c r="DV63" s="1027">
        <f>IF($DG$8=0,0,(HLOOKUP(CONCATENATE('Options and results'!$C$54," ",Agroforestrysystem!$M$12),Agroforestrysystem!$11:$74,DF63+4,FALSE))*IF(DF63&gt;='Options and results'!$K$19,'Options and results'!$K$18,1))-DW63</f>
        <v>0</v>
      </c>
      <c r="DW63" s="303">
        <f>IF($DG$8=0,0,(HLOOKUP(CONCATENATE('Options and results'!$C$54," ",Agroforestrysystem!$N$12),Agroforestrysystem!$11:$74,DF63+4,FALSE))*IF(DF63&gt;='Options and results'!$K$19,'Options and results'!$K$18,1))</f>
        <v>0</v>
      </c>
      <c r="DX63" s="303">
        <f>IF($DG$8=0,0,HLOOKUP(CONCATENATE('Options and results'!$C$54," ",Agroforestrysystem!$O$12),Agroforestrysystem!$11:$74,DF63+4,FALSE)*IF(DF63&gt;='Options and results'!$K$19,'Options and results'!$K$18,1))</f>
        <v>0</v>
      </c>
      <c r="DY63" s="1192">
        <f>IF(DT63&gt;0,HLOOKUP(DT63,Treevalue!$I$4:$BC$34,'Options and results'!$C$66+1),0)*IF(DF63&gt;='Options and results'!$K$21,'Options and results'!$K$20,1)*IF(1+'Options and results'!$Q$20*(DF63-1)&gt;0,1+'Options and results'!$Q$20*(DF63-1),0)</f>
        <v>0</v>
      </c>
      <c r="DZ63" s="1027">
        <f t="shared" si="156"/>
        <v>0</v>
      </c>
      <c r="EA63" s="1027">
        <f t="shared" si="125"/>
        <v>0</v>
      </c>
      <c r="EB63" s="1027">
        <f>(IF('Options and results'!$C$66&gt;0,IF(DF63&lt;='Options and results'!$W$20,VLOOKUP('Options and results'!$C$66,Treevalue!$A$4:$F$34,5,FALSE),0),0)*DV63)*IF(DF63&gt;='Options and results'!$K$21,'Options and results'!$K$20,1)*IF(1+'Options and results'!$Q$20*(DF63-1)&gt;0,1+'Options and results'!$Q$20*(DF63-1),0)</f>
        <v>0</v>
      </c>
      <c r="EC63" s="740">
        <f>(IF('Options and results'!$C$66&gt;0,IF(DF63&lt;='Options and results'!$W$20,VLOOKUP('Options and results'!$C$66,Treevalue!$A$4:$F$34,5,FALSE),0),0)*DW63)*IF(DF63&gt;='Options and results'!$K$21,'Options and results'!$K$20,1)*IF(1+'Options and results'!$Q$20*(DF63-1)&gt;0,1+'Options and results'!$Q$20*(DF63-1),0)</f>
        <v>0</v>
      </c>
      <c r="ED63" s="889">
        <f>(IF('Options and results'!$C$66&gt;0,IF(DF63&lt;='Options and results'!$W$20,VLOOKUP('Options and results'!$C$66,Treevalue!$A$4:$F$34,6,FALSE),0),0)*DX63)*IF(DF63&gt;='Options and results'!$K$21,'Options and results'!$K$20,1)*IF(1+'Options and results'!$Q$20*(DF63-1)&gt;0,1+'Options and results'!$Q$20*(DF63-1),0)</f>
        <v>0</v>
      </c>
      <c r="EE63" s="740">
        <f>IF(DF63&lt;='Options and results'!$W$20,IF(DL63&lt;=0,0,IF('Options and results'!$C$70="cost",(IF(DF63&lt;='Options and results'!$C$71,FK63*SUM('Options and results'!$C$72:$C$73),0)),IF('Options and results'!$C$68&gt;0,(IF(VLOOKUP('Options and results'!$C$69,Treegrant!$B$6:$L$42,Treegrant!$C$2,FALSE)=DF63,VLOOKUP('Options and results'!$C$69,Treegrant!$B$6:$L$42,Treegrant!$D$2,FALSE),0)+IF(VLOOKUP('Options and results'!$C$69,Treegrant!$B$6:$L$42,Treegrant!$E$2,FALSE)=DF63,VLOOKUP('Options and results'!$C$69,Treegrant!$B$6:$L$42,Treegrant!$F$2,FALSE),0)+IF(VLOOKUP('Options and results'!$C$69,Treegrant!$B$6:$L$42,Treegrant!$G$2,FALSE)=DF63,VLOOKUP('Options and results'!$C$69,Treegrant!$B$6:$L$42,Treegrant!$H$2,FALSE)))*IF('Options and results'!$C$70="area",Unit!C64,'Options and results'!$C$70),0))*IF(DF63&gt;='Options and results'!$K$23,'Options and results'!$K$22,1)),0)*IF(1+'Options and results'!$Q$23*(DF63-1)&gt;0,1+'Options and results'!$Q$23*(DF63-1),0)</f>
        <v>0</v>
      </c>
      <c r="EF63" s="740">
        <f>IF($DG$8=0,0,IF(DF63&lt;='Options and results'!$W$20,IF(DL63&lt;=0,0,IF('Options and results'!$C$68&gt;0,IF(AND(VLOOKUP('Options and results'!$C$69,Treegrant!$B$6:$L$42,Treegrant!$J$2,FALSE)&lt;=DF63,VLOOKUP('Options and results'!$C$69,Treegrant!$B$6:$L$42,Treegrant!$K$2,FALSE)&gt;=DF63),(VLOOKUP('Options and results'!$C$69,Treegrant!$B$6:$L$42,Treegrant!$L$2,FALSE)),0)*IF('Options and results'!$C$74="area",Unit!C64,'Options and results'!$C$74))*IF(DF63&gt;='Options and results'!$K$23,'Options and results'!$K$22,1)),0))*IF(1+'Options and results'!$Q$23*(DF63-1)&gt;0,1+'Options and results'!$Q$23*(DF63-1),0)</f>
        <v>0</v>
      </c>
      <c r="EG63" s="1034">
        <f>IF($DG$8=0,0,IF(DF63&lt;='Options and results'!$W$20,IF(DL63&lt;=0,0,IF('Options and results'!$C$68&gt;0,((IF(AND(VLOOKUP('Options and results'!$C$69,Treegrant!$B$6:$O$42,Treegrant!$M$2,FALSE)&lt;=DF63,VLOOKUP('Options and results'!$C$69,Treegrant!$B$6:$O$42,Treegrant!$N$2,FALSE)&gt;=DF63),(VLOOKUP('Options and results'!$C$69,Treegrant!$B$6:$O$42,Treegrant!$O$2,FALSE)),0)*IF('Options and results'!$C$75="area",Unit!C64,'Options and results'!$C$75))+(IF(AND(VLOOKUP('Options and results'!$C$69,Treegrant!$B$6:$R$42,Treegrant!$P$2,FALSE)&lt;=DF63,VLOOKUP('Options and results'!$C$69,Treegrant!$B$6:$R$42,Treegrant!$Q$2,FALSE)&gt;=DF63),(VLOOKUP('Options and results'!$C$69,Treegrant!$B$6:$R$42,Treegrant!$R$2,FALSE)),0))*IF('Options and results'!$C$76="area",Unit!C64,'Options and results'!$C$76)))*IF(DF63&gt;='Options and results'!$K$23,'Options and results'!$K$22,1)),0))*IF(1+'Options and results'!$Q$23*(DF63-1)&gt;0,1+'Options and results'!$Q$23*(DF63-1),0)</f>
        <v>0</v>
      </c>
      <c r="EH63" s="1041"/>
      <c r="EI63" s="1042"/>
      <c r="EJ63" s="1419">
        <f>IF($DH$8+DK63&lt;1,0,IF(DF63=1,VLOOKUP($DG$8,Treecost!$B$6:$AH$49,Treecost!$E$2,FALSE),0)*IF(DF63&gt;='Options and results'!$K$25,'Options and results'!$K$24,1))</f>
        <v>0</v>
      </c>
      <c r="EK63" s="889">
        <f>IF($DH$8+DK63&lt;1,0,IF(DF63=1,VLOOKUP($DG$8,Treecost!$B$6:$AH$49,Treecost!$F$2,FALSE),0)*IF(DF63&gt;='Options and results'!$K$25,'Options and results'!$K$24,1))</f>
        <v>0</v>
      </c>
      <c r="EL63" s="889">
        <f>IF($DH$8+DK63&lt;1,0,IF(DF63=1,VLOOKUP($DG$8,Treecost!$B$6:$AH$49,Treecost!$G$2,FALSE),0)*IF(DF63&gt;='Options and results'!$K$25,'Options and results'!$K$24,1))</f>
        <v>0</v>
      </c>
      <c r="EM63" s="889">
        <f>IF($DG$8=0,0,IF(DF63&lt;='Options and results'!$W$20,((VLOOKUP($DG$8,Treecost!$B$6:$AH$49,Treecost!$H$2,FALSE)*(DH63+DK63))/60)*IF(DF63&gt;='Options and results'!$K$25,'Options and results'!$K$24,1),0))</f>
        <v>0</v>
      </c>
      <c r="EN63" s="889">
        <f>IF($DG$8=0,0,IF(DF63&lt;='Options and results'!$W$20,(((VLOOKUP($DG$8,Treecost!$B$6:$AH$49,Treecost!$I$2,FALSE))*(DH63+DK63))/60)*IF(DF63&gt;='Options and results'!$K$25,'Options and results'!$K$24,1),0))</f>
        <v>0</v>
      </c>
      <c r="EO63" s="889">
        <f>IF($DG$8=0,0,IF(DF63&lt;='Options and results'!$W$20,(((VLOOKUP($DG$8,Treecost!$B$6:$AH$49,Treecost!$J$2,FALSE))/60)*(DH63+DK63))*IF(DF63&gt;='Options and results'!$K$25,'Options and results'!$K$24,1),0))</f>
        <v>0</v>
      </c>
      <c r="EP63" s="1019">
        <f>IF($DG$8=0,0,IF(DF63&lt;='Options and results'!$W$20,(((VLOOKUP($DG$8,Treecost!$B$6:$AH$49,Treecost!$C$2,FALSE)+VLOOKUP($DG$8,Treecost!$B$6:$AH$49,Treecost!$D$2,FALSE))*(DH63+DK63)*IF(1+'Options and results'!$Q$22*(DF63-1)&gt;0,1+'Options and results'!$Q$22*(DF63-1),0))+(EJ63*$EI$8+EK63*$EI$9+EL63*$EI$10+EM63*$EI$11+EN63*$EI$12+EO63*$EI$13)*IF(1+'Options and results'!$Q$21*(DF63-1)&gt;0,1+'Options and results'!$Q$21*(DF63-1),0))*IF(DF63&gt;='Options and results'!$K$27,'Options and results'!$K$26,1),0))</f>
        <v>0</v>
      </c>
      <c r="EQ63" s="740">
        <f>IF($DG$8=0,0,IF(DF63&lt;='Options and results'!$W$20,IF(AND(VLOOKUP($DG$8,Treecost!$B$6:$AH$49,Treecost!$K$2,FALSE)&lt;=DF63,DF63&lt;=(VLOOKUP($DG$8,Treecost!$B$6:$AH$49,Treecost!$L$2,FALSE))),VLOOKUP($DG$8,Treecost!$B$6:$AH$49,Treecost!$M$2,FALSE)*DL63/60,0)*IF(DF63&gt;='Options and results'!$K$25,'Options and results'!$K$24,1),0))</f>
        <v>0</v>
      </c>
      <c r="ER63" s="1019">
        <f>IF(EQ63&gt;0,(VLOOKUP($DG$8,Treecost!$B$6:$AH$49,Treecost!$N$2,FALSE)*DL63*IF(1+'Options and results'!$Q$22*(DF63-1)&gt;0,1+'Options and results'!$Q$22*(DF63-1),0)+EQ63*$EI$14*IF(1+'Options and results'!$Q$21*(DF63-1)&gt;0,1+'Options and results'!$Q$21*(DF63-1),0)),0)*IF(DF63&gt;='Options and results'!$K$27,'Options and results'!$K$26,1)</f>
        <v>0</v>
      </c>
      <c r="ES63" s="889">
        <f>IF(DF63&lt;='Options and results'!$W$20,IF(AND(DR63-DR62&gt;0,DR63&gt;'Options and results'!$M$64),(DL63-DN63)*(VLOOKUP($DG$8,Treecost!$B$6:$AH$49,Treecost!$Y$2,FALSE)+(VLOOKUP($DG$8,Treecost!$B$6:$AH$49,Treecost!$AA$2,FALSE)-VLOOKUP($DG$8,Treecost!$B$6:$AH$49,Treecost!$Y$2,FALSE))/(VLOOKUP($DG$8,Treecost!$B$6:$AH$49,Treecost!$Z$2,FALSE)-VLOOKUP($DG$8,Treecost!$B$6:$AH$49,Treecost!$X$2,FALSE))*(DR63-VLOOKUP($DG$8,Treecost!$B$6:$AH$49,Treecost!$X$2,FALSE)))/60,0)*IF(DF63&gt;='Options and results'!$K$25,'Options and results'!$K$24,1),0)</f>
        <v>0</v>
      </c>
      <c r="ET63" s="889">
        <f>IF(DF63&lt;='Options and results'!$W$20,IF(ES63&gt;0,VLOOKUP($DG$8,Treecost!$B$6:$AH$49,Treecost!$AB$2,FALSE)/60*DL63,0)*IF(DF63&gt;='Options and results'!$K$25,'Options and results'!$K$24,1),0)*((ES63-(MIN($ES$8:$ES$67)))/((MAX($ES$8:$ES$67))-(MIN($ES$8:$ES$67))))</f>
        <v>0</v>
      </c>
      <c r="EU63" s="740">
        <f>IF(ES63&gt;0,(ES63*$EI$15+ET63*$EI$19)*IF(1+'Options and results'!$Q$21*(DF63-1)&gt;0,1+'Options and results'!$Q$21*(DF63-1),0),0)*IF(DF63&gt;='Options and results'!$K$27,'Options and results'!$K$26,1)</f>
        <v>0</v>
      </c>
      <c r="EV63" s="891">
        <f>IF($DG$8=0,0,IF(DF63&lt;='Options and results'!$W$20,IF(AND(VLOOKUP($DG$8,Treecost!$B$2:$AH$49,Treecost!$O$2,FALSE)=DF63,DF63&lt;=IF(AND(Optimisation!$B$3="Yes",Optimisation!$B$4=1),Optimisation!$B$9)),VLOOKUP($DG$8,Treecost!$B$2:$AH$49,Treecost!$P$2,FALSE)*(1-CN63),0)*IF(DF63&gt;='Options and results'!$K$25,'Options and results'!$K$24,1),0))</f>
        <v>0</v>
      </c>
      <c r="EW63" s="889">
        <f>IF($DG$8=0,0,IF(DF63&lt;='Options and results'!$W$20,IF(AND(DF63&gt;VLOOKUP($DG$8,Treecost!$B$2:$AH$49,Treecost!$O$2,FALSE),DF63&lt;=IF(AND(Optimisation!$B$3="Yes",Optimisation!$B$4=1),Optimisation!$B$9,VLOOKUP($DG$8,Treecost!$B$2:$AH$49,Treecost!$R$2,FALSE))),VLOOKUP($DG$8,Treecost!$B$2:$AH$49,Treecost!$S$2,FALSE)*(1-CN63),0)*IF(DF63&gt;='Options and results'!$K$25,'Options and results'!$K$24,1),0))</f>
        <v>0</v>
      </c>
      <c r="EX63" s="740">
        <f>IF($DG$8=0,0,IF(DF63&lt;='Options and results'!$W$20,(IF(AND(VLOOKUP($DG$8,Treecost!$B$2:$AH$49,Treecost!$O$2,FALSE)=DF63,DF63&lt;=IF(AND(Optimisation!$B$3="Yes",Optimisation!$B$4=1),Optimisation!$B$9)),VLOOKUP($DG$8,Treecost!$B$2:$AH$49,Treecost!$Q$2,FALSE),0)*(1-CN63)+IF(AND(DF63&gt;VLOOKUP($DG$8,Treecost!$B$2:$AH$49,Treecost!$O$2,FALSE),DF63&lt;=IF(AND(Optimisation!$B$3="Yes",Optimisation!$B$4=1),Optimisation!$B$9,VLOOKUP($DG$8,Treecost!$B$2:$AH$49,Treecost!$R$2,FALSE))),VLOOKUP($DG$8,Treecost!$B$2:$AH$49,Treecost!$T$2,FALSE),0)*(1-CN63)+(EV63*$EI$16+EW63*$EI$17))*IF(DF63&gt;='Options and results'!$K$27,'Options and results'!$K$26,1),0))*IF(1+'Options and results'!$Q$21*(DF63-1)&gt;0,1+'Options and results'!$Q$21*(DF63-1),0)</f>
        <v>0</v>
      </c>
      <c r="EY63" s="894">
        <f>IF($DG$8=0,0,IF(DF63&lt;='Options and results'!$W$20,IF(AND(DF63&gt;=VLOOKUP($DG$8,Treecost!$B$2:$W$49,Treecost!$U$2,FALSE),DF63&lt;=VLOOKUP($DG$8,Treecost!$B$2:$W$49,Treecost!$V$2,FALSE)),(DL63*VLOOKUP($DG$8,Treecost!$B$2:$W$49,Treecost!$W$2,FALSE)/60),0)*IF(DF63&gt;='Options and results'!$K$25,'Options and results'!$K$24,1),0))</f>
        <v>0</v>
      </c>
      <c r="EZ63" s="740">
        <f>EY63*$EI$18*IF(DF63&gt;='Options and results'!$K$27,'Options and results'!$K$26,1)*IF(1+'Options and results'!$Q$21*(DF63-1)&gt;0,1+'Options and results'!$Q$21*(DF63-1),0)</f>
        <v>0</v>
      </c>
      <c r="FA63" s="1025">
        <f>IF(DF63&lt;='Options and results'!$W$20,IF(DL63&lt;=0,0,VLOOKUP($DG$8,Treecost!$B$6:$AH$49,Treecost!$AC$2,FALSE)+VLOOKUP($DG$8,Treecost!$B$6:$AH$49,Treecost!$AD$2,FALSE)+IF(AND(DF63&gt;=VLOOKUP($DG$8,Treecost!$B$2:$AK$49,Treecost!$AI$2,FALSE),DF63&lt;=VLOOKUP($DG$8,Treecost!$B$2:$AK$49,Treecost!$AJ$2,FALSE)),VLOOKUP($DG$8,Treecost!$B$2:$AK$49,Treecost!$AK$2,FALSE)*(1-CN63),0))*IF(DF63&gt;='Options and results'!$K$27,'Options and results'!$K$26,1),0)*IF(1+'Options and results'!$Q$22*(DF63-1)&gt;0,1+'Options and results'!$Q$22*(DF63-1),0)</f>
        <v>0</v>
      </c>
      <c r="FB63" s="894">
        <f>IF(DF63&lt;='Options and results'!$W$20,IF(DN63&gt;0,VLOOKUP($DG$8,Treecost!$B$6:$AH$49,Treecost!$AE$2,FALSE)/60*DN63,0)*IF(DF63&gt;='Options and results'!$K$25,'Options and results'!$K$24,1),0)</f>
        <v>0</v>
      </c>
      <c r="FC63" s="740">
        <f>IF(DF63&lt;='Options and results'!$W$20,IF(DN63&gt;0,VLOOKUP($DG$8,Treecost!$B$6:$AH$49,Treecost!$AF$2,FALSE)/60*DN63,0)*IF(DF63&gt;='Options and results'!$K$25,'Options and results'!$K$24,1),0)</f>
        <v>0</v>
      </c>
      <c r="FD63" s="740">
        <f>(FB63*$EI$20+FC63*$EI$21)*IF(DF63&gt;='Options and results'!$K$27,'Options and results'!$K$26,1)*IF(1+'Options and results'!$Q$21*(DF63-1)&gt;0,1+'Options and results'!$Q$21*(DF63-1),0)</f>
        <v>0</v>
      </c>
      <c r="FE63" s="894">
        <f>IF(DF63&lt;='Options and results'!$W$20,IF(DO63&gt;0,(VLOOKUP($DG$8,Treecost!$B$6:$AH$49,Treecost!$AG$2,FALSE)/60*DO63)*IF(DF63&gt;='Options and results'!$K$25,'Options and results'!$K$24,1),0),0)</f>
        <v>0</v>
      </c>
      <c r="FF63" s="740">
        <f>IF(DF63&lt;='Options and results'!$W$20,IF(DO63&gt;0,(VLOOKUP($DG$8,Treecost!$B$6:$AH$49,Treecost!$AH$2,FALSE)/60*DO63)*IF(DF63&gt;='Options and results'!$K$25,'Options and results'!$K$24,1),0),0)</f>
        <v>0</v>
      </c>
      <c r="FG63" s="740">
        <f>(FE63*$EI$22+FF63*$EI$23)*IF(DF63&gt;='Options and results'!$K$27,'Options and results'!$K$26,1)*IF(1+'Options and results'!$Q$21*(DF63-1)&gt;0,1+'Options and results'!$Q$21*(DF63-1),0)</f>
        <v>0</v>
      </c>
      <c r="FH63" s="894">
        <f t="shared" si="157"/>
        <v>0</v>
      </c>
      <c r="FI63" s="1027">
        <f t="shared" si="158"/>
        <v>0</v>
      </c>
      <c r="FJ63" s="1027">
        <f t="shared" si="159"/>
        <v>0</v>
      </c>
      <c r="FK63" s="1027">
        <f t="shared" si="160"/>
        <v>0</v>
      </c>
      <c r="FL63" s="1027">
        <f>FI63-FK63</f>
        <v>0</v>
      </c>
      <c r="FM63" s="1027">
        <f>IF($DF63&lt;='Options and results'!$W$20,SUM(FI$8:$FI63),0)</f>
        <v>0</v>
      </c>
      <c r="FN63" s="1027">
        <f>IF($DF63&lt;='Options and results'!$W$20,SUM($FJ$8:FJ63),0)</f>
        <v>0</v>
      </c>
      <c r="FO63" s="1027">
        <f>IF($DF63&lt;='Options and results'!$W$20,SUM($FK$8:FK63),0)</f>
        <v>0</v>
      </c>
      <c r="FP63" s="1027">
        <f>IF($DF63&lt;='Options and results'!$W$20,FM63+FN63-FO63,0)</f>
        <v>0</v>
      </c>
      <c r="FQ63" s="1027">
        <f t="shared" si="162"/>
        <v>0</v>
      </c>
      <c r="FR63" s="1027">
        <f t="shared" si="163"/>
        <v>0</v>
      </c>
      <c r="FS63" s="1027">
        <f t="shared" si="164"/>
        <v>0</v>
      </c>
      <c r="FT63" s="1189">
        <f>IF(DF63&lt;='Options and results'!$W$20,FP63+DZ63,0)</f>
        <v>0</v>
      </c>
      <c r="FU63" s="401"/>
      <c r="FV63" s="895">
        <f t="shared" si="165"/>
        <v>56</v>
      </c>
      <c r="FW63" s="894">
        <f>G63/(1+'Options and results'!$W$33)^(FV63-1)</f>
        <v>0</v>
      </c>
      <c r="FX63" s="740">
        <f>(AP63+AR63+AS63)/(1+'Options and results'!$W$33)^(FV63-1)</f>
        <v>0</v>
      </c>
      <c r="FY63" s="740">
        <f>CQ63/(1+'Options and results'!$W$33)^(FV63-1)</f>
        <v>0</v>
      </c>
      <c r="FZ63" s="740">
        <f>(EA63+EC63+ED63)/(1+'Options and results'!$W$33)^(FV63-1)</f>
        <v>0</v>
      </c>
      <c r="GA63" s="1019">
        <f t="shared" si="180"/>
        <v>0</v>
      </c>
      <c r="GB63" s="1026">
        <f>(AO63+AQ63)/(1+'Options and results'!$W$33)^(FV63-1)+FX63</f>
        <v>0</v>
      </c>
      <c r="GC63" s="1027">
        <f>IF(FV63&gt;'Options and results'!$W$27,0,GB63-GB62)</f>
        <v>0</v>
      </c>
      <c r="GD63" s="1027">
        <f>(DZ63+EB63)/(1+'Options and results'!$W$33)^(FV63-1)+FZ63</f>
        <v>0</v>
      </c>
      <c r="GE63" s="1379">
        <f>IF(FV63&gt;'Options and results'!$W$27,0,GD63-GD62)</f>
        <v>0</v>
      </c>
      <c r="GF63" s="894">
        <f>IF(FV63&lt;='Options and results'!$W$20,SUM(FW$8:FW63),0)</f>
        <v>0</v>
      </c>
      <c r="GG63" s="740">
        <f>IF(FV63&lt;='Options and results'!$W$20,SUM(FX$8:FX63), 0)</f>
        <v>0</v>
      </c>
      <c r="GH63" s="740">
        <f>IF(FV63&lt;='Options and results'!$W$20,SUM(FY$8:FY63),0)</f>
        <v>0</v>
      </c>
      <c r="GI63" s="740">
        <f>IF(FV63&lt;='Options and results'!$W$20,SUM(FZ$8:FZ63),0)</f>
        <v>0</v>
      </c>
      <c r="GJ63" s="1019">
        <f t="shared" si="166"/>
        <v>0</v>
      </c>
      <c r="GK63" s="894">
        <f>IF(FV63&gt;'Options and results'!$W$27,0,GG63+SUM(GC$8:GC63)-FX63)</f>
        <v>0</v>
      </c>
      <c r="GL63" s="740">
        <f>IF(FV63&lt;='Options and results'!$W$20,SUM(GD$8:GD63),0)</f>
        <v>0</v>
      </c>
      <c r="GM63" s="1034">
        <f t="shared" si="167"/>
        <v>0</v>
      </c>
      <c r="GN63" s="401"/>
      <c r="GO63" s="895">
        <f t="shared" si="168"/>
        <v>56</v>
      </c>
      <c r="GP63" s="894">
        <f>H63/(1+'Options and results'!$W$33)^(GO63-1)</f>
        <v>0</v>
      </c>
      <c r="GQ63" s="740">
        <f>SUM(AT63:AV63)/(1+'Options and results'!$W$33)^(GO63-1)</f>
        <v>0</v>
      </c>
      <c r="GR63" s="740">
        <f>CR63/(1+'Options and results'!$W$33)^(GO63-1)</f>
        <v>0</v>
      </c>
      <c r="GS63" s="740">
        <f>SUM(EE63:EG63)/(1+'Options and results'!$W$33)^(GO63-1)</f>
        <v>0</v>
      </c>
      <c r="GT63" s="1019">
        <f t="shared" si="181"/>
        <v>0</v>
      </c>
      <c r="GU63" s="894">
        <f>IF(GO63&lt;='Options and results'!$W$20,SUM(GP$8:GP63),0)</f>
        <v>0</v>
      </c>
      <c r="GV63" s="740">
        <f>IF(GO63&lt;='Options and results'!$W$20,SUM(GQ$8:GQ63),0)</f>
        <v>0</v>
      </c>
      <c r="GW63" s="740">
        <f>IF(GO63&lt;='Options and results'!$W$20,SUM(GR$8:GR63),0)</f>
        <v>0</v>
      </c>
      <c r="GX63" s="740">
        <f>IF(GO63&lt;='Options and results'!$W$20,SUM(GS$8:GS63),0)</f>
        <v>0</v>
      </c>
      <c r="GY63" s="1034">
        <f>IF(GO63&lt;='Options and results'!$W$20,SUM(GT$8:GT63),0)</f>
        <v>0</v>
      </c>
      <c r="GZ63" s="401"/>
      <c r="HA63" s="895">
        <f t="shared" si="169"/>
        <v>56</v>
      </c>
      <c r="HB63" s="1026">
        <f>(J63+L63+(M63*N63))/(1+'Options and results'!$W$33)^(HA63-1)</f>
        <v>0</v>
      </c>
      <c r="HC63" s="740">
        <f>BZ63/(1+'Options and results'!$W$33)^(HA63-1)</f>
        <v>0</v>
      </c>
      <c r="HD63" s="1027">
        <f>(CT63+CV63+(CW63*CX63))/(1+'Options and results'!$W$33)^(HA63-1)</f>
        <v>0</v>
      </c>
      <c r="HE63" s="740">
        <f>FK63/(1+'Options and results'!$W$33)^(HA63-1)</f>
        <v>0</v>
      </c>
      <c r="HF63" s="1019">
        <f t="shared" si="182"/>
        <v>0</v>
      </c>
      <c r="HG63" s="894">
        <f>IF(HA63&lt;='Options and results'!$W$20,SUM(HB$8:HB63),0)</f>
        <v>0</v>
      </c>
      <c r="HH63" s="740">
        <f>IF(HA63&lt;='Options and results'!$W$20,SUM(HC$8:HC63),0)</f>
        <v>0</v>
      </c>
      <c r="HI63" s="740">
        <f>IF(HA63&lt;='Options and results'!$W$20,SUM(HD$8:HD63),0)</f>
        <v>0</v>
      </c>
      <c r="HJ63" s="740">
        <f>IF(HA63&lt;='Options and results'!$W$20,SUM(HE$8:HE63),0)</f>
        <v>0</v>
      </c>
      <c r="HK63" s="1034">
        <f>IF(HA63&lt;='Options and results'!$W$20,SUM(HF$8:HF63),0)</f>
        <v>0</v>
      </c>
      <c r="HL63" s="405"/>
      <c r="HM63" s="895">
        <f t="shared" si="189"/>
        <v>56</v>
      </c>
      <c r="HN63" s="1026">
        <f t="shared" si="171"/>
        <v>0</v>
      </c>
      <c r="HO63" s="1027">
        <f t="shared" si="172"/>
        <v>0</v>
      </c>
      <c r="HP63" s="1027">
        <f t="shared" si="173"/>
        <v>0</v>
      </c>
      <c r="HQ63" s="1027">
        <f t="shared" si="174"/>
        <v>0</v>
      </c>
      <c r="HR63" s="1027">
        <f t="shared" si="175"/>
        <v>0</v>
      </c>
      <c r="HS63" s="1379">
        <f t="shared" si="176"/>
        <v>0</v>
      </c>
      <c r="HT63" s="1026">
        <f>IF($HM63&lt;='Options and results'!$W$20,SUM(HN$8:HN63),0)</f>
        <v>0</v>
      </c>
      <c r="HU63" s="1027">
        <f>IF($HM63&lt;='Options and results'!$W$20,SUM(HO$8:HO63),0)</f>
        <v>0</v>
      </c>
      <c r="HV63" s="1027">
        <f>IF($HM63&lt;='Options and results'!$W$20,SUM(HP$8:HP63),0)</f>
        <v>0</v>
      </c>
      <c r="HW63" s="1027">
        <f>IF($HM63&lt;='Options and results'!$W$20,SUM(HQ$8:HQ63),0)</f>
        <v>0</v>
      </c>
      <c r="HX63" s="1027">
        <f t="shared" si="177"/>
        <v>0</v>
      </c>
      <c r="HY63" s="1027">
        <f>IF($HM63&lt;='Options and results'!$W$20,SUM(HR$8:HR63),0)</f>
        <v>0</v>
      </c>
      <c r="HZ63" s="1027">
        <f>IF($HM63&lt;='Options and results'!$W$20,SUM(HS$8:HS63),0)</f>
        <v>0</v>
      </c>
      <c r="IA63" s="1189">
        <f t="shared" si="178"/>
        <v>0</v>
      </c>
    </row>
    <row r="64" spans="1:235" x14ac:dyDescent="0.25">
      <c r="A64" s="1010">
        <f t="shared" si="126"/>
        <v>57</v>
      </c>
      <c r="B64" s="1011" t="str">
        <f>IF('Options and results'!$C$17="None",0,CONCATENATE('Options and results'!$C$23," ",(HLOOKUP(CONCATENATE('Options and results'!$C$17," ",Arablesystem!$B$11),Arablesystem!$B$10:$ER$72,$A64+3,FALSE))))</f>
        <v xml:space="preserve">UK - Agriculture (BPS: from 2015) </v>
      </c>
      <c r="C64" s="1012">
        <f>IF(HLOOKUP(CONCATENATE('Options and results'!$C$17," ",Arablesystem!$C$11),Arablesystem!$B$10:$ER$72,$A64+3,FALSE)="T",(VLOOKUP(B64,Arablefinance!$Z$6:$AB$105,Arablefinance!$AB$2,FALSE)*E64+VLOOKUP(B64,Arablefinance!$Z$6:$AC$105,Arablefinance!$AC$2,FALSE)*F64)/VLOOKUP(B64,Arablefinance!$Z$6:$AA$105,Arablefinance!$AA$2,FALSE),0)</f>
        <v>0</v>
      </c>
      <c r="D64" s="1012">
        <f>IF(B64=0,0,HLOOKUP(CONCATENATE('Options and results'!$C$17," ",Arablesystem!$D$11),Arablesystem!$B$10:$ER$72,$A64+3,FALSE))</f>
        <v>0</v>
      </c>
      <c r="E64" s="1440">
        <f>IF(B64=0,0,HLOOKUP(CONCATENATE('Options and results'!$C$17," ",Arablesystem!$E$11),Arablesystem!$B$10:$ER$72,$A64+3,FALSE)*IF(A64&gt;='Options and results'!$H$19,'Options and results'!$H$18,1))</f>
        <v>0</v>
      </c>
      <c r="F64" s="1440">
        <f>IF(B64=0,0,HLOOKUP(CONCATENATE('Options and results'!$C$17," ",Arablesystem!$F$11),Arablesystem!$B$10:$ER$72,$A64+3,FALSE)*IF(A64&gt;='Options and results'!$H$19,'Options and results'!$H$18,1))</f>
        <v>0</v>
      </c>
      <c r="G64" s="1013">
        <f>IF(D64&lt;=0,0,IF(A64&lt;='Options and results'!$W$20,IF(C64&gt;0,VLOOKUP(B64,Arablefinance!$Z$6:$AE$105,Arablefinance!$AD$2,FALSE)*C64*D64,((VLOOKUP(B64,Arablefinance!$E$6:$G$126,Arablefinance!$F$2,FALSE)*(E64*D64)+VLOOKUP(B64,Arablefinance!$E$6:$G$126,Arablefinance!$G$2,FALSE)*(F64*D64)))),0)*IF(A64&gt;='Options and results'!$H$21,'Options and results'!$H$20,1))*IF(1+'Options and results'!$O$20*(A64-1)&gt;0,1+'Options and results'!$O$20*(A64-1),0)</f>
        <v>0</v>
      </c>
      <c r="H64" s="1441">
        <f>IF(D64&lt;=0,0,IF(A64&lt;='Options and results'!$W$20,IF(AND(C64&gt;0,VLOOKUP(B64,Arablefinance!$Z$6:$AI$105,Arablefinance!$AI$2,FALSE)=2),VLOOKUP(B64,Arablefinance!$Z$6:$AE$105,Arablefinance!$AE$2,FALSE)*C64*D64,(VLOOKUP(B64,Arablefinance!$E$6:$H$126,Arablefinance!$H$2,FALSE)*D64))*IF(A64&gt;='Options and results'!$H$23,'Options and results'!$H$22,1),0)*IF(AND(1+'Options and results'!$O$23*(A64-1)&gt;0,1+'Options and results'!$O$23*(A64-1)&gt;'Options and results'!$S$24),1+'Options and results'!$O$23*(A64-1),'Options and results'!$S$24))</f>
        <v>0</v>
      </c>
      <c r="I64" s="1441">
        <f t="shared" si="127"/>
        <v>0</v>
      </c>
      <c r="J64" s="1441">
        <f>IF(D64&lt;=0,0,IF(A64&lt;='Options and results'!$W$20,IF(C64&gt;0,VLOOKUP(B64,Arablefinance!$Z$6:$AF$105,Arablefinance!$AF$2,FALSE)*C64*D64,(VLOOKUP(B64,Arablefinance!$E$6:$X$126,Arablefinance!$R$2,FALSE))*D64),0)*IF(A64&gt;='Options and results'!$H$27,'Options and results'!$H$26,1))*IF(1+'Options and results'!$O$22*(A64-1)&gt;0,1+'Options and results'!$O$22*(A64-1),0)</f>
        <v>0</v>
      </c>
      <c r="K64" s="1441">
        <f t="shared" si="128"/>
        <v>0</v>
      </c>
      <c r="L64" s="1441">
        <f>IF(D64&lt;=0,0,IF(A64&lt;='Options and results'!$W$20,IF(C64&gt;0,VLOOKUP(B64,Arablefinance!$Z$6:$AG$105,Arablefinance!$AG$2,FALSE)*C64*D64,VLOOKUP(B64,Arablefinance!$E$6:$X$126,Arablefinance!$X$2,FALSE)*D64),0)*IF(A64&gt;='Options and results'!$H$27,'Options and results'!$H$26,1))*IF(1+'Options and results'!$O$22*(A64-1)&gt;0,1+'Options and results'!$O$22*(A64-1),0)</f>
        <v>0</v>
      </c>
      <c r="M64" s="1442">
        <f>IF(D64&lt;=0,0,IF(A64&lt;='Options and results'!$W$20,'Options and results'!$C$27,0)*IF(A64&gt;='Options and results'!$H$27,'Options and results'!$H$26,1))*IF(1+'Options and results'!$O$21*(A64-1)&gt;0,1+'Options and results'!$O$21*(A64-1),0)</f>
        <v>0</v>
      </c>
      <c r="N64" s="1442">
        <f>IF(D64&lt;=0,0,IF(A64&lt;='Options and results'!$W$20,IF(C64&gt;0,VLOOKUP(B64,Arablefinance!$Z$6:$AH$105,Arablefinance!$AH$2,FALSE)*C64*D64,VLOOKUP(B64,Arablefinance!$E$6:$W$126,Arablefinance!$V$2,FALSE)*D64),0)*IF(A64&gt;='Options and results'!$H$25,'Options and results'!$H$24,1))</f>
        <v>0</v>
      </c>
      <c r="O64" s="1013">
        <f t="shared" si="129"/>
        <v>0</v>
      </c>
      <c r="P64" s="1353">
        <f t="shared" si="130"/>
        <v>0</v>
      </c>
      <c r="Q64" s="1013">
        <f>IF(A64&lt;='Options and results'!$W$20,SUM(G$8:$G64),0)</f>
        <v>0</v>
      </c>
      <c r="R64" s="1441">
        <f>IF($A64&lt;='Options and results'!$W$20,SUM($H$8:H64),0)</f>
        <v>0</v>
      </c>
      <c r="S64" s="1441">
        <f>IF($A64&lt;='Options and results'!$W$20,SUM($O$8:O64),0)</f>
        <v>0</v>
      </c>
      <c r="T64" s="1032">
        <f>IF(A64&lt;='Options and results'!$W$20,Q64+R64-S64,0)</f>
        <v>0</v>
      </c>
      <c r="U64" s="405"/>
      <c r="V64" s="1010">
        <f t="shared" si="131"/>
        <v>57</v>
      </c>
      <c r="W64" s="173"/>
      <c r="X64" s="1036"/>
      <c r="Y64" s="1030">
        <f>IF(V64&lt;='Options and results'!$M$34,'Options and results'!$M$33,0)</f>
        <v>0</v>
      </c>
      <c r="Z64" s="1441">
        <f t="shared" si="132"/>
        <v>0</v>
      </c>
      <c r="AA64" s="1441">
        <f t="shared" si="133"/>
        <v>0</v>
      </c>
      <c r="AB64" s="1428">
        <f t="shared" si="134"/>
        <v>0</v>
      </c>
      <c r="AC64" s="1441">
        <f>IF($W$8=0,0,IF(HLOOKUP(CONCATENATE('Options and results'!$C$32," ",Forestrysystem!$C$8),Forestrysystem!$A$7:$IH$70,V64+4,FALSE)&lt;AB64,HLOOKUP(CONCATENATE('Options and results'!$C$32," ",Forestrysystem!$C$8),Forestrysystem!$A$7:$IH$70,V64+4,FALSE),0))</f>
        <v>0</v>
      </c>
      <c r="AD64" s="1441">
        <f>IF($W$8=0,0,IF(HLOOKUP(CONCATENATE('Options and results'!$C$32," ",Forestrysystem!$C$8),Forestrysystem!$A$7:$IH$70,V64+4,FALSE)&gt;=AB64,AB64,0))</f>
        <v>0</v>
      </c>
      <c r="AE64" s="1440">
        <f>IF($W$8=0,0,HLOOKUP(CONCATENATE('Options and results'!$C$32," ",Forestrysystem!$D$8),Forestrysystem!$A$7:$IH$70,$V64+4,FALSE))</f>
        <v>0</v>
      </c>
      <c r="AF64" s="1037"/>
      <c r="AG64" s="1440">
        <f>IF($W$8=0,0,IF(V64=1,'Options and results'!$M$36,0)+IF('Options and results'!$M$39="yes",IF(AND(AG63+'Options and results'!$M$37&lt;=$AF$8,AG63+'Options and results'!$M$37+IF(V64=1,'Options and results'!$M$36,0)&lt;='Options and results'!$M$38*AE64),AG63+'Options and results'!$M$37,AG63),(HLOOKUP(CONCATENATE('Options and results'!$C$32," ",Forestrysystem!$E$8),Forestrysystem!$A$7:$IH$70,V64+4,FALSE))-IF(V64=1,'Options and results'!$M$36,0)))</f>
        <v>0</v>
      </c>
      <c r="AH64" s="1442">
        <f>IF(OR($W$8=0,AB64&lt;=0),0,(HLOOKUP(CONCATENATE('Options and results'!$C$32," ",Forestrysystem!$F$8),Forestrysystem!$A$7:$IH$70,$V64+4,FALSE)) * IF(V64&gt;='Options and results'!$I$19,'Options and results'!$I$18,1) )</f>
        <v>0</v>
      </c>
      <c r="AI64" s="1452">
        <f t="shared" si="179"/>
        <v>0</v>
      </c>
      <c r="AJ64" s="1442">
        <f t="shared" si="135"/>
        <v>0</v>
      </c>
      <c r="AK64" s="1453">
        <f>IF(OR($W$8=0,AE64&lt;=0),0,(HLOOKUP(CONCATENATE('Options and results'!$C$32," ",Forestrysystem!$G$8),Forestrysystem!$A$7:$IH$70,$V64+4,FALSE)) * IF(Y64&gt;='Options and results'!$I$19,'Options and results'!$I$18,1) )</f>
        <v>0</v>
      </c>
      <c r="AL64" s="1453">
        <f>IF($W$8=0,0,HLOOKUP(CONCATENATE('Options and results'!$C$32," ",Forestrysystem!$H$8),Forestrysystem!$A$7:$IH$70,$V64+4,FALSE)*IF(V64&gt;='Options and results'!$I$19,'Options and results'!$I$18,1))</f>
        <v>0</v>
      </c>
      <c r="AM64" s="1383">
        <f>IF($W$8=0,0,HLOOKUP(CONCATENATE('Options and results'!$C$32," ",Forestrysystem!$I$8),Forestrysystem!$A$7:$IH$70,$V64+4,FALSE)*IF(V64&gt;='Options and results'!$I$19,'Options and results'!$I$18,1))</f>
        <v>0</v>
      </c>
      <c r="AN64" s="1382">
        <f>IF(AI64&gt;0,HLOOKUP(AI64,Treevalue!$I$4:$BC$34,'Options and results'!$C$39+1),0)*IF(V64&gt;='Options and results'!$I$21,'Options and results'!$I$20,1)*IF(1+'Options and results'!$Q$20*(V64-1)&gt;0,1+'Options and results'!$Q$20*(V64-1),0)</f>
        <v>0</v>
      </c>
      <c r="AO64" s="1454">
        <f t="shared" si="136"/>
        <v>0</v>
      </c>
      <c r="AP64" s="1454">
        <f t="shared" si="187"/>
        <v>0</v>
      </c>
      <c r="AQ64" s="1454">
        <f>(IF('Options and results'!$C$39&gt;0,IF(V64&lt;='Options and results'!$W$20,VLOOKUP('Options and results'!$C$39,Treevalue!$A$4:$F$34,5,FALSE),0),0)*AK64)*IF(V64&gt;='Options and results'!$I$21,'Options and results'!$I$20,1)*IF(1+'Options and results'!$Q$20*(V64-1)&gt;0,1+'Options and results'!$Q$20*(V64-1),0)-AR64</f>
        <v>0</v>
      </c>
      <c r="AR64" s="1441">
        <f>(IF('Options and results'!$C$39&gt;0,IF(V64&lt;='Options and results'!$W$20,VLOOKUP('Options and results'!$C$39,Treevalue!$A$4:$F$34,5,FALSE),0),0)*AL64)*IF(V64&gt;='Options and results'!$I$21,'Options and results'!$I$20,1)*IF(1+'Options and results'!$Q$20*(V64-1)&gt;0,1+'Options and results'!$Q$20*(V64-1),0)</f>
        <v>0</v>
      </c>
      <c r="AS64" s="1441">
        <f>(IF('Options and results'!$C$39&gt;0,IF(V64&lt;='Options and results'!$W$20,VLOOKUP('Options and results'!$C$39,Treevalue!$A$4:$F$34,6,FALSE),0),0)*AM64)*IF(V64&gt;='Options and results'!$I$21,'Options and results'!$I$20,1)*IF(1+'Options and results'!$Q$20*(V64-1)&gt;0,1+'Options and results'!$Q$20*(V64-1),0)</f>
        <v>0</v>
      </c>
      <c r="AT64" s="1441">
        <f>IF(V64&lt;='Options and results'!$W$20,(IF(AB64&lt;=0,0,IF('Options and results'!$C$43="cost",(IF(V64&lt;='Options and results'!$C$44,BZ64*SUM('Options and results'!$C$45:$C$46),0)),IF('Options and results'!$C$41&gt;0,(IF(VLOOKUP('Options and results'!$C$42,Treegrant!$B$6:$L$42,Treegrant!$C$2,FALSE)=V64,VLOOKUP('Options and results'!$C$42,Treegrant!$B$6:$L$42,Treegrant!$D$2,FALSE),0)+IF(VLOOKUP('Options and results'!$C$42,Treegrant!$B$6:$L$42,Treegrant!$E$2,FALSE)=V64,VLOOKUP('Options and results'!$C$42,Treegrant!$B$6:$L$42,Treegrant!$F$2,FALSE),0)+IF(VLOOKUP('Options and results'!$C$42,Treegrant!$B$6:$L$42,Treegrant!$G$2,FALSE)=V64,VLOOKUP('Options and results'!$C$42,Treegrant!$B$6:$L$42,Treegrant!$H$2,FALSE)))*IF('Options and results'!$C$43="area",1,'Options and results'!$C$43),0)))*IF(V64&gt;='Options and results'!$I$23,'Options and results'!$I$22,1)),0)*IF(1+'Options and results'!$Q$23*(V64-1)&gt;0,1+'Options and results'!$Q$23*(V64-1),0)</f>
        <v>0</v>
      </c>
      <c r="AU64" s="1441">
        <f>IF($W$8=0,0,IF(V64&lt;='Options and results'!$W$20,IF(AB64&lt;=0,0,IF('Options and results'!$C$41&gt;0,IF(AND(VLOOKUP('Options and results'!$C$42,Treegrant!$B$6:$L$42,Treegrant!$J$2,FALSE)&lt;=V64,VLOOKUP('Options and results'!$C$42,Treegrant!$B$6:$L$42,Treegrant!$K$2,FALSE)&gt;=V64),(VLOOKUP('Options and results'!$C$42,Treegrant!$B$6:$L$42,Treegrant!$L$2,FALSE)),0)*IF('Options and results'!$C$47="full",1,'Options and results'!$C$47))*IF(V64&gt;='Options and results'!$I$23,'Options and results'!$I$22,1)),0))*IF(1+'Options and results'!$Q$23*(V64-1)&gt;0,1+'Options and results'!$Q$23*(V64-1),0)</f>
        <v>0</v>
      </c>
      <c r="AV64" s="1032">
        <f>IF($W$8=0,0,IF(V64&lt;='Options and results'!$W$20,IF(AB64&lt;=0,0,(IF('Options and results'!$C$41&gt;0,(IF(AND(VLOOKUP('Options and results'!$C$42,Treegrant!$B$6:$O$42,Treegrant!$M$2,FALSE)&lt;=V64,VLOOKUP('Options and results'!$C$42,Treegrant!$B$6:$O$42,Treegrant!$N$2,FALSE)&gt;=V64),(VLOOKUP('Options and results'!$C$42,Treegrant!$B$6:$O$42,Treegrant!$O$2,FALSE)),0)*IF('Options and results'!$C$48="full",1,'Options and results'!$C$48))+(IF(AND(VLOOKUP('Options and results'!$C$42,Treegrant!$B$6:$R$42,Treegrant!$P$2,FALSE)&lt;=V64,VLOOKUP('Options and results'!$C$42,Treegrant!$B$6:$R$42,Treegrant!$Q$2,FALSE)&gt;=V64),(VLOOKUP('Options and results'!$C$42,Treegrant!$B$6:$R$42,Treegrant!$R$2,FALSE)),0))*IF('Options and results'!$C$49="full",1,'Options and results'!$C$49)))*IF(V64&gt;='Options and results'!$I$23,'Options and results'!$I$22,1)),0))*IF(1+'Options and results'!$Q$23*(V64-1)&gt;0,1+'Options and results'!$Q$23*(V64-1),0)</f>
        <v>0</v>
      </c>
      <c r="AW64" s="1041"/>
      <c r="AX64" s="1042"/>
      <c r="AY64" s="1419">
        <f>IF($W$8=0,0,IF(V64=1,VLOOKUP($W$8,Treecost!$B$6:$AH$49,Treecost!$E$2,FALSE),0)*IF(V64&gt;='Options and results'!$I$25,'Options and results'!$I$24,1))</f>
        <v>0</v>
      </c>
      <c r="AZ64" s="889">
        <f>IF($W$8=0,0,IF(V64=1,VLOOKUP($W$8,Treecost!$B$6:$AH$49,Treecost!$F$2,FALSE),0)*IF(V64&gt;='Options and results'!$I$25,'Options and results'!$I$24,1))</f>
        <v>0</v>
      </c>
      <c r="BA64" s="889">
        <f>IF($W$8=0,0,IF(V64=1,VLOOKUP($W$8,Treecost!$B$6:$AH$49,Treecost!$G$2,FALSE),0)*IF(V64&gt;='Options and results'!$I$25,'Options and results'!$I$24,1))</f>
        <v>0</v>
      </c>
      <c r="BB64" s="889">
        <f>IF($W$8=0,0,IF(V64&lt;='Options and results'!$W$20,((VLOOKUP($W$8,Treecost!$B$6:$AH$49,Treecost!$H$2,FALSE)*(X64+AA64))/60)*IF(V64&gt;='Options and results'!$I$25,'Options and results'!$I$24,1),0))</f>
        <v>0</v>
      </c>
      <c r="BC64" s="889">
        <f>IF($W$8=0,0,IF(V64&lt;='Options and results'!$W$20,(((VLOOKUP($W$8,Treecost!$B$6:$AH$49,Treecost!$I$2,FALSE))*(X64+AA64))/60)*IF(V64&gt;='Options and results'!$I$25,'Options and results'!$I$24,1),0))</f>
        <v>0</v>
      </c>
      <c r="BD64" s="889">
        <f>IF($W$8=0,0,IF(V64&lt;='Options and results'!$W$20,(((VLOOKUP($W$8,Treecost!$B$6:$AH$49,Treecost!$J$2,FALSE))/60)*(X64+AA64))*IF(V64&gt;='Options and results'!$I$25,'Options and results'!$I$24,1),0))</f>
        <v>0</v>
      </c>
      <c r="BE64" s="1019">
        <f>IF($W$8=0,0,IF(V64&lt;='Options and results'!$W$20,(((VLOOKUP($W$8,Treecost!$B$6:$AH$49,Treecost!$C$2,FALSE)+VLOOKUP($W$8,Treecost!$B$6:$AH$49,Treecost!$D$2,FALSE))*(X64+AA64)*IF(1+'Options and results'!$Q$22*(V64-1)&gt;0,1+'Options and results'!$Q$22*(V64-1),0))+((AY64*$AX$8+AZ64*$AX$9+BA64*$AX$10+BB64*$AX$11+BC64*$AX$12+BD64*$AX$13)*IF(1+'Options and results'!$Q$21*(V64-1)&gt;0,1+'Options and results'!$Q$21*(V64-1),0)))*IF(V64&gt;='Options and results'!$I$27,'Options and results'!$I$26,1),0))</f>
        <v>0</v>
      </c>
      <c r="BF64" s="889">
        <f>IF($W$8=0,0,IF(V64&lt;='Options and results'!$W$20,IF(AND(VLOOKUP($W$8,Treecost!$B$6:$AH$49,Treecost!$K$2,FALSE)&lt;=V64,V64&lt;=(VLOOKUP($W$8,Treecost!$B$6:$AH$49,Treecost!$L$2,FALSE))),VLOOKUP($W$8,Treecost!$B$6:$AH$49,Treecost!$M$2,FALSE)*AB64/60,0)*IF(V64&gt;='Options and results'!$I$25,'Options and results'!$I$24,1),0))</f>
        <v>0</v>
      </c>
      <c r="BG64" s="1019">
        <f>IF(BF64&gt;0,(VLOOKUP($W$8,Treecost!$B$6:$AH$49,Treecost!$N$2,FALSE)*AB64*IF(1+'Options and results'!$Q$22*(V64-1)&gt;0,1+'Options and results'!$Q$22*(V64-1),0)+BF64*$AX$14*IF(1+'Options and results'!$Q$21*(V64-1)&gt;0,1+'Options and results'!$Q$21*(V64-1),0)),0)*IF(V64&gt;='Options and results'!$I$27,'Options and results'!$I$26,1)</f>
        <v>0</v>
      </c>
      <c r="BH64" s="889">
        <f>IF(V64&lt;='Options and results'!$W$20,IF(AND(AG64-AG63&gt;0,AG64&gt;'Options and results'!$M$36),(AB64-AC64)*(VLOOKUP($W$8,Treecost!$B$6:$AH$49,Treecost!$Y$2,FALSE)+(VLOOKUP($W$8,Treecost!$B$6:$AH$49,Treecost!$AA$2,FALSE)-VLOOKUP($W$8,Treecost!$B$6:$AH$49,Treecost!$Y$2,FALSE))/(VLOOKUP($W$8,Treecost!$B$6:$AH$49,Treecost!$Z$2,FALSE)-VLOOKUP($W$8,Treecost!$B$6:$AH$49,Treecost!$X$2,FALSE))*(AG64-VLOOKUP($W$8,Treecost!$B$6:$AH$49,Treecost!$X$2,FALSE)))/60,0)*IF(V64&gt;='Options and results'!$I$25,'Options and results'!$I$24,1),0)</f>
        <v>0</v>
      </c>
      <c r="BI64" s="303">
        <f>IF(V64&lt;='Options and results'!$W$20,IF(BH64&gt;0,VLOOKUP($W$8,Treecost!$B$6:$AH$49,Treecost!$AB$2,FALSE)/60*AB64,0)*IF(V64&gt;='Options and results'!$I$25,'Options and results'!$I$24,1),0)*((BH64-(MIN($BH$8:$BH$67)))/((MAX($BH$8:$BH$67))-(MIN($BH$8:$BH$67))))</f>
        <v>0</v>
      </c>
      <c r="BJ64" s="740">
        <f>IF(BH64&gt;0,(BH64*$AX$15+BI64*$AX$19)*IF(1+'Options and results'!$Q$21*(V64-1)&gt;0,1+'Options and results'!$Q$21*(V64-1),0),0)*IF(V64&gt;='Options and results'!$I$27,'Options and results'!$I$26,1)</f>
        <v>0</v>
      </c>
      <c r="BK64" s="891">
        <f>IF($W$8=0,0,IF(V64&lt;='Options and results'!$W$20,IF(VLOOKUP($W$8,Treecost!$B$2:$AH$49,Treecost!$O$2,FALSE)=V64,VLOOKUP($W$8,Treecost!$B$2:$AH$49,Treecost!$P$2,FALSE),0)*IF(V64&gt;='Options and results'!$I$25,'Options and results'!$I$24,1),0))</f>
        <v>0</v>
      </c>
      <c r="BL64" s="889">
        <f>IF($W$8=0,0,IF(V64&lt;='Options and results'!$W$20,IF(AND(V64&gt;VLOOKUP($W$8,Treecost!$B$2:$AH$49,Treecost!$O$2,FALSE),V64&lt;=VLOOKUP($W$8,Treecost!$B$2:$AH$49,Treecost!$R$2,FALSE)),VLOOKUP($W$8,Treecost!$B$2:$AH$49,Treecost!$S$2,FALSE),0)*IF(V64&gt;='Options and results'!$I$25,'Options and results'!$I$24,1),0))</f>
        <v>0</v>
      </c>
      <c r="BM64" s="740">
        <f>IF($W$8=0,0,IF(V64&lt;='Options and results'!$W$20,((IF(VLOOKUP($W$8,Treecost!$B$2:$AH$49,Treecost!$O$2,FALSE)=V64,VLOOKUP($W$8,Treecost!$B$2:$AH$49,Treecost!$Q$2,FALSE),0)+IF(AND(V64&gt;VLOOKUP($W$8,Treecost!$B$2:$AH$49,Treecost!$O$2,FALSE),V64&lt;=VLOOKUP($W$8,Treecost!$B$2:$AH$49,Treecost!$R$2,FALSE)),VLOOKUP($W$8,Treecost!$B$2:$AH$49,Treecost!$T$2,FALSE),0)*IF(1+'Options and results'!$Q$22*(V64-1)&gt;0,1+'Options and results'!$Q$22*(V64-1),0))+(BK64*$AX$16+BL64*$AX$17)*IF(1+'Options and results'!$Q$21*(V64-1)&gt;0,1+'Options and results'!$Q$21*(V64-1),0))*IF(V64&gt;='Options and results'!$I$27,'Options and results'!$I$26,1),0))</f>
        <v>0</v>
      </c>
      <c r="BN64" s="894">
        <f>IF($W$8=0,0,IF(V64&lt;='Options and results'!$W$20,IF(AND(V64&gt;=VLOOKUP($W$8,Treecost!$B$2:$W$49,Treecost!$U$2,FALSE),V64&lt;=VLOOKUP($W$8,Treecost!$B$2:$W$49,Treecost!$V$2,FALSE)),(AB64*VLOOKUP($W$8,Treecost!$B$2:$W$49,Treecost!$W$2,FALSE)/60),0)*IF(V64&gt;='Options and results'!$I$25,'Options and results'!$I$24,1),0))</f>
        <v>0</v>
      </c>
      <c r="BO64" s="740">
        <f>BN64*$AX$18*IF(V64&gt;='Options and results'!$I$27,'Options and results'!$I$26,1)*IF(1+'Options and results'!$Q$21*(V64-1)&gt;0,1+'Options and results'!$Q$21*(V64-1),0)</f>
        <v>0</v>
      </c>
      <c r="BP64" s="894">
        <f>IF(V64&lt;='Options and results'!$W$20,IF(AB64&lt;=0,0,VLOOKUP($W$8,Treecost!$B$6:$AH$49,Treecost!$AC$2,FALSE)+VLOOKUP($W$8,Treecost!$B$6:$AH$49,Treecost!$AD$2,FALSE)+IF(AND(V64&gt;=VLOOKUP($W$8,Treecost!$B$2:$AK$49,Treecost!$AI$2,FALSE),V64&lt;=VLOOKUP($W$8,Treecost!$B$2:$AK$49,Treecost!$AJ$2,FALSE)),(VLOOKUP($W$8,Treecost!$B$2:$AK$49,Treecost!$AK$2,FALSE)),0))*IF(V64&gt;='Options and results'!$I$27,'Options and results'!$I$26,1),0)*IF(1+'Options and results'!$Q$22*(V64-1)&gt;0,1+'Options and results'!$Q$22*(V64-1),0)</f>
        <v>0</v>
      </c>
      <c r="BQ64" s="894">
        <f>IF(V64&lt;='Options and results'!$W$20,IF(AC64&gt;0,VLOOKUP($W$8,Treecost!$B$6:$AH$49,Treecost!$AE$2,FALSE)/60*AC64,0)*IF(V64&gt;='Options and results'!$I$25,'Options and results'!$I$24,1),0)</f>
        <v>0</v>
      </c>
      <c r="BR64" s="740">
        <f>IF(V64&lt;='Options and results'!$W$20,IF(AC64&gt;0,VLOOKUP($W$8,Treecost!$B$6:$AH$49,Treecost!$AF$2,FALSE)/60*AC64,0)*IF(V64&gt;='Options and results'!$I$25,'Options and results'!$I$24,1),0)</f>
        <v>0</v>
      </c>
      <c r="BS64" s="740">
        <f>(BQ64*$AX$20+BR64*$AX$21)*IF(V64&gt;='Options and results'!$I$27,'Options and results'!$I$26,1)*IF(1+'Options and results'!$Q$21*(V64-1)&gt;0,1+'Options and results'!$Q$21*(V64-1),0)</f>
        <v>0</v>
      </c>
      <c r="BT64" s="894">
        <f>IF(V64&lt;='Options and results'!$W$20,IF(AD64&gt;0,(VLOOKUP($W$8,Treecost!$B$6:$AH$49,Treecost!$AG$2,FALSE)/60*AD64)*IF(V64&gt;='Options and results'!$I$25,'Options and results'!$I$24,1),0),0)</f>
        <v>0</v>
      </c>
      <c r="BU64" s="740">
        <f>IF(V64&lt;='Options and results'!$W$20,IF(AD64&gt;0,(VLOOKUP($W$8,Treecost!$B$6:$AH$49,Treecost!$AH$2,FALSE)/60*AD64)*IF(V64&gt;='Options and results'!$I$25,'Options and results'!$I$24,1),0),0)</f>
        <v>0</v>
      </c>
      <c r="BV64" s="740">
        <f>(BT64*$AX$22+BU64*$AX$23)*IF(V64&gt;='Options and results'!$I$27,'Options and results'!$I$26,1)*IF(1+'Options and results'!$Q$21*(V64-1)&gt;0,1+'Options and results'!$Q$21*(V64-1),0)</f>
        <v>0</v>
      </c>
      <c r="BW64" s="1033">
        <f t="shared" si="138"/>
        <v>0</v>
      </c>
      <c r="BX64" s="1027">
        <f t="shared" si="139"/>
        <v>0</v>
      </c>
      <c r="BY64" s="1027">
        <f t="shared" si="140"/>
        <v>0</v>
      </c>
      <c r="BZ64" s="740">
        <f t="shared" si="188"/>
        <v>0</v>
      </c>
      <c r="CA64" s="740">
        <f t="shared" si="141"/>
        <v>0</v>
      </c>
      <c r="CB64" s="894">
        <f>IF($V64&lt;='Options and results'!$W$20,SUM(BX$8:$BX64),0)</f>
        <v>0</v>
      </c>
      <c r="CC64" s="740">
        <f>IF($V64&lt;='Options and results'!$W$20,SUM($BY$8:BY64),0)</f>
        <v>0</v>
      </c>
      <c r="CD64" s="740">
        <f>IF($V64&lt;='Options and results'!$W$20,SUM($BZ$8:BZ64),0)</f>
        <v>0</v>
      </c>
      <c r="CE64" s="740">
        <f>IF(V64&lt;='Options and results'!$W$20,CB64+CC64-CD64,0)</f>
        <v>0</v>
      </c>
      <c r="CF64" s="1381">
        <f t="shared" si="142"/>
        <v>0</v>
      </c>
      <c r="CG64" s="1027">
        <f t="shared" si="143"/>
        <v>0</v>
      </c>
      <c r="CH64" s="1027">
        <f t="shared" si="144"/>
        <v>0</v>
      </c>
      <c r="CI64" s="1189">
        <f>IF(V64&lt;='Options and results'!$W$20,CE64+AO64,0)</f>
        <v>0</v>
      </c>
      <c r="CJ64" s="1023"/>
      <c r="CK64" s="895">
        <f t="shared" si="145"/>
        <v>57</v>
      </c>
      <c r="CL64" s="1011" t="str">
        <f>IF('Options and results'!$C$54="None",0,IF(AND(CK64&gt;='Options and results'!$K$57,CK63&lt;'Options and results'!$W$20),'Options and results'!$K$56,IF(Optimisation!$B$3="No",CONCATENATE('Options and results'!$C$60," ",(HLOOKUP(CONCATENATE('Options and results'!$C$54," ",Agroforestrysystem!$B$12),Agroforestrysystem!$B$11:$IM$74,$CK64+4,FALSE))),Optimisation!AA84)))</f>
        <v xml:space="preserve">UK - Agriculture (BPS: from 2015) </v>
      </c>
      <c r="CM64" s="1012">
        <f>IF(HLOOKUP(CONCATENATE('Options and results'!$C$54," ",Agroforestrysystem!$C$12),Agroforestrysystem!$B$11:$IM$74,$CK64+4,FALSE)="T",(VLOOKUP(CL64,Arablefinance!$Z$6:$AB$105,Arablefinance!$AB$2,FALSE)*CO64+VLOOKUP(CL64,Arablefinance!$Z$6:$AC$105,Arablefinance!$AC$2,FALSE)*CP64)/VLOOKUP(CL64,Arablefinance!$Z$6:$AA$105,Arablefinance!$AA$2,FALSE),0)</f>
        <v>0</v>
      </c>
      <c r="CN64" s="1012">
        <f>IF(CL64=0,0,HLOOKUP(CONCATENATE('Options and results'!$C$54," ",Agroforestrysystem!$D$12),Agroforestrysystem!$B$11:$IM$74,$CK64+4,FALSE))</f>
        <v>0</v>
      </c>
      <c r="CO64" s="1440">
        <f ca="1">IF(CL64=0,0,IF(AND(Optimisation!$B$3="yes",Optimisation!$B$4=1,CK64&gt;Optimisation!$B$9),0,HLOOKUP(CONCATENATE('Options and results'!$C$54," ",Agroforestrysystem!$E$12),Agroforestrysystem!$B$11:$IM$74,$CK64+4,FALSE)*IF(CK64&gt;='Options and results'!$J$19,'Options and results'!$J$18,1)))</f>
        <v>0</v>
      </c>
      <c r="CP64" s="1440">
        <f ca="1">IF(CL64=0,0,IF(AND(Optimisation!$B$3="yes",Optimisation!$B$4=1,CK64&gt;Optimisation!$B$9),0,HLOOKUP(CONCATENATE('Options and results'!$C$54," ",Agroforestrysystem!$F$12),Agroforestrysystem!$B$11:$IM$74,$CK64+4,FALSE)*IF(CK64&gt;='Options and results'!$J$19,'Options and results'!$J$18,1)))</f>
        <v>0</v>
      </c>
      <c r="CQ64" s="1013">
        <f>IF(CN64&lt;=0,0,IF(CK64&lt;='Options and results'!$W$20,IF(CM64&gt;0,VLOOKUP(CL64,Arablefinance!$Z$6:$AE$105,Arablefinance!$AD$2,FALSE)*CM64*CN64,((VLOOKUP(CL64,Arablefinance!$E$6:$H$126,2,FALSE)*CO64+VLOOKUP(CL64,Arablefinance!$E$6:$H$126,3,FALSE)*CP64)*CN64)),0)*IF(CK64&gt;='Options and results'!$J$21,'Options and results'!$J$20,1))*IF(1+'Options and results'!$O$20*(CK64-1)&gt;0,1+'Options and results'!$O$20*(CK64-1),0)</f>
        <v>0</v>
      </c>
      <c r="CR64" s="1441">
        <f>IF(CN64&lt;=0,0,IF(AND(CM64&gt;0,VLOOKUP(CL64,Arablefinance!$Z$6:$AI$105,Arablefinance!$AI$2,FALSE)=2),VLOOKUP(CL64,Arablefinance!$Z$6:$AE$105,Arablefinance!$AE$2,FALSE)*CM64*CN64,IF('Options and results'!$C$62&gt;0,IF(VLOOKUP(CL64,Arablefinance!$E$6:$W$126,Arablefinance!$H$2,FALSE)*(1-Plot!DM64*'Options and results'!$C$62)&gt;0,VLOOKUP(CL64,Arablefinance!$E$6:$W$126,Arablefinance!$H$2,FALSE)*(1-Plot!DM64*'Options and results'!$C$62),0),IF(CK64&lt;='Options and results'!$W$20,(VLOOKUP(CL64,Arablefinance!$E$6:$W$126,Arablefinance!$H$2,FALSE)*IF('Options and results'!$C$61="area",CN64,'Options and results'!$C$61)),0)))*IF(CK64&gt;='Options and results'!$J$23,'Options and results'!$J$22,1))*IF(AND(1+'Options and results'!$O$23*(CK64-1)&gt;0,1+'Options and results'!$O$23*(CK64-1)&gt;'Options and results'!$S$24),1+'Options and results'!$O$23*(CK64-1),'Options and results'!$S$24)</f>
        <v>0</v>
      </c>
      <c r="CS64" s="1441">
        <f t="shared" si="185"/>
        <v>0</v>
      </c>
      <c r="CT64" s="1441">
        <f>IF(CN64&lt;=0,0,IF(CK64&lt;='Options and results'!$W$20,IF(CM64&gt;0,VLOOKUP(CL64,Arablefinance!$Z$6:$AF$105,Arablefinance!$AF$2,FALSE)*CM64*CN64,VLOOKUP(CL64,Arablefinance!$E$6:$X$126,Arablefinance!$R$2,FALSE)*CN64),0)*IF(CK64&gt;='Options and results'!$J$27,'Options and results'!$J$26,1))*IF(1+'Options and results'!$O$22*(CK64-1)&gt;0,1+'Options and results'!$O$22*(CK64-1),0)</f>
        <v>0</v>
      </c>
      <c r="CU64" s="1441">
        <f t="shared" si="186"/>
        <v>0</v>
      </c>
      <c r="CV64" s="1441">
        <f>IF(CN64&lt;=0,0,IF(CK64&lt;='Options and results'!$W$20,IF(CM64&gt;0,VLOOKUP(CL64,Arablefinance!$Z$6:$AG$105,Arablefinance!$AG$2,FALSE)*CM64*CN64,VLOOKUP(CL64,Arablefinance!$E$6:$X$126,Arablefinance!$X$2,FALSE)*CN64),0)*IF(CK64&gt;='Options and results'!$J$27,'Options and results'!$J$26,1))*IF(1+'Options and results'!$O$22*(CK64-1)&gt;0,1+'Options and results'!$O$22*(CK64-1),0)</f>
        <v>0</v>
      </c>
      <c r="CW64" s="1442">
        <f>IF(CN64&lt;=0,0,IF(CK64&lt;='Options and results'!$W$20,'Options and results'!$C$27*IF(CK64&gt;='Options and results'!$J$27,'Options and results'!$J$26,1),0))*IF(1+'Options and results'!$O$21*(CK64-1)&gt;0,1+'Options and results'!$O$21*(CK64-1),0)</f>
        <v>0</v>
      </c>
      <c r="CX64" s="1442">
        <f>IF(CN64&lt;=0,0,IF(CK64&lt;='Options and results'!$W$20,IF(CM64&gt;0,VLOOKUP(CL64,Arablefinance!$Z$6:$AH$105,Arablefinance!$AH$2,FALSE)*CM64*CN64,VLOOKUP(CL64,Arablefinance!$E$6:$W$126,Arablefinance!$V$2,FALSE)*CN64),0)*IF(CK64&gt;='Options and results'!$J$25,'Options and results'!$J$24,1))</f>
        <v>0</v>
      </c>
      <c r="CY64" s="1013">
        <f t="shared" si="148"/>
        <v>0</v>
      </c>
      <c r="CZ64" s="1353">
        <f t="shared" si="149"/>
        <v>0</v>
      </c>
      <c r="DA64" s="1013">
        <f>IF($CK64&lt;='Options and results'!$W$20,SUM($CQ$8:CQ64),0)</f>
        <v>0</v>
      </c>
      <c r="DB64" s="1441">
        <f>IF($CK64&lt;='Options and results'!$W$20,SUM($CR$8:CR64),0)</f>
        <v>0</v>
      </c>
      <c r="DC64" s="1441">
        <f>IF($CK64&lt;='Options and results'!$W$20,SUM($CY$8:CY64),0)</f>
        <v>0</v>
      </c>
      <c r="DD64" s="1189">
        <f>IF(CK64&lt;='Options and results'!$W$20,DA64+DB64-DC64,0)</f>
        <v>0</v>
      </c>
      <c r="DE64" s="401"/>
      <c r="DF64" s="895">
        <f t="shared" si="150"/>
        <v>57</v>
      </c>
      <c r="DG64" s="173"/>
      <c r="DH64" s="1422"/>
      <c r="DI64" s="1427">
        <f>IF(DF64&lt;='Options and results'!$M$61,'Options and results'!$M$60,0)</f>
        <v>0</v>
      </c>
      <c r="DJ64" s="740">
        <f t="shared" si="151"/>
        <v>0</v>
      </c>
      <c r="DK64" s="740">
        <f t="shared" si="152"/>
        <v>0</v>
      </c>
      <c r="DL64" s="1428">
        <f t="shared" si="153"/>
        <v>0</v>
      </c>
      <c r="DM64" s="1429">
        <f>IF($DG$8=0,0,HLOOKUP(CONCATENATE('Options and results'!$C$54," ",Agroforestrysystem!$J$12),Agroforestrysystem!$11:$74,DF64+3,FALSE))/100</f>
        <v>0</v>
      </c>
      <c r="DN64" s="740">
        <f>IF($DG$8=0,0,IF(HLOOKUP(CONCATENATE('Options and results'!$C$54," ",Agroforestrysystem!$H$12),Agroforestrysystem!$11:$74,DF64+4,FALSE)&lt;DL64,HLOOKUP(CONCATENATE('Options and results'!$C$54," ",Agroforestrysystem!$H$12),Agroforestrysystem!$11:$74,DF64+4,FALSE),0))</f>
        <v>0</v>
      </c>
      <c r="DO64" s="1027">
        <f>IF($DG$8=0,0,IF(HLOOKUP(CONCATENATE('Options and results'!$C$54," ",Agroforestrysystem!$H$12),Agroforestrysystem!$11:$74,DF64+4,FALSE)&gt;=DL64,DL64,0))</f>
        <v>0</v>
      </c>
      <c r="DP64" s="1430">
        <f>IF($DG$8=0,0,HLOOKUP(CONCATENATE('Options and results'!$C$54," ",Agroforestrysystem!$I$12),Agroforestrysystem!$11:$74,DF64+4,FALSE))</f>
        <v>0</v>
      </c>
      <c r="DQ64" s="1038"/>
      <c r="DR64" s="1430">
        <f>IF($DG$8=0,0,IF(DF64&gt;'Options and results'!$W$20,0,)+IF(DF64=1,'Options and results'!$M$64)+IF('Options and results'!$M$67="yes",IF(AND(DR63+'Options and results'!$M$65&lt;=$DQ$8,DR63+'Options and results'!$M$65+IF(DF64=1,'Options and results'!$M$64,0)&lt;='Options and results'!$M$66*DP64),DR63+'Options and results'!$M$65,DR63),(HLOOKUP(CONCATENATE('Options and results'!$C$54," ",Agroforestrysystem!$K$12),Agroforestrysystem!$11:$74,DF64+4,FALSE)-IF(DF64=1,'Options and results'!$M$64))))</f>
        <v>0</v>
      </c>
      <c r="DS64" s="1027">
        <f>IF(OR($DG$8=0,DL64=0),0,HLOOKUP(CONCATENATE('Options and results'!$C$54," ",Agroforestrysystem!$L$12),Agroforestrysystem!$11:$74,DF64+4,FALSE)*IF(DF64&gt;='Options and results'!$K$19,'Options and results'!$K$18,1))</f>
        <v>0</v>
      </c>
      <c r="DT64" s="1431">
        <f t="shared" si="154"/>
        <v>0</v>
      </c>
      <c r="DU64" s="889">
        <f t="shared" si="155"/>
        <v>0</v>
      </c>
      <c r="DV64" s="1027">
        <f>IF($DG$8=0,0,(HLOOKUP(CONCATENATE('Options and results'!$C$54," ",Agroforestrysystem!$M$12),Agroforestrysystem!$11:$74,DF64+4,FALSE))*IF(DF64&gt;='Options and results'!$K$19,'Options and results'!$K$18,1))-DW64</f>
        <v>0</v>
      </c>
      <c r="DW64" s="303">
        <f>IF($DG$8=0,0,(HLOOKUP(CONCATENATE('Options and results'!$C$54," ",Agroforestrysystem!$N$12),Agroforestrysystem!$11:$74,DF64+4,FALSE))*IF(DF64&gt;='Options and results'!$K$19,'Options and results'!$K$18,1))</f>
        <v>0</v>
      </c>
      <c r="DX64" s="303">
        <f>IF($DG$8=0,0,HLOOKUP(CONCATENATE('Options and results'!$C$54," ",Agroforestrysystem!$O$12),Agroforestrysystem!$11:$74,DF64+4,FALSE)*IF(DF64&gt;='Options and results'!$K$19,'Options and results'!$K$18,1))</f>
        <v>0</v>
      </c>
      <c r="DY64" s="1192">
        <f>IF(DT64&gt;0,HLOOKUP(DT64,Treevalue!$I$4:$BC$34,'Options and results'!$C$66+1),0)*IF(DF64&gt;='Options and results'!$K$21,'Options and results'!$K$20,1)*IF(1+'Options and results'!$Q$20*(DF64-1)&gt;0,1+'Options and results'!$Q$20*(DF64-1),0)</f>
        <v>0</v>
      </c>
      <c r="DZ64" s="1027">
        <f t="shared" si="156"/>
        <v>0</v>
      </c>
      <c r="EA64" s="1027">
        <f t="shared" si="125"/>
        <v>0</v>
      </c>
      <c r="EB64" s="1027">
        <f>(IF('Options and results'!$C$66&gt;0,IF(DF64&lt;='Options and results'!$W$20,VLOOKUP('Options and results'!$C$66,Treevalue!$A$4:$F$34,5,FALSE),0),0)*DV64)*IF(DF64&gt;='Options and results'!$K$21,'Options and results'!$K$20,1)*IF(1+'Options and results'!$Q$20*(DF64-1)&gt;0,1+'Options and results'!$Q$20*(DF64-1),0)</f>
        <v>0</v>
      </c>
      <c r="EC64" s="740">
        <f>(IF('Options and results'!$C$66&gt;0,IF(DF64&lt;='Options and results'!$W$20,VLOOKUP('Options and results'!$C$66,Treevalue!$A$4:$F$34,5,FALSE),0),0)*DW64)*IF(DF64&gt;='Options and results'!$K$21,'Options and results'!$K$20,1)*IF(1+'Options and results'!$Q$20*(DF64-1)&gt;0,1+'Options and results'!$Q$20*(DF64-1),0)</f>
        <v>0</v>
      </c>
      <c r="ED64" s="889">
        <f>(IF('Options and results'!$C$66&gt;0,IF(DF64&lt;='Options and results'!$W$20,VLOOKUP('Options and results'!$C$66,Treevalue!$A$4:$F$34,6,FALSE),0),0)*DX64)*IF(DF64&gt;='Options and results'!$K$21,'Options and results'!$K$20,1)*IF(1+'Options and results'!$Q$20*(DF64-1)&gt;0,1+'Options and results'!$Q$20*(DF64-1),0)</f>
        <v>0</v>
      </c>
      <c r="EE64" s="740">
        <f>IF(DF64&lt;='Options and results'!$W$20,IF(DL64&lt;=0,0,IF('Options and results'!$C$70="cost",(IF(DF64&lt;='Options and results'!$C$71,FK64*SUM('Options and results'!$C$72:$C$73),0)),IF('Options and results'!$C$68&gt;0,(IF(VLOOKUP('Options and results'!$C$69,Treegrant!$B$6:$L$42,Treegrant!$C$2,FALSE)=DF64,VLOOKUP('Options and results'!$C$69,Treegrant!$B$6:$L$42,Treegrant!$D$2,FALSE),0)+IF(VLOOKUP('Options and results'!$C$69,Treegrant!$B$6:$L$42,Treegrant!$E$2,FALSE)=DF64,VLOOKUP('Options and results'!$C$69,Treegrant!$B$6:$L$42,Treegrant!$F$2,FALSE),0)+IF(VLOOKUP('Options and results'!$C$69,Treegrant!$B$6:$L$42,Treegrant!$G$2,FALSE)=DF64,VLOOKUP('Options and results'!$C$69,Treegrant!$B$6:$L$42,Treegrant!$H$2,FALSE)))*IF('Options and results'!$C$70="area",Unit!C65,'Options and results'!$C$70),0))*IF(DF64&gt;='Options and results'!$K$23,'Options and results'!$K$22,1)),0)*IF(1+'Options and results'!$Q$23*(DF64-1)&gt;0,1+'Options and results'!$Q$23*(DF64-1),0)</f>
        <v>0</v>
      </c>
      <c r="EF64" s="740">
        <f>IF($DG$8=0,0,IF(DF64&lt;='Options and results'!$W$20,IF(DL64&lt;=0,0,IF('Options and results'!$C$68&gt;0,IF(AND(VLOOKUP('Options and results'!$C$69,Treegrant!$B$6:$L$42,Treegrant!$J$2,FALSE)&lt;=DF64,VLOOKUP('Options and results'!$C$69,Treegrant!$B$6:$L$42,Treegrant!$K$2,FALSE)&gt;=DF64),(VLOOKUP('Options and results'!$C$69,Treegrant!$B$6:$L$42,Treegrant!$L$2,FALSE)),0)*IF('Options and results'!$C$74="area",Unit!C65,'Options and results'!$C$74))*IF(DF64&gt;='Options and results'!$K$23,'Options and results'!$K$22,1)),0))*IF(1+'Options and results'!$Q$23*(DF64-1)&gt;0,1+'Options and results'!$Q$23*(DF64-1),0)</f>
        <v>0</v>
      </c>
      <c r="EG64" s="1034">
        <f>IF($DG$8=0,0,IF(DF64&lt;='Options and results'!$W$20,IF(DL64&lt;=0,0,IF('Options and results'!$C$68&gt;0,((IF(AND(VLOOKUP('Options and results'!$C$69,Treegrant!$B$6:$O$42,Treegrant!$M$2,FALSE)&lt;=DF64,VLOOKUP('Options and results'!$C$69,Treegrant!$B$6:$O$42,Treegrant!$N$2,FALSE)&gt;=DF64),(VLOOKUP('Options and results'!$C$69,Treegrant!$B$6:$O$42,Treegrant!$O$2,FALSE)),0)*IF('Options and results'!$C$75="area",Unit!C65,'Options and results'!$C$75))+(IF(AND(VLOOKUP('Options and results'!$C$69,Treegrant!$B$6:$R$42,Treegrant!$P$2,FALSE)&lt;=DF64,VLOOKUP('Options and results'!$C$69,Treegrant!$B$6:$R$42,Treegrant!$Q$2,FALSE)&gt;=DF64),(VLOOKUP('Options and results'!$C$69,Treegrant!$B$6:$R$42,Treegrant!$R$2,FALSE)),0))*IF('Options and results'!$C$76="area",Unit!C65,'Options and results'!$C$76)))*IF(DF64&gt;='Options and results'!$K$23,'Options and results'!$K$22,1)),0))*IF(1+'Options and results'!$Q$23*(DF64-1)&gt;0,1+'Options and results'!$Q$23*(DF64-1),0)</f>
        <v>0</v>
      </c>
      <c r="EH64" s="1041"/>
      <c r="EI64" s="1042"/>
      <c r="EJ64" s="1419">
        <f>IF($DH$8+DK64&lt;1,0,IF(DF64=1,VLOOKUP($DG$8,Treecost!$B$6:$AH$49,Treecost!$E$2,FALSE),0)*IF(DF64&gt;='Options and results'!$K$25,'Options and results'!$K$24,1))</f>
        <v>0</v>
      </c>
      <c r="EK64" s="889">
        <f>IF($DH$8+DK64&lt;1,0,IF(DF64=1,VLOOKUP($DG$8,Treecost!$B$6:$AH$49,Treecost!$F$2,FALSE),0)*IF(DF64&gt;='Options and results'!$K$25,'Options and results'!$K$24,1))</f>
        <v>0</v>
      </c>
      <c r="EL64" s="889">
        <f>IF($DH$8+DK64&lt;1,0,IF(DF64=1,VLOOKUP($DG$8,Treecost!$B$6:$AH$49,Treecost!$G$2,FALSE),0)*IF(DF64&gt;='Options and results'!$K$25,'Options and results'!$K$24,1))</f>
        <v>0</v>
      </c>
      <c r="EM64" s="889">
        <f>IF($DG$8=0,0,IF(DF64&lt;='Options and results'!$W$20,((VLOOKUP($DG$8,Treecost!$B$6:$AH$49,Treecost!$H$2,FALSE)*(DH64+DK64))/60)*IF(DF64&gt;='Options and results'!$K$25,'Options and results'!$K$24,1),0))</f>
        <v>0</v>
      </c>
      <c r="EN64" s="889">
        <f>IF($DG$8=0,0,IF(DF64&lt;='Options and results'!$W$20,(((VLOOKUP($DG$8,Treecost!$B$6:$AH$49,Treecost!$I$2,FALSE))*(DH64+DK64))/60)*IF(DF64&gt;='Options and results'!$K$25,'Options and results'!$K$24,1),0))</f>
        <v>0</v>
      </c>
      <c r="EO64" s="889">
        <f>IF($DG$8=0,0,IF(DF64&lt;='Options and results'!$W$20,(((VLOOKUP($DG$8,Treecost!$B$6:$AH$49,Treecost!$J$2,FALSE))/60)*(DH64+DK64))*IF(DF64&gt;='Options and results'!$K$25,'Options and results'!$K$24,1),0))</f>
        <v>0</v>
      </c>
      <c r="EP64" s="1019">
        <f>IF($DG$8=0,0,IF(DF64&lt;='Options and results'!$W$20,(((VLOOKUP($DG$8,Treecost!$B$6:$AH$49,Treecost!$C$2,FALSE)+VLOOKUP($DG$8,Treecost!$B$6:$AH$49,Treecost!$D$2,FALSE))*(DH64+DK64)*IF(1+'Options and results'!$Q$22*(DF64-1)&gt;0,1+'Options and results'!$Q$22*(DF64-1),0))+(EJ64*$EI$8+EK64*$EI$9+EL64*$EI$10+EM64*$EI$11+EN64*$EI$12+EO64*$EI$13)*IF(1+'Options and results'!$Q$21*(DF64-1)&gt;0,1+'Options and results'!$Q$21*(DF64-1),0))*IF(DF64&gt;='Options and results'!$K$27,'Options and results'!$K$26,1),0))</f>
        <v>0</v>
      </c>
      <c r="EQ64" s="740">
        <f>IF($DG$8=0,0,IF(DF64&lt;='Options and results'!$W$20,IF(AND(VLOOKUP($DG$8,Treecost!$B$6:$AH$49,Treecost!$K$2,FALSE)&lt;=DF64,DF64&lt;=(VLOOKUP($DG$8,Treecost!$B$6:$AH$49,Treecost!$L$2,FALSE))),VLOOKUP($DG$8,Treecost!$B$6:$AH$49,Treecost!$M$2,FALSE)*DL64/60,0)*IF(DF64&gt;='Options and results'!$K$25,'Options and results'!$K$24,1),0))</f>
        <v>0</v>
      </c>
      <c r="ER64" s="1019">
        <f>IF(EQ64&gt;0,(VLOOKUP($DG$8,Treecost!$B$6:$AH$49,Treecost!$N$2,FALSE)*DL64*IF(1+'Options and results'!$Q$22*(DF64-1)&gt;0,1+'Options and results'!$Q$22*(DF64-1),0)+EQ64*$EI$14*IF(1+'Options and results'!$Q$21*(DF64-1)&gt;0,1+'Options and results'!$Q$21*(DF64-1),0)),0)*IF(DF64&gt;='Options and results'!$K$27,'Options and results'!$K$26,1)</f>
        <v>0</v>
      </c>
      <c r="ES64" s="889">
        <f>IF(DF64&lt;='Options and results'!$W$20,IF(AND(DR64-DR63&gt;0,DR64&gt;'Options and results'!$M$64),(DL64-DN64)*(VLOOKUP($DG$8,Treecost!$B$6:$AH$49,Treecost!$Y$2,FALSE)+(VLOOKUP($DG$8,Treecost!$B$6:$AH$49,Treecost!$AA$2,FALSE)-VLOOKUP($DG$8,Treecost!$B$6:$AH$49,Treecost!$Y$2,FALSE))/(VLOOKUP($DG$8,Treecost!$B$6:$AH$49,Treecost!$Z$2,FALSE)-VLOOKUP($DG$8,Treecost!$B$6:$AH$49,Treecost!$X$2,FALSE))*(DR64-VLOOKUP($DG$8,Treecost!$B$6:$AH$49,Treecost!$X$2,FALSE)))/60,0)*IF(DF64&gt;='Options and results'!$K$25,'Options and results'!$K$24,1),0)</f>
        <v>0</v>
      </c>
      <c r="ET64" s="889">
        <f>IF(DF64&lt;='Options and results'!$W$20,IF(ES64&gt;0,VLOOKUP($DG$8,Treecost!$B$6:$AH$49,Treecost!$AB$2,FALSE)/60*DL64,0)*IF(DF64&gt;='Options and results'!$K$25,'Options and results'!$K$24,1),0)*((ES64-(MIN($ES$8:$ES$67)))/((MAX($ES$8:$ES$67))-(MIN($ES$8:$ES$67))))</f>
        <v>0</v>
      </c>
      <c r="EU64" s="740">
        <f>IF(ES64&gt;0,(ES64*$EI$15+ET64*$EI$19)*IF(1+'Options and results'!$Q$21*(DF64-1)&gt;0,1+'Options and results'!$Q$21*(DF64-1),0),0)*IF(DF64&gt;='Options and results'!$K$27,'Options and results'!$K$26,1)</f>
        <v>0</v>
      </c>
      <c r="EV64" s="891">
        <f>IF($DG$8=0,0,IF(DF64&lt;='Options and results'!$W$20,IF(AND(VLOOKUP($DG$8,Treecost!$B$2:$AH$49,Treecost!$O$2,FALSE)=DF64,DF64&lt;=IF(AND(Optimisation!$B$3="Yes",Optimisation!$B$4=1),Optimisation!$B$9)),VLOOKUP($DG$8,Treecost!$B$2:$AH$49,Treecost!$P$2,FALSE)*(1-CN64),0)*IF(DF64&gt;='Options and results'!$K$25,'Options and results'!$K$24,1),0))</f>
        <v>0</v>
      </c>
      <c r="EW64" s="889">
        <f>IF($DG$8=0,0,IF(DF64&lt;='Options and results'!$W$20,IF(AND(DF64&gt;VLOOKUP($DG$8,Treecost!$B$2:$AH$49,Treecost!$O$2,FALSE),DF64&lt;=IF(AND(Optimisation!$B$3="Yes",Optimisation!$B$4=1),Optimisation!$B$9,VLOOKUP($DG$8,Treecost!$B$2:$AH$49,Treecost!$R$2,FALSE))),VLOOKUP($DG$8,Treecost!$B$2:$AH$49,Treecost!$S$2,FALSE)*(1-CN64),0)*IF(DF64&gt;='Options and results'!$K$25,'Options and results'!$K$24,1),0))</f>
        <v>0</v>
      </c>
      <c r="EX64" s="740">
        <f>IF($DG$8=0,0,IF(DF64&lt;='Options and results'!$W$20,(IF(AND(VLOOKUP($DG$8,Treecost!$B$2:$AH$49,Treecost!$O$2,FALSE)=DF64,DF64&lt;=IF(AND(Optimisation!$B$3="Yes",Optimisation!$B$4=1),Optimisation!$B$9)),VLOOKUP($DG$8,Treecost!$B$2:$AH$49,Treecost!$Q$2,FALSE),0)*(1-CN64)+IF(AND(DF64&gt;VLOOKUP($DG$8,Treecost!$B$2:$AH$49,Treecost!$O$2,FALSE),DF64&lt;=IF(AND(Optimisation!$B$3="Yes",Optimisation!$B$4=1),Optimisation!$B$9,VLOOKUP($DG$8,Treecost!$B$2:$AH$49,Treecost!$R$2,FALSE))),VLOOKUP($DG$8,Treecost!$B$2:$AH$49,Treecost!$T$2,FALSE),0)*(1-CN64)+(EV64*$EI$16+EW64*$EI$17))*IF(DF64&gt;='Options and results'!$K$27,'Options and results'!$K$26,1),0))*IF(1+'Options and results'!$Q$21*(DF64-1)&gt;0,1+'Options and results'!$Q$21*(DF64-1),0)</f>
        <v>0</v>
      </c>
      <c r="EY64" s="894">
        <f>IF($DG$8=0,0,IF(DF64&lt;='Options and results'!$W$20,IF(AND(DF64&gt;=VLOOKUP($DG$8,Treecost!$B$2:$W$49,Treecost!$U$2,FALSE),DF64&lt;=VLOOKUP($DG$8,Treecost!$B$2:$W$49,Treecost!$V$2,FALSE)),(DL64*VLOOKUP($DG$8,Treecost!$B$2:$W$49,Treecost!$W$2,FALSE)/60),0)*IF(DF64&gt;='Options and results'!$K$25,'Options and results'!$K$24,1),0))</f>
        <v>0</v>
      </c>
      <c r="EZ64" s="740">
        <f>EY64*$EI$18*IF(DF64&gt;='Options and results'!$K$27,'Options and results'!$K$26,1)*IF(1+'Options and results'!$Q$21*(DF64-1)&gt;0,1+'Options and results'!$Q$21*(DF64-1),0)</f>
        <v>0</v>
      </c>
      <c r="FA64" s="1025">
        <f>IF(DF64&lt;='Options and results'!$W$20,IF(DL64&lt;=0,0,VLOOKUP($DG$8,Treecost!$B$6:$AH$49,Treecost!$AC$2,FALSE)+VLOOKUP($DG$8,Treecost!$B$6:$AH$49,Treecost!$AD$2,FALSE)+IF(AND(DF64&gt;=VLOOKUP($DG$8,Treecost!$B$2:$AK$49,Treecost!$AI$2,FALSE),DF64&lt;=VLOOKUP($DG$8,Treecost!$B$2:$AK$49,Treecost!$AJ$2,FALSE)),VLOOKUP($DG$8,Treecost!$B$2:$AK$49,Treecost!$AK$2,FALSE)*(1-CN64),0))*IF(DF64&gt;='Options and results'!$K$27,'Options and results'!$K$26,1),0)*IF(1+'Options and results'!$Q$22*(DF64-1)&gt;0,1+'Options and results'!$Q$22*(DF64-1),0)</f>
        <v>0</v>
      </c>
      <c r="FB64" s="894">
        <f>IF(DF64&lt;='Options and results'!$W$20,IF(DN64&gt;0,VLOOKUP($DG$8,Treecost!$B$6:$AH$49,Treecost!$AE$2,FALSE)/60*DN64,0)*IF(DF64&gt;='Options and results'!$K$25,'Options and results'!$K$24,1),0)</f>
        <v>0</v>
      </c>
      <c r="FC64" s="740">
        <f>IF(DF64&lt;='Options and results'!$W$20,IF(DN64&gt;0,VLOOKUP($DG$8,Treecost!$B$6:$AH$49,Treecost!$AF$2,FALSE)/60*DN64,0)*IF(DF64&gt;='Options and results'!$K$25,'Options and results'!$K$24,1),0)</f>
        <v>0</v>
      </c>
      <c r="FD64" s="740">
        <f>(FB64*$EI$20+FC64*$EI$21)*IF(DF64&gt;='Options and results'!$K$27,'Options and results'!$K$26,1)*IF(1+'Options and results'!$Q$21*(DF64-1)&gt;0,1+'Options and results'!$Q$21*(DF64-1),0)</f>
        <v>0</v>
      </c>
      <c r="FE64" s="894">
        <f>IF(DF64&lt;='Options and results'!$W$20,IF(DO64&gt;0,(VLOOKUP($DG$8,Treecost!$B$6:$AH$49,Treecost!$AG$2,FALSE)/60*DO64)*IF(DF64&gt;='Options and results'!$K$25,'Options and results'!$K$24,1),0),0)</f>
        <v>0</v>
      </c>
      <c r="FF64" s="740">
        <f>IF(DF64&lt;='Options and results'!$W$20,IF(DO64&gt;0,(VLOOKUP($DG$8,Treecost!$B$6:$AH$49,Treecost!$AH$2,FALSE)/60*DO64)*IF(DF64&gt;='Options and results'!$K$25,'Options and results'!$K$24,1),0),0)</f>
        <v>0</v>
      </c>
      <c r="FG64" s="740">
        <f>(FE64*$EI$22+FF64*$EI$23)*IF(DF64&gt;='Options and results'!$K$27,'Options and results'!$K$26,1)*IF(1+'Options and results'!$Q$21*(DF64-1)&gt;0,1+'Options and results'!$Q$21*(DF64-1),0)</f>
        <v>0</v>
      </c>
      <c r="FH64" s="894">
        <f t="shared" si="157"/>
        <v>0</v>
      </c>
      <c r="FI64" s="1027">
        <f t="shared" si="158"/>
        <v>0</v>
      </c>
      <c r="FJ64" s="1027">
        <f t="shared" si="159"/>
        <v>0</v>
      </c>
      <c r="FK64" s="1027">
        <f t="shared" si="160"/>
        <v>0</v>
      </c>
      <c r="FL64" s="1027">
        <f>FI64-FK64</f>
        <v>0</v>
      </c>
      <c r="FM64" s="1027">
        <f>IF($DF64&lt;='Options and results'!$W$20,SUM(FI$8:$FI64),0)</f>
        <v>0</v>
      </c>
      <c r="FN64" s="1027">
        <f>IF($DF64&lt;='Options and results'!$W$20,SUM($FJ$8:FJ64),0)</f>
        <v>0</v>
      </c>
      <c r="FO64" s="1027">
        <f>IF($DF64&lt;='Options and results'!$W$20,SUM($FK$8:FK64),0)</f>
        <v>0</v>
      </c>
      <c r="FP64" s="1027">
        <f>IF($DF64&lt;='Options and results'!$W$20,FM64+FN64-FO64,0)</f>
        <v>0</v>
      </c>
      <c r="FQ64" s="1027">
        <f t="shared" si="162"/>
        <v>0</v>
      </c>
      <c r="FR64" s="1027">
        <f t="shared" si="163"/>
        <v>0</v>
      </c>
      <c r="FS64" s="1027">
        <f t="shared" si="164"/>
        <v>0</v>
      </c>
      <c r="FT64" s="1189">
        <f>IF(DF64&lt;='Options and results'!$W$20,FP64+DZ64,0)</f>
        <v>0</v>
      </c>
      <c r="FU64" s="401"/>
      <c r="FV64" s="895">
        <f t="shared" si="165"/>
        <v>57</v>
      </c>
      <c r="FW64" s="894">
        <f>G64/(1+'Options and results'!$W$33)^(FV64-1)</f>
        <v>0</v>
      </c>
      <c r="FX64" s="740">
        <f>(AP64+AR64+AS64)/(1+'Options and results'!$W$33)^(FV64-1)</f>
        <v>0</v>
      </c>
      <c r="FY64" s="740">
        <f>CQ64/(1+'Options and results'!$W$33)^(FV64-1)</f>
        <v>0</v>
      </c>
      <c r="FZ64" s="740">
        <f>(EA64+EC64+ED64)/(1+'Options and results'!$W$33)^(FV64-1)</f>
        <v>0</v>
      </c>
      <c r="GA64" s="1019">
        <f t="shared" si="180"/>
        <v>0</v>
      </c>
      <c r="GB64" s="1026">
        <f>(AO64+AQ64)/(1+'Options and results'!$W$33)^(FV64-1)+FX64</f>
        <v>0</v>
      </c>
      <c r="GC64" s="1027">
        <f>IF(FV64&gt;'Options and results'!$W$27,0,GB64-GB63)</f>
        <v>0</v>
      </c>
      <c r="GD64" s="1027">
        <f>(DZ64+EB64)/(1+'Options and results'!$W$33)^(FV64-1)+FZ64</f>
        <v>0</v>
      </c>
      <c r="GE64" s="1379">
        <f>IF(FV64&gt;'Options and results'!$W$27,0,GD64-GD63)</f>
        <v>0</v>
      </c>
      <c r="GF64" s="894">
        <f>IF(FV64&lt;='Options and results'!$W$20,SUM(FW$8:FW64),0)</f>
        <v>0</v>
      </c>
      <c r="GG64" s="740">
        <f>IF(FV64&lt;='Options and results'!$W$20,SUM(FX$8:FX64), 0)</f>
        <v>0</v>
      </c>
      <c r="GH64" s="740">
        <f>IF(FV64&lt;='Options and results'!$W$20,SUM(FY$8:FY64),0)</f>
        <v>0</v>
      </c>
      <c r="GI64" s="740">
        <f>IF(FV64&lt;='Options and results'!$W$20,SUM(FZ$8:FZ64),0)</f>
        <v>0</v>
      </c>
      <c r="GJ64" s="1019">
        <f t="shared" si="166"/>
        <v>0</v>
      </c>
      <c r="GK64" s="894">
        <f>IF(FV64&gt;'Options and results'!$W$27,0,GG64+SUM(GC$8:GC64)-FX64)</f>
        <v>0</v>
      </c>
      <c r="GL64" s="740">
        <f>IF(FV64&lt;='Options and results'!$W$20,SUM(GD$8:GD64),0)</f>
        <v>0</v>
      </c>
      <c r="GM64" s="1034">
        <f t="shared" si="167"/>
        <v>0</v>
      </c>
      <c r="GN64" s="401"/>
      <c r="GO64" s="895">
        <f t="shared" si="168"/>
        <v>57</v>
      </c>
      <c r="GP64" s="894">
        <f>H64/(1+'Options and results'!$W$33)^(GO64-1)</f>
        <v>0</v>
      </c>
      <c r="GQ64" s="740">
        <f>SUM(AT64:AV64)/(1+'Options and results'!$W$33)^(GO64-1)</f>
        <v>0</v>
      </c>
      <c r="GR64" s="740">
        <f>CR64/(1+'Options and results'!$W$33)^(GO64-1)</f>
        <v>0</v>
      </c>
      <c r="GS64" s="740">
        <f>SUM(EE64:EG64)/(1+'Options and results'!$W$33)^(GO64-1)</f>
        <v>0</v>
      </c>
      <c r="GT64" s="1019">
        <f t="shared" si="181"/>
        <v>0</v>
      </c>
      <c r="GU64" s="894">
        <f>IF(GO64&lt;='Options and results'!$W$20,SUM(GP$8:GP64),0)</f>
        <v>0</v>
      </c>
      <c r="GV64" s="740">
        <f>IF(GO64&lt;='Options and results'!$W$20,SUM(GQ$8:GQ64),0)</f>
        <v>0</v>
      </c>
      <c r="GW64" s="740">
        <f>IF(GO64&lt;='Options and results'!$W$20,SUM(GR$8:GR64),0)</f>
        <v>0</v>
      </c>
      <c r="GX64" s="740">
        <f>IF(GO64&lt;='Options and results'!$W$20,SUM(GS$8:GS64),0)</f>
        <v>0</v>
      </c>
      <c r="GY64" s="1034">
        <f>IF(GO64&lt;='Options and results'!$W$20,SUM(GT$8:GT64),0)</f>
        <v>0</v>
      </c>
      <c r="GZ64" s="401"/>
      <c r="HA64" s="895">
        <f t="shared" si="169"/>
        <v>57</v>
      </c>
      <c r="HB64" s="1026">
        <f>(J64+L64+(M64*N64))/(1+'Options and results'!$W$33)^(HA64-1)</f>
        <v>0</v>
      </c>
      <c r="HC64" s="740">
        <f>BZ64/(1+'Options and results'!$W$33)^(HA64-1)</f>
        <v>0</v>
      </c>
      <c r="HD64" s="1027">
        <f>(CT64+CV64+(CW64*CX64))/(1+'Options and results'!$W$33)^(HA64-1)</f>
        <v>0</v>
      </c>
      <c r="HE64" s="740">
        <f>FK64/(1+'Options and results'!$W$33)^(HA64-1)</f>
        <v>0</v>
      </c>
      <c r="HF64" s="1019">
        <f t="shared" si="182"/>
        <v>0</v>
      </c>
      <c r="HG64" s="894">
        <f>IF(HA64&lt;='Options and results'!$W$20,SUM(HB$8:HB64),0)</f>
        <v>0</v>
      </c>
      <c r="HH64" s="740">
        <f>IF(HA64&lt;='Options and results'!$W$20,SUM(HC$8:HC64),0)</f>
        <v>0</v>
      </c>
      <c r="HI64" s="740">
        <f>IF(HA64&lt;='Options and results'!$W$20,SUM(HD$8:HD64),0)</f>
        <v>0</v>
      </c>
      <c r="HJ64" s="740">
        <f>IF(HA64&lt;='Options and results'!$W$20,SUM(HE$8:HE64),0)</f>
        <v>0</v>
      </c>
      <c r="HK64" s="1034">
        <f>IF(HA64&lt;='Options and results'!$W$20,SUM(HF$8:HF64),0)</f>
        <v>0</v>
      </c>
      <c r="HL64" s="405"/>
      <c r="HM64" s="895">
        <f t="shared" si="189"/>
        <v>57</v>
      </c>
      <c r="HN64" s="1026">
        <f t="shared" si="171"/>
        <v>0</v>
      </c>
      <c r="HO64" s="1027">
        <f t="shared" si="172"/>
        <v>0</v>
      </c>
      <c r="HP64" s="1027">
        <f t="shared" si="173"/>
        <v>0</v>
      </c>
      <c r="HQ64" s="1027">
        <f t="shared" si="174"/>
        <v>0</v>
      </c>
      <c r="HR64" s="1027">
        <f t="shared" si="175"/>
        <v>0</v>
      </c>
      <c r="HS64" s="1379">
        <f t="shared" si="176"/>
        <v>0</v>
      </c>
      <c r="HT64" s="1026">
        <f>IF($HM64&lt;='Options and results'!$W$20,SUM(HN$8:HN64),0)</f>
        <v>0</v>
      </c>
      <c r="HU64" s="1027">
        <f>IF($HM64&lt;='Options and results'!$W$20,SUM(HO$8:HO64),0)</f>
        <v>0</v>
      </c>
      <c r="HV64" s="1027">
        <f>IF($HM64&lt;='Options and results'!$W$20,SUM(HP$8:HP64),0)</f>
        <v>0</v>
      </c>
      <c r="HW64" s="1027">
        <f>IF($HM64&lt;='Options and results'!$W$20,SUM(HQ$8:HQ64),0)</f>
        <v>0</v>
      </c>
      <c r="HX64" s="1027">
        <f t="shared" si="177"/>
        <v>0</v>
      </c>
      <c r="HY64" s="1027">
        <f>IF($HM64&lt;='Options and results'!$W$20,SUM(HR$8:HR64),0)</f>
        <v>0</v>
      </c>
      <c r="HZ64" s="1027">
        <f>IF($HM64&lt;='Options and results'!$W$20,SUM(HS$8:HS64),0)</f>
        <v>0</v>
      </c>
      <c r="IA64" s="1189">
        <f t="shared" si="178"/>
        <v>0</v>
      </c>
    </row>
    <row r="65" spans="1:235" x14ac:dyDescent="0.25">
      <c r="A65" s="1010">
        <f t="shared" si="126"/>
        <v>58</v>
      </c>
      <c r="B65" s="1011" t="str">
        <f>IF('Options and results'!$C$17="None",0,CONCATENATE('Options and results'!$C$23," ",(HLOOKUP(CONCATENATE('Options and results'!$C$17," ",Arablesystem!$B$11),Arablesystem!$B$10:$ER$72,$A65+3,FALSE))))</f>
        <v xml:space="preserve">UK - Agriculture (BPS: from 2015) </v>
      </c>
      <c r="C65" s="1012">
        <f>IF(HLOOKUP(CONCATENATE('Options and results'!$C$17," ",Arablesystem!$C$11),Arablesystem!$B$10:$ER$72,$A65+3,FALSE)="T",(VLOOKUP(B65,Arablefinance!$Z$6:$AB$105,Arablefinance!$AB$2,FALSE)*E65+VLOOKUP(B65,Arablefinance!$Z$6:$AC$105,Arablefinance!$AC$2,FALSE)*F65)/VLOOKUP(B65,Arablefinance!$Z$6:$AA$105,Arablefinance!$AA$2,FALSE),0)</f>
        <v>0</v>
      </c>
      <c r="D65" s="1012">
        <f>IF(B65=0,0,HLOOKUP(CONCATENATE('Options and results'!$C$17," ",Arablesystem!$D$11),Arablesystem!$B$10:$ER$72,$A65+3,FALSE))</f>
        <v>0</v>
      </c>
      <c r="E65" s="1440">
        <f>IF(B65=0,0,HLOOKUP(CONCATENATE('Options and results'!$C$17," ",Arablesystem!$E$11),Arablesystem!$B$10:$ER$72,$A65+3,FALSE)*IF(A65&gt;='Options and results'!$H$19,'Options and results'!$H$18,1))</f>
        <v>0</v>
      </c>
      <c r="F65" s="1440">
        <f>IF(B65=0,0,HLOOKUP(CONCATENATE('Options and results'!$C$17," ",Arablesystem!$F$11),Arablesystem!$B$10:$ER$72,$A65+3,FALSE)*IF(A65&gt;='Options and results'!$H$19,'Options and results'!$H$18,1))</f>
        <v>0</v>
      </c>
      <c r="G65" s="1013">
        <f>IF(D65&lt;=0,0,IF(A65&lt;='Options and results'!$W$20,IF(C65&gt;0,VLOOKUP(B65,Arablefinance!$Z$6:$AE$105,Arablefinance!$AD$2,FALSE)*C65*D65,((VLOOKUP(B65,Arablefinance!$E$6:$G$126,Arablefinance!$F$2,FALSE)*(E65*D65)+VLOOKUP(B65,Arablefinance!$E$6:$G$126,Arablefinance!$G$2,FALSE)*(F65*D65)))),0)*IF(A65&gt;='Options and results'!$H$21,'Options and results'!$H$20,1))*IF(1+'Options and results'!$O$20*(A65-1)&gt;0,1+'Options and results'!$O$20*(A65-1),0)</f>
        <v>0</v>
      </c>
      <c r="H65" s="1441">
        <f>IF(D65&lt;=0,0,IF(A65&lt;='Options and results'!$W$20,IF(AND(C65&gt;0,VLOOKUP(B65,Arablefinance!$Z$6:$AI$105,Arablefinance!$AI$2,FALSE)=2),VLOOKUP(B65,Arablefinance!$Z$6:$AE$105,Arablefinance!$AE$2,FALSE)*C65*D65,(VLOOKUP(B65,Arablefinance!$E$6:$H$126,Arablefinance!$H$2,FALSE)*D65))*IF(A65&gt;='Options and results'!$H$23,'Options and results'!$H$22,1),0)*IF(AND(1+'Options and results'!$O$23*(A65-1)&gt;0,1+'Options and results'!$O$23*(A65-1)&gt;'Options and results'!$S$24),1+'Options and results'!$O$23*(A65-1),'Options and results'!$S$24))</f>
        <v>0</v>
      </c>
      <c r="I65" s="1441">
        <f t="shared" si="127"/>
        <v>0</v>
      </c>
      <c r="J65" s="1441">
        <f>IF(D65&lt;=0,0,IF(A65&lt;='Options and results'!$W$20,IF(C65&gt;0,VLOOKUP(B65,Arablefinance!$Z$6:$AF$105,Arablefinance!$AF$2,FALSE)*C65*D65,(VLOOKUP(B65,Arablefinance!$E$6:$X$126,Arablefinance!$R$2,FALSE))*D65),0)*IF(A65&gt;='Options and results'!$H$27,'Options and results'!$H$26,1))*IF(1+'Options and results'!$O$22*(A65-1)&gt;0,1+'Options and results'!$O$22*(A65-1),0)</f>
        <v>0</v>
      </c>
      <c r="K65" s="1441">
        <f t="shared" si="128"/>
        <v>0</v>
      </c>
      <c r="L65" s="1441">
        <f>IF(D65&lt;=0,0,IF(A65&lt;='Options and results'!$W$20,IF(C65&gt;0,VLOOKUP(B65,Arablefinance!$Z$6:$AG$105,Arablefinance!$AG$2,FALSE)*C65*D65,VLOOKUP(B65,Arablefinance!$E$6:$X$126,Arablefinance!$X$2,FALSE)*D65),0)*IF(A65&gt;='Options and results'!$H$27,'Options and results'!$H$26,1))*IF(1+'Options and results'!$O$22*(A65-1)&gt;0,1+'Options and results'!$O$22*(A65-1),0)</f>
        <v>0</v>
      </c>
      <c r="M65" s="1442">
        <f>IF(D65&lt;=0,0,IF(A65&lt;='Options and results'!$W$20,'Options and results'!$C$27,0)*IF(A65&gt;='Options and results'!$H$27,'Options and results'!$H$26,1))*IF(1+'Options and results'!$O$21*(A65-1)&gt;0,1+'Options and results'!$O$21*(A65-1),0)</f>
        <v>0</v>
      </c>
      <c r="N65" s="1442">
        <f>IF(D65&lt;=0,0,IF(A65&lt;='Options and results'!$W$20,IF(C65&gt;0,VLOOKUP(B65,Arablefinance!$Z$6:$AH$105,Arablefinance!$AH$2,FALSE)*C65*D65,VLOOKUP(B65,Arablefinance!$E$6:$W$126,Arablefinance!$V$2,FALSE)*D65),0)*IF(A65&gt;='Options and results'!$H$25,'Options and results'!$H$24,1))</f>
        <v>0</v>
      </c>
      <c r="O65" s="1013">
        <f t="shared" si="129"/>
        <v>0</v>
      </c>
      <c r="P65" s="1353">
        <f t="shared" si="130"/>
        <v>0</v>
      </c>
      <c r="Q65" s="1013">
        <f>IF(A65&lt;='Options and results'!$W$20,SUM(G$8:$G65),0)</f>
        <v>0</v>
      </c>
      <c r="R65" s="1441">
        <f>IF($A65&lt;='Options and results'!$W$20,SUM($H$8:H65),0)</f>
        <v>0</v>
      </c>
      <c r="S65" s="1441">
        <f>IF($A65&lt;='Options and results'!$W$20,SUM($O$8:O65),0)</f>
        <v>0</v>
      </c>
      <c r="T65" s="1032">
        <f>IF(A65&lt;='Options and results'!$W$20,Q65+R65-S65,0)</f>
        <v>0</v>
      </c>
      <c r="U65" s="405"/>
      <c r="V65" s="1010">
        <f t="shared" si="131"/>
        <v>58</v>
      </c>
      <c r="W65" s="173"/>
      <c r="X65" s="1036"/>
      <c r="Y65" s="1030">
        <f>IF(V65&lt;='Options and results'!$M$34,'Options and results'!$M$33,0)</f>
        <v>0</v>
      </c>
      <c r="Z65" s="1441">
        <f t="shared" si="132"/>
        <v>0</v>
      </c>
      <c r="AA65" s="1441">
        <f t="shared" si="133"/>
        <v>0</v>
      </c>
      <c r="AB65" s="1428">
        <f t="shared" si="134"/>
        <v>0</v>
      </c>
      <c r="AC65" s="1441">
        <f>IF($W$8=0,0,IF(HLOOKUP(CONCATENATE('Options and results'!$C$32," ",Forestrysystem!$C$8),Forestrysystem!$A$7:$IH$70,V65+4,FALSE)&lt;AB65,HLOOKUP(CONCATENATE('Options and results'!$C$32," ",Forestrysystem!$C$8),Forestrysystem!$A$7:$IH$70,V65+4,FALSE),0))</f>
        <v>0</v>
      </c>
      <c r="AD65" s="1441">
        <f>IF($W$8=0,0,IF(HLOOKUP(CONCATENATE('Options and results'!$C$32," ",Forestrysystem!$C$8),Forestrysystem!$A$7:$IH$70,V65+4,FALSE)&gt;=AB65,AB65,0))</f>
        <v>0</v>
      </c>
      <c r="AE65" s="1440">
        <f>IF($W$8=0,0,HLOOKUP(CONCATENATE('Options and results'!$C$32," ",Forestrysystem!$D$8),Forestrysystem!$A$7:$IH$70,$V65+4,FALSE))</f>
        <v>0</v>
      </c>
      <c r="AF65" s="1037"/>
      <c r="AG65" s="1440">
        <f>IF($W$8=0,0,IF(V65=1,'Options and results'!$M$36,0)+IF('Options and results'!$M$39="yes",IF(AND(AG64+'Options and results'!$M$37&lt;=$AF$8,AG64+'Options and results'!$M$37+IF(V65=1,'Options and results'!$M$36,0)&lt;='Options and results'!$M$38*AE65),AG64+'Options and results'!$M$37,AG64),(HLOOKUP(CONCATENATE('Options and results'!$C$32," ",Forestrysystem!$E$8),Forestrysystem!$A$7:$IH$70,V65+4,FALSE))-IF(V65=1,'Options and results'!$M$36,0)))</f>
        <v>0</v>
      </c>
      <c r="AH65" s="1442">
        <f>IF(OR($W$8=0,AB65&lt;=0),0,(HLOOKUP(CONCATENATE('Options and results'!$C$32," ",Forestrysystem!$F$8),Forestrysystem!$A$7:$IH$70,$V65+4,FALSE)) * IF(V65&gt;='Options and results'!$I$19,'Options and results'!$I$18,1) )</f>
        <v>0</v>
      </c>
      <c r="AI65" s="1452">
        <f t="shared" si="179"/>
        <v>0</v>
      </c>
      <c r="AJ65" s="1442">
        <f t="shared" si="135"/>
        <v>0</v>
      </c>
      <c r="AK65" s="1453">
        <f>IF(OR($W$8=0,AE65&lt;=0),0,(HLOOKUP(CONCATENATE('Options and results'!$C$32," ",Forestrysystem!$G$8),Forestrysystem!$A$7:$IH$70,$V65+4,FALSE)) * IF(Y65&gt;='Options and results'!$I$19,'Options and results'!$I$18,1) )</f>
        <v>0</v>
      </c>
      <c r="AL65" s="1453">
        <f>IF($W$8=0,0,HLOOKUP(CONCATENATE('Options and results'!$C$32," ",Forestrysystem!$H$8),Forestrysystem!$A$7:$IH$70,$V65+4,FALSE)*IF(V65&gt;='Options and results'!$I$19,'Options and results'!$I$18,1))</f>
        <v>0</v>
      </c>
      <c r="AM65" s="1383">
        <f>IF($W$8=0,0,HLOOKUP(CONCATENATE('Options and results'!$C$32," ",Forestrysystem!$I$8),Forestrysystem!$A$7:$IH$70,$V65+4,FALSE)*IF(V65&gt;='Options and results'!$I$19,'Options and results'!$I$18,1))</f>
        <v>0</v>
      </c>
      <c r="AN65" s="1382">
        <f>IF(AI65&gt;0,HLOOKUP(AI65,Treevalue!$I$4:$BC$34,'Options and results'!$C$39+1),0)*IF(V65&gt;='Options and results'!$I$21,'Options and results'!$I$20,1)*IF(1+'Options and results'!$Q$20*(V65-1)&gt;0,1+'Options and results'!$Q$20*(V65-1),0)</f>
        <v>0</v>
      </c>
      <c r="AO65" s="1454">
        <f t="shared" si="136"/>
        <v>0</v>
      </c>
      <c r="AP65" s="1454">
        <f t="shared" si="187"/>
        <v>0</v>
      </c>
      <c r="AQ65" s="1454">
        <f>(IF('Options and results'!$C$39&gt;0,IF(V65&lt;='Options and results'!$W$20,VLOOKUP('Options and results'!$C$39,Treevalue!$A$4:$F$34,5,FALSE),0),0)*AK65)*IF(V65&gt;='Options and results'!$I$21,'Options and results'!$I$20,1)*IF(1+'Options and results'!$Q$20*(V65-1)&gt;0,1+'Options and results'!$Q$20*(V65-1),0)-AR65</f>
        <v>0</v>
      </c>
      <c r="AR65" s="1441">
        <f>(IF('Options and results'!$C$39&gt;0,IF(V65&lt;='Options and results'!$W$20,VLOOKUP('Options and results'!$C$39,Treevalue!$A$4:$F$34,5,FALSE),0),0)*AL65)*IF(V65&gt;='Options and results'!$I$21,'Options and results'!$I$20,1)*IF(1+'Options and results'!$Q$20*(V65-1)&gt;0,1+'Options and results'!$Q$20*(V65-1),0)</f>
        <v>0</v>
      </c>
      <c r="AS65" s="1441">
        <f>(IF('Options and results'!$C$39&gt;0,IF(V65&lt;='Options and results'!$W$20,VLOOKUP('Options and results'!$C$39,Treevalue!$A$4:$F$34,6,FALSE),0),0)*AM65)*IF(V65&gt;='Options and results'!$I$21,'Options and results'!$I$20,1)*IF(1+'Options and results'!$Q$20*(V65-1)&gt;0,1+'Options and results'!$Q$20*(V65-1),0)</f>
        <v>0</v>
      </c>
      <c r="AT65" s="1441">
        <f>IF(V65&lt;='Options and results'!$W$20,(IF(AB65&lt;=0,0,IF('Options and results'!$C$43="cost",(IF(V65&lt;='Options and results'!$C$44,BZ65*SUM('Options and results'!$C$45:$C$46),0)),IF('Options and results'!$C$41&gt;0,(IF(VLOOKUP('Options and results'!$C$42,Treegrant!$B$6:$L$42,Treegrant!$C$2,FALSE)=V65,VLOOKUP('Options and results'!$C$42,Treegrant!$B$6:$L$42,Treegrant!$D$2,FALSE),0)+IF(VLOOKUP('Options and results'!$C$42,Treegrant!$B$6:$L$42,Treegrant!$E$2,FALSE)=V65,VLOOKUP('Options and results'!$C$42,Treegrant!$B$6:$L$42,Treegrant!$F$2,FALSE),0)+IF(VLOOKUP('Options and results'!$C$42,Treegrant!$B$6:$L$42,Treegrant!$G$2,FALSE)=V65,VLOOKUP('Options and results'!$C$42,Treegrant!$B$6:$L$42,Treegrant!$H$2,FALSE)))*IF('Options and results'!$C$43="area",1,'Options and results'!$C$43),0)))*IF(V65&gt;='Options and results'!$I$23,'Options and results'!$I$22,1)),0)*IF(1+'Options and results'!$Q$23*(V65-1)&gt;0,1+'Options and results'!$Q$23*(V65-1),0)</f>
        <v>0</v>
      </c>
      <c r="AU65" s="1441">
        <f>IF($W$8=0,0,IF(V65&lt;='Options and results'!$W$20,IF(AB65&lt;=0,0,IF('Options and results'!$C$41&gt;0,IF(AND(VLOOKUP('Options and results'!$C$42,Treegrant!$B$6:$L$42,Treegrant!$J$2,FALSE)&lt;=V65,VLOOKUP('Options and results'!$C$42,Treegrant!$B$6:$L$42,Treegrant!$K$2,FALSE)&gt;=V65),(VLOOKUP('Options and results'!$C$42,Treegrant!$B$6:$L$42,Treegrant!$L$2,FALSE)),0)*IF('Options and results'!$C$47="full",1,'Options and results'!$C$47))*IF(V65&gt;='Options and results'!$I$23,'Options and results'!$I$22,1)),0))*IF(1+'Options and results'!$Q$23*(V65-1)&gt;0,1+'Options and results'!$Q$23*(V65-1),0)</f>
        <v>0</v>
      </c>
      <c r="AV65" s="1032">
        <f>IF($W$8=0,0,IF(V65&lt;='Options and results'!$W$20,IF(AB65&lt;=0,0,(IF('Options and results'!$C$41&gt;0,(IF(AND(VLOOKUP('Options and results'!$C$42,Treegrant!$B$6:$O$42,Treegrant!$M$2,FALSE)&lt;=V65,VLOOKUP('Options and results'!$C$42,Treegrant!$B$6:$O$42,Treegrant!$N$2,FALSE)&gt;=V65),(VLOOKUP('Options and results'!$C$42,Treegrant!$B$6:$O$42,Treegrant!$O$2,FALSE)),0)*IF('Options and results'!$C$48="full",1,'Options and results'!$C$48))+(IF(AND(VLOOKUP('Options and results'!$C$42,Treegrant!$B$6:$R$42,Treegrant!$P$2,FALSE)&lt;=V65,VLOOKUP('Options and results'!$C$42,Treegrant!$B$6:$R$42,Treegrant!$Q$2,FALSE)&gt;=V65),(VLOOKUP('Options and results'!$C$42,Treegrant!$B$6:$R$42,Treegrant!$R$2,FALSE)),0))*IF('Options and results'!$C$49="full",1,'Options and results'!$C$49)))*IF(V65&gt;='Options and results'!$I$23,'Options and results'!$I$22,1)),0))*IF(1+'Options and results'!$Q$23*(V65-1)&gt;0,1+'Options and results'!$Q$23*(V65-1),0)</f>
        <v>0</v>
      </c>
      <c r="AW65" s="1041"/>
      <c r="AX65" s="1042"/>
      <c r="AY65" s="1419">
        <f>IF($W$8=0,0,IF(V65=1,VLOOKUP($W$8,Treecost!$B$6:$AH$49,Treecost!$E$2,FALSE),0)*IF(V65&gt;='Options and results'!$I$25,'Options and results'!$I$24,1))</f>
        <v>0</v>
      </c>
      <c r="AZ65" s="889">
        <f>IF($W$8=0,0,IF(V65=1,VLOOKUP($W$8,Treecost!$B$6:$AH$49,Treecost!$F$2,FALSE),0)*IF(V65&gt;='Options and results'!$I$25,'Options and results'!$I$24,1))</f>
        <v>0</v>
      </c>
      <c r="BA65" s="889">
        <f>IF($W$8=0,0,IF(V65=1,VLOOKUP($W$8,Treecost!$B$6:$AH$49,Treecost!$G$2,FALSE),0)*IF(V65&gt;='Options and results'!$I$25,'Options and results'!$I$24,1))</f>
        <v>0</v>
      </c>
      <c r="BB65" s="889">
        <f>IF($W$8=0,0,IF(V65&lt;='Options and results'!$W$20,((VLOOKUP($W$8,Treecost!$B$6:$AH$49,Treecost!$H$2,FALSE)*(X65+AA65))/60)*IF(V65&gt;='Options and results'!$I$25,'Options and results'!$I$24,1),0))</f>
        <v>0</v>
      </c>
      <c r="BC65" s="889">
        <f>IF($W$8=0,0,IF(V65&lt;='Options and results'!$W$20,(((VLOOKUP($W$8,Treecost!$B$6:$AH$49,Treecost!$I$2,FALSE))*(X65+AA65))/60)*IF(V65&gt;='Options and results'!$I$25,'Options and results'!$I$24,1),0))</f>
        <v>0</v>
      </c>
      <c r="BD65" s="889">
        <f>IF($W$8=0,0,IF(V65&lt;='Options and results'!$W$20,(((VLOOKUP($W$8,Treecost!$B$6:$AH$49,Treecost!$J$2,FALSE))/60)*(X65+AA65))*IF(V65&gt;='Options and results'!$I$25,'Options and results'!$I$24,1),0))</f>
        <v>0</v>
      </c>
      <c r="BE65" s="1019">
        <f>IF($W$8=0,0,IF(V65&lt;='Options and results'!$W$20,(((VLOOKUP($W$8,Treecost!$B$6:$AH$49,Treecost!$C$2,FALSE)+VLOOKUP($W$8,Treecost!$B$6:$AH$49,Treecost!$D$2,FALSE))*(X65+AA65)*IF(1+'Options and results'!$Q$22*(V65-1)&gt;0,1+'Options and results'!$Q$22*(V65-1),0))+((AY65*$AX$8+AZ65*$AX$9+BA65*$AX$10+BB65*$AX$11+BC65*$AX$12+BD65*$AX$13)*IF(1+'Options and results'!$Q$21*(V65-1)&gt;0,1+'Options and results'!$Q$21*(V65-1),0)))*IF(V65&gt;='Options and results'!$I$27,'Options and results'!$I$26,1),0))</f>
        <v>0</v>
      </c>
      <c r="BF65" s="889">
        <f>IF($W$8=0,0,IF(V65&lt;='Options and results'!$W$20,IF(AND(VLOOKUP($W$8,Treecost!$B$6:$AH$49,Treecost!$K$2,FALSE)&lt;=V65,V65&lt;=(VLOOKUP($W$8,Treecost!$B$6:$AH$49,Treecost!$L$2,FALSE))),VLOOKUP($W$8,Treecost!$B$6:$AH$49,Treecost!$M$2,FALSE)*AB65/60,0)*IF(V65&gt;='Options and results'!$I$25,'Options and results'!$I$24,1),0))</f>
        <v>0</v>
      </c>
      <c r="BG65" s="1019">
        <f>IF(BF65&gt;0,(VLOOKUP($W$8,Treecost!$B$6:$AH$49,Treecost!$N$2,FALSE)*AB65*IF(1+'Options and results'!$Q$22*(V65-1)&gt;0,1+'Options and results'!$Q$22*(V65-1),0)+BF65*$AX$14*IF(1+'Options and results'!$Q$21*(V65-1)&gt;0,1+'Options and results'!$Q$21*(V65-1),0)),0)*IF(V65&gt;='Options and results'!$I$27,'Options and results'!$I$26,1)</f>
        <v>0</v>
      </c>
      <c r="BH65" s="889">
        <f>IF(V65&lt;='Options and results'!$W$20,IF(AND(AG65-AG64&gt;0,AG65&gt;'Options and results'!$M$36),(AB65-AC65)*(VLOOKUP($W$8,Treecost!$B$6:$AH$49,Treecost!$Y$2,FALSE)+(VLOOKUP($W$8,Treecost!$B$6:$AH$49,Treecost!$AA$2,FALSE)-VLOOKUP($W$8,Treecost!$B$6:$AH$49,Treecost!$Y$2,FALSE))/(VLOOKUP($W$8,Treecost!$B$6:$AH$49,Treecost!$Z$2,FALSE)-VLOOKUP($W$8,Treecost!$B$6:$AH$49,Treecost!$X$2,FALSE))*(AG65-VLOOKUP($W$8,Treecost!$B$6:$AH$49,Treecost!$X$2,FALSE)))/60,0)*IF(V65&gt;='Options and results'!$I$25,'Options and results'!$I$24,1),0)</f>
        <v>0</v>
      </c>
      <c r="BI65" s="303">
        <f>IF(V65&lt;='Options and results'!$W$20,IF(BH65&gt;0,VLOOKUP($W$8,Treecost!$B$6:$AH$49,Treecost!$AB$2,FALSE)/60*AB65,0)*IF(V65&gt;='Options and results'!$I$25,'Options and results'!$I$24,1),0)*((BH65-(MIN($BH$8:$BH$67)))/((MAX($BH$8:$BH$67))-(MIN($BH$8:$BH$67))))</f>
        <v>0</v>
      </c>
      <c r="BJ65" s="740">
        <f>IF(BH65&gt;0,(BH65*$AX$15+BI65*$AX$19)*IF(1+'Options and results'!$Q$21*(V65-1)&gt;0,1+'Options and results'!$Q$21*(V65-1),0),0)*IF(V65&gt;='Options and results'!$I$27,'Options and results'!$I$26,1)</f>
        <v>0</v>
      </c>
      <c r="BK65" s="891">
        <f>IF($W$8=0,0,IF(V65&lt;='Options and results'!$W$20,IF(VLOOKUP($W$8,Treecost!$B$2:$AH$49,Treecost!$O$2,FALSE)=V65,VLOOKUP($W$8,Treecost!$B$2:$AH$49,Treecost!$P$2,FALSE),0)*IF(V65&gt;='Options and results'!$I$25,'Options and results'!$I$24,1),0))</f>
        <v>0</v>
      </c>
      <c r="BL65" s="889">
        <f>IF($W$8=0,0,IF(V65&lt;='Options and results'!$W$20,IF(AND(V65&gt;VLOOKUP($W$8,Treecost!$B$2:$AH$49,Treecost!$O$2,FALSE),V65&lt;=VLOOKUP($W$8,Treecost!$B$2:$AH$49,Treecost!$R$2,FALSE)),VLOOKUP($W$8,Treecost!$B$2:$AH$49,Treecost!$S$2,FALSE),0)*IF(V65&gt;='Options and results'!$I$25,'Options and results'!$I$24,1),0))</f>
        <v>0</v>
      </c>
      <c r="BM65" s="740">
        <f>IF($W$8=0,0,IF(V65&lt;='Options and results'!$W$20,((IF(VLOOKUP($W$8,Treecost!$B$2:$AH$49,Treecost!$O$2,FALSE)=V65,VLOOKUP($W$8,Treecost!$B$2:$AH$49,Treecost!$Q$2,FALSE),0)+IF(AND(V65&gt;VLOOKUP($W$8,Treecost!$B$2:$AH$49,Treecost!$O$2,FALSE),V65&lt;=VLOOKUP($W$8,Treecost!$B$2:$AH$49,Treecost!$R$2,FALSE)),VLOOKUP($W$8,Treecost!$B$2:$AH$49,Treecost!$T$2,FALSE),0)*IF(1+'Options and results'!$Q$22*(V65-1)&gt;0,1+'Options and results'!$Q$22*(V65-1),0))+(BK65*$AX$16+BL65*$AX$17)*IF(1+'Options and results'!$Q$21*(V65-1)&gt;0,1+'Options and results'!$Q$21*(V65-1),0))*IF(V65&gt;='Options and results'!$I$27,'Options and results'!$I$26,1),0))</f>
        <v>0</v>
      </c>
      <c r="BN65" s="894">
        <f>IF($W$8=0,0,IF(V65&lt;='Options and results'!$W$20,IF(AND(V65&gt;=VLOOKUP($W$8,Treecost!$B$2:$W$49,Treecost!$U$2,FALSE),V65&lt;=VLOOKUP($W$8,Treecost!$B$2:$W$49,Treecost!$V$2,FALSE)),(AB65*VLOOKUP($W$8,Treecost!$B$2:$W$49,Treecost!$W$2,FALSE)/60),0)*IF(V65&gt;='Options and results'!$I$25,'Options and results'!$I$24,1),0))</f>
        <v>0</v>
      </c>
      <c r="BO65" s="740">
        <f>BN65*$AX$18*IF(V65&gt;='Options and results'!$I$27,'Options and results'!$I$26,1)*IF(1+'Options and results'!$Q$21*(V65-1)&gt;0,1+'Options and results'!$Q$21*(V65-1),0)</f>
        <v>0</v>
      </c>
      <c r="BP65" s="894">
        <f>IF(V65&lt;='Options and results'!$W$20,IF(AB65&lt;=0,0,VLOOKUP($W$8,Treecost!$B$6:$AH$49,Treecost!$AC$2,FALSE)+VLOOKUP($W$8,Treecost!$B$6:$AH$49,Treecost!$AD$2,FALSE)+IF(AND(V65&gt;=VLOOKUP($W$8,Treecost!$B$2:$AK$49,Treecost!$AI$2,FALSE),V65&lt;=VLOOKUP($W$8,Treecost!$B$2:$AK$49,Treecost!$AJ$2,FALSE)),(VLOOKUP($W$8,Treecost!$B$2:$AK$49,Treecost!$AK$2,FALSE)),0))*IF(V65&gt;='Options and results'!$I$27,'Options and results'!$I$26,1),0)*IF(1+'Options and results'!$Q$22*(V65-1)&gt;0,1+'Options and results'!$Q$22*(V65-1),0)</f>
        <v>0</v>
      </c>
      <c r="BQ65" s="894">
        <f>IF(V65&lt;='Options and results'!$W$20,IF(AC65&gt;0,VLOOKUP($W$8,Treecost!$B$6:$AH$49,Treecost!$AE$2,FALSE)/60*AC65,0)*IF(V65&gt;='Options and results'!$I$25,'Options and results'!$I$24,1),0)</f>
        <v>0</v>
      </c>
      <c r="BR65" s="740">
        <f>IF(V65&lt;='Options and results'!$W$20,IF(AC65&gt;0,VLOOKUP($W$8,Treecost!$B$6:$AH$49,Treecost!$AF$2,FALSE)/60*AC65,0)*IF(V65&gt;='Options and results'!$I$25,'Options and results'!$I$24,1),0)</f>
        <v>0</v>
      </c>
      <c r="BS65" s="740">
        <f>(BQ65*$AX$20+BR65*$AX$21)*IF(V65&gt;='Options and results'!$I$27,'Options and results'!$I$26,1)*IF(1+'Options and results'!$Q$21*(V65-1)&gt;0,1+'Options and results'!$Q$21*(V65-1),0)</f>
        <v>0</v>
      </c>
      <c r="BT65" s="894">
        <f>IF(V65&lt;='Options and results'!$W$20,IF(AD65&gt;0,(VLOOKUP($W$8,Treecost!$B$6:$AH$49,Treecost!$AG$2,FALSE)/60*AD65)*IF(V65&gt;='Options and results'!$I$25,'Options and results'!$I$24,1),0),0)</f>
        <v>0</v>
      </c>
      <c r="BU65" s="740">
        <f>IF(V65&lt;='Options and results'!$W$20,IF(AD65&gt;0,(VLOOKUP($W$8,Treecost!$B$6:$AH$49,Treecost!$AH$2,FALSE)/60*AD65)*IF(V65&gt;='Options and results'!$I$25,'Options and results'!$I$24,1),0),0)</f>
        <v>0</v>
      </c>
      <c r="BV65" s="740">
        <f>(BT65*$AX$22+BU65*$AX$23)*IF(V65&gt;='Options and results'!$I$27,'Options and results'!$I$26,1)*IF(1+'Options and results'!$Q$21*(V65-1)&gt;0,1+'Options and results'!$Q$21*(V65-1),0)</f>
        <v>0</v>
      </c>
      <c r="BW65" s="1033">
        <f t="shared" si="138"/>
        <v>0</v>
      </c>
      <c r="BX65" s="1027">
        <f t="shared" si="139"/>
        <v>0</v>
      </c>
      <c r="BY65" s="1027">
        <f t="shared" si="140"/>
        <v>0</v>
      </c>
      <c r="BZ65" s="740">
        <f t="shared" si="188"/>
        <v>0</v>
      </c>
      <c r="CA65" s="740">
        <f t="shared" si="141"/>
        <v>0</v>
      </c>
      <c r="CB65" s="894">
        <f>IF($V65&lt;='Options and results'!$W$20,SUM(BX$8:$BX65),0)</f>
        <v>0</v>
      </c>
      <c r="CC65" s="740">
        <f>IF($V65&lt;='Options and results'!$W$20,SUM($BY$8:BY65),0)</f>
        <v>0</v>
      </c>
      <c r="CD65" s="740">
        <f>IF($V65&lt;='Options and results'!$W$20,SUM($BZ$8:BZ65),0)</f>
        <v>0</v>
      </c>
      <c r="CE65" s="740">
        <f>IF(V65&lt;='Options and results'!$W$20,CB65+CC65-CD65,0)</f>
        <v>0</v>
      </c>
      <c r="CF65" s="1381">
        <f t="shared" si="142"/>
        <v>0</v>
      </c>
      <c r="CG65" s="1027">
        <f t="shared" si="143"/>
        <v>0</v>
      </c>
      <c r="CH65" s="1027">
        <f t="shared" si="144"/>
        <v>0</v>
      </c>
      <c r="CI65" s="1189">
        <f>IF(V65&lt;='Options and results'!$W$20,CE65+AO65,0)</f>
        <v>0</v>
      </c>
      <c r="CJ65" s="1023"/>
      <c r="CK65" s="895">
        <f t="shared" si="145"/>
        <v>58</v>
      </c>
      <c r="CL65" s="1011" t="str">
        <f>IF('Options and results'!$C$54="None",0,IF(AND(CK65&gt;='Options and results'!$K$57,CK64&lt;'Options and results'!$W$20),'Options and results'!$K$56,IF(Optimisation!$B$3="No",CONCATENATE('Options and results'!$C$60," ",(HLOOKUP(CONCATENATE('Options and results'!$C$54," ",Agroforestrysystem!$B$12),Agroforestrysystem!$B$11:$IM$74,$CK65+4,FALSE))),Optimisation!AA85)))</f>
        <v xml:space="preserve">UK - Agriculture (BPS: from 2015) </v>
      </c>
      <c r="CM65" s="1012">
        <f>IF(HLOOKUP(CONCATENATE('Options and results'!$C$54," ",Agroforestrysystem!$C$12),Agroforestrysystem!$B$11:$IM$74,$CK65+4,FALSE)="T",(VLOOKUP(CL65,Arablefinance!$Z$6:$AB$105,Arablefinance!$AB$2,FALSE)*CO65+VLOOKUP(CL65,Arablefinance!$Z$6:$AC$105,Arablefinance!$AC$2,FALSE)*CP65)/VLOOKUP(CL65,Arablefinance!$Z$6:$AA$105,Arablefinance!$AA$2,FALSE),0)</f>
        <v>0</v>
      </c>
      <c r="CN65" s="1012">
        <f>IF(CL65=0,0,HLOOKUP(CONCATENATE('Options and results'!$C$54," ",Agroforestrysystem!$D$12),Agroforestrysystem!$B$11:$IM$74,$CK65+4,FALSE))</f>
        <v>0</v>
      </c>
      <c r="CO65" s="1440">
        <f ca="1">IF(CL65=0,0,IF(AND(Optimisation!$B$3="yes",Optimisation!$B$4=1,CK65&gt;Optimisation!$B$9),0,HLOOKUP(CONCATENATE('Options and results'!$C$54," ",Agroforestrysystem!$E$12),Agroforestrysystem!$B$11:$IM$74,$CK65+4,FALSE)*IF(CK65&gt;='Options and results'!$J$19,'Options and results'!$J$18,1)))</f>
        <v>0</v>
      </c>
      <c r="CP65" s="1440">
        <f ca="1">IF(CL65=0,0,IF(AND(Optimisation!$B$3="yes",Optimisation!$B$4=1,CK65&gt;Optimisation!$B$9),0,HLOOKUP(CONCATENATE('Options and results'!$C$54," ",Agroforestrysystem!$F$12),Agroforestrysystem!$B$11:$IM$74,$CK65+4,FALSE)*IF(CK65&gt;='Options and results'!$J$19,'Options and results'!$J$18,1)))</f>
        <v>0</v>
      </c>
      <c r="CQ65" s="1013">
        <f>IF(CN65&lt;=0,0,IF(CK65&lt;='Options and results'!$W$20,IF(CM65&gt;0,VLOOKUP(CL65,Arablefinance!$Z$6:$AE$105,Arablefinance!$AD$2,FALSE)*CM65*CN65,((VLOOKUP(CL65,Arablefinance!$E$6:$H$126,2,FALSE)*CO65+VLOOKUP(CL65,Arablefinance!$E$6:$H$126,3,FALSE)*CP65)*CN65)),0)*IF(CK65&gt;='Options and results'!$J$21,'Options and results'!$J$20,1))*IF(1+'Options and results'!$O$20*(CK65-1)&gt;0,1+'Options and results'!$O$20*(CK65-1),0)</f>
        <v>0</v>
      </c>
      <c r="CR65" s="1441">
        <f>IF(CN65&lt;=0,0,IF(AND(CM65&gt;0,VLOOKUP(CL65,Arablefinance!$Z$6:$AI$105,Arablefinance!$AI$2,FALSE)=2),VLOOKUP(CL65,Arablefinance!$Z$6:$AE$105,Arablefinance!$AE$2,FALSE)*CM65*CN65,IF('Options and results'!$C$62&gt;0,IF(VLOOKUP(CL65,Arablefinance!$E$6:$W$126,Arablefinance!$H$2,FALSE)*(1-Plot!DM65*'Options and results'!$C$62)&gt;0,VLOOKUP(CL65,Arablefinance!$E$6:$W$126,Arablefinance!$H$2,FALSE)*(1-Plot!DM65*'Options and results'!$C$62),0),IF(CK65&lt;='Options and results'!$W$20,(VLOOKUP(CL65,Arablefinance!$E$6:$W$126,Arablefinance!$H$2,FALSE)*IF('Options and results'!$C$61="area",CN65,'Options and results'!$C$61)),0)))*IF(CK65&gt;='Options and results'!$J$23,'Options and results'!$J$22,1))*IF(AND(1+'Options and results'!$O$23*(CK65-1)&gt;0,1+'Options and results'!$O$23*(CK65-1)&gt;'Options and results'!$S$24),1+'Options and results'!$O$23*(CK65-1),'Options and results'!$S$24)</f>
        <v>0</v>
      </c>
      <c r="CS65" s="1441">
        <f t="shared" si="185"/>
        <v>0</v>
      </c>
      <c r="CT65" s="1441">
        <f>IF(CN65&lt;=0,0,IF(CK65&lt;='Options and results'!$W$20,IF(CM65&gt;0,VLOOKUP(CL65,Arablefinance!$Z$6:$AF$105,Arablefinance!$AF$2,FALSE)*CM65*CN65,VLOOKUP(CL65,Arablefinance!$E$6:$X$126,Arablefinance!$R$2,FALSE)*CN65),0)*IF(CK65&gt;='Options and results'!$J$27,'Options and results'!$J$26,1))*IF(1+'Options and results'!$O$22*(CK65-1)&gt;0,1+'Options and results'!$O$22*(CK65-1),0)</f>
        <v>0</v>
      </c>
      <c r="CU65" s="1441">
        <f t="shared" si="186"/>
        <v>0</v>
      </c>
      <c r="CV65" s="1441">
        <f>IF(CN65&lt;=0,0,IF(CK65&lt;='Options and results'!$W$20,IF(CM65&gt;0,VLOOKUP(CL65,Arablefinance!$Z$6:$AG$105,Arablefinance!$AG$2,FALSE)*CM65*CN65,VLOOKUP(CL65,Arablefinance!$E$6:$X$126,Arablefinance!$X$2,FALSE)*CN65),0)*IF(CK65&gt;='Options and results'!$J$27,'Options and results'!$J$26,1))*IF(1+'Options and results'!$O$22*(CK65-1)&gt;0,1+'Options and results'!$O$22*(CK65-1),0)</f>
        <v>0</v>
      </c>
      <c r="CW65" s="1442">
        <f>IF(CN65&lt;=0,0,IF(CK65&lt;='Options and results'!$W$20,'Options and results'!$C$27*IF(CK65&gt;='Options and results'!$J$27,'Options and results'!$J$26,1),0))*IF(1+'Options and results'!$O$21*(CK65-1)&gt;0,1+'Options and results'!$O$21*(CK65-1),0)</f>
        <v>0</v>
      </c>
      <c r="CX65" s="1442">
        <f>IF(CN65&lt;=0,0,IF(CK65&lt;='Options and results'!$W$20,IF(CM65&gt;0,VLOOKUP(CL65,Arablefinance!$Z$6:$AH$105,Arablefinance!$AH$2,FALSE)*CM65*CN65,VLOOKUP(CL65,Arablefinance!$E$6:$W$126,Arablefinance!$V$2,FALSE)*CN65),0)*IF(CK65&gt;='Options and results'!$J$25,'Options and results'!$J$24,1))</f>
        <v>0</v>
      </c>
      <c r="CY65" s="1013">
        <f t="shared" si="148"/>
        <v>0</v>
      </c>
      <c r="CZ65" s="1353">
        <f t="shared" si="149"/>
        <v>0</v>
      </c>
      <c r="DA65" s="1013">
        <f>IF($CK65&lt;='Options and results'!$W$20,SUM($CQ$8:CQ65),0)</f>
        <v>0</v>
      </c>
      <c r="DB65" s="1441">
        <f>IF($CK65&lt;='Options and results'!$W$20,SUM($CR$8:CR65),0)</f>
        <v>0</v>
      </c>
      <c r="DC65" s="1441">
        <f>IF($CK65&lt;='Options and results'!$W$20,SUM($CY$8:CY65),0)</f>
        <v>0</v>
      </c>
      <c r="DD65" s="1189">
        <f>IF(CK65&lt;='Options and results'!$W$20,DA65+DB65-DC65,0)</f>
        <v>0</v>
      </c>
      <c r="DE65" s="401"/>
      <c r="DF65" s="895">
        <f t="shared" si="150"/>
        <v>58</v>
      </c>
      <c r="DG65" s="173"/>
      <c r="DH65" s="1422"/>
      <c r="DI65" s="1427">
        <f>IF(DF65&lt;='Options and results'!$M$61,'Options and results'!$M$60,0)</f>
        <v>0</v>
      </c>
      <c r="DJ65" s="740">
        <f t="shared" si="151"/>
        <v>0</v>
      </c>
      <c r="DK65" s="740">
        <f t="shared" si="152"/>
        <v>0</v>
      </c>
      <c r="DL65" s="1428">
        <f t="shared" si="153"/>
        <v>0</v>
      </c>
      <c r="DM65" s="1429">
        <f>IF($DG$8=0,0,HLOOKUP(CONCATENATE('Options and results'!$C$54," ",Agroforestrysystem!$J$12),Agroforestrysystem!$11:$74,DF65+3,FALSE))/100</f>
        <v>0</v>
      </c>
      <c r="DN65" s="740">
        <f>IF($DG$8=0,0,IF(HLOOKUP(CONCATENATE('Options and results'!$C$54," ",Agroforestrysystem!$H$12),Agroforestrysystem!$11:$74,DF65+4,FALSE)&lt;DL65,HLOOKUP(CONCATENATE('Options and results'!$C$54," ",Agroforestrysystem!$H$12),Agroforestrysystem!$11:$74,DF65+4,FALSE),0))</f>
        <v>0</v>
      </c>
      <c r="DO65" s="1027">
        <f>IF($DG$8=0,0,IF(HLOOKUP(CONCATENATE('Options and results'!$C$54," ",Agroforestrysystem!$H$12),Agroforestrysystem!$11:$74,DF65+4,FALSE)&gt;=DL65,DL65,0))</f>
        <v>0</v>
      </c>
      <c r="DP65" s="1430">
        <f>IF($DG$8=0,0,HLOOKUP(CONCATENATE('Options and results'!$C$54," ",Agroforestrysystem!$I$12),Agroforestrysystem!$11:$74,DF65+4,FALSE))</f>
        <v>0</v>
      </c>
      <c r="DQ65" s="1038"/>
      <c r="DR65" s="1430">
        <f>IF($DG$8=0,0,IF(DF65&gt;'Options and results'!$W$20,0,)+IF(DF65=1,'Options and results'!$M$64)+IF('Options and results'!$M$67="yes",IF(AND(DR64+'Options and results'!$M$65&lt;=$DQ$8,DR64+'Options and results'!$M$65+IF(DF65=1,'Options and results'!$M$64,0)&lt;='Options and results'!$M$66*DP65),DR64+'Options and results'!$M$65,DR64),(HLOOKUP(CONCATENATE('Options and results'!$C$54," ",Agroforestrysystem!$K$12),Agroforestrysystem!$11:$74,DF65+4,FALSE)-IF(DF65=1,'Options and results'!$M$64))))</f>
        <v>0</v>
      </c>
      <c r="DS65" s="1027">
        <f>IF(OR($DG$8=0,DL65=0),0,HLOOKUP(CONCATENATE('Options and results'!$C$54," ",Agroforestrysystem!$L$12),Agroforestrysystem!$11:$74,DF65+4,FALSE)*IF(DF65&gt;='Options and results'!$K$19,'Options and results'!$K$18,1))</f>
        <v>0</v>
      </c>
      <c r="DT65" s="1431">
        <f t="shared" si="154"/>
        <v>0</v>
      </c>
      <c r="DU65" s="889">
        <f t="shared" si="155"/>
        <v>0</v>
      </c>
      <c r="DV65" s="1027">
        <f>IF($DG$8=0,0,(HLOOKUP(CONCATENATE('Options and results'!$C$54," ",Agroforestrysystem!$M$12),Agroforestrysystem!$11:$74,DF65+4,FALSE))*IF(DF65&gt;='Options and results'!$K$19,'Options and results'!$K$18,1))-DW65</f>
        <v>0</v>
      </c>
      <c r="DW65" s="303">
        <f>IF($DG$8=0,0,(HLOOKUP(CONCATENATE('Options and results'!$C$54," ",Agroforestrysystem!$N$12),Agroforestrysystem!$11:$74,DF65+4,FALSE))*IF(DF65&gt;='Options and results'!$K$19,'Options and results'!$K$18,1))</f>
        <v>0</v>
      </c>
      <c r="DX65" s="303">
        <f>IF($DG$8=0,0,HLOOKUP(CONCATENATE('Options and results'!$C$54," ",Agroforestrysystem!$O$12),Agroforestrysystem!$11:$74,DF65+4,FALSE)*IF(DF65&gt;='Options and results'!$K$19,'Options and results'!$K$18,1))</f>
        <v>0</v>
      </c>
      <c r="DY65" s="1192">
        <f>IF(DT65&gt;0,HLOOKUP(DT65,Treevalue!$I$4:$BC$34,'Options and results'!$C$66+1),0)*IF(DF65&gt;='Options and results'!$K$21,'Options and results'!$K$20,1)*IF(1+'Options and results'!$Q$20*(DF65-1)&gt;0,1+'Options and results'!$Q$20*(DF65-1),0)</f>
        <v>0</v>
      </c>
      <c r="DZ65" s="1027">
        <f t="shared" si="156"/>
        <v>0</v>
      </c>
      <c r="EA65" s="1027">
        <f t="shared" si="125"/>
        <v>0</v>
      </c>
      <c r="EB65" s="1027">
        <f>(IF('Options and results'!$C$66&gt;0,IF(DF65&lt;='Options and results'!$W$20,VLOOKUP('Options and results'!$C$66,Treevalue!$A$4:$F$34,5,FALSE),0),0)*DV65)*IF(DF65&gt;='Options and results'!$K$21,'Options and results'!$K$20,1)*IF(1+'Options and results'!$Q$20*(DF65-1)&gt;0,1+'Options and results'!$Q$20*(DF65-1),0)</f>
        <v>0</v>
      </c>
      <c r="EC65" s="740">
        <f>(IF('Options and results'!$C$66&gt;0,IF(DF65&lt;='Options and results'!$W$20,VLOOKUP('Options and results'!$C$66,Treevalue!$A$4:$F$34,5,FALSE),0),0)*DW65)*IF(DF65&gt;='Options and results'!$K$21,'Options and results'!$K$20,1)*IF(1+'Options and results'!$Q$20*(DF65-1)&gt;0,1+'Options and results'!$Q$20*(DF65-1),0)</f>
        <v>0</v>
      </c>
      <c r="ED65" s="889">
        <f>(IF('Options and results'!$C$66&gt;0,IF(DF65&lt;='Options and results'!$W$20,VLOOKUP('Options and results'!$C$66,Treevalue!$A$4:$F$34,6,FALSE),0),0)*DX65)*IF(DF65&gt;='Options and results'!$K$21,'Options and results'!$K$20,1)*IF(1+'Options and results'!$Q$20*(DF65-1)&gt;0,1+'Options and results'!$Q$20*(DF65-1),0)</f>
        <v>0</v>
      </c>
      <c r="EE65" s="740">
        <f>IF(DF65&lt;='Options and results'!$W$20,IF(DL65&lt;=0,0,IF('Options and results'!$C$70="cost",(IF(DF65&lt;='Options and results'!$C$71,FK65*SUM('Options and results'!$C$72:$C$73),0)),IF('Options and results'!$C$68&gt;0,(IF(VLOOKUP('Options and results'!$C$69,Treegrant!$B$6:$L$42,Treegrant!$C$2,FALSE)=DF65,VLOOKUP('Options and results'!$C$69,Treegrant!$B$6:$L$42,Treegrant!$D$2,FALSE),0)+IF(VLOOKUP('Options and results'!$C$69,Treegrant!$B$6:$L$42,Treegrant!$E$2,FALSE)=DF65,VLOOKUP('Options and results'!$C$69,Treegrant!$B$6:$L$42,Treegrant!$F$2,FALSE),0)+IF(VLOOKUP('Options and results'!$C$69,Treegrant!$B$6:$L$42,Treegrant!$G$2,FALSE)=DF65,VLOOKUP('Options and results'!$C$69,Treegrant!$B$6:$L$42,Treegrant!$H$2,FALSE)))*IF('Options and results'!$C$70="area",Unit!C66,'Options and results'!$C$70),0))*IF(DF65&gt;='Options and results'!$K$23,'Options and results'!$K$22,1)),0)*IF(1+'Options and results'!$Q$23*(DF65-1)&gt;0,1+'Options and results'!$Q$23*(DF65-1),0)</f>
        <v>0</v>
      </c>
      <c r="EF65" s="740">
        <f>IF($DG$8=0,0,IF(DF65&lt;='Options and results'!$W$20,IF(DL65&lt;=0,0,IF('Options and results'!$C$68&gt;0,IF(AND(VLOOKUP('Options and results'!$C$69,Treegrant!$B$6:$L$42,Treegrant!$J$2,FALSE)&lt;=DF65,VLOOKUP('Options and results'!$C$69,Treegrant!$B$6:$L$42,Treegrant!$K$2,FALSE)&gt;=DF65),(VLOOKUP('Options and results'!$C$69,Treegrant!$B$6:$L$42,Treegrant!$L$2,FALSE)),0)*IF('Options and results'!$C$74="area",Unit!C66,'Options and results'!$C$74))*IF(DF65&gt;='Options and results'!$K$23,'Options and results'!$K$22,1)),0))*IF(1+'Options and results'!$Q$23*(DF65-1)&gt;0,1+'Options and results'!$Q$23*(DF65-1),0)</f>
        <v>0</v>
      </c>
      <c r="EG65" s="1034">
        <f>IF($DG$8=0,0,IF(DF65&lt;='Options and results'!$W$20,IF(DL65&lt;=0,0,IF('Options and results'!$C$68&gt;0,((IF(AND(VLOOKUP('Options and results'!$C$69,Treegrant!$B$6:$O$42,Treegrant!$M$2,FALSE)&lt;=DF65,VLOOKUP('Options and results'!$C$69,Treegrant!$B$6:$O$42,Treegrant!$N$2,FALSE)&gt;=DF65),(VLOOKUP('Options and results'!$C$69,Treegrant!$B$6:$O$42,Treegrant!$O$2,FALSE)),0)*IF('Options and results'!$C$75="area",Unit!C66,'Options and results'!$C$75))+(IF(AND(VLOOKUP('Options and results'!$C$69,Treegrant!$B$6:$R$42,Treegrant!$P$2,FALSE)&lt;=DF65,VLOOKUP('Options and results'!$C$69,Treegrant!$B$6:$R$42,Treegrant!$Q$2,FALSE)&gt;=DF65),(VLOOKUP('Options and results'!$C$69,Treegrant!$B$6:$R$42,Treegrant!$R$2,FALSE)),0))*IF('Options and results'!$C$76="area",Unit!C66,'Options and results'!$C$76)))*IF(DF65&gt;='Options and results'!$K$23,'Options and results'!$K$22,1)),0))*IF(1+'Options and results'!$Q$23*(DF65-1)&gt;0,1+'Options and results'!$Q$23*(DF65-1),0)</f>
        <v>0</v>
      </c>
      <c r="EH65" s="1041"/>
      <c r="EI65" s="1042"/>
      <c r="EJ65" s="1419">
        <f>IF($DH$8+DK65&lt;1,0,IF(DF65=1,VLOOKUP($DG$8,Treecost!$B$6:$AH$49,Treecost!$E$2,FALSE),0)*IF(DF65&gt;='Options and results'!$K$25,'Options and results'!$K$24,1))</f>
        <v>0</v>
      </c>
      <c r="EK65" s="889">
        <f>IF($DH$8+DK65&lt;1,0,IF(DF65=1,VLOOKUP($DG$8,Treecost!$B$6:$AH$49,Treecost!$F$2,FALSE),0)*IF(DF65&gt;='Options and results'!$K$25,'Options and results'!$K$24,1))</f>
        <v>0</v>
      </c>
      <c r="EL65" s="889">
        <f>IF($DH$8+DK65&lt;1,0,IF(DF65=1,VLOOKUP($DG$8,Treecost!$B$6:$AH$49,Treecost!$G$2,FALSE),0)*IF(DF65&gt;='Options and results'!$K$25,'Options and results'!$K$24,1))</f>
        <v>0</v>
      </c>
      <c r="EM65" s="889">
        <f>IF($DG$8=0,0,IF(DF65&lt;='Options and results'!$W$20,((VLOOKUP($DG$8,Treecost!$B$6:$AH$49,Treecost!$H$2,FALSE)*(DH65+DK65))/60)*IF(DF65&gt;='Options and results'!$K$25,'Options and results'!$K$24,1),0))</f>
        <v>0</v>
      </c>
      <c r="EN65" s="889">
        <f>IF($DG$8=0,0,IF(DF65&lt;='Options and results'!$W$20,(((VLOOKUP($DG$8,Treecost!$B$6:$AH$49,Treecost!$I$2,FALSE))*(DH65+DK65))/60)*IF(DF65&gt;='Options and results'!$K$25,'Options and results'!$K$24,1),0))</f>
        <v>0</v>
      </c>
      <c r="EO65" s="889">
        <f>IF($DG$8=0,0,IF(DF65&lt;='Options and results'!$W$20,(((VLOOKUP($DG$8,Treecost!$B$6:$AH$49,Treecost!$J$2,FALSE))/60)*(DH65+DK65))*IF(DF65&gt;='Options and results'!$K$25,'Options and results'!$K$24,1),0))</f>
        <v>0</v>
      </c>
      <c r="EP65" s="1019">
        <f>IF($DG$8=0,0,IF(DF65&lt;='Options and results'!$W$20,(((VLOOKUP($DG$8,Treecost!$B$6:$AH$49,Treecost!$C$2,FALSE)+VLOOKUP($DG$8,Treecost!$B$6:$AH$49,Treecost!$D$2,FALSE))*(DH65+DK65)*IF(1+'Options and results'!$Q$22*(DF65-1)&gt;0,1+'Options and results'!$Q$22*(DF65-1),0))+(EJ65*$EI$8+EK65*$EI$9+EL65*$EI$10+EM65*$EI$11+EN65*$EI$12+EO65*$EI$13)*IF(1+'Options and results'!$Q$21*(DF65-1)&gt;0,1+'Options and results'!$Q$21*(DF65-1),0))*IF(DF65&gt;='Options and results'!$K$27,'Options and results'!$K$26,1),0))</f>
        <v>0</v>
      </c>
      <c r="EQ65" s="740">
        <f>IF($DG$8=0,0,IF(DF65&lt;='Options and results'!$W$20,IF(AND(VLOOKUP($DG$8,Treecost!$B$6:$AH$49,Treecost!$K$2,FALSE)&lt;=DF65,DF65&lt;=(VLOOKUP($DG$8,Treecost!$B$6:$AH$49,Treecost!$L$2,FALSE))),VLOOKUP($DG$8,Treecost!$B$6:$AH$49,Treecost!$M$2,FALSE)*DL65/60,0)*IF(DF65&gt;='Options and results'!$K$25,'Options and results'!$K$24,1),0))</f>
        <v>0</v>
      </c>
      <c r="ER65" s="1019">
        <f>IF(EQ65&gt;0,(VLOOKUP($DG$8,Treecost!$B$6:$AH$49,Treecost!$N$2,FALSE)*DL65*IF(1+'Options and results'!$Q$22*(DF65-1)&gt;0,1+'Options and results'!$Q$22*(DF65-1),0)+EQ65*$EI$14*IF(1+'Options and results'!$Q$21*(DF65-1)&gt;0,1+'Options and results'!$Q$21*(DF65-1),0)),0)*IF(DF65&gt;='Options and results'!$K$27,'Options and results'!$K$26,1)</f>
        <v>0</v>
      </c>
      <c r="ES65" s="889">
        <f>IF(DF65&lt;='Options and results'!$W$20,IF(AND(DR65-DR64&gt;0,DR65&gt;'Options and results'!$M$64),(DL65-DN65)*(VLOOKUP($DG$8,Treecost!$B$6:$AH$49,Treecost!$Y$2,FALSE)+(VLOOKUP($DG$8,Treecost!$B$6:$AH$49,Treecost!$AA$2,FALSE)-VLOOKUP($DG$8,Treecost!$B$6:$AH$49,Treecost!$Y$2,FALSE))/(VLOOKUP($DG$8,Treecost!$B$6:$AH$49,Treecost!$Z$2,FALSE)-VLOOKUP($DG$8,Treecost!$B$6:$AH$49,Treecost!$X$2,FALSE))*(DR65-VLOOKUP($DG$8,Treecost!$B$6:$AH$49,Treecost!$X$2,FALSE)))/60,0)*IF(DF65&gt;='Options and results'!$K$25,'Options and results'!$K$24,1),0)</f>
        <v>0</v>
      </c>
      <c r="ET65" s="889">
        <f>IF(DF65&lt;='Options and results'!$W$20,IF(ES65&gt;0,VLOOKUP($DG$8,Treecost!$B$6:$AH$49,Treecost!$AB$2,FALSE)/60*DL65,0)*IF(DF65&gt;='Options and results'!$K$25,'Options and results'!$K$24,1),0)*((ES65-(MIN($ES$8:$ES$67)))/((MAX($ES$8:$ES$67))-(MIN($ES$8:$ES$67))))</f>
        <v>0</v>
      </c>
      <c r="EU65" s="740">
        <f>IF(ES65&gt;0,(ES65*$EI$15+ET65*$EI$19)*IF(1+'Options and results'!$Q$21*(DF65-1)&gt;0,1+'Options and results'!$Q$21*(DF65-1),0),0)*IF(DF65&gt;='Options and results'!$K$27,'Options and results'!$K$26,1)</f>
        <v>0</v>
      </c>
      <c r="EV65" s="891">
        <f>IF($DG$8=0,0,IF(DF65&lt;='Options and results'!$W$20,IF(AND(VLOOKUP($DG$8,Treecost!$B$2:$AH$49,Treecost!$O$2,FALSE)=DF65,DF65&lt;=IF(AND(Optimisation!$B$3="Yes",Optimisation!$B$4=1),Optimisation!$B$9)),VLOOKUP($DG$8,Treecost!$B$2:$AH$49,Treecost!$P$2,FALSE)*(1-CN65),0)*IF(DF65&gt;='Options and results'!$K$25,'Options and results'!$K$24,1),0))</f>
        <v>0</v>
      </c>
      <c r="EW65" s="889">
        <f>IF($DG$8=0,0,IF(DF65&lt;='Options and results'!$W$20,IF(AND(DF65&gt;VLOOKUP($DG$8,Treecost!$B$2:$AH$49,Treecost!$O$2,FALSE),DF65&lt;=IF(AND(Optimisation!$B$3="Yes",Optimisation!$B$4=1),Optimisation!$B$9,VLOOKUP($DG$8,Treecost!$B$2:$AH$49,Treecost!$R$2,FALSE))),VLOOKUP($DG$8,Treecost!$B$2:$AH$49,Treecost!$S$2,FALSE)*(1-CN65),0)*IF(DF65&gt;='Options and results'!$K$25,'Options and results'!$K$24,1),0))</f>
        <v>0</v>
      </c>
      <c r="EX65" s="740">
        <f>IF($DG$8=0,0,IF(DF65&lt;='Options and results'!$W$20,(IF(AND(VLOOKUP($DG$8,Treecost!$B$2:$AH$49,Treecost!$O$2,FALSE)=DF65,DF65&lt;=IF(AND(Optimisation!$B$3="Yes",Optimisation!$B$4=1),Optimisation!$B$9)),VLOOKUP($DG$8,Treecost!$B$2:$AH$49,Treecost!$Q$2,FALSE),0)*(1-CN65)+IF(AND(DF65&gt;VLOOKUP($DG$8,Treecost!$B$2:$AH$49,Treecost!$O$2,FALSE),DF65&lt;=IF(AND(Optimisation!$B$3="Yes",Optimisation!$B$4=1),Optimisation!$B$9,VLOOKUP($DG$8,Treecost!$B$2:$AH$49,Treecost!$R$2,FALSE))),VLOOKUP($DG$8,Treecost!$B$2:$AH$49,Treecost!$T$2,FALSE),0)*(1-CN65)+(EV65*$EI$16+EW65*$EI$17))*IF(DF65&gt;='Options and results'!$K$27,'Options and results'!$K$26,1),0))*IF(1+'Options and results'!$Q$21*(DF65-1)&gt;0,1+'Options and results'!$Q$21*(DF65-1),0)</f>
        <v>0</v>
      </c>
      <c r="EY65" s="894">
        <f>IF($DG$8=0,0,IF(DF65&lt;='Options and results'!$W$20,IF(AND(DF65&gt;=VLOOKUP($DG$8,Treecost!$B$2:$W$49,Treecost!$U$2,FALSE),DF65&lt;=VLOOKUP($DG$8,Treecost!$B$2:$W$49,Treecost!$V$2,FALSE)),(DL65*VLOOKUP($DG$8,Treecost!$B$2:$W$49,Treecost!$W$2,FALSE)/60),0)*IF(DF65&gt;='Options and results'!$K$25,'Options and results'!$K$24,1),0))</f>
        <v>0</v>
      </c>
      <c r="EZ65" s="740">
        <f>EY65*$EI$18*IF(DF65&gt;='Options and results'!$K$27,'Options and results'!$K$26,1)*IF(1+'Options and results'!$Q$21*(DF65-1)&gt;0,1+'Options and results'!$Q$21*(DF65-1),0)</f>
        <v>0</v>
      </c>
      <c r="FA65" s="1025">
        <f>IF(DF65&lt;='Options and results'!$W$20,IF(DL65&lt;=0,0,VLOOKUP($DG$8,Treecost!$B$6:$AH$49,Treecost!$AC$2,FALSE)+VLOOKUP($DG$8,Treecost!$B$6:$AH$49,Treecost!$AD$2,FALSE)+IF(AND(DF65&gt;=VLOOKUP($DG$8,Treecost!$B$2:$AK$49,Treecost!$AI$2,FALSE),DF65&lt;=VLOOKUP($DG$8,Treecost!$B$2:$AK$49,Treecost!$AJ$2,FALSE)),VLOOKUP($DG$8,Treecost!$B$2:$AK$49,Treecost!$AK$2,FALSE)*(1-CN65),0))*IF(DF65&gt;='Options and results'!$K$27,'Options and results'!$K$26,1),0)*IF(1+'Options and results'!$Q$22*(DF65-1)&gt;0,1+'Options and results'!$Q$22*(DF65-1),0)</f>
        <v>0</v>
      </c>
      <c r="FB65" s="894">
        <f>IF(DF65&lt;='Options and results'!$W$20,IF(DN65&gt;0,VLOOKUP($DG$8,Treecost!$B$6:$AH$49,Treecost!$AE$2,FALSE)/60*DN65,0)*IF(DF65&gt;='Options and results'!$K$25,'Options and results'!$K$24,1),0)</f>
        <v>0</v>
      </c>
      <c r="FC65" s="740">
        <f>IF(DF65&lt;='Options and results'!$W$20,IF(DN65&gt;0,VLOOKUP($DG$8,Treecost!$B$6:$AH$49,Treecost!$AF$2,FALSE)/60*DN65,0)*IF(DF65&gt;='Options and results'!$K$25,'Options and results'!$K$24,1),0)</f>
        <v>0</v>
      </c>
      <c r="FD65" s="740">
        <f>(FB65*$EI$20+FC65*$EI$21)*IF(DF65&gt;='Options and results'!$K$27,'Options and results'!$K$26,1)*IF(1+'Options and results'!$Q$21*(DF65-1)&gt;0,1+'Options and results'!$Q$21*(DF65-1),0)</f>
        <v>0</v>
      </c>
      <c r="FE65" s="894">
        <f>IF(DF65&lt;='Options and results'!$W$20,IF(DO65&gt;0,(VLOOKUP($DG$8,Treecost!$B$6:$AH$49,Treecost!$AG$2,FALSE)/60*DO65)*IF(DF65&gt;='Options and results'!$K$25,'Options and results'!$K$24,1),0),0)</f>
        <v>0</v>
      </c>
      <c r="FF65" s="740">
        <f>IF(DF65&lt;='Options and results'!$W$20,IF(DO65&gt;0,(VLOOKUP($DG$8,Treecost!$B$6:$AH$49,Treecost!$AH$2,FALSE)/60*DO65)*IF(DF65&gt;='Options and results'!$K$25,'Options and results'!$K$24,1),0),0)</f>
        <v>0</v>
      </c>
      <c r="FG65" s="740">
        <f>(FE65*$EI$22+FF65*$EI$23)*IF(DF65&gt;='Options and results'!$K$27,'Options and results'!$K$26,1)*IF(1+'Options and results'!$Q$21*(DF65-1)&gt;0,1+'Options and results'!$Q$21*(DF65-1),0)</f>
        <v>0</v>
      </c>
      <c r="FH65" s="894">
        <f t="shared" si="157"/>
        <v>0</v>
      </c>
      <c r="FI65" s="1027">
        <f t="shared" si="158"/>
        <v>0</v>
      </c>
      <c r="FJ65" s="1027">
        <f t="shared" si="159"/>
        <v>0</v>
      </c>
      <c r="FK65" s="1027">
        <f t="shared" si="160"/>
        <v>0</v>
      </c>
      <c r="FL65" s="1027">
        <f>FI65-FK65</f>
        <v>0</v>
      </c>
      <c r="FM65" s="1027">
        <f>IF($DF65&lt;='Options and results'!$W$20,SUM(FI$8:$FI65),0)</f>
        <v>0</v>
      </c>
      <c r="FN65" s="1027">
        <f>IF($DF65&lt;='Options and results'!$W$20,SUM($FJ$8:FJ65),0)</f>
        <v>0</v>
      </c>
      <c r="FO65" s="1027">
        <f>IF($DF65&lt;='Options and results'!$W$20,SUM($FK$8:FK65),0)</f>
        <v>0</v>
      </c>
      <c r="FP65" s="1027">
        <f>IF($DF65&lt;='Options and results'!$W$20,FM65+FN65-FO65,0)</f>
        <v>0</v>
      </c>
      <c r="FQ65" s="1027">
        <f t="shared" si="162"/>
        <v>0</v>
      </c>
      <c r="FR65" s="1027">
        <f t="shared" si="163"/>
        <v>0</v>
      </c>
      <c r="FS65" s="1027">
        <f t="shared" si="164"/>
        <v>0</v>
      </c>
      <c r="FT65" s="1189">
        <f>IF(DF65&lt;='Options and results'!$W$20,FP65+DZ65,0)</f>
        <v>0</v>
      </c>
      <c r="FU65" s="401"/>
      <c r="FV65" s="895">
        <f t="shared" si="165"/>
        <v>58</v>
      </c>
      <c r="FW65" s="894">
        <f>G65/(1+'Options and results'!$W$33)^(FV65-1)</f>
        <v>0</v>
      </c>
      <c r="FX65" s="740">
        <f>(AP65+AR65+AS65)/(1+'Options and results'!$W$33)^(FV65-1)</f>
        <v>0</v>
      </c>
      <c r="FY65" s="740">
        <f>CQ65/(1+'Options and results'!$W$33)^(FV65-1)</f>
        <v>0</v>
      </c>
      <c r="FZ65" s="740">
        <f>(EA65+EC65+ED65)/(1+'Options and results'!$W$33)^(FV65-1)</f>
        <v>0</v>
      </c>
      <c r="GA65" s="1019">
        <f t="shared" si="180"/>
        <v>0</v>
      </c>
      <c r="GB65" s="1026">
        <f>(AO65+AQ65)/(1+'Options and results'!$W$33)^(FV65-1)+FX65</f>
        <v>0</v>
      </c>
      <c r="GC65" s="1027">
        <f>IF(FV65&gt;'Options and results'!$W$27,0,GB65-GB64)</f>
        <v>0</v>
      </c>
      <c r="GD65" s="1027">
        <f>(DZ65+EB65)/(1+'Options and results'!$W$33)^(FV65-1)+FZ65</f>
        <v>0</v>
      </c>
      <c r="GE65" s="1379">
        <f>IF(FV65&gt;'Options and results'!$W$27,0,GD65-GD64)</f>
        <v>0</v>
      </c>
      <c r="GF65" s="894">
        <f>IF(FV65&lt;='Options and results'!$W$20,SUM(FW$8:FW65),0)</f>
        <v>0</v>
      </c>
      <c r="GG65" s="740">
        <f>IF(FV65&lt;='Options and results'!$W$20,SUM(FX$8:FX65), 0)</f>
        <v>0</v>
      </c>
      <c r="GH65" s="740">
        <f>IF(FV65&lt;='Options and results'!$W$20,SUM(FY$8:FY65),0)</f>
        <v>0</v>
      </c>
      <c r="GI65" s="740">
        <f>IF(FV65&lt;='Options and results'!$W$20,SUM(FZ$8:FZ65),0)</f>
        <v>0</v>
      </c>
      <c r="GJ65" s="1019">
        <f t="shared" si="166"/>
        <v>0</v>
      </c>
      <c r="GK65" s="894">
        <f>IF(FV65&gt;'Options and results'!$W$27,0,GG65+SUM(GC$8:GC65)-FX65)</f>
        <v>0</v>
      </c>
      <c r="GL65" s="740">
        <f>IF(FV65&lt;='Options and results'!$W$20,SUM(GD$8:GD65),0)</f>
        <v>0</v>
      </c>
      <c r="GM65" s="1034">
        <f t="shared" si="167"/>
        <v>0</v>
      </c>
      <c r="GN65" s="401"/>
      <c r="GO65" s="895">
        <f t="shared" si="168"/>
        <v>58</v>
      </c>
      <c r="GP65" s="894">
        <f>H65/(1+'Options and results'!$W$33)^(GO65-1)</f>
        <v>0</v>
      </c>
      <c r="GQ65" s="740">
        <f>SUM(AT65:AV65)/(1+'Options and results'!$W$33)^(GO65-1)</f>
        <v>0</v>
      </c>
      <c r="GR65" s="740">
        <f>CR65/(1+'Options and results'!$W$33)^(GO65-1)</f>
        <v>0</v>
      </c>
      <c r="GS65" s="740">
        <f>SUM(EE65:EG65)/(1+'Options and results'!$W$33)^(GO65-1)</f>
        <v>0</v>
      </c>
      <c r="GT65" s="1019">
        <f t="shared" si="181"/>
        <v>0</v>
      </c>
      <c r="GU65" s="894">
        <f>IF(GO65&lt;='Options and results'!$W$20,SUM(GP$8:GP65),0)</f>
        <v>0</v>
      </c>
      <c r="GV65" s="740">
        <f>IF(GO65&lt;='Options and results'!$W$20,SUM(GQ$8:GQ65),0)</f>
        <v>0</v>
      </c>
      <c r="GW65" s="740">
        <f>IF(GO65&lt;='Options and results'!$W$20,SUM(GR$8:GR65),0)</f>
        <v>0</v>
      </c>
      <c r="GX65" s="740">
        <f>IF(GO65&lt;='Options and results'!$W$20,SUM(GS$8:GS65),0)</f>
        <v>0</v>
      </c>
      <c r="GY65" s="1034">
        <f>IF(GO65&lt;='Options and results'!$W$20,SUM(GT$8:GT65),0)</f>
        <v>0</v>
      </c>
      <c r="GZ65" s="401"/>
      <c r="HA65" s="895">
        <f t="shared" si="169"/>
        <v>58</v>
      </c>
      <c r="HB65" s="1026">
        <f>(J65+L65+(M65*N65))/(1+'Options and results'!$W$33)^(HA65-1)</f>
        <v>0</v>
      </c>
      <c r="HC65" s="740">
        <f>BZ65/(1+'Options and results'!$W$33)^(HA65-1)</f>
        <v>0</v>
      </c>
      <c r="HD65" s="1027">
        <f>(CT65+CV65+(CW65*CX65))/(1+'Options and results'!$W$33)^(HA65-1)</f>
        <v>0</v>
      </c>
      <c r="HE65" s="740">
        <f>FK65/(1+'Options and results'!$W$33)^(HA65-1)</f>
        <v>0</v>
      </c>
      <c r="HF65" s="1019">
        <f t="shared" si="182"/>
        <v>0</v>
      </c>
      <c r="HG65" s="894">
        <f>IF(HA65&lt;='Options and results'!$W$20,SUM(HB$8:HB65),0)</f>
        <v>0</v>
      </c>
      <c r="HH65" s="740">
        <f>IF(HA65&lt;='Options and results'!$W$20,SUM(HC$8:HC65),0)</f>
        <v>0</v>
      </c>
      <c r="HI65" s="740">
        <f>IF(HA65&lt;='Options and results'!$W$20,SUM(HD$8:HD65),0)</f>
        <v>0</v>
      </c>
      <c r="HJ65" s="740">
        <f>IF(HA65&lt;='Options and results'!$W$20,SUM(HE$8:HE65),0)</f>
        <v>0</v>
      </c>
      <c r="HK65" s="1034">
        <f>IF(HA65&lt;='Options and results'!$W$20,SUM(HF$8:HF65),0)</f>
        <v>0</v>
      </c>
      <c r="HL65" s="405"/>
      <c r="HM65" s="895">
        <f t="shared" si="189"/>
        <v>58</v>
      </c>
      <c r="HN65" s="1026">
        <f t="shared" si="171"/>
        <v>0</v>
      </c>
      <c r="HO65" s="1027">
        <f t="shared" si="172"/>
        <v>0</v>
      </c>
      <c r="HP65" s="1027">
        <f t="shared" si="173"/>
        <v>0</v>
      </c>
      <c r="HQ65" s="1027">
        <f t="shared" si="174"/>
        <v>0</v>
      </c>
      <c r="HR65" s="1027">
        <f t="shared" si="175"/>
        <v>0</v>
      </c>
      <c r="HS65" s="1379">
        <f t="shared" si="176"/>
        <v>0</v>
      </c>
      <c r="HT65" s="1026">
        <f>IF($HM65&lt;='Options and results'!$W$20,SUM(HN$8:HN65),0)</f>
        <v>0</v>
      </c>
      <c r="HU65" s="1027">
        <f>IF($HM65&lt;='Options and results'!$W$20,SUM(HO$8:HO65),0)</f>
        <v>0</v>
      </c>
      <c r="HV65" s="1027">
        <f>IF($HM65&lt;='Options and results'!$W$20,SUM(HP$8:HP65),0)</f>
        <v>0</v>
      </c>
      <c r="HW65" s="1027">
        <f>IF($HM65&lt;='Options and results'!$W$20,SUM(HQ$8:HQ65),0)</f>
        <v>0</v>
      </c>
      <c r="HX65" s="1027">
        <f t="shared" si="177"/>
        <v>0</v>
      </c>
      <c r="HY65" s="1027">
        <f>IF($HM65&lt;='Options and results'!$W$20,SUM(HR$8:HR65),0)</f>
        <v>0</v>
      </c>
      <c r="HZ65" s="1027">
        <f>IF($HM65&lt;='Options and results'!$W$20,SUM(HS$8:HS65),0)</f>
        <v>0</v>
      </c>
      <c r="IA65" s="1189">
        <f t="shared" si="178"/>
        <v>0</v>
      </c>
    </row>
    <row r="66" spans="1:235" x14ac:dyDescent="0.25">
      <c r="A66" s="1010">
        <f t="shared" si="126"/>
        <v>59</v>
      </c>
      <c r="B66" s="1011" t="str">
        <f>IF('Options and results'!$C$17="None",0,CONCATENATE('Options and results'!$C$23," ",(HLOOKUP(CONCATENATE('Options and results'!$C$17," ",Arablesystem!$B$11),Arablesystem!$B$10:$ER$72,$A66+3,FALSE))))</f>
        <v xml:space="preserve">UK - Agriculture (BPS: from 2015) </v>
      </c>
      <c r="C66" s="1012">
        <f>IF(HLOOKUP(CONCATENATE('Options and results'!$C$17," ",Arablesystem!$C$11),Arablesystem!$B$10:$ER$72,$A66+3,FALSE)="T",(VLOOKUP(B66,Arablefinance!$Z$6:$AB$105,Arablefinance!$AB$2,FALSE)*E66+VLOOKUP(B66,Arablefinance!$Z$6:$AC$105,Arablefinance!$AC$2,FALSE)*F66)/VLOOKUP(B66,Arablefinance!$Z$6:$AA$105,Arablefinance!$AA$2,FALSE),0)</f>
        <v>0</v>
      </c>
      <c r="D66" s="1012">
        <f>IF(B66=0,0,HLOOKUP(CONCATENATE('Options and results'!$C$17," ",Arablesystem!$D$11),Arablesystem!$B$10:$ER$72,$A66+3,FALSE))</f>
        <v>0</v>
      </c>
      <c r="E66" s="1440">
        <f>IF(B66=0,0,HLOOKUP(CONCATENATE('Options and results'!$C$17," ",Arablesystem!$E$11),Arablesystem!$B$10:$ER$72,$A66+3,FALSE)*IF(A66&gt;='Options and results'!$H$19,'Options and results'!$H$18,1))</f>
        <v>0</v>
      </c>
      <c r="F66" s="1440">
        <f>IF(B66=0,0,HLOOKUP(CONCATENATE('Options and results'!$C$17," ",Arablesystem!$F$11),Arablesystem!$B$10:$ER$72,$A66+3,FALSE)*IF(A66&gt;='Options and results'!$H$19,'Options and results'!$H$18,1))</f>
        <v>0</v>
      </c>
      <c r="G66" s="1013">
        <f>IF(D66&lt;=0,0,IF(A66&lt;='Options and results'!$W$20,IF(C66&gt;0,VLOOKUP(B66,Arablefinance!$Z$6:$AE$105,Arablefinance!$AD$2,FALSE)*C66*D66,((VLOOKUP(B66,Arablefinance!$E$6:$G$126,Arablefinance!$F$2,FALSE)*(E66*D66)+VLOOKUP(B66,Arablefinance!$E$6:$G$126,Arablefinance!$G$2,FALSE)*(F66*D66)))),0)*IF(A66&gt;='Options and results'!$H$21,'Options and results'!$H$20,1))*IF(1+'Options and results'!$O$20*(A66-1)&gt;0,1+'Options and results'!$O$20*(A66-1),0)</f>
        <v>0</v>
      </c>
      <c r="H66" s="1441">
        <f>IF(D66&lt;=0,0,IF(A66&lt;='Options and results'!$W$20,IF(AND(C66&gt;0,VLOOKUP(B66,Arablefinance!$Z$6:$AI$105,Arablefinance!$AI$2,FALSE)=2),VLOOKUP(B66,Arablefinance!$Z$6:$AE$105,Arablefinance!$AE$2,FALSE)*C66*D66,(VLOOKUP(B66,Arablefinance!$E$6:$H$126,Arablefinance!$H$2,FALSE)*D66))*IF(A66&gt;='Options and results'!$H$23,'Options and results'!$H$22,1),0)*IF(AND(1+'Options and results'!$O$23*(A66-1)&gt;0,1+'Options and results'!$O$23*(A66-1)&gt;'Options and results'!$S$24),1+'Options and results'!$O$23*(A66-1),'Options and results'!$S$24))</f>
        <v>0</v>
      </c>
      <c r="I66" s="1441">
        <f t="shared" si="127"/>
        <v>0</v>
      </c>
      <c r="J66" s="1441">
        <f>IF(D66&lt;=0,0,IF(A66&lt;='Options and results'!$W$20,IF(C66&gt;0,VLOOKUP(B66,Arablefinance!$Z$6:$AF$105,Arablefinance!$AF$2,FALSE)*C66*D66,(VLOOKUP(B66,Arablefinance!$E$6:$X$126,Arablefinance!$R$2,FALSE))*D66),0)*IF(A66&gt;='Options and results'!$H$27,'Options and results'!$H$26,1))*IF(1+'Options and results'!$O$22*(A66-1)&gt;0,1+'Options and results'!$O$22*(A66-1),0)</f>
        <v>0</v>
      </c>
      <c r="K66" s="1441">
        <f t="shared" si="128"/>
        <v>0</v>
      </c>
      <c r="L66" s="1441">
        <f>IF(D66&lt;=0,0,IF(A66&lt;='Options and results'!$W$20,IF(C66&gt;0,VLOOKUP(B66,Arablefinance!$Z$6:$AG$105,Arablefinance!$AG$2,FALSE)*C66*D66,VLOOKUP(B66,Arablefinance!$E$6:$X$126,Arablefinance!$X$2,FALSE)*D66),0)*IF(A66&gt;='Options and results'!$H$27,'Options and results'!$H$26,1))*IF(1+'Options and results'!$O$22*(A66-1)&gt;0,1+'Options and results'!$O$22*(A66-1),0)</f>
        <v>0</v>
      </c>
      <c r="M66" s="1442">
        <f>IF(D66&lt;=0,0,IF(A66&lt;='Options and results'!$W$20,'Options and results'!$C$27,0)*IF(A66&gt;='Options and results'!$H$27,'Options and results'!$H$26,1))*IF(1+'Options and results'!$O$21*(A66-1)&gt;0,1+'Options and results'!$O$21*(A66-1),0)</f>
        <v>0</v>
      </c>
      <c r="N66" s="1442">
        <f>IF(D66&lt;=0,0,IF(A66&lt;='Options and results'!$W$20,IF(C66&gt;0,VLOOKUP(B66,Arablefinance!$Z$6:$AH$105,Arablefinance!$AH$2,FALSE)*C66*D66,VLOOKUP(B66,Arablefinance!$E$6:$W$126,Arablefinance!$V$2,FALSE)*D66),0)*IF(A66&gt;='Options and results'!$H$25,'Options and results'!$H$24,1))</f>
        <v>0</v>
      </c>
      <c r="O66" s="1013">
        <f t="shared" si="129"/>
        <v>0</v>
      </c>
      <c r="P66" s="1353">
        <f t="shared" si="130"/>
        <v>0</v>
      </c>
      <c r="Q66" s="1013">
        <f>IF(A66&lt;='Options and results'!$W$20,SUM(G$8:$G66),0)</f>
        <v>0</v>
      </c>
      <c r="R66" s="1441">
        <f>IF($A66&lt;='Options and results'!$W$20,SUM($H$8:H66),0)</f>
        <v>0</v>
      </c>
      <c r="S66" s="1441">
        <f>IF($A66&lt;='Options and results'!$W$20,SUM($O$8:O66),0)</f>
        <v>0</v>
      </c>
      <c r="T66" s="1032">
        <f>IF(A66&lt;='Options and results'!$W$20,Q66+R66-S66,0)</f>
        <v>0</v>
      </c>
      <c r="U66" s="405"/>
      <c r="V66" s="1010">
        <f t="shared" si="131"/>
        <v>59</v>
      </c>
      <c r="W66" s="173"/>
      <c r="X66" s="1036"/>
      <c r="Y66" s="1030">
        <f>IF(V66&lt;='Options and results'!$M$34,'Options and results'!$M$33,0)</f>
        <v>0</v>
      </c>
      <c r="Z66" s="1441">
        <f t="shared" si="132"/>
        <v>0</v>
      </c>
      <c r="AA66" s="1441">
        <f t="shared" si="133"/>
        <v>0</v>
      </c>
      <c r="AB66" s="1428">
        <f t="shared" si="134"/>
        <v>0</v>
      </c>
      <c r="AC66" s="1441">
        <f>IF($W$8=0,0,IF(HLOOKUP(CONCATENATE('Options and results'!$C$32," ",Forestrysystem!$C$8),Forestrysystem!$A$7:$IH$70,V66+4,FALSE)&lt;AB66,HLOOKUP(CONCATENATE('Options and results'!$C$32," ",Forestrysystem!$C$8),Forestrysystem!$A$7:$IH$70,V66+4,FALSE),0))</f>
        <v>0</v>
      </c>
      <c r="AD66" s="1441">
        <f>IF($W$8=0,0,IF(HLOOKUP(CONCATENATE('Options and results'!$C$32," ",Forestrysystem!$C$8),Forestrysystem!$A$7:$IH$70,V66+4,FALSE)&gt;=AB66,AB66,0))</f>
        <v>0</v>
      </c>
      <c r="AE66" s="1440">
        <f>IF($W$8=0,0,HLOOKUP(CONCATENATE('Options and results'!$C$32," ",Forestrysystem!$D$8),Forestrysystem!$A$7:$IH$70,$V66+4,FALSE))</f>
        <v>0</v>
      </c>
      <c r="AF66" s="1037"/>
      <c r="AG66" s="1440">
        <f>IF($W$8=0,0,IF(V66=1,'Options and results'!$M$36,0)+IF('Options and results'!$M$39="yes",IF(AND(AG65+'Options and results'!$M$37&lt;=$AF$8,AG65+'Options and results'!$M$37+IF(V66=1,'Options and results'!$M$36,0)&lt;='Options and results'!$M$38*AE66),AG65+'Options and results'!$M$37,AG65),(HLOOKUP(CONCATENATE('Options and results'!$C$32," ",Forestrysystem!$E$8),Forestrysystem!$A$7:$IH$70,V66+4,FALSE))-IF(V66=1,'Options and results'!$M$36,0)))</f>
        <v>0</v>
      </c>
      <c r="AH66" s="1442">
        <f>IF(OR($W$8=0,AB66&lt;=0),0,(HLOOKUP(CONCATENATE('Options and results'!$C$32," ",Forestrysystem!$F$8),Forestrysystem!$A$7:$IH$70,$V66+4,FALSE)) * IF(V66&gt;='Options and results'!$I$19,'Options and results'!$I$18,1) )</f>
        <v>0</v>
      </c>
      <c r="AI66" s="1452">
        <f t="shared" si="179"/>
        <v>0</v>
      </c>
      <c r="AJ66" s="1442">
        <f t="shared" si="135"/>
        <v>0</v>
      </c>
      <c r="AK66" s="1453">
        <f>IF(OR($W$8=0,AE66&lt;=0),0,(HLOOKUP(CONCATENATE('Options and results'!$C$32," ",Forestrysystem!$G$8),Forestrysystem!$A$7:$IH$70,$V66+4,FALSE)) * IF(Y66&gt;='Options and results'!$I$19,'Options and results'!$I$18,1) )</f>
        <v>0</v>
      </c>
      <c r="AL66" s="1453">
        <f>IF($W$8=0,0,HLOOKUP(CONCATENATE('Options and results'!$C$32," ",Forestrysystem!$H$8),Forestrysystem!$A$7:$IH$70,$V66+4,FALSE)*IF(V66&gt;='Options and results'!$I$19,'Options and results'!$I$18,1))</f>
        <v>0</v>
      </c>
      <c r="AM66" s="1383">
        <f>IF($W$8=0,0,HLOOKUP(CONCATENATE('Options and results'!$C$32," ",Forestrysystem!$I$8),Forestrysystem!$A$7:$IH$70,$V66+4,FALSE)*IF(V66&gt;='Options and results'!$I$19,'Options and results'!$I$18,1))</f>
        <v>0</v>
      </c>
      <c r="AN66" s="1382">
        <f>IF(AI66&gt;0,HLOOKUP(AI66,Treevalue!$I$4:$BC$34,'Options and results'!$C$39+1),0)*IF(V66&gt;='Options and results'!$I$21,'Options and results'!$I$20,1)*IF(1+'Options and results'!$Q$20*(V66-1)&gt;0,1+'Options and results'!$Q$20*(V66-1),0)</f>
        <v>0</v>
      </c>
      <c r="AO66" s="1454">
        <f t="shared" si="136"/>
        <v>0</v>
      </c>
      <c r="AP66" s="1454">
        <f t="shared" si="187"/>
        <v>0</v>
      </c>
      <c r="AQ66" s="1454">
        <f>(IF('Options and results'!$C$39&gt;0,IF(V66&lt;='Options and results'!$W$20,VLOOKUP('Options and results'!$C$39,Treevalue!$A$4:$F$34,5,FALSE),0),0)*AK66)*IF(V66&gt;='Options and results'!$I$21,'Options and results'!$I$20,1)*IF(1+'Options and results'!$Q$20*(V66-1)&gt;0,1+'Options and results'!$Q$20*(V66-1),0)-AR66</f>
        <v>0</v>
      </c>
      <c r="AR66" s="1441">
        <f>(IF('Options and results'!$C$39&gt;0,IF(V66&lt;='Options and results'!$W$20,VLOOKUP('Options and results'!$C$39,Treevalue!$A$4:$F$34,5,FALSE),0),0)*AL66)*IF(V66&gt;='Options and results'!$I$21,'Options and results'!$I$20,1)*IF(1+'Options and results'!$Q$20*(V66-1)&gt;0,1+'Options and results'!$Q$20*(V66-1),0)</f>
        <v>0</v>
      </c>
      <c r="AS66" s="1441">
        <f>(IF('Options and results'!$C$39&gt;0,IF(V66&lt;='Options and results'!$W$20,VLOOKUP('Options and results'!$C$39,Treevalue!$A$4:$F$34,6,FALSE),0),0)*AM66)*IF(V66&gt;='Options and results'!$I$21,'Options and results'!$I$20,1)*IF(1+'Options and results'!$Q$20*(V66-1)&gt;0,1+'Options and results'!$Q$20*(V66-1),0)</f>
        <v>0</v>
      </c>
      <c r="AT66" s="1441">
        <f>IF(V66&lt;='Options and results'!$W$20,(IF(AB66&lt;=0,0,IF('Options and results'!$C$43="cost",(IF(V66&lt;='Options and results'!$C$44,BZ66*SUM('Options and results'!$C$45:$C$46),0)),IF('Options and results'!$C$41&gt;0,(IF(VLOOKUP('Options and results'!$C$42,Treegrant!$B$6:$L$42,Treegrant!$C$2,FALSE)=V66,VLOOKUP('Options and results'!$C$42,Treegrant!$B$6:$L$42,Treegrant!$D$2,FALSE),0)+IF(VLOOKUP('Options and results'!$C$42,Treegrant!$B$6:$L$42,Treegrant!$E$2,FALSE)=V66,VLOOKUP('Options and results'!$C$42,Treegrant!$B$6:$L$42,Treegrant!$F$2,FALSE),0)+IF(VLOOKUP('Options and results'!$C$42,Treegrant!$B$6:$L$42,Treegrant!$G$2,FALSE)=V66,VLOOKUP('Options and results'!$C$42,Treegrant!$B$6:$L$42,Treegrant!$H$2,FALSE)))*IF('Options and results'!$C$43="area",1,'Options and results'!$C$43),0)))*IF(V66&gt;='Options and results'!$I$23,'Options and results'!$I$22,1)),0)*IF(1+'Options and results'!$Q$23*(V66-1)&gt;0,1+'Options and results'!$Q$23*(V66-1),0)</f>
        <v>0</v>
      </c>
      <c r="AU66" s="1441">
        <f>IF($W$8=0,0,IF(V66&lt;='Options and results'!$W$20,IF(AB66&lt;=0,0,IF('Options and results'!$C$41&gt;0,IF(AND(VLOOKUP('Options and results'!$C$42,Treegrant!$B$6:$L$42,Treegrant!$J$2,FALSE)&lt;=V66,VLOOKUP('Options and results'!$C$42,Treegrant!$B$6:$L$42,Treegrant!$K$2,FALSE)&gt;=V66),(VLOOKUP('Options and results'!$C$42,Treegrant!$B$6:$L$42,Treegrant!$L$2,FALSE)),0)*IF('Options and results'!$C$47="full",1,'Options and results'!$C$47))*IF(V66&gt;='Options and results'!$I$23,'Options and results'!$I$22,1)),0))*IF(1+'Options and results'!$Q$23*(V66-1)&gt;0,1+'Options and results'!$Q$23*(V66-1),0)</f>
        <v>0</v>
      </c>
      <c r="AV66" s="1032">
        <f>IF($W$8=0,0,IF(V66&lt;='Options and results'!$W$20,IF(AB66&lt;=0,0,(IF('Options and results'!$C$41&gt;0,(IF(AND(VLOOKUP('Options and results'!$C$42,Treegrant!$B$6:$O$42,Treegrant!$M$2,FALSE)&lt;=V66,VLOOKUP('Options and results'!$C$42,Treegrant!$B$6:$O$42,Treegrant!$N$2,FALSE)&gt;=V66),(VLOOKUP('Options and results'!$C$42,Treegrant!$B$6:$O$42,Treegrant!$O$2,FALSE)),0)*IF('Options and results'!$C$48="full",1,'Options and results'!$C$48))+(IF(AND(VLOOKUP('Options and results'!$C$42,Treegrant!$B$6:$R$42,Treegrant!$P$2,FALSE)&lt;=V66,VLOOKUP('Options and results'!$C$42,Treegrant!$B$6:$R$42,Treegrant!$Q$2,FALSE)&gt;=V66),(VLOOKUP('Options and results'!$C$42,Treegrant!$B$6:$R$42,Treegrant!$R$2,FALSE)),0))*IF('Options and results'!$C$49="full",1,'Options and results'!$C$49)))*IF(V66&gt;='Options and results'!$I$23,'Options and results'!$I$22,1)),0))*IF(1+'Options and results'!$Q$23*(V66-1)&gt;0,1+'Options and results'!$Q$23*(V66-1),0)</f>
        <v>0</v>
      </c>
      <c r="AW66" s="1041"/>
      <c r="AX66" s="1042"/>
      <c r="AY66" s="1419">
        <f>IF($W$8=0,0,IF(V66=1,VLOOKUP($W$8,Treecost!$B$6:$AH$49,Treecost!$E$2,FALSE),0)*IF(V66&gt;='Options and results'!$I$25,'Options and results'!$I$24,1))</f>
        <v>0</v>
      </c>
      <c r="AZ66" s="889">
        <f>IF($W$8=0,0,IF(V66=1,VLOOKUP($W$8,Treecost!$B$6:$AH$49,Treecost!$F$2,FALSE),0)*IF(V66&gt;='Options and results'!$I$25,'Options and results'!$I$24,1))</f>
        <v>0</v>
      </c>
      <c r="BA66" s="889">
        <f>IF($W$8=0,0,IF(V66=1,VLOOKUP($W$8,Treecost!$B$6:$AH$49,Treecost!$G$2,FALSE),0)*IF(V66&gt;='Options and results'!$I$25,'Options and results'!$I$24,1))</f>
        <v>0</v>
      </c>
      <c r="BB66" s="889">
        <f>IF($W$8=0,0,IF(V66&lt;='Options and results'!$W$20,((VLOOKUP($W$8,Treecost!$B$6:$AH$49,Treecost!$H$2,FALSE)*(X66+AA66))/60)*IF(V66&gt;='Options and results'!$I$25,'Options and results'!$I$24,1),0))</f>
        <v>0</v>
      </c>
      <c r="BC66" s="889">
        <f>IF($W$8=0,0,IF(V66&lt;='Options and results'!$W$20,(((VLOOKUP($W$8,Treecost!$B$6:$AH$49,Treecost!$I$2,FALSE))*(X66+AA66))/60)*IF(V66&gt;='Options and results'!$I$25,'Options and results'!$I$24,1),0))</f>
        <v>0</v>
      </c>
      <c r="BD66" s="889">
        <f>IF($W$8=0,0,IF(V66&lt;='Options and results'!$W$20,(((VLOOKUP($W$8,Treecost!$B$6:$AH$49,Treecost!$J$2,FALSE))/60)*(X66+AA66))*IF(V66&gt;='Options and results'!$I$25,'Options and results'!$I$24,1),0))</f>
        <v>0</v>
      </c>
      <c r="BE66" s="1019">
        <f>IF($W$8=0,0,IF(V66&lt;='Options and results'!$W$20,(((VLOOKUP($W$8,Treecost!$B$6:$AH$49,Treecost!$C$2,FALSE)+VLOOKUP($W$8,Treecost!$B$6:$AH$49,Treecost!$D$2,FALSE))*(X66+AA66)*IF(1+'Options and results'!$Q$22*(V66-1)&gt;0,1+'Options and results'!$Q$22*(V66-1),0))+((AY66*$AX$8+AZ66*$AX$9+BA66*$AX$10+BB66*$AX$11+BC66*$AX$12+BD66*$AX$13)*IF(1+'Options and results'!$Q$21*(V66-1)&gt;0,1+'Options and results'!$Q$21*(V66-1),0)))*IF(V66&gt;='Options and results'!$I$27,'Options and results'!$I$26,1),0))</f>
        <v>0</v>
      </c>
      <c r="BF66" s="889">
        <f>IF($W$8=0,0,IF(V66&lt;='Options and results'!$W$20,IF(AND(VLOOKUP($W$8,Treecost!$B$6:$AH$49,Treecost!$K$2,FALSE)&lt;=V66,V66&lt;=(VLOOKUP($W$8,Treecost!$B$6:$AH$49,Treecost!$L$2,FALSE))),VLOOKUP($W$8,Treecost!$B$6:$AH$49,Treecost!$M$2,FALSE)*AB66/60,0)*IF(V66&gt;='Options and results'!$I$25,'Options and results'!$I$24,1),0))</f>
        <v>0</v>
      </c>
      <c r="BG66" s="1019">
        <f>IF(BF66&gt;0,(VLOOKUP($W$8,Treecost!$B$6:$AH$49,Treecost!$N$2,FALSE)*AB66*IF(1+'Options and results'!$Q$22*(V66-1)&gt;0,1+'Options and results'!$Q$22*(V66-1),0)+BF66*$AX$14*IF(1+'Options and results'!$Q$21*(V66-1)&gt;0,1+'Options and results'!$Q$21*(V66-1),0)),0)*IF(V66&gt;='Options and results'!$I$27,'Options and results'!$I$26,1)</f>
        <v>0</v>
      </c>
      <c r="BH66" s="889">
        <f>IF(V66&lt;='Options and results'!$W$20,IF(AND(AG66-AG65&gt;0,AG66&gt;'Options and results'!$M$36),(AB66-AC66)*(VLOOKUP($W$8,Treecost!$B$6:$AH$49,Treecost!$Y$2,FALSE)+(VLOOKUP($W$8,Treecost!$B$6:$AH$49,Treecost!$AA$2,FALSE)-VLOOKUP($W$8,Treecost!$B$6:$AH$49,Treecost!$Y$2,FALSE))/(VLOOKUP($W$8,Treecost!$B$6:$AH$49,Treecost!$Z$2,FALSE)-VLOOKUP($W$8,Treecost!$B$6:$AH$49,Treecost!$X$2,FALSE))*(AG66-VLOOKUP($W$8,Treecost!$B$6:$AH$49,Treecost!$X$2,FALSE)))/60,0)*IF(V66&gt;='Options and results'!$I$25,'Options and results'!$I$24,1),0)</f>
        <v>0</v>
      </c>
      <c r="BI66" s="303">
        <f>IF(V66&lt;='Options and results'!$W$20,IF(BH66&gt;0,VLOOKUP($W$8,Treecost!$B$6:$AH$49,Treecost!$AB$2,FALSE)/60*AB66,0)*IF(V66&gt;='Options and results'!$I$25,'Options and results'!$I$24,1),0)*((BH66-(MIN($BH$8:$BH$67)))/((MAX($BH$8:$BH$67))-(MIN($BH$8:$BH$67))))</f>
        <v>0</v>
      </c>
      <c r="BJ66" s="740">
        <f>IF(BH66&gt;0,(BH66*$AX$15+BI66*$AX$19)*IF(1+'Options and results'!$Q$21*(V66-1)&gt;0,1+'Options and results'!$Q$21*(V66-1),0),0)*IF(V66&gt;='Options and results'!$I$27,'Options and results'!$I$26,1)</f>
        <v>0</v>
      </c>
      <c r="BK66" s="891">
        <f>IF($W$8=0,0,IF(V66&lt;='Options and results'!$W$20,IF(VLOOKUP($W$8,Treecost!$B$2:$AH$49,Treecost!$O$2,FALSE)=V66,VLOOKUP($W$8,Treecost!$B$2:$AH$49,Treecost!$P$2,FALSE),0)*IF(V66&gt;='Options and results'!$I$25,'Options and results'!$I$24,1),0))</f>
        <v>0</v>
      </c>
      <c r="BL66" s="889">
        <f>IF($W$8=0,0,IF(V66&lt;='Options and results'!$W$20,IF(AND(V66&gt;VLOOKUP($W$8,Treecost!$B$2:$AH$49,Treecost!$O$2,FALSE),V66&lt;=VLOOKUP($W$8,Treecost!$B$2:$AH$49,Treecost!$R$2,FALSE)),VLOOKUP($W$8,Treecost!$B$2:$AH$49,Treecost!$S$2,FALSE),0)*IF(V66&gt;='Options and results'!$I$25,'Options and results'!$I$24,1),0))</f>
        <v>0</v>
      </c>
      <c r="BM66" s="740">
        <f>IF($W$8=0,0,IF(V66&lt;='Options and results'!$W$20,((IF(VLOOKUP($W$8,Treecost!$B$2:$AH$49,Treecost!$O$2,FALSE)=V66,VLOOKUP($W$8,Treecost!$B$2:$AH$49,Treecost!$Q$2,FALSE),0)+IF(AND(V66&gt;VLOOKUP($W$8,Treecost!$B$2:$AH$49,Treecost!$O$2,FALSE),V66&lt;=VLOOKUP($W$8,Treecost!$B$2:$AH$49,Treecost!$R$2,FALSE)),VLOOKUP($W$8,Treecost!$B$2:$AH$49,Treecost!$T$2,FALSE),0)*IF(1+'Options and results'!$Q$22*(V66-1)&gt;0,1+'Options and results'!$Q$22*(V66-1),0))+(BK66*$AX$16+BL66*$AX$17)*IF(1+'Options and results'!$Q$21*(V66-1)&gt;0,1+'Options and results'!$Q$21*(V66-1),0))*IF(V66&gt;='Options and results'!$I$27,'Options and results'!$I$26,1),0))</f>
        <v>0</v>
      </c>
      <c r="BN66" s="894">
        <f>IF($W$8=0,0,IF(V66&lt;='Options and results'!$W$20,IF(AND(V66&gt;=VLOOKUP($W$8,Treecost!$B$2:$W$49,Treecost!$U$2,FALSE),V66&lt;=VLOOKUP($W$8,Treecost!$B$2:$W$49,Treecost!$V$2,FALSE)),(AB66*VLOOKUP($W$8,Treecost!$B$2:$W$49,Treecost!$W$2,FALSE)/60),0)*IF(V66&gt;='Options and results'!$I$25,'Options and results'!$I$24,1),0))</f>
        <v>0</v>
      </c>
      <c r="BO66" s="740">
        <f>BN66*$AX$18*IF(V66&gt;='Options and results'!$I$27,'Options and results'!$I$26,1)*IF(1+'Options and results'!$Q$21*(V66-1)&gt;0,1+'Options and results'!$Q$21*(V66-1),0)</f>
        <v>0</v>
      </c>
      <c r="BP66" s="894">
        <f>IF(V66&lt;='Options and results'!$W$20,IF(AB66&lt;=0,0,VLOOKUP($W$8,Treecost!$B$6:$AH$49,Treecost!$AC$2,FALSE)+VLOOKUP($W$8,Treecost!$B$6:$AH$49,Treecost!$AD$2,FALSE)+IF(AND(V66&gt;=VLOOKUP($W$8,Treecost!$B$2:$AK$49,Treecost!$AI$2,FALSE),V66&lt;=VLOOKUP($W$8,Treecost!$B$2:$AK$49,Treecost!$AJ$2,FALSE)),(VLOOKUP($W$8,Treecost!$B$2:$AK$49,Treecost!$AK$2,FALSE)),0))*IF(V66&gt;='Options and results'!$I$27,'Options and results'!$I$26,1),0)*IF(1+'Options and results'!$Q$22*(V66-1)&gt;0,1+'Options and results'!$Q$22*(V66-1),0)</f>
        <v>0</v>
      </c>
      <c r="BQ66" s="894">
        <f>IF(V66&lt;='Options and results'!$W$20,IF(AC66&gt;0,VLOOKUP($W$8,Treecost!$B$6:$AH$49,Treecost!$AE$2,FALSE)/60*AC66,0)*IF(V66&gt;='Options and results'!$I$25,'Options and results'!$I$24,1),0)</f>
        <v>0</v>
      </c>
      <c r="BR66" s="740">
        <f>IF(V66&lt;='Options and results'!$W$20,IF(AC66&gt;0,VLOOKUP($W$8,Treecost!$B$6:$AH$49,Treecost!$AF$2,FALSE)/60*AC66,0)*IF(V66&gt;='Options and results'!$I$25,'Options and results'!$I$24,1),0)</f>
        <v>0</v>
      </c>
      <c r="BS66" s="740">
        <f>(BQ66*$AX$20+BR66*$AX$21)*IF(V66&gt;='Options and results'!$I$27,'Options and results'!$I$26,1)*IF(1+'Options and results'!$Q$21*(V66-1)&gt;0,1+'Options and results'!$Q$21*(V66-1),0)</f>
        <v>0</v>
      </c>
      <c r="BT66" s="894">
        <f>IF(V66&lt;='Options and results'!$W$20,IF(AD66&gt;0,(VLOOKUP($W$8,Treecost!$B$6:$AH$49,Treecost!$AG$2,FALSE)/60*AD66)*IF(V66&gt;='Options and results'!$I$25,'Options and results'!$I$24,1),0),0)</f>
        <v>0</v>
      </c>
      <c r="BU66" s="740">
        <f>IF(V66&lt;='Options and results'!$W$20,IF(AD66&gt;0,(VLOOKUP($W$8,Treecost!$B$6:$AH$49,Treecost!$AH$2,FALSE)/60*AD66)*IF(V66&gt;='Options and results'!$I$25,'Options and results'!$I$24,1),0),0)</f>
        <v>0</v>
      </c>
      <c r="BV66" s="740">
        <f>(BT66*$AX$22+BU66*$AX$23)*IF(V66&gt;='Options and results'!$I$27,'Options and results'!$I$26,1)*IF(1+'Options and results'!$Q$21*(V66-1)&gt;0,1+'Options and results'!$Q$21*(V66-1),0)</f>
        <v>0</v>
      </c>
      <c r="BW66" s="1033">
        <f t="shared" si="138"/>
        <v>0</v>
      </c>
      <c r="BX66" s="1027">
        <f t="shared" si="139"/>
        <v>0</v>
      </c>
      <c r="BY66" s="1027">
        <f t="shared" si="140"/>
        <v>0</v>
      </c>
      <c r="BZ66" s="740">
        <f t="shared" si="188"/>
        <v>0</v>
      </c>
      <c r="CA66" s="740">
        <f t="shared" si="141"/>
        <v>0</v>
      </c>
      <c r="CB66" s="894">
        <f>IF($V66&lt;='Options and results'!$W$20,SUM(BX$8:$BX66),0)</f>
        <v>0</v>
      </c>
      <c r="CC66" s="740">
        <f>IF($V66&lt;='Options and results'!$W$20,SUM($BY$8:BY66),0)</f>
        <v>0</v>
      </c>
      <c r="CD66" s="740">
        <f>IF($V66&lt;='Options and results'!$W$20,SUM($BZ$8:BZ66),0)</f>
        <v>0</v>
      </c>
      <c r="CE66" s="740">
        <f>IF(V66&lt;='Options and results'!$W$20,CB66+CC66-CD66,0)</f>
        <v>0</v>
      </c>
      <c r="CF66" s="1381">
        <f t="shared" si="142"/>
        <v>0</v>
      </c>
      <c r="CG66" s="1027">
        <f t="shared" si="143"/>
        <v>0</v>
      </c>
      <c r="CH66" s="1027">
        <f t="shared" si="144"/>
        <v>0</v>
      </c>
      <c r="CI66" s="1189">
        <f>IF(V66&lt;='Options and results'!$W$20,CE66+AO66,0)</f>
        <v>0</v>
      </c>
      <c r="CJ66" s="1023"/>
      <c r="CK66" s="895">
        <f t="shared" si="145"/>
        <v>59</v>
      </c>
      <c r="CL66" s="1011" t="str">
        <f>IF('Options and results'!$C$54="None",0,IF(AND(CK66&gt;='Options and results'!$K$57,CK65&lt;'Options and results'!$W$20),'Options and results'!$K$56,IF(Optimisation!$B$3="No",CONCATENATE('Options and results'!$C$60," ",(HLOOKUP(CONCATENATE('Options and results'!$C$54," ",Agroforestrysystem!$B$12),Agroforestrysystem!$B$11:$IM$74,$CK66+4,FALSE))),Optimisation!AA86)))</f>
        <v xml:space="preserve">UK - Agriculture (BPS: from 2015) </v>
      </c>
      <c r="CM66" s="1012">
        <f>IF(HLOOKUP(CONCATENATE('Options and results'!$C$54," ",Agroforestrysystem!$C$12),Agroforestrysystem!$B$11:$IM$74,$CK66+4,FALSE)="T",(VLOOKUP(CL66,Arablefinance!$Z$6:$AB$105,Arablefinance!$AB$2,FALSE)*CO66+VLOOKUP(CL66,Arablefinance!$Z$6:$AC$105,Arablefinance!$AC$2,FALSE)*CP66)/VLOOKUP(CL66,Arablefinance!$Z$6:$AA$105,Arablefinance!$AA$2,FALSE),0)</f>
        <v>0</v>
      </c>
      <c r="CN66" s="1012">
        <f>IF(CL66=0,0,HLOOKUP(CONCATENATE('Options and results'!$C$54," ",Agroforestrysystem!$D$12),Agroforestrysystem!$B$11:$IM$74,$CK66+4,FALSE))</f>
        <v>0</v>
      </c>
      <c r="CO66" s="1440">
        <f ca="1">IF(CL66=0,0,IF(AND(Optimisation!$B$3="yes",Optimisation!$B$4=1,CK66&gt;Optimisation!$B$9),0,HLOOKUP(CONCATENATE('Options and results'!$C$54," ",Agroforestrysystem!$E$12),Agroforestrysystem!$B$11:$IM$74,$CK66+4,FALSE)*IF(CK66&gt;='Options and results'!$J$19,'Options and results'!$J$18,1)))</f>
        <v>0</v>
      </c>
      <c r="CP66" s="1440">
        <f ca="1">IF(CL66=0,0,IF(AND(Optimisation!$B$3="yes",Optimisation!$B$4=1,CK66&gt;Optimisation!$B$9),0,HLOOKUP(CONCATENATE('Options and results'!$C$54," ",Agroforestrysystem!$F$12),Agroforestrysystem!$B$11:$IM$74,$CK66+4,FALSE)*IF(CK66&gt;='Options and results'!$J$19,'Options and results'!$J$18,1)))</f>
        <v>0</v>
      </c>
      <c r="CQ66" s="1013">
        <f>IF(CN66&lt;=0,0,IF(CK66&lt;='Options and results'!$W$20,IF(CM66&gt;0,VLOOKUP(CL66,Arablefinance!$Z$6:$AE$105,Arablefinance!$AD$2,FALSE)*CM66*CN66,((VLOOKUP(CL66,Arablefinance!$E$6:$H$126,2,FALSE)*CO66+VLOOKUP(CL66,Arablefinance!$E$6:$H$126,3,FALSE)*CP66)*CN66)),0)*IF(CK66&gt;='Options and results'!$J$21,'Options and results'!$J$20,1))*IF(1+'Options and results'!$O$20*(CK66-1)&gt;0,1+'Options and results'!$O$20*(CK66-1),0)</f>
        <v>0</v>
      </c>
      <c r="CR66" s="1441">
        <f>IF(CN66&lt;=0,0,IF(AND(CM66&gt;0,VLOOKUP(CL66,Arablefinance!$Z$6:$AI$105,Arablefinance!$AI$2,FALSE)=2),VLOOKUP(CL66,Arablefinance!$Z$6:$AE$105,Arablefinance!$AE$2,FALSE)*CM66*CN66,IF('Options and results'!$C$62&gt;0,IF(VLOOKUP(CL66,Arablefinance!$E$6:$W$126,Arablefinance!$H$2,FALSE)*(1-Plot!DM66*'Options and results'!$C$62)&gt;0,VLOOKUP(CL66,Arablefinance!$E$6:$W$126,Arablefinance!$H$2,FALSE)*(1-Plot!DM66*'Options and results'!$C$62),0),IF(CK66&lt;='Options and results'!$W$20,(VLOOKUP(CL66,Arablefinance!$E$6:$W$126,Arablefinance!$H$2,FALSE)*IF('Options and results'!$C$61="area",CN66,'Options and results'!$C$61)),0)))*IF(CK66&gt;='Options and results'!$J$23,'Options and results'!$J$22,1))*IF(AND(1+'Options and results'!$O$23*(CK66-1)&gt;0,1+'Options and results'!$O$23*(CK66-1)&gt;'Options and results'!$S$24),1+'Options and results'!$O$23*(CK66-1),'Options and results'!$S$24)</f>
        <v>0</v>
      </c>
      <c r="CS66" s="1441">
        <f t="shared" si="185"/>
        <v>0</v>
      </c>
      <c r="CT66" s="1441">
        <f>IF(CN66&lt;=0,0,IF(CK66&lt;='Options and results'!$W$20,IF(CM66&gt;0,VLOOKUP(CL66,Arablefinance!$Z$6:$AF$105,Arablefinance!$AF$2,FALSE)*CM66*CN66,VLOOKUP(CL66,Arablefinance!$E$6:$X$126,Arablefinance!$R$2,FALSE)*CN66),0)*IF(CK66&gt;='Options and results'!$J$27,'Options and results'!$J$26,1))*IF(1+'Options and results'!$O$22*(CK66-1)&gt;0,1+'Options and results'!$O$22*(CK66-1),0)</f>
        <v>0</v>
      </c>
      <c r="CU66" s="1441">
        <f t="shared" si="186"/>
        <v>0</v>
      </c>
      <c r="CV66" s="1441">
        <f>IF(CN66&lt;=0,0,IF(CK66&lt;='Options and results'!$W$20,IF(CM66&gt;0,VLOOKUP(CL66,Arablefinance!$Z$6:$AG$105,Arablefinance!$AG$2,FALSE)*CM66*CN66,VLOOKUP(CL66,Arablefinance!$E$6:$X$126,Arablefinance!$X$2,FALSE)*CN66),0)*IF(CK66&gt;='Options and results'!$J$27,'Options and results'!$J$26,1))*IF(1+'Options and results'!$O$22*(CK66-1)&gt;0,1+'Options and results'!$O$22*(CK66-1),0)</f>
        <v>0</v>
      </c>
      <c r="CW66" s="1442">
        <f>IF(CN66&lt;=0,0,IF(CK66&lt;='Options and results'!$W$20,'Options and results'!$C$27*IF(CK66&gt;='Options and results'!$J$27,'Options and results'!$J$26,1),0))*IF(1+'Options and results'!$O$21*(CK66-1)&gt;0,1+'Options and results'!$O$21*(CK66-1),0)</f>
        <v>0</v>
      </c>
      <c r="CX66" s="1442">
        <f>IF(CN66&lt;=0,0,IF(CK66&lt;='Options and results'!$W$20,IF(CM66&gt;0,VLOOKUP(CL66,Arablefinance!$Z$6:$AH$105,Arablefinance!$AH$2,FALSE)*CM66*CN66,VLOOKUP(CL66,Arablefinance!$E$6:$W$126,Arablefinance!$V$2,FALSE)*CN66),0)*IF(CK66&gt;='Options and results'!$J$25,'Options and results'!$J$24,1))</f>
        <v>0</v>
      </c>
      <c r="CY66" s="1013">
        <f t="shared" si="148"/>
        <v>0</v>
      </c>
      <c r="CZ66" s="1353">
        <f t="shared" si="149"/>
        <v>0</v>
      </c>
      <c r="DA66" s="1013">
        <f>IF($CK66&lt;='Options and results'!$W$20,SUM($CQ$8:CQ66),0)</f>
        <v>0</v>
      </c>
      <c r="DB66" s="1441">
        <f>IF($CK66&lt;='Options and results'!$W$20,SUM($CR$8:CR66),0)</f>
        <v>0</v>
      </c>
      <c r="DC66" s="1441">
        <f>IF($CK66&lt;='Options and results'!$W$20,SUM($CY$8:CY66),0)</f>
        <v>0</v>
      </c>
      <c r="DD66" s="1189">
        <f>IF(CK66&lt;='Options and results'!$W$20,DA66+DB66-DC66,0)</f>
        <v>0</v>
      </c>
      <c r="DE66" s="401"/>
      <c r="DF66" s="895">
        <f t="shared" si="150"/>
        <v>59</v>
      </c>
      <c r="DG66" s="173"/>
      <c r="DH66" s="1422"/>
      <c r="DI66" s="1427">
        <f>IF(DF66&lt;='Options and results'!$M$61,'Options and results'!$M$60,0)</f>
        <v>0</v>
      </c>
      <c r="DJ66" s="740">
        <f t="shared" si="151"/>
        <v>0</v>
      </c>
      <c r="DK66" s="740">
        <f t="shared" si="152"/>
        <v>0</v>
      </c>
      <c r="DL66" s="1428">
        <f t="shared" si="153"/>
        <v>0</v>
      </c>
      <c r="DM66" s="1429">
        <f>IF($DG$8=0,0,HLOOKUP(CONCATENATE('Options and results'!$C$54," ",Agroforestrysystem!$J$12),Agroforestrysystem!$11:$74,DF66+3,FALSE))/100</f>
        <v>0</v>
      </c>
      <c r="DN66" s="740">
        <f>IF($DG$8=0,0,IF(HLOOKUP(CONCATENATE('Options and results'!$C$54," ",Agroforestrysystem!$H$12),Agroforestrysystem!$11:$74,DF66+4,FALSE)&lt;DL66,HLOOKUP(CONCATENATE('Options and results'!$C$54," ",Agroforestrysystem!$H$12),Agroforestrysystem!$11:$74,DF66+4,FALSE),0))</f>
        <v>0</v>
      </c>
      <c r="DO66" s="1027">
        <f>IF($DG$8=0,0,IF(HLOOKUP(CONCATENATE('Options and results'!$C$54," ",Agroforestrysystem!$H$12),Agroforestrysystem!$11:$74,DF66+4,FALSE)&gt;=DL66,DL66,0))</f>
        <v>0</v>
      </c>
      <c r="DP66" s="1430">
        <f>IF($DG$8=0,0,HLOOKUP(CONCATENATE('Options and results'!$C$54," ",Agroforestrysystem!$I$12),Agroforestrysystem!$11:$74,DF66+4,FALSE))</f>
        <v>0</v>
      </c>
      <c r="DQ66" s="1038"/>
      <c r="DR66" s="1430">
        <f>IF($DG$8=0,0,IF(DF66&gt;'Options and results'!$W$20,0,)+IF(DF66=1,'Options and results'!$M$64)+IF('Options and results'!$M$67="yes",IF(AND(DR65+'Options and results'!$M$65&lt;=$DQ$8,DR65+'Options and results'!$M$65+IF(DF66=1,'Options and results'!$M$64,0)&lt;='Options and results'!$M$66*DP66),DR65+'Options and results'!$M$65,DR65),(HLOOKUP(CONCATENATE('Options and results'!$C$54," ",Agroforestrysystem!$K$12),Agroforestrysystem!$11:$74,DF66+4,FALSE)-IF(DF66=1,'Options and results'!$M$64))))</f>
        <v>0</v>
      </c>
      <c r="DS66" s="1027">
        <f>IF(OR($DG$8=0,DL66=0),0,HLOOKUP(CONCATENATE('Options and results'!$C$54," ",Agroforestrysystem!$L$12),Agroforestrysystem!$11:$74,DF66+4,FALSE)*IF(DF66&gt;='Options and results'!$K$19,'Options and results'!$K$18,1))</f>
        <v>0</v>
      </c>
      <c r="DT66" s="1431">
        <f t="shared" si="154"/>
        <v>0</v>
      </c>
      <c r="DU66" s="889">
        <f t="shared" si="155"/>
        <v>0</v>
      </c>
      <c r="DV66" s="1027">
        <f>IF($DG$8=0,0,(HLOOKUP(CONCATENATE('Options and results'!$C$54," ",Agroforestrysystem!$M$12),Agroforestrysystem!$11:$74,DF66+4,FALSE))*IF(DF66&gt;='Options and results'!$K$19,'Options and results'!$K$18,1))-DW66</f>
        <v>0</v>
      </c>
      <c r="DW66" s="303">
        <f>IF($DG$8=0,0,(HLOOKUP(CONCATENATE('Options and results'!$C$54," ",Agroforestrysystem!$N$12),Agroforestrysystem!$11:$74,DF66+4,FALSE))*IF(DF66&gt;='Options and results'!$K$19,'Options and results'!$K$18,1))</f>
        <v>0</v>
      </c>
      <c r="DX66" s="303">
        <f>IF($DG$8=0,0,HLOOKUP(CONCATENATE('Options and results'!$C$54," ",Agroforestrysystem!$O$12),Agroforestrysystem!$11:$74,DF66+4,FALSE)*IF(DF66&gt;='Options and results'!$K$19,'Options and results'!$K$18,1))</f>
        <v>0</v>
      </c>
      <c r="DY66" s="1192">
        <f>IF(DT66&gt;0,HLOOKUP(DT66,Treevalue!$I$4:$BC$34,'Options and results'!$C$66+1),0)*IF(DF66&gt;='Options and results'!$K$21,'Options and results'!$K$20,1)*IF(1+'Options and results'!$Q$20*(DF66-1)&gt;0,1+'Options and results'!$Q$20*(DF66-1),0)</f>
        <v>0</v>
      </c>
      <c r="DZ66" s="1027">
        <f t="shared" si="156"/>
        <v>0</v>
      </c>
      <c r="EA66" s="1027">
        <f t="shared" si="125"/>
        <v>0</v>
      </c>
      <c r="EB66" s="1027">
        <f>(IF('Options and results'!$C$66&gt;0,IF(DF66&lt;='Options and results'!$W$20,VLOOKUP('Options and results'!$C$66,Treevalue!$A$4:$F$34,5,FALSE),0),0)*DV66)*IF(DF66&gt;='Options and results'!$K$21,'Options and results'!$K$20,1)*IF(1+'Options and results'!$Q$20*(DF66-1)&gt;0,1+'Options and results'!$Q$20*(DF66-1),0)</f>
        <v>0</v>
      </c>
      <c r="EC66" s="740">
        <f>(IF('Options and results'!$C$66&gt;0,IF(DF66&lt;='Options and results'!$W$20,VLOOKUP('Options and results'!$C$66,Treevalue!$A$4:$F$34,5,FALSE),0),0)*DW66)*IF(DF66&gt;='Options and results'!$K$21,'Options and results'!$K$20,1)*IF(1+'Options and results'!$Q$20*(DF66-1)&gt;0,1+'Options and results'!$Q$20*(DF66-1),0)</f>
        <v>0</v>
      </c>
      <c r="ED66" s="889">
        <f>(IF('Options and results'!$C$66&gt;0,IF(DF66&lt;='Options and results'!$W$20,VLOOKUP('Options and results'!$C$66,Treevalue!$A$4:$F$34,6,FALSE),0),0)*DX66)*IF(DF66&gt;='Options and results'!$K$21,'Options and results'!$K$20,1)*IF(1+'Options and results'!$Q$20*(DF66-1)&gt;0,1+'Options and results'!$Q$20*(DF66-1),0)</f>
        <v>0</v>
      </c>
      <c r="EE66" s="740">
        <f>IF(DF66&lt;='Options and results'!$W$20,IF(DL66&lt;=0,0,IF('Options and results'!$C$70="cost",(IF(DF66&lt;='Options and results'!$C$71,FK66*SUM('Options and results'!$C$72:$C$73),0)),IF('Options and results'!$C$68&gt;0,(IF(VLOOKUP('Options and results'!$C$69,Treegrant!$B$6:$L$42,Treegrant!$C$2,FALSE)=DF66,VLOOKUP('Options and results'!$C$69,Treegrant!$B$6:$L$42,Treegrant!$D$2,FALSE),0)+IF(VLOOKUP('Options and results'!$C$69,Treegrant!$B$6:$L$42,Treegrant!$E$2,FALSE)=DF66,VLOOKUP('Options and results'!$C$69,Treegrant!$B$6:$L$42,Treegrant!$F$2,FALSE),0)+IF(VLOOKUP('Options and results'!$C$69,Treegrant!$B$6:$L$42,Treegrant!$G$2,FALSE)=DF66,VLOOKUP('Options and results'!$C$69,Treegrant!$B$6:$L$42,Treegrant!$H$2,FALSE)))*IF('Options and results'!$C$70="area",Unit!C67,'Options and results'!$C$70),0))*IF(DF66&gt;='Options and results'!$K$23,'Options and results'!$K$22,1)),0)*IF(1+'Options and results'!$Q$23*(DF66-1)&gt;0,1+'Options and results'!$Q$23*(DF66-1),0)</f>
        <v>0</v>
      </c>
      <c r="EF66" s="740">
        <f>IF($DG$8=0,0,IF(DF66&lt;='Options and results'!$W$20,IF(DL66&lt;=0,0,IF('Options and results'!$C$68&gt;0,IF(AND(VLOOKUP('Options and results'!$C$69,Treegrant!$B$6:$L$42,Treegrant!$J$2,FALSE)&lt;=DF66,VLOOKUP('Options and results'!$C$69,Treegrant!$B$6:$L$42,Treegrant!$K$2,FALSE)&gt;=DF66),(VLOOKUP('Options and results'!$C$69,Treegrant!$B$6:$L$42,Treegrant!$L$2,FALSE)),0)*IF('Options and results'!$C$74="area",Unit!C67,'Options and results'!$C$74))*IF(DF66&gt;='Options and results'!$K$23,'Options and results'!$K$22,1)),0))*IF(1+'Options and results'!$Q$23*(DF66-1)&gt;0,1+'Options and results'!$Q$23*(DF66-1),0)</f>
        <v>0</v>
      </c>
      <c r="EG66" s="1034">
        <f>IF($DG$8=0,0,IF(DF66&lt;='Options and results'!$W$20,IF(DL66&lt;=0,0,IF('Options and results'!$C$68&gt;0,((IF(AND(VLOOKUP('Options and results'!$C$69,Treegrant!$B$6:$O$42,Treegrant!$M$2,FALSE)&lt;=DF66,VLOOKUP('Options and results'!$C$69,Treegrant!$B$6:$O$42,Treegrant!$N$2,FALSE)&gt;=DF66),(VLOOKUP('Options and results'!$C$69,Treegrant!$B$6:$O$42,Treegrant!$O$2,FALSE)),0)*IF('Options and results'!$C$75="area",Unit!C67,'Options and results'!$C$75))+(IF(AND(VLOOKUP('Options and results'!$C$69,Treegrant!$B$6:$R$42,Treegrant!$P$2,FALSE)&lt;=DF66,VLOOKUP('Options and results'!$C$69,Treegrant!$B$6:$R$42,Treegrant!$Q$2,FALSE)&gt;=DF66),(VLOOKUP('Options and results'!$C$69,Treegrant!$B$6:$R$42,Treegrant!$R$2,FALSE)),0))*IF('Options and results'!$C$76="area",Unit!C67,'Options and results'!$C$76)))*IF(DF66&gt;='Options and results'!$K$23,'Options and results'!$K$22,1)),0))*IF(1+'Options and results'!$Q$23*(DF66-1)&gt;0,1+'Options and results'!$Q$23*(DF66-1),0)</f>
        <v>0</v>
      </c>
      <c r="EH66" s="1041"/>
      <c r="EI66" s="1042"/>
      <c r="EJ66" s="1419">
        <f>IF($DH$8+DK66&lt;1,0,IF(DF66=1,VLOOKUP($DG$8,Treecost!$B$6:$AH$49,Treecost!$E$2,FALSE),0)*IF(DF66&gt;='Options and results'!$K$25,'Options and results'!$K$24,1))</f>
        <v>0</v>
      </c>
      <c r="EK66" s="889">
        <f>IF($DH$8+DK66&lt;1,0,IF(DF66=1,VLOOKUP($DG$8,Treecost!$B$6:$AH$49,Treecost!$F$2,FALSE),0)*IF(DF66&gt;='Options and results'!$K$25,'Options and results'!$K$24,1))</f>
        <v>0</v>
      </c>
      <c r="EL66" s="889">
        <f>IF($DH$8+DK66&lt;1,0,IF(DF66=1,VLOOKUP($DG$8,Treecost!$B$6:$AH$49,Treecost!$G$2,FALSE),0)*IF(DF66&gt;='Options and results'!$K$25,'Options and results'!$K$24,1))</f>
        <v>0</v>
      </c>
      <c r="EM66" s="889">
        <f>IF($DG$8=0,0,IF(DF66&lt;='Options and results'!$W$20,((VLOOKUP($DG$8,Treecost!$B$6:$AH$49,Treecost!$H$2,FALSE)*(DH66+DK66))/60)*IF(DF66&gt;='Options and results'!$K$25,'Options and results'!$K$24,1),0))</f>
        <v>0</v>
      </c>
      <c r="EN66" s="889">
        <f>IF($DG$8=0,0,IF(DF66&lt;='Options and results'!$W$20,(((VLOOKUP($DG$8,Treecost!$B$6:$AH$49,Treecost!$I$2,FALSE))*(DH66+DK66))/60)*IF(DF66&gt;='Options and results'!$K$25,'Options and results'!$K$24,1),0))</f>
        <v>0</v>
      </c>
      <c r="EO66" s="889">
        <f>IF($DG$8=0,0,IF(DF66&lt;='Options and results'!$W$20,(((VLOOKUP($DG$8,Treecost!$B$6:$AH$49,Treecost!$J$2,FALSE))/60)*(DH66+DK66))*IF(DF66&gt;='Options and results'!$K$25,'Options and results'!$K$24,1),0))</f>
        <v>0</v>
      </c>
      <c r="EP66" s="1019">
        <f>IF($DG$8=0,0,IF(DF66&lt;='Options and results'!$W$20,(((VLOOKUP($DG$8,Treecost!$B$6:$AH$49,Treecost!$C$2,FALSE)+VLOOKUP($DG$8,Treecost!$B$6:$AH$49,Treecost!$D$2,FALSE))*(DH66+DK66)*IF(1+'Options and results'!$Q$22*(DF66-1)&gt;0,1+'Options and results'!$Q$22*(DF66-1),0))+(EJ66*$EI$8+EK66*$EI$9+EL66*$EI$10+EM66*$EI$11+EN66*$EI$12+EO66*$EI$13)*IF(1+'Options and results'!$Q$21*(DF66-1)&gt;0,1+'Options and results'!$Q$21*(DF66-1),0))*IF(DF66&gt;='Options and results'!$K$27,'Options and results'!$K$26,1),0))</f>
        <v>0</v>
      </c>
      <c r="EQ66" s="740">
        <f>IF($DG$8=0,0,IF(DF66&lt;='Options and results'!$W$20,IF(AND(VLOOKUP($DG$8,Treecost!$B$6:$AH$49,Treecost!$K$2,FALSE)&lt;=DF66,DF66&lt;=(VLOOKUP($DG$8,Treecost!$B$6:$AH$49,Treecost!$L$2,FALSE))),VLOOKUP($DG$8,Treecost!$B$6:$AH$49,Treecost!$M$2,FALSE)*DL66/60,0)*IF(DF66&gt;='Options and results'!$K$25,'Options and results'!$K$24,1),0))</f>
        <v>0</v>
      </c>
      <c r="ER66" s="1019">
        <f>IF(EQ66&gt;0,(VLOOKUP($DG$8,Treecost!$B$6:$AH$49,Treecost!$N$2,FALSE)*DL66*IF(1+'Options and results'!$Q$22*(DF66-1)&gt;0,1+'Options and results'!$Q$22*(DF66-1),0)+EQ66*$EI$14*IF(1+'Options and results'!$Q$21*(DF66-1)&gt;0,1+'Options and results'!$Q$21*(DF66-1),0)),0)*IF(DF66&gt;='Options and results'!$K$27,'Options and results'!$K$26,1)</f>
        <v>0</v>
      </c>
      <c r="ES66" s="889">
        <f>IF(DF66&lt;='Options and results'!$W$20,IF(AND(DR66-DR65&gt;0,DR66&gt;'Options and results'!$M$64),(DL66-DN66)*(VLOOKUP($DG$8,Treecost!$B$6:$AH$49,Treecost!$Y$2,FALSE)+(VLOOKUP($DG$8,Treecost!$B$6:$AH$49,Treecost!$AA$2,FALSE)-VLOOKUP($DG$8,Treecost!$B$6:$AH$49,Treecost!$Y$2,FALSE))/(VLOOKUP($DG$8,Treecost!$B$6:$AH$49,Treecost!$Z$2,FALSE)-VLOOKUP($DG$8,Treecost!$B$6:$AH$49,Treecost!$X$2,FALSE))*(DR66-VLOOKUP($DG$8,Treecost!$B$6:$AH$49,Treecost!$X$2,FALSE)))/60,0)*IF(DF66&gt;='Options and results'!$K$25,'Options and results'!$K$24,1),0)</f>
        <v>0</v>
      </c>
      <c r="ET66" s="889">
        <f>IF(DF66&lt;='Options and results'!$W$20,IF(ES66&gt;0,VLOOKUP($DG$8,Treecost!$B$6:$AH$49,Treecost!$AB$2,FALSE)/60*DL66,0)*IF(DF66&gt;='Options and results'!$K$25,'Options and results'!$K$24,1),0)*((ES66-(MIN($ES$8:$ES$67)))/((MAX($ES$8:$ES$67))-(MIN($ES$8:$ES$67))))</f>
        <v>0</v>
      </c>
      <c r="EU66" s="740">
        <f>IF(ES66&gt;0,(ES66*$EI$15+ET66*$EI$19)*IF(1+'Options and results'!$Q$21*(DF66-1)&gt;0,1+'Options and results'!$Q$21*(DF66-1),0),0)*IF(DF66&gt;='Options and results'!$K$27,'Options and results'!$K$26,1)</f>
        <v>0</v>
      </c>
      <c r="EV66" s="891">
        <f>IF($DG$8=0,0,IF(DF66&lt;='Options and results'!$W$20,IF(AND(VLOOKUP($DG$8,Treecost!$B$2:$AH$49,Treecost!$O$2,FALSE)=DF66,DF66&lt;=IF(AND(Optimisation!$B$3="Yes",Optimisation!$B$4=1),Optimisation!$B$9)),VLOOKUP($DG$8,Treecost!$B$2:$AH$49,Treecost!$P$2,FALSE)*(1-CN66),0)*IF(DF66&gt;='Options and results'!$K$25,'Options and results'!$K$24,1),0))</f>
        <v>0</v>
      </c>
      <c r="EW66" s="889">
        <f>IF($DG$8=0,0,IF(DF66&lt;='Options and results'!$W$20,IF(AND(DF66&gt;VLOOKUP($DG$8,Treecost!$B$2:$AH$49,Treecost!$O$2,FALSE),DF66&lt;=IF(AND(Optimisation!$B$3="Yes",Optimisation!$B$4=1),Optimisation!$B$9,VLOOKUP($DG$8,Treecost!$B$2:$AH$49,Treecost!$R$2,FALSE))),VLOOKUP($DG$8,Treecost!$B$2:$AH$49,Treecost!$S$2,FALSE)*(1-CN66),0)*IF(DF66&gt;='Options and results'!$K$25,'Options and results'!$K$24,1),0))</f>
        <v>0</v>
      </c>
      <c r="EX66" s="740">
        <f>IF($DG$8=0,0,IF(DF66&lt;='Options and results'!$W$20,(IF(AND(VLOOKUP($DG$8,Treecost!$B$2:$AH$49,Treecost!$O$2,FALSE)=DF66,DF66&lt;=IF(AND(Optimisation!$B$3="Yes",Optimisation!$B$4=1),Optimisation!$B$9)),VLOOKUP($DG$8,Treecost!$B$2:$AH$49,Treecost!$Q$2,FALSE),0)*(1-CN66)+IF(AND(DF66&gt;VLOOKUP($DG$8,Treecost!$B$2:$AH$49,Treecost!$O$2,FALSE),DF66&lt;=IF(AND(Optimisation!$B$3="Yes",Optimisation!$B$4=1),Optimisation!$B$9,VLOOKUP($DG$8,Treecost!$B$2:$AH$49,Treecost!$R$2,FALSE))),VLOOKUP($DG$8,Treecost!$B$2:$AH$49,Treecost!$T$2,FALSE),0)*(1-CN66)+(EV66*$EI$16+EW66*$EI$17))*IF(DF66&gt;='Options and results'!$K$27,'Options and results'!$K$26,1),0))*IF(1+'Options and results'!$Q$21*(DF66-1)&gt;0,1+'Options and results'!$Q$21*(DF66-1),0)</f>
        <v>0</v>
      </c>
      <c r="EY66" s="894">
        <f>IF($DG$8=0,0,IF(DF66&lt;='Options and results'!$W$20,IF(AND(DF66&gt;=VLOOKUP($DG$8,Treecost!$B$2:$W$49,Treecost!$U$2,FALSE),DF66&lt;=VLOOKUP($DG$8,Treecost!$B$2:$W$49,Treecost!$V$2,FALSE)),(DL66*VLOOKUP($DG$8,Treecost!$B$2:$W$49,Treecost!$W$2,FALSE)/60),0)*IF(DF66&gt;='Options and results'!$K$25,'Options and results'!$K$24,1),0))</f>
        <v>0</v>
      </c>
      <c r="EZ66" s="740">
        <f>EY66*$EI$18*IF(DF66&gt;='Options and results'!$K$27,'Options and results'!$K$26,1)*IF(1+'Options and results'!$Q$21*(DF66-1)&gt;0,1+'Options and results'!$Q$21*(DF66-1),0)</f>
        <v>0</v>
      </c>
      <c r="FA66" s="1025">
        <f>IF(DF66&lt;='Options and results'!$W$20,IF(DL66&lt;=0,0,VLOOKUP($DG$8,Treecost!$B$6:$AH$49,Treecost!$AC$2,FALSE)+VLOOKUP($DG$8,Treecost!$B$6:$AH$49,Treecost!$AD$2,FALSE)+IF(AND(DF66&gt;=VLOOKUP($DG$8,Treecost!$B$2:$AK$49,Treecost!$AI$2,FALSE),DF66&lt;=VLOOKUP($DG$8,Treecost!$B$2:$AK$49,Treecost!$AJ$2,FALSE)),VLOOKUP($DG$8,Treecost!$B$2:$AK$49,Treecost!$AK$2,FALSE)*(1-CN66),0))*IF(DF66&gt;='Options and results'!$K$27,'Options and results'!$K$26,1),0)*IF(1+'Options and results'!$Q$22*(DF66-1)&gt;0,1+'Options and results'!$Q$22*(DF66-1),0)</f>
        <v>0</v>
      </c>
      <c r="FB66" s="894">
        <f>IF(DF66&lt;='Options and results'!$W$20,IF(DN66&gt;0,VLOOKUP($DG$8,Treecost!$B$6:$AH$49,Treecost!$AE$2,FALSE)/60*DN66,0)*IF(DF66&gt;='Options and results'!$K$25,'Options and results'!$K$24,1),0)</f>
        <v>0</v>
      </c>
      <c r="FC66" s="740">
        <f>IF(DF66&lt;='Options and results'!$W$20,IF(DN66&gt;0,VLOOKUP($DG$8,Treecost!$B$6:$AH$49,Treecost!$AF$2,FALSE)/60*DN66,0)*IF(DF66&gt;='Options and results'!$K$25,'Options and results'!$K$24,1),0)</f>
        <v>0</v>
      </c>
      <c r="FD66" s="740">
        <f>(FB66*$EI$20+FC66*$EI$21)*IF(DF66&gt;='Options and results'!$K$27,'Options and results'!$K$26,1)*IF(1+'Options and results'!$Q$21*(DF66-1)&gt;0,1+'Options and results'!$Q$21*(DF66-1),0)</f>
        <v>0</v>
      </c>
      <c r="FE66" s="894">
        <f>IF(DF66&lt;='Options and results'!$W$20,IF(DO66&gt;0,(VLOOKUP($DG$8,Treecost!$B$6:$AH$49,Treecost!$AG$2,FALSE)/60*DO66)*IF(DF66&gt;='Options and results'!$K$25,'Options and results'!$K$24,1),0),0)</f>
        <v>0</v>
      </c>
      <c r="FF66" s="740">
        <f>IF(DF66&lt;='Options and results'!$W$20,IF(DO66&gt;0,(VLOOKUP($DG$8,Treecost!$B$6:$AH$49,Treecost!$AH$2,FALSE)/60*DO66)*IF(DF66&gt;='Options and results'!$K$25,'Options and results'!$K$24,1),0),0)</f>
        <v>0</v>
      </c>
      <c r="FG66" s="740">
        <f>(FE66*$EI$22+FF66*$EI$23)*IF(DF66&gt;='Options and results'!$K$27,'Options and results'!$K$26,1)*IF(1+'Options and results'!$Q$21*(DF66-1)&gt;0,1+'Options and results'!$Q$21*(DF66-1),0)</f>
        <v>0</v>
      </c>
      <c r="FH66" s="894">
        <f t="shared" si="157"/>
        <v>0</v>
      </c>
      <c r="FI66" s="1027">
        <f t="shared" si="158"/>
        <v>0</v>
      </c>
      <c r="FJ66" s="1027">
        <f t="shared" si="159"/>
        <v>0</v>
      </c>
      <c r="FK66" s="1027">
        <f t="shared" si="160"/>
        <v>0</v>
      </c>
      <c r="FL66" s="1027">
        <f>FI66-FK66</f>
        <v>0</v>
      </c>
      <c r="FM66" s="1027">
        <f>IF($DF66&lt;='Options and results'!$W$20,SUM(FI$8:$FI66),0)</f>
        <v>0</v>
      </c>
      <c r="FN66" s="1027">
        <f>IF($DF66&lt;='Options and results'!$W$20,SUM($FJ$8:FJ66),0)</f>
        <v>0</v>
      </c>
      <c r="FO66" s="1027">
        <f>IF($DF66&lt;='Options and results'!$W$20,SUM($FK$8:FK66),0)</f>
        <v>0</v>
      </c>
      <c r="FP66" s="1027">
        <f>IF($DF66&lt;='Options and results'!$W$20,FM66+FN66-FO66,0)</f>
        <v>0</v>
      </c>
      <c r="FQ66" s="1027">
        <f t="shared" si="162"/>
        <v>0</v>
      </c>
      <c r="FR66" s="1027">
        <f t="shared" si="163"/>
        <v>0</v>
      </c>
      <c r="FS66" s="1027">
        <f t="shared" si="164"/>
        <v>0</v>
      </c>
      <c r="FT66" s="1189">
        <f>IF(DF66&lt;='Options and results'!$W$20,FP66+DZ66,0)</f>
        <v>0</v>
      </c>
      <c r="FU66" s="401"/>
      <c r="FV66" s="895">
        <f t="shared" si="165"/>
        <v>59</v>
      </c>
      <c r="FW66" s="894">
        <f>G66/(1+'Options and results'!$W$33)^(FV66-1)</f>
        <v>0</v>
      </c>
      <c r="FX66" s="740">
        <f>(AP66+AR66+AS66)/(1+'Options and results'!$W$33)^(FV66-1)</f>
        <v>0</v>
      </c>
      <c r="FY66" s="740">
        <f>CQ66/(1+'Options and results'!$W$33)^(FV66-1)</f>
        <v>0</v>
      </c>
      <c r="FZ66" s="740">
        <f>(EA66+EC66+ED66)/(1+'Options and results'!$W$33)^(FV66-1)</f>
        <v>0</v>
      </c>
      <c r="GA66" s="1019">
        <f t="shared" si="180"/>
        <v>0</v>
      </c>
      <c r="GB66" s="1026">
        <f>(AO66+AQ66)/(1+'Options and results'!$W$33)^(FV66-1)+FX66</f>
        <v>0</v>
      </c>
      <c r="GC66" s="1027">
        <f>IF(FV66&gt;'Options and results'!$W$27,0,GB66-GB65)</f>
        <v>0</v>
      </c>
      <c r="GD66" s="1027">
        <f>(DZ66+EB66)/(1+'Options and results'!$W$33)^(FV66-1)+FZ66</f>
        <v>0</v>
      </c>
      <c r="GE66" s="1379">
        <f>IF(FV66&gt;'Options and results'!$W$27,0,GD66-GD65)</f>
        <v>0</v>
      </c>
      <c r="GF66" s="894">
        <f>IF(FV66&lt;='Options and results'!$W$20,SUM(FW$8:FW66),0)</f>
        <v>0</v>
      </c>
      <c r="GG66" s="740">
        <f>IF(FV66&lt;='Options and results'!$W$20,SUM(FX$8:FX66), 0)</f>
        <v>0</v>
      </c>
      <c r="GH66" s="740">
        <f>IF(FV66&lt;='Options and results'!$W$20,SUM(FY$8:FY66),0)</f>
        <v>0</v>
      </c>
      <c r="GI66" s="740">
        <f>IF(FV66&lt;='Options and results'!$W$20,SUM(FZ$8:FZ66),0)</f>
        <v>0</v>
      </c>
      <c r="GJ66" s="1019">
        <f t="shared" si="166"/>
        <v>0</v>
      </c>
      <c r="GK66" s="894">
        <f>IF(FV66&gt;'Options and results'!$W$27,0,GG66+SUM(GC$8:GC66)-FX66)</f>
        <v>0</v>
      </c>
      <c r="GL66" s="740">
        <f>IF(FV66&lt;='Options and results'!$W$20,SUM(GD$8:GD66),0)</f>
        <v>0</v>
      </c>
      <c r="GM66" s="1034">
        <f t="shared" si="167"/>
        <v>0</v>
      </c>
      <c r="GN66" s="401"/>
      <c r="GO66" s="895">
        <f t="shared" si="168"/>
        <v>59</v>
      </c>
      <c r="GP66" s="894">
        <f>H66/(1+'Options and results'!$W$33)^(GO66-1)</f>
        <v>0</v>
      </c>
      <c r="GQ66" s="740">
        <f>SUM(AT66:AV66)/(1+'Options and results'!$W$33)^(GO66-1)</f>
        <v>0</v>
      </c>
      <c r="GR66" s="740">
        <f>CR66/(1+'Options and results'!$W$33)^(GO66-1)</f>
        <v>0</v>
      </c>
      <c r="GS66" s="740">
        <f>SUM(EE66:EG66)/(1+'Options and results'!$W$33)^(GO66-1)</f>
        <v>0</v>
      </c>
      <c r="GT66" s="1019">
        <f t="shared" si="181"/>
        <v>0</v>
      </c>
      <c r="GU66" s="894">
        <f>IF(GO66&lt;='Options and results'!$W$20,SUM(GP$8:GP66),0)</f>
        <v>0</v>
      </c>
      <c r="GV66" s="740">
        <f>IF(GO66&lt;='Options and results'!$W$20,SUM(GQ$8:GQ66),0)</f>
        <v>0</v>
      </c>
      <c r="GW66" s="740">
        <f>IF(GO66&lt;='Options and results'!$W$20,SUM(GR$8:GR66),0)</f>
        <v>0</v>
      </c>
      <c r="GX66" s="740">
        <f>IF(GO66&lt;='Options and results'!$W$20,SUM(GS$8:GS66),0)</f>
        <v>0</v>
      </c>
      <c r="GY66" s="1034">
        <f>IF(GO66&lt;='Options and results'!$W$20,SUM(GT$8:GT66),0)</f>
        <v>0</v>
      </c>
      <c r="GZ66" s="401"/>
      <c r="HA66" s="895">
        <f t="shared" si="169"/>
        <v>59</v>
      </c>
      <c r="HB66" s="1026">
        <f>(J66+L66+(M66*N66))/(1+'Options and results'!$W$33)^(HA66-1)</f>
        <v>0</v>
      </c>
      <c r="HC66" s="740">
        <f>BZ66/(1+'Options and results'!$W$33)^(HA66-1)</f>
        <v>0</v>
      </c>
      <c r="HD66" s="1027">
        <f>(CT66+CV66+(CW66*CX66))/(1+'Options and results'!$W$33)^(HA66-1)</f>
        <v>0</v>
      </c>
      <c r="HE66" s="740">
        <f>FK66/(1+'Options and results'!$W$33)^(HA66-1)</f>
        <v>0</v>
      </c>
      <c r="HF66" s="1019">
        <f t="shared" si="182"/>
        <v>0</v>
      </c>
      <c r="HG66" s="894">
        <f>IF(HA66&lt;='Options and results'!$W$20,SUM(HB$8:HB66),0)</f>
        <v>0</v>
      </c>
      <c r="HH66" s="740">
        <f>IF(HA66&lt;='Options and results'!$W$20,SUM(HC$8:HC66),0)</f>
        <v>0</v>
      </c>
      <c r="HI66" s="740">
        <f>IF(HA66&lt;='Options and results'!$W$20,SUM(HD$8:HD66),0)</f>
        <v>0</v>
      </c>
      <c r="HJ66" s="740">
        <f>IF(HA66&lt;='Options and results'!$W$20,SUM(HE$8:HE66),0)</f>
        <v>0</v>
      </c>
      <c r="HK66" s="1034">
        <f>IF(HA66&lt;='Options and results'!$W$20,SUM(HF$8:HF66),0)</f>
        <v>0</v>
      </c>
      <c r="HL66" s="405"/>
      <c r="HM66" s="895">
        <f t="shared" si="189"/>
        <v>59</v>
      </c>
      <c r="HN66" s="1026">
        <f t="shared" si="171"/>
        <v>0</v>
      </c>
      <c r="HO66" s="1027">
        <f t="shared" si="172"/>
        <v>0</v>
      </c>
      <c r="HP66" s="1027">
        <f t="shared" si="173"/>
        <v>0</v>
      </c>
      <c r="HQ66" s="1027">
        <f t="shared" si="174"/>
        <v>0</v>
      </c>
      <c r="HR66" s="1027">
        <f t="shared" si="175"/>
        <v>0</v>
      </c>
      <c r="HS66" s="1379">
        <f t="shared" si="176"/>
        <v>0</v>
      </c>
      <c r="HT66" s="1026">
        <f>IF($HM66&lt;='Options and results'!$W$20,SUM(HN$8:HN66),0)</f>
        <v>0</v>
      </c>
      <c r="HU66" s="1027">
        <f>IF($HM66&lt;='Options and results'!$W$20,SUM(HO$8:HO66),0)</f>
        <v>0</v>
      </c>
      <c r="HV66" s="1027">
        <f>IF($HM66&lt;='Options and results'!$W$20,SUM(HP$8:HP66),0)</f>
        <v>0</v>
      </c>
      <c r="HW66" s="1027">
        <f>IF($HM66&lt;='Options and results'!$W$20,SUM(HQ$8:HQ66),0)</f>
        <v>0</v>
      </c>
      <c r="HX66" s="1027">
        <f t="shared" si="177"/>
        <v>0</v>
      </c>
      <c r="HY66" s="1027">
        <f>IF($HM66&lt;='Options and results'!$W$20,SUM(HR$8:HR66),0)</f>
        <v>0</v>
      </c>
      <c r="HZ66" s="1027">
        <f>IF($HM66&lt;='Options and results'!$W$20,SUM(HS$8:HS66),0)</f>
        <v>0</v>
      </c>
      <c r="IA66" s="1189">
        <f t="shared" si="178"/>
        <v>0</v>
      </c>
    </row>
    <row r="67" spans="1:235" ht="15.75" thickBot="1" x14ac:dyDescent="0.3">
      <c r="A67" s="1044">
        <f t="shared" si="126"/>
        <v>60</v>
      </c>
      <c r="B67" s="1045" t="str">
        <f>IF('Options and results'!$C$17="None",0,CONCATENATE('Options and results'!$C$23," ",(HLOOKUP(CONCATENATE('Options and results'!$C$17," ",Arablesystem!$B$11),Arablesystem!$B$10:$ER$72,$A67+3,FALSE))))</f>
        <v xml:space="preserve">UK - Agriculture (BPS: from 2015) </v>
      </c>
      <c r="C67" s="1046">
        <f>IF(HLOOKUP(CONCATENATE('Options and results'!$C$17," ",Arablesystem!$C$11),Arablesystem!$B$10:$ER$72,$A67+3,FALSE)="T",(VLOOKUP(B67,Arablefinance!$Z$6:$AB$105,Arablefinance!$AB$2,FALSE)*E67+VLOOKUP(B67,Arablefinance!$Z$6:$AC$105,Arablefinance!$AC$2,FALSE)*F67)/VLOOKUP(B67,Arablefinance!$Z$6:$AA$105,Arablefinance!$AA$2,FALSE),0)</f>
        <v>0</v>
      </c>
      <c r="D67" s="1046">
        <f>IF(B67=0,0,HLOOKUP(CONCATENATE('Options and results'!$C$17," ",Arablesystem!$D$11),Arablesystem!$B$10:$ER$72,$A67+3,FALSE))</f>
        <v>0</v>
      </c>
      <c r="E67" s="1054">
        <f>IF(B67=0,0,HLOOKUP(CONCATENATE('Options and results'!$C$17," ",Arablesystem!$E$11),Arablesystem!$B$10:$ER$72,$A67+3,FALSE)*IF(A67&gt;='Options and results'!$H$19,'Options and results'!$H$18,1))</f>
        <v>0</v>
      </c>
      <c r="F67" s="1054">
        <f>IF(B67=0,0,HLOOKUP(CONCATENATE('Options and results'!$C$17," ",Arablesystem!$F$11),Arablesystem!$B$10:$ER$72,$A67+3,FALSE)*IF(A67&gt;='Options and results'!$H$19,'Options and results'!$H$18,1))</f>
        <v>0</v>
      </c>
      <c r="G67" s="1049">
        <f>IF(D67&lt;=0,0,IF(A67&lt;='Options and results'!$W$20,IF(C67&gt;0,VLOOKUP(B67,Arablefinance!$Z$6:$AE$105,Arablefinance!$AD$2,FALSE)*C67*D67,((VLOOKUP(B67,Arablefinance!$E$6:$G$126,Arablefinance!$F$2,FALSE)*(E67*D67)+VLOOKUP(B67,Arablefinance!$E$6:$G$126,Arablefinance!$G$2,FALSE)*(F67*D67)))),0)*IF(A67&gt;='Options and results'!$H$21,'Options and results'!$H$20,1))*IF(1+'Options and results'!$O$20*(A67-1)&gt;0,1+'Options and results'!$O$20*(A67-1),0)</f>
        <v>0</v>
      </c>
      <c r="H67" s="1047">
        <f>IF(D67&lt;=0,0,IF(A67&lt;='Options and results'!$W$20,IF(AND(C67&gt;0,VLOOKUP(B67,Arablefinance!$Z$6:$AI$105,Arablefinance!$AI$2,FALSE)=2),VLOOKUP(B67,Arablefinance!$Z$6:$AE$105,Arablefinance!$AE$2,FALSE)*C67*D67,(VLOOKUP(B67,Arablefinance!$E$6:$H$126,Arablefinance!$H$2,FALSE)*D67))*IF(A67&gt;='Options and results'!$H$23,'Options and results'!$H$22,1),0)*IF(AND(1+'Options and results'!$O$23*(A67-1)&gt;0,1+'Options and results'!$O$23*(A67-1)&gt;'Options and results'!$S$24),1+'Options and results'!$O$23*(A67-1),'Options and results'!$S$24))</f>
        <v>0</v>
      </c>
      <c r="I67" s="1047">
        <f t="shared" si="127"/>
        <v>0</v>
      </c>
      <c r="J67" s="1047">
        <f>IF(D67&lt;=0,0,IF(A67&lt;='Options and results'!$W$20,IF(C67&gt;0,VLOOKUP(B67,Arablefinance!$Z$6:$AF$105,Arablefinance!$AF$2,FALSE)*C67*D67,(VLOOKUP(B67,Arablefinance!$E$6:$X$126,Arablefinance!$R$2,FALSE))*D67),0)*IF(A67&gt;='Options and results'!$H$27,'Options and results'!$H$26,1))*IF(1+'Options and results'!$O$22*(A67-1)&gt;0,1+'Options and results'!$O$22*(A67-1),0)</f>
        <v>0</v>
      </c>
      <c r="K67" s="1047">
        <f t="shared" si="128"/>
        <v>0</v>
      </c>
      <c r="L67" s="1047">
        <f>IF(D67&lt;=0,0,IF(A67&lt;='Options and results'!$W$20,IF(C67&gt;0,VLOOKUP(B67,Arablefinance!$Z$6:$AG$105,Arablefinance!$AG$2,FALSE)*C67*D67,VLOOKUP(B67,Arablefinance!$E$6:$X$126,Arablefinance!$X$2,FALSE)*D67),0)*IF(A67&gt;='Options and results'!$H$27,'Options and results'!$H$26,1))*IF(1+'Options and results'!$O$22*(A67-1)&gt;0,1+'Options and results'!$O$22*(A67-1),0)</f>
        <v>0</v>
      </c>
      <c r="M67" s="1048">
        <f>IF(D67&lt;=0,0,IF(A67&lt;='Options and results'!$W$20,'Options and results'!$C$27,0)*IF(A67&gt;='Options and results'!$H$27,'Options and results'!$H$26,1))*IF(1+'Options and results'!$O$21*(A67-1)&gt;0,1+'Options and results'!$O$21*(A67-1),0)</f>
        <v>0</v>
      </c>
      <c r="N67" s="1048">
        <f>IF(D67&lt;=0,0,IF(A67&lt;='Options and results'!$W$20,IF(C67&gt;0,VLOOKUP(B67,Arablefinance!$Z$6:$AH$105,Arablefinance!$AH$2,FALSE)*C67*D67,VLOOKUP(B67,Arablefinance!$E$6:$W$126,Arablefinance!$V$2,FALSE)*D67),0)*IF(A67&gt;='Options and results'!$H$25,'Options and results'!$H$24,1))</f>
        <v>0</v>
      </c>
      <c r="O67" s="1049">
        <f t="shared" si="129"/>
        <v>0</v>
      </c>
      <c r="P67" s="1354">
        <f t="shared" si="130"/>
        <v>0</v>
      </c>
      <c r="Q67" s="1049">
        <f>IF(A67&lt;='Options and results'!$W$20,SUM(G$8:$G67),0)</f>
        <v>0</v>
      </c>
      <c r="R67" s="1047">
        <f>IF($A67&lt;='Options and results'!$W$20,SUM($H$8:H67),0)</f>
        <v>0</v>
      </c>
      <c r="S67" s="1047">
        <f>IF($A67&lt;='Options and results'!$W$20,SUM($O$8:O67),0)</f>
        <v>0</v>
      </c>
      <c r="T67" s="1172">
        <f>IF(A67&lt;='Options and results'!$W$20,Q67+R67-S67,0)</f>
        <v>0</v>
      </c>
      <c r="U67" s="346"/>
      <c r="V67" s="1044">
        <f t="shared" si="131"/>
        <v>60</v>
      </c>
      <c r="W67" s="1050"/>
      <c r="X67" s="1051"/>
      <c r="Y67" s="1052">
        <f>IF(V67&lt;='Options and results'!$M$34,'Options and results'!$M$33,0)</f>
        <v>0</v>
      </c>
      <c r="Z67" s="1047">
        <f t="shared" si="132"/>
        <v>0</v>
      </c>
      <c r="AA67" s="1047">
        <f t="shared" si="133"/>
        <v>0</v>
      </c>
      <c r="AB67" s="1053">
        <f t="shared" si="134"/>
        <v>0</v>
      </c>
      <c r="AC67" s="1047">
        <f>IF($W$8=0,0,IF(HLOOKUP(CONCATENATE('Options and results'!$C$32," ",Forestrysystem!$C$8),Forestrysystem!$A$7:$IH$70,V67+4,FALSE)&lt;AB67,HLOOKUP(CONCATENATE('Options and results'!$C$32," ",Forestrysystem!$C$8),Forestrysystem!$A$7:$IH$70,V67+4,FALSE),0))</f>
        <v>0</v>
      </c>
      <c r="AD67" s="1047">
        <f>IF($W$8=0,0,IF(HLOOKUP(CONCATENATE('Options and results'!$C$32," ",Forestrysystem!$C$8),Forestrysystem!$A$7:$IH$70,V67+4,FALSE)&gt;=AB67,AB67,0))</f>
        <v>0</v>
      </c>
      <c r="AE67" s="1054">
        <f>IF($W$8=0,0,HLOOKUP(CONCATENATE('Options and results'!$C$32," ",Forestrysystem!$D$8),Forestrysystem!$A$7:$IH$70,$V67+4,FALSE))</f>
        <v>0</v>
      </c>
      <c r="AF67" s="1055"/>
      <c r="AG67" s="1054">
        <f>IF($W$8=0,0,IF(V67=1,'Options and results'!$M$36,0)+IF('Options and results'!$M$39="yes",IF(AND(AG66+'Options and results'!$M$37&lt;=$AF$8,AG66+'Options and results'!$M$37+IF(V67=1,'Options and results'!$M$36,0)&lt;='Options and results'!$M$38*AE67),AG66+'Options and results'!$M$37,AG66),(HLOOKUP(CONCATENATE('Options and results'!$C$32," ",Forestrysystem!$E$8),Forestrysystem!$A$7:$IH$70,V67+4,FALSE))-IF(V67=1,'Options and results'!$M$36,0)))</f>
        <v>0</v>
      </c>
      <c r="AH67" s="1048">
        <f>IF(OR($W$8=0,AB67&lt;=0),0,(HLOOKUP(CONCATENATE('Options and results'!$C$32," ",Forestrysystem!$F$8),Forestrysystem!$A$7:$IH$70,$V67+4,FALSE)) * IF(V67&gt;='Options and results'!$I$19,'Options and results'!$I$18,1) )</f>
        <v>0</v>
      </c>
      <c r="AI67" s="1171">
        <f t="shared" si="179"/>
        <v>0</v>
      </c>
      <c r="AJ67" s="1048">
        <f t="shared" si="135"/>
        <v>0</v>
      </c>
      <c r="AK67" s="1384">
        <f>IF(OR($W$8=0,AE67&lt;=0),0,(HLOOKUP(CONCATENATE('Options and results'!$C$32," ",Forestrysystem!$G$8),Forestrysystem!$A$7:$IH$70,$V67+4,FALSE)) * IF(Y67&gt;='Options and results'!$I$19,'Options and results'!$I$18,1) )</f>
        <v>0</v>
      </c>
      <c r="AL67" s="1384">
        <f>IF($W$8=0,0,HLOOKUP(CONCATENATE('Options and results'!$C$32," ",Forestrysystem!$H$8),Forestrysystem!$A$7:$IH$70,$V67+4,FALSE)*IF(V67&gt;='Options and results'!$I$19,'Options and results'!$I$18,1))</f>
        <v>0</v>
      </c>
      <c r="AM67" s="1385">
        <f>IF($W$8=0,0,HLOOKUP(CONCATENATE('Options and results'!$C$32," ",Forestrysystem!$I$8),Forestrysystem!$A$7:$IH$70,$V67+4,FALSE)*IF(V67&gt;='Options and results'!$I$19,'Options and results'!$I$18,1))</f>
        <v>0</v>
      </c>
      <c r="AN67" s="1455">
        <f>IF(AI67&gt;0,HLOOKUP(AI67,Treevalue!$I$4:$BC$34,'Options and results'!$C$39+1),0)*IF(V67&gt;='Options and results'!$I$21,'Options and results'!$I$20,1)*IF(1+'Options and results'!$Q$20*(V67-1)&gt;0,1+'Options and results'!$Q$20*(V67-1),0)</f>
        <v>0</v>
      </c>
      <c r="AO67" s="1386">
        <f t="shared" si="136"/>
        <v>0</v>
      </c>
      <c r="AP67" s="1386">
        <f t="shared" si="187"/>
        <v>0</v>
      </c>
      <c r="AQ67" s="1386">
        <f>(IF('Options and results'!$C$39&gt;0,IF(V67&lt;='Options and results'!$W$20,VLOOKUP('Options and results'!$C$39,Treevalue!$A$4:$F$34,5,FALSE),0),0)*AK67)*IF(V67&gt;='Options and results'!$I$21,'Options and results'!$I$20,1)*IF(1+'Options and results'!$Q$20*(V67-1)&gt;0,1+'Options and results'!$Q$20*(V67-1),0)-AR67</f>
        <v>0</v>
      </c>
      <c r="AR67" s="1047">
        <f>(IF('Options and results'!$C$39&gt;0,IF(V67&lt;='Options and results'!$W$20,VLOOKUP('Options and results'!$C$39,Treevalue!$A$4:$F$34,5,FALSE),0),0)*AL67)*IF(V67&gt;='Options and results'!$I$21,'Options and results'!$I$20,1)*IF(1+'Options and results'!$Q$20*(V67-1)&gt;0,1+'Options and results'!$Q$20*(V67-1),0)</f>
        <v>0</v>
      </c>
      <c r="AS67" s="1047">
        <f>(IF('Options and results'!$C$39&gt;0,IF(V67&lt;='Options and results'!$W$20,VLOOKUP('Options and results'!$C$39,Treevalue!$A$4:$F$34,6,FALSE),0),0)*AM67)*IF(V67&gt;='Options and results'!$I$21,'Options and results'!$I$20,1)*IF(1+'Options and results'!$Q$20*(V67-1)&gt;0,1+'Options and results'!$Q$20*(V67-1),0)</f>
        <v>0</v>
      </c>
      <c r="AT67" s="1047">
        <f>IF(V67&lt;='Options and results'!$W$20,(IF(AB67&lt;=0,0,IF('Options and results'!$C$43="cost",(IF(V67&lt;='Options and results'!$C$44,BZ67*SUM('Options and results'!$C$45:$C$46),0)),IF('Options and results'!$C$41&gt;0,(IF(VLOOKUP('Options and results'!$C$42,Treegrant!$B$6:$L$42,Treegrant!$C$2,FALSE)=V67,VLOOKUP('Options and results'!$C$42,Treegrant!$B$6:$L$42,Treegrant!$D$2,FALSE),0)+IF(VLOOKUP('Options and results'!$C$42,Treegrant!$B$6:$L$42,Treegrant!$E$2,FALSE)=V67,VLOOKUP('Options and results'!$C$42,Treegrant!$B$6:$L$42,Treegrant!$F$2,FALSE),0)+IF(VLOOKUP('Options and results'!$C$42,Treegrant!$B$6:$L$42,Treegrant!$G$2,FALSE)=V67,VLOOKUP('Options and results'!$C$42,Treegrant!$B$6:$L$42,Treegrant!$H$2,FALSE)))*IF('Options and results'!$C$43="area",1,'Options and results'!$C$43),0)))*IF(V67&gt;='Options and results'!$I$23,'Options and results'!$I$22,1)),0)*IF(1+'Options and results'!$Q$23*(V67-1)&gt;0,1+'Options and results'!$Q$23*(V67-1),0)</f>
        <v>0</v>
      </c>
      <c r="AU67" s="1047">
        <f>IF($W$8=0,0,IF(V67&lt;='Options and results'!$W$20,IF(AB67&lt;=0,0,IF('Options and results'!$C$41&gt;0,IF(AND(VLOOKUP('Options and results'!$C$42,Treegrant!$B$6:$L$42,Treegrant!$J$2,FALSE)&lt;=V67,VLOOKUP('Options and results'!$C$42,Treegrant!$B$6:$L$42,Treegrant!$K$2,FALSE)&gt;=V67),(VLOOKUP('Options and results'!$C$42,Treegrant!$B$6:$L$42,Treegrant!$L$2,FALSE)),0)*IF('Options and results'!$C$47="full",1,'Options and results'!$C$47))*IF(V67&gt;='Options and results'!$I$23,'Options and results'!$I$22,1)),0))*IF(1+'Options and results'!$Q$23*(V67-1)&gt;0,1+'Options and results'!$Q$23*(V67-1),0)</f>
        <v>0</v>
      </c>
      <c r="AV67" s="1172">
        <f>IF($W$8=0,0,IF(V67&lt;='Options and results'!$W$20,IF(AB67&lt;=0,0,(IF('Options and results'!$C$41&gt;0,(IF(AND(VLOOKUP('Options and results'!$C$42,Treegrant!$B$6:$O$42,Treegrant!$M$2,FALSE)&lt;=V67,VLOOKUP('Options and results'!$C$42,Treegrant!$B$6:$O$42,Treegrant!$N$2,FALSE)&gt;=V67),(VLOOKUP('Options and results'!$C$42,Treegrant!$B$6:$O$42,Treegrant!$O$2,FALSE)),0)*IF('Options and results'!$C$48="full",1,'Options and results'!$C$48))+(IF(AND(VLOOKUP('Options and results'!$C$42,Treegrant!$B$6:$R$42,Treegrant!$P$2,FALSE)&lt;=V67,VLOOKUP('Options and results'!$C$42,Treegrant!$B$6:$R$42,Treegrant!$Q$2,FALSE)&gt;=V67),(VLOOKUP('Options and results'!$C$42,Treegrant!$B$6:$R$42,Treegrant!$R$2,FALSE)),0))*IF('Options and results'!$C$49="full",1,'Options and results'!$C$49)))*IF(V67&gt;='Options and results'!$I$23,'Options and results'!$I$22,1)),0))*IF(1+'Options and results'!$Q$23*(V67-1)&gt;0,1+'Options and results'!$Q$23*(V67-1),0)</f>
        <v>0</v>
      </c>
      <c r="AW67" s="1056"/>
      <c r="AX67" s="1057"/>
      <c r="AY67" s="1420">
        <f>IF($W$8=0,0,IF(V67=1,VLOOKUP($W$8,Treecost!$B$6:$AH$49,Treecost!$E$2,FALSE),0)*IF(V67&gt;='Options and results'!$I$25,'Options and results'!$I$24,1))</f>
        <v>0</v>
      </c>
      <c r="AZ67" s="913">
        <f>IF($W$8=0,0,IF(V67=1,VLOOKUP($W$8,Treecost!$B$6:$AH$49,Treecost!$F$2,FALSE),0)*IF(V67&gt;='Options and results'!$I$25,'Options and results'!$I$24,1))</f>
        <v>0</v>
      </c>
      <c r="BA67" s="913">
        <f>IF($W$8=0,0,IF(V67=1,VLOOKUP($W$8,Treecost!$B$6:$AH$49,Treecost!$G$2,FALSE),0)*IF(V67&gt;='Options and results'!$I$25,'Options and results'!$I$24,1))</f>
        <v>0</v>
      </c>
      <c r="BB67" s="913">
        <f>IF($W$8=0,0,IF(V67&lt;='Options and results'!$W$20,((VLOOKUP($W$8,Treecost!$B$6:$AH$49,Treecost!$H$2,FALSE)*(X67+AA67))/60)*IF(V67&gt;='Options and results'!$I$25,'Options and results'!$I$24,1),0))</f>
        <v>0</v>
      </c>
      <c r="BC67" s="913">
        <f>IF($W$8=0,0,IF(V67&lt;='Options and results'!$W$20,(((VLOOKUP($W$8,Treecost!$B$6:$AH$49,Treecost!$I$2,FALSE))*(X67+AA67))/60)*IF(V67&gt;='Options and results'!$I$25,'Options and results'!$I$24,1),0))</f>
        <v>0</v>
      </c>
      <c r="BD67" s="913">
        <f>IF($W$8=0,0,IF(V67&lt;='Options and results'!$W$20,(((VLOOKUP($W$8,Treecost!$B$6:$AH$49,Treecost!$J$2,FALSE))/60)*(X67+AA67))*IF(V67&gt;='Options and results'!$I$25,'Options and results'!$I$24,1),0))</f>
        <v>0</v>
      </c>
      <c r="BE67" s="1058">
        <f>IF($W$8=0,0,IF(V67&lt;='Options and results'!$W$20,(((VLOOKUP($W$8,Treecost!$B$6:$AH$49,Treecost!$C$2,FALSE)+VLOOKUP($W$8,Treecost!$B$6:$AH$49,Treecost!$D$2,FALSE))*(X67+AA67)*IF(1+'Options and results'!$Q$22*(V67-1)&gt;0,1+'Options and results'!$Q$22*(V67-1),0))+((AY67*$AX$8+AZ67*$AX$9+BA67*$AX$10+BB67*$AX$11+BC67*$AX$12+BD67*$AX$13)*IF(1+'Options and results'!$Q$21*(V67-1)&gt;0,1+'Options and results'!$Q$21*(V67-1),0)))*IF(V67&gt;='Options and results'!$I$27,'Options and results'!$I$26,1),0))</f>
        <v>0</v>
      </c>
      <c r="BF67" s="913">
        <f>IF($W$8=0,0,IF(V67&lt;='Options and results'!$W$20,IF(AND(VLOOKUP($W$8,Treecost!$B$6:$AH$49,Treecost!$K$2,FALSE)&lt;=V67,V67&lt;=(VLOOKUP($W$8,Treecost!$B$6:$AH$49,Treecost!$L$2,FALSE))),VLOOKUP($W$8,Treecost!$B$6:$AH$49,Treecost!$M$2,FALSE)*AB67/60,0)*IF(V67&gt;='Options and results'!$I$25,'Options and results'!$I$24,1),0))</f>
        <v>0</v>
      </c>
      <c r="BG67" s="1058">
        <f>IF(BF67&gt;0,(VLOOKUP($W$8,Treecost!$B$6:$AH$49,Treecost!$N$2,FALSE)*AB67*IF(1+'Options and results'!$Q$22*(V67-1)&gt;0,1+'Options and results'!$Q$22*(V67-1),0)+BF67*$AX$14*IF(1+'Options and results'!$Q$21*(V67-1)&gt;0,1+'Options and results'!$Q$21*(V67-1),0)),0)*IF(V67&gt;='Options and results'!$I$27,'Options and results'!$I$26,1)</f>
        <v>0</v>
      </c>
      <c r="BH67" s="913">
        <f>IF(V67&lt;='Options and results'!$W$20,IF(AND(AG67-AG66&gt;0,AG67&gt;'Options and results'!$M$36),(AB67-AC67)*(VLOOKUP($W$8,Treecost!$B$6:$AH$49,Treecost!$Y$2,FALSE)+(VLOOKUP($W$8,Treecost!$B$6:$AH$49,Treecost!$AA$2,FALSE)-VLOOKUP($W$8,Treecost!$B$6:$AH$49,Treecost!$Y$2,FALSE))/(VLOOKUP($W$8,Treecost!$B$6:$AH$49,Treecost!$Z$2,FALSE)-VLOOKUP($W$8,Treecost!$B$6:$AH$49,Treecost!$X$2,FALSE))*(AG67-VLOOKUP($W$8,Treecost!$B$6:$AH$49,Treecost!$X$2,FALSE)))/60,0)*IF(V67&gt;='Options and results'!$I$25,'Options and results'!$I$24,1),0)</f>
        <v>0</v>
      </c>
      <c r="BI67" s="1173">
        <f>IF(V67&lt;='Options and results'!$W$20,IF(BH67&gt;0,VLOOKUP($W$8,Treecost!$B$6:$AH$49,Treecost!$AB$2,FALSE)/60*AB67,0)*IF(V67&gt;='Options and results'!$I$25,'Options and results'!$I$24,1),0)*((BH67-(MIN($BH$8:$BH$67)))/((MAX($BH$8:$BH$67))-(MIN($BH$8:$BH$67))))</f>
        <v>0</v>
      </c>
      <c r="BJ67" s="915">
        <f>IF(BH67&gt;0,(BH67*$AX$15+BI67*$AX$19)*IF(1+'Options and results'!$Q$21*(V67-1)&gt;0,1+'Options and results'!$Q$21*(V67-1),0),0)*IF(V67&gt;='Options and results'!$I$27,'Options and results'!$I$26,1)</f>
        <v>0</v>
      </c>
      <c r="BK67" s="914">
        <f>IF($W$8=0,0,IF(V67&lt;='Options and results'!$W$20,IF(VLOOKUP($W$8,Treecost!$B$2:$AH$49,Treecost!$O$2,FALSE)=V67,VLOOKUP($W$8,Treecost!$B$2:$AH$49,Treecost!$P$2,FALSE),0)*IF(V67&gt;='Options and results'!$I$25,'Options and results'!$I$24,1),0))</f>
        <v>0</v>
      </c>
      <c r="BL67" s="913">
        <f>IF($W$8=0,0,IF(V67&lt;='Options and results'!$W$20,IF(AND(V67&gt;VLOOKUP($W$8,Treecost!$B$2:$AH$49,Treecost!$O$2,FALSE),V67&lt;=VLOOKUP($W$8,Treecost!$B$2:$AH$49,Treecost!$R$2,FALSE)),VLOOKUP($W$8,Treecost!$B$2:$AH$49,Treecost!$S$2,FALSE),0)*IF(V67&gt;='Options and results'!$I$25,'Options and results'!$I$24,1),0))</f>
        <v>0</v>
      </c>
      <c r="BM67" s="915">
        <f>IF($W$8=0,0,IF(V67&lt;='Options and results'!$W$20,((IF(VLOOKUP($W$8,Treecost!$B$2:$AH$49,Treecost!$O$2,FALSE)=V67,VLOOKUP($W$8,Treecost!$B$2:$AH$49,Treecost!$Q$2,FALSE),0)+IF(AND(V67&gt;VLOOKUP($W$8,Treecost!$B$2:$AH$49,Treecost!$O$2,FALSE),V67&lt;=VLOOKUP($W$8,Treecost!$B$2:$AH$49,Treecost!$R$2,FALSE)),VLOOKUP($W$8,Treecost!$B$2:$AH$49,Treecost!$T$2,FALSE),0)*IF(1+'Options and results'!$Q$22*(V67-1)&gt;0,1+'Options and results'!$Q$22*(V67-1),0))+(BK67*$AX$16+BL67*$AX$17)*IF(1+'Options and results'!$Q$21*(V67-1)&gt;0,1+'Options and results'!$Q$21*(V67-1),0))*IF(V67&gt;='Options and results'!$I$27,'Options and results'!$I$26,1),0))</f>
        <v>0</v>
      </c>
      <c r="BN67" s="916">
        <f>IF($W$8=0,0,IF(V67&lt;='Options and results'!$W$20,IF(AND(V67&gt;=VLOOKUP($W$8,Treecost!$B$2:$W$49,Treecost!$U$2,FALSE),V67&lt;=VLOOKUP($W$8,Treecost!$B$2:$W$49,Treecost!$V$2,FALSE)),(AB67*VLOOKUP($W$8,Treecost!$B$2:$W$49,Treecost!$W$2,FALSE)/60),0)*IF(V67&gt;='Options and results'!$I$25,'Options and results'!$I$24,1),0))</f>
        <v>0</v>
      </c>
      <c r="BO67" s="915">
        <f>BN67*$AX$18*IF(V67&gt;='Options and results'!$I$27,'Options and results'!$I$26,1)*IF(1+'Options and results'!$Q$21*(V67-1)&gt;0,1+'Options and results'!$Q$21*(V67-1),0)</f>
        <v>0</v>
      </c>
      <c r="BP67" s="916">
        <f>IF(V67&lt;='Options and results'!$W$20,IF(AB67&lt;=0,0,VLOOKUP($W$8,Treecost!$B$6:$AH$49,Treecost!$AC$2,FALSE)+VLOOKUP($W$8,Treecost!$B$6:$AH$49,Treecost!$AD$2,FALSE)+IF(AND(V67&gt;=VLOOKUP($W$8,Treecost!$B$2:$AK$49,Treecost!$AI$2,FALSE),V67&lt;=VLOOKUP($W$8,Treecost!$B$2:$AK$49,Treecost!$AJ$2,FALSE)),(VLOOKUP($W$8,Treecost!$B$2:$AK$49,Treecost!$AK$2,FALSE)),0))*IF(V67&gt;='Options and results'!$I$27,'Options and results'!$I$26,1),0)*IF(1+'Options and results'!$Q$22*(V67-1)&gt;0,1+'Options and results'!$Q$22*(V67-1),0)</f>
        <v>0</v>
      </c>
      <c r="BQ67" s="916">
        <f>IF(V67&lt;='Options and results'!$W$20,IF(AC67&gt;0,VLOOKUP($W$8,Treecost!$B$6:$AH$49,Treecost!$AE$2,FALSE)/60*AC67,0)*IF(V67&gt;='Options and results'!$I$25,'Options and results'!$I$24,1),0)</f>
        <v>0</v>
      </c>
      <c r="BR67" s="915">
        <f>IF(V67&lt;='Options and results'!$W$20,IF(AC67&gt;0,VLOOKUP($W$8,Treecost!$B$6:$AH$49,Treecost!$AF$2,FALSE)/60*AC67,0)*IF(V67&gt;='Options and results'!$I$25,'Options and results'!$I$24,1),0)</f>
        <v>0</v>
      </c>
      <c r="BS67" s="915">
        <f>(BQ67*$AX$20+BR67*$AX$21)*IF(V67&gt;='Options and results'!$I$27,'Options and results'!$I$26,1)*IF(1+'Options and results'!$Q$21*(V67-1)&gt;0,1+'Options and results'!$Q$21*(V67-1),0)</f>
        <v>0</v>
      </c>
      <c r="BT67" s="916">
        <f>IF(V67&lt;='Options and results'!$W$20,IF(AD67&gt;0,(VLOOKUP($W$8,Treecost!$B$6:$AH$49,Treecost!$AG$2,FALSE)/60*AD67)*IF(V67&gt;='Options and results'!$I$25,'Options and results'!$I$24,1),0),0)</f>
        <v>0</v>
      </c>
      <c r="BU67" s="915">
        <f>IF(V67&lt;='Options and results'!$W$20,IF(AD67&gt;0,(VLOOKUP($W$8,Treecost!$B$6:$AH$49,Treecost!$AH$2,FALSE)/60*AD67)*IF(V67&gt;='Options and results'!$I$25,'Options and results'!$I$24,1),0),0)</f>
        <v>0</v>
      </c>
      <c r="BV67" s="915">
        <f>(BT67*$AX$22+BU67*$AX$23)*IF(V67&gt;='Options and results'!$I$27,'Options and results'!$I$26,1)*IF(1+'Options and results'!$Q$21*(V67-1)&gt;0,1+'Options and results'!$Q$21*(V67-1),0)</f>
        <v>0</v>
      </c>
      <c r="BW67" s="1039">
        <f t="shared" si="138"/>
        <v>0</v>
      </c>
      <c r="BX67" s="1175">
        <f t="shared" si="139"/>
        <v>0</v>
      </c>
      <c r="BY67" s="1175">
        <f t="shared" si="140"/>
        <v>0</v>
      </c>
      <c r="BZ67" s="915">
        <f t="shared" si="188"/>
        <v>0</v>
      </c>
      <c r="CA67" s="915">
        <f t="shared" si="141"/>
        <v>0</v>
      </c>
      <c r="CB67" s="916">
        <f>IF($V67&lt;='Options and results'!$W$20,SUM(BX$8:$BX67),0)</f>
        <v>0</v>
      </c>
      <c r="CC67" s="915">
        <f>IF($V67&lt;='Options and results'!$W$20,SUM($BY$8:BY67),0)</f>
        <v>0</v>
      </c>
      <c r="CD67" s="915">
        <f>IF($V67&lt;='Options and results'!$W$20,SUM($BZ$8:BZ67),0)</f>
        <v>0</v>
      </c>
      <c r="CE67" s="915">
        <f>IF(V67&lt;='Options and results'!$W$20,CB67+CC67-CD67,0)</f>
        <v>0</v>
      </c>
      <c r="CF67" s="1391">
        <f t="shared" si="142"/>
        <v>0</v>
      </c>
      <c r="CG67" s="1175">
        <f t="shared" si="143"/>
        <v>0</v>
      </c>
      <c r="CH67" s="1175">
        <f t="shared" si="144"/>
        <v>0</v>
      </c>
      <c r="CI67" s="1190">
        <f>IF(V67&lt;='Options and results'!$W$20,CE67+AO67,0)</f>
        <v>0</v>
      </c>
      <c r="CJ67" s="1023"/>
      <c r="CK67" s="902">
        <f t="shared" si="145"/>
        <v>60</v>
      </c>
      <c r="CL67" s="1045" t="str">
        <f>IF('Options and results'!$C$54="None",0,IF(AND(CK67&gt;='Options and results'!$K$57,CK66&lt;'Options and results'!$W$20),'Options and results'!$K$56,IF(Optimisation!$B$3="No",CONCATENATE('Options and results'!$C$60," ",(HLOOKUP(CONCATENATE('Options and results'!$C$54," ",Agroforestrysystem!$B$12),Agroforestrysystem!$B$11:$IM$74,$CK67+4,FALSE))),Optimisation!AA87)))</f>
        <v xml:space="preserve">UK - Agriculture (BPS: from 2015) </v>
      </c>
      <c r="CM67" s="1046">
        <f>IF(HLOOKUP(CONCATENATE('Options and results'!$C$54," ",Agroforestrysystem!$C$12),Agroforestrysystem!$B$11:$IM$74,$CK67+4,FALSE)="T",(VLOOKUP(CL67,Arablefinance!$Z$6:$AB$105,Arablefinance!$AB$2,FALSE)*CO67+VLOOKUP(CL67,Arablefinance!$Z$6:$AC$105,Arablefinance!$AC$2,FALSE)*CP67)/VLOOKUP(CL67,Arablefinance!$Z$6:$AA$105,Arablefinance!$AA$2,FALSE),0)</f>
        <v>0</v>
      </c>
      <c r="CN67" s="1046">
        <f>IF(CL67=0,0,HLOOKUP(CONCATENATE('Options and results'!$C$54," ",Agroforestrysystem!$D$12),Agroforestrysystem!$B$11:$IM$74,$CK67+4,FALSE))</f>
        <v>0</v>
      </c>
      <c r="CO67" s="1054">
        <f ca="1">IF(CL67=0,0,IF(AND(Optimisation!$B$3="yes",Optimisation!$B$4=1,CK67&gt;Optimisation!$B$9),0,HLOOKUP(CONCATENATE('Options and results'!$C$54," ",Agroforestrysystem!$E$12),Agroforestrysystem!$B$11:$IM$74,$CK67+4,FALSE)*IF(CK67&gt;='Options and results'!$J$19,'Options and results'!$J$18,1)))</f>
        <v>0</v>
      </c>
      <c r="CP67" s="1054">
        <f ca="1">IF(CL67=0,0,IF(AND(Optimisation!$B$3="yes",Optimisation!$B$4=1,CK67&gt;Optimisation!$B$9),0,HLOOKUP(CONCATENATE('Options and results'!$C$54," ",Agroforestrysystem!$F$12),Agroforestrysystem!$B$11:$IM$74,$CK67+4,FALSE)*IF(CK67&gt;='Options and results'!$J$19,'Options and results'!$J$18,1)))</f>
        <v>0</v>
      </c>
      <c r="CQ67" s="1049">
        <f>IF(CN67&lt;=0,0,IF(CK67&lt;='Options and results'!$W$20,IF(CM67&gt;0,VLOOKUP(CL67,Arablefinance!$Z$6:$AE$105,Arablefinance!$AD$2,FALSE)*CM67*CN67,((VLOOKUP(CL67,Arablefinance!$E$6:$H$126,2,FALSE)*CO67+VLOOKUP(CL67,Arablefinance!$E$6:$H$126,3,FALSE)*CP67)*CN67)),0)*IF(CK67&gt;='Options and results'!$J$21,'Options and results'!$J$20,1))*IF(1+'Options and results'!$O$20*(CK67-1)&gt;0,1+'Options and results'!$O$20*(CK67-1),0)</f>
        <v>0</v>
      </c>
      <c r="CR67" s="1047">
        <f>IF(CN67&lt;=0,0,IF(AND(CM67&gt;0,VLOOKUP(CL67,Arablefinance!$Z$6:$AI$105,Arablefinance!$AI$2,FALSE)=2),VLOOKUP(CL67,Arablefinance!$Z$6:$AE$105,Arablefinance!$AE$2,FALSE)*CM67*CN67,IF('Options and results'!$C$62&gt;0,IF(VLOOKUP(CL67,Arablefinance!$E$6:$W$126,Arablefinance!$H$2,FALSE)*(1-Plot!DM67*'Options and results'!$C$62)&gt;0,VLOOKUP(CL67,Arablefinance!$E$6:$W$126,Arablefinance!$H$2,FALSE)*(1-Plot!DM67*'Options and results'!$C$62),0),IF(CK67&lt;='Options and results'!$W$20,(VLOOKUP(CL67,Arablefinance!$E$6:$W$126,Arablefinance!$H$2,FALSE)*IF('Options and results'!$C$61="area",CN67,'Options and results'!$C$61)),0)))*IF(CK67&gt;='Options and results'!$J$23,'Options and results'!$J$22,1))*IF(AND(1+'Options and results'!$O$23*(CK67-1)&gt;0,1+'Options and results'!$O$23*(CK67-1)&gt;'Options and results'!$S$24),1+'Options and results'!$O$23*(CK67-1),'Options and results'!$S$24)</f>
        <v>0</v>
      </c>
      <c r="CS67" s="1047">
        <f t="shared" si="185"/>
        <v>0</v>
      </c>
      <c r="CT67" s="1047">
        <f>IF(CN67&lt;=0,0,IF(CK67&lt;='Options and results'!$W$20,IF(CM67&gt;0,VLOOKUP(CL67,Arablefinance!$Z$6:$AF$105,Arablefinance!$AF$2,FALSE)*CM67*CN67,VLOOKUP(CL67,Arablefinance!$E$6:$X$126,Arablefinance!$R$2,FALSE)*CN67),0)*IF(CK67&gt;='Options and results'!$J$27,'Options and results'!$J$26,1))*IF(1+'Options and results'!$O$22*(CK67-1)&gt;0,1+'Options and results'!$O$22*(CK67-1),0)</f>
        <v>0</v>
      </c>
      <c r="CU67" s="1047">
        <f t="shared" si="186"/>
        <v>0</v>
      </c>
      <c r="CV67" s="1047">
        <f>IF(CN67&lt;=0,0,IF(CK67&lt;='Options and results'!$W$20,IF(CM67&gt;0,VLOOKUP(CL67,Arablefinance!$Z$6:$AG$105,Arablefinance!$AG$2,FALSE)*CM67*CN67,VLOOKUP(CL67,Arablefinance!$E$6:$X$126,Arablefinance!$X$2,FALSE)*CN67),0)*IF(CK67&gt;='Options and results'!$J$27,'Options and results'!$J$26,1))*IF(1+'Options and results'!$O$22*(CK67-1)&gt;0,1+'Options and results'!$O$22*(CK67-1),0)</f>
        <v>0</v>
      </c>
      <c r="CW67" s="1048">
        <f>IF(CN67&lt;=0,0,IF(CK67&lt;='Options and results'!$W$20,'Options and results'!$C$27*IF(CK67&gt;='Options and results'!$J$27,'Options and results'!$J$26,1),0))*IF(1+'Options and results'!$O$21*(CK67-1)&gt;0,1+'Options and results'!$O$21*(CK67-1),0)</f>
        <v>0</v>
      </c>
      <c r="CX67" s="1048">
        <f>IF(CN67&lt;=0,0,IF(CK67&lt;='Options and results'!$W$20,IF(CM67&gt;0,VLOOKUP(CL67,Arablefinance!$Z$6:$AH$105,Arablefinance!$AH$2,FALSE)*CM67*CN67,VLOOKUP(CL67,Arablefinance!$E$6:$W$126,Arablefinance!$V$2,FALSE)*CN67),0)*IF(CK67&gt;='Options and results'!$J$25,'Options and results'!$J$24,1))</f>
        <v>0</v>
      </c>
      <c r="CY67" s="1049">
        <f t="shared" si="148"/>
        <v>0</v>
      </c>
      <c r="CZ67" s="1354">
        <f t="shared" si="149"/>
        <v>0</v>
      </c>
      <c r="DA67" s="1049">
        <f>IF($CK67&lt;='Options and results'!$W$20,SUM($CQ$8:CQ67),0)</f>
        <v>0</v>
      </c>
      <c r="DB67" s="1047">
        <f>IF($CK67&lt;='Options and results'!$W$20,SUM($CR$8:CR67),0)</f>
        <v>0</v>
      </c>
      <c r="DC67" s="1047">
        <f>IF($CK67&lt;='Options and results'!$W$20,SUM($CY$8:CY67),0)</f>
        <v>0</v>
      </c>
      <c r="DD67" s="1190">
        <f>IF(CK67&lt;='Options and results'!$W$20,DA67+DB67-DC67,0)</f>
        <v>0</v>
      </c>
      <c r="DE67" s="346"/>
      <c r="DF67" s="902">
        <f t="shared" si="150"/>
        <v>60</v>
      </c>
      <c r="DG67" s="1050"/>
      <c r="DH67" s="1423"/>
      <c r="DI67" s="1432">
        <f>IF(DF67&lt;='Options and results'!$M$61,'Options and results'!$M$60,0)</f>
        <v>0</v>
      </c>
      <c r="DJ67" s="915">
        <f t="shared" si="151"/>
        <v>0</v>
      </c>
      <c r="DK67" s="915">
        <f t="shared" si="152"/>
        <v>0</v>
      </c>
      <c r="DL67" s="1053">
        <f t="shared" si="153"/>
        <v>0</v>
      </c>
      <c r="DM67" s="1059">
        <f>IF($DG$8=0,0,HLOOKUP(CONCATENATE('Options and results'!$C$54," ",Agroforestrysystem!$J$12),Agroforestrysystem!$11:$74,DF67+3,FALSE))/100</f>
        <v>0</v>
      </c>
      <c r="DN67" s="915">
        <f>IF($DG$8=0,0,IF(HLOOKUP(CONCATENATE('Options and results'!$C$54," ",Agroforestrysystem!$H$12),Agroforestrysystem!$11:$74,DF67+4,FALSE)&lt;DL67,HLOOKUP(CONCATENATE('Options and results'!$C$54," ",Agroforestrysystem!$H$12),Agroforestrysystem!$11:$74,DF67+4,FALSE),0))</f>
        <v>0</v>
      </c>
      <c r="DO67" s="1175">
        <f>IF($DG$8=0,0,IF(HLOOKUP(CONCATENATE('Options and results'!$C$54," ",Agroforestrysystem!$H$12),Agroforestrysystem!$11:$74,DF67+4,FALSE)&gt;=DL67,DL67,0))</f>
        <v>0</v>
      </c>
      <c r="DP67" s="1060">
        <f>IF($DG$8=0,0,HLOOKUP(CONCATENATE('Options and results'!$C$54," ",Agroforestrysystem!$I$12),Agroforestrysystem!$11:$74,DF67+4,FALSE))</f>
        <v>0</v>
      </c>
      <c r="DQ67" s="1061"/>
      <c r="DR67" s="1060">
        <f>IF($DG$8=0,0,IF(DF67&gt;'Options and results'!$W$20,0,)+IF(DF67=1,'Options and results'!$M$64)+IF('Options and results'!$M$67="yes",IF(AND(DR66+'Options and results'!$M$65&lt;=$DQ$8,DR66+'Options and results'!$M$65+IF(DF67=1,'Options and results'!$M$64,0)&lt;='Options and results'!$M$66*DP67),DR66+'Options and results'!$M$65,DR66),(HLOOKUP(CONCATENATE('Options and results'!$C$54," ",Agroforestrysystem!$K$12),Agroforestrysystem!$11:$74,DF67+4,FALSE)-IF(DF67=1,'Options and results'!$M$64))))</f>
        <v>0</v>
      </c>
      <c r="DS67" s="1175">
        <f>IF(OR($DG$8=0,DL67=0),0,HLOOKUP(CONCATENATE('Options and results'!$C$54," ",Agroforestrysystem!$L$12),Agroforestrysystem!$11:$74,DF67+4,FALSE)*IF(DF67&gt;='Options and results'!$K$19,'Options and results'!$K$18,1))</f>
        <v>0</v>
      </c>
      <c r="DT67" s="1062">
        <f t="shared" si="154"/>
        <v>0</v>
      </c>
      <c r="DU67" s="913">
        <f t="shared" si="155"/>
        <v>0</v>
      </c>
      <c r="DV67" s="1175">
        <f>IF($DG$8=0,0,(HLOOKUP(CONCATENATE('Options and results'!$C$54," ",Agroforestrysystem!$M$12),Agroforestrysystem!$11:$74,DF67+4,FALSE))*IF(DF67&gt;='Options and results'!$K$19,'Options and results'!$K$18,1))-DW67</f>
        <v>0</v>
      </c>
      <c r="DW67" s="1173">
        <f>IF($DG$8=0,0,(HLOOKUP(CONCATENATE('Options and results'!$C$54," ",Agroforestrysystem!$N$12),Agroforestrysystem!$11:$74,DF67+4,FALSE))*IF(DF67&gt;='Options and results'!$K$19,'Options and results'!$K$18,1))</f>
        <v>0</v>
      </c>
      <c r="DX67" s="1173">
        <f>IF($DG$8=0,0,HLOOKUP(CONCATENATE('Options and results'!$C$54," ",Agroforestrysystem!$O$12),Agroforestrysystem!$11:$74,DF67+4,FALSE)*IF(DF67&gt;='Options and results'!$K$19,'Options and results'!$K$18,1))</f>
        <v>0</v>
      </c>
      <c r="DY67" s="1433">
        <f>IF(DT67&gt;0,HLOOKUP(DT67,Treevalue!$I$4:$BC$34,'Options and results'!$C$66+1),0)*IF(DF67&gt;='Options and results'!$K$21,'Options and results'!$K$20,1)*IF(1+'Options and results'!$Q$20*(DF67-1)&gt;0,1+'Options and results'!$Q$20*(DF67-1),0)</f>
        <v>0</v>
      </c>
      <c r="DZ67" s="1175">
        <f t="shared" si="156"/>
        <v>0</v>
      </c>
      <c r="EA67" s="1175">
        <f t="shared" si="125"/>
        <v>0</v>
      </c>
      <c r="EB67" s="1175">
        <f>(IF('Options and results'!$C$66&gt;0,IF(DF67&lt;='Options and results'!$W$20,VLOOKUP('Options and results'!$C$66,Treevalue!$A$4:$F$34,5,FALSE),0),0)*DV67)*IF(DF67&gt;='Options and results'!$K$21,'Options and results'!$K$20,1)*IF(1+'Options and results'!$Q$20*(DF67-1)&gt;0,1+'Options and results'!$Q$20*(DF67-1),0)</f>
        <v>0</v>
      </c>
      <c r="EC67" s="915">
        <f>(IF('Options and results'!$C$66&gt;0,IF(DF67&lt;='Options and results'!$W$20,VLOOKUP('Options and results'!$C$66,Treevalue!$A$4:$F$34,5,FALSE),0),0)*DW67)*IF(DF67&gt;='Options and results'!$K$21,'Options and results'!$K$20,1)*IF(1+'Options and results'!$Q$20*(DF67-1)&gt;0,1+'Options and results'!$Q$20*(DF67-1),0)</f>
        <v>0</v>
      </c>
      <c r="ED67" s="913">
        <f>(IF('Options and results'!$C$66&gt;0,IF(DF67&lt;='Options and results'!$W$20,VLOOKUP('Options and results'!$C$66,Treevalue!$A$4:$F$34,6,FALSE),0),0)*DX67)*IF(DF67&gt;='Options and results'!$K$21,'Options and results'!$K$20,1)*IF(1+'Options and results'!$Q$20*(DF67-1)&gt;0,1+'Options and results'!$Q$20*(DF67-1),0)</f>
        <v>0</v>
      </c>
      <c r="EE67" s="915">
        <f>IF(DF67&lt;='Options and results'!$W$20,IF(DL67&lt;=0,0,IF('Options and results'!$C$70="cost",(IF(DF67&lt;='Options and results'!$C$71,FK67*SUM('Options and results'!$C$72:$C$73),0)),IF('Options and results'!$C$68&gt;0,(IF(VLOOKUP('Options and results'!$C$69,Treegrant!$B$6:$L$42,Treegrant!$C$2,FALSE)=DF67,VLOOKUP('Options and results'!$C$69,Treegrant!$B$6:$L$42,Treegrant!$D$2,FALSE),0)+IF(VLOOKUP('Options and results'!$C$69,Treegrant!$B$6:$L$42,Treegrant!$E$2,FALSE)=DF67,VLOOKUP('Options and results'!$C$69,Treegrant!$B$6:$L$42,Treegrant!$F$2,FALSE),0)+IF(VLOOKUP('Options and results'!$C$69,Treegrant!$B$6:$L$42,Treegrant!$G$2,FALSE)=DF67,VLOOKUP('Options and results'!$C$69,Treegrant!$B$6:$L$42,Treegrant!$H$2,FALSE)))*IF('Options and results'!$C$70="area",Unit!C68,'Options and results'!$C$70),0))*IF(DF67&gt;='Options and results'!$K$23,'Options and results'!$K$22,1)),0)*IF(1+'Options and results'!$Q$23*(DF67-1)&gt;0,1+'Options and results'!$Q$23*(DF67-1),0)</f>
        <v>0</v>
      </c>
      <c r="EF67" s="915">
        <f>IF($DG$8=0,0,IF(DF67&lt;='Options and results'!$W$20,IF(DL67&lt;=0,0,IF('Options and results'!$C$68&gt;0,IF(AND(VLOOKUP('Options and results'!$C$69,Treegrant!$B$6:$L$42,Treegrant!$J$2,FALSE)&lt;=DF67,VLOOKUP('Options and results'!$C$69,Treegrant!$B$6:$L$42,Treegrant!$K$2,FALSE)&gt;=DF67),(VLOOKUP('Options and results'!$C$69,Treegrant!$B$6:$L$42,Treegrant!$L$2,FALSE)),0)*IF('Options and results'!$C$74="area",Unit!C68,'Options and results'!$C$74))*IF(DF67&gt;='Options and results'!$K$23,'Options and results'!$K$22,1)),0))*IF(1+'Options and results'!$Q$23*(DF67-1)&gt;0,1+'Options and results'!$Q$23*(DF67-1),0)</f>
        <v>0</v>
      </c>
      <c r="EG67" s="917">
        <f>IF($DG$8=0,0,IF(DF67&lt;='Options and results'!$W$20,IF(DL67&lt;=0,0,IF('Options and results'!$C$68&gt;0,((IF(AND(VLOOKUP('Options and results'!$C$69,Treegrant!$B$6:$O$42,Treegrant!$M$2,FALSE)&lt;=DF67,VLOOKUP('Options and results'!$C$69,Treegrant!$B$6:$O$42,Treegrant!$N$2,FALSE)&gt;=DF67),(VLOOKUP('Options and results'!$C$69,Treegrant!$B$6:$O$42,Treegrant!$O$2,FALSE)),0)*IF('Options and results'!$C$75="area",Unit!C68,'Options and results'!$C$75))+(IF(AND(VLOOKUP('Options and results'!$C$69,Treegrant!$B$6:$R$42,Treegrant!$P$2,FALSE)&lt;=DF67,VLOOKUP('Options and results'!$C$69,Treegrant!$B$6:$R$42,Treegrant!$Q$2,FALSE)&gt;=DF67),(VLOOKUP('Options and results'!$C$69,Treegrant!$B$6:$R$42,Treegrant!$R$2,FALSE)),0))*IF('Options and results'!$C$76="area",Unit!C68,'Options and results'!$C$76)))*IF(DF67&gt;='Options and results'!$K$23,'Options and results'!$K$22,1)),0))*IF(1+'Options and results'!$Q$23*(DF67-1)&gt;0,1+'Options and results'!$Q$23*(DF67-1),0)</f>
        <v>0</v>
      </c>
      <c r="EH67" s="1056"/>
      <c r="EI67" s="1057"/>
      <c r="EJ67" s="1420">
        <f>IF($DH$8+DK67&lt;1,0,IF(DF67=1,VLOOKUP($DG$8,Treecost!$B$6:$AH$49,Treecost!$E$2,FALSE),0)*IF(DF67&gt;='Options and results'!$K$25,'Options and results'!$K$24,1))</f>
        <v>0</v>
      </c>
      <c r="EK67" s="913">
        <f>IF($DH$8+DK67&lt;1,0,IF(DF67=1,VLOOKUP($DG$8,Treecost!$B$6:$AH$49,Treecost!$F$2,FALSE),0)*IF(DF67&gt;='Options and results'!$K$25,'Options and results'!$K$24,1))</f>
        <v>0</v>
      </c>
      <c r="EL67" s="913">
        <f>IF($DH$8+DK67&lt;1,0,IF(DF67=1,VLOOKUP($DG$8,Treecost!$B$6:$AH$49,Treecost!$G$2,FALSE),0)*IF(DF67&gt;='Options and results'!$K$25,'Options and results'!$K$24,1))</f>
        <v>0</v>
      </c>
      <c r="EM67" s="913">
        <f>IF($DG$8=0,0,IF(DF67&lt;='Options and results'!$W$20,((VLOOKUP($DG$8,Treecost!$B$6:$AH$49,Treecost!$H$2,FALSE)*(DH67+DK67))/60)*IF(DF67&gt;='Options and results'!$K$25,'Options and results'!$K$24,1),0))</f>
        <v>0</v>
      </c>
      <c r="EN67" s="913">
        <f>IF($DG$8=0,0,IF(DF67&lt;='Options and results'!$W$20,(((VLOOKUP($DG$8,Treecost!$B$6:$AH$49,Treecost!$I$2,FALSE))*(DH67+DK67))/60)*IF(DF67&gt;='Options and results'!$K$25,'Options and results'!$K$24,1),0))</f>
        <v>0</v>
      </c>
      <c r="EO67" s="913">
        <f>IF($DG$8=0,0,IF(DF67&lt;='Options and results'!$W$20,(((VLOOKUP($DG$8,Treecost!$B$6:$AH$49,Treecost!$J$2,FALSE))/60)*(DH67+DK67))*IF(DF67&gt;='Options and results'!$K$25,'Options and results'!$K$24,1),0))</f>
        <v>0</v>
      </c>
      <c r="EP67" s="1058">
        <f>IF($DG$8=0,0,IF(DF67&lt;='Options and results'!$W$20,(((VLOOKUP($DG$8,Treecost!$B$6:$AH$49,Treecost!$C$2,FALSE)+VLOOKUP($DG$8,Treecost!$B$6:$AH$49,Treecost!$D$2,FALSE))*(DH67+DK67)*IF(1+'Options and results'!$Q$22*(DF67-1)&gt;0,1+'Options and results'!$Q$22*(DF67-1),0))+(EJ67*$EI$8+EK67*$EI$9+EL67*$EI$10+EM67*$EI$11+EN67*$EI$12+EO67*$EI$13)*IF(1+'Options and results'!$Q$21*(DF67-1)&gt;0,1+'Options and results'!$Q$21*(DF67-1),0))*IF(DF67&gt;='Options and results'!$K$27,'Options and results'!$K$26,1),0))</f>
        <v>0</v>
      </c>
      <c r="EQ67" s="915">
        <f>IF($DG$8=0,0,IF(DF67&lt;='Options and results'!$W$20,IF(AND(VLOOKUP($DG$8,Treecost!$B$6:$AH$49,Treecost!$K$2,FALSE)&lt;=DF67,DF67&lt;=(VLOOKUP($DG$8,Treecost!$B$6:$AH$49,Treecost!$L$2,FALSE))),VLOOKUP($DG$8,Treecost!$B$6:$AH$49,Treecost!$M$2,FALSE)*DL67/60,0)*IF(DF67&gt;='Options and results'!$K$25,'Options and results'!$K$24,1),0))</f>
        <v>0</v>
      </c>
      <c r="ER67" s="1058">
        <f>IF(EQ67&gt;0,(VLOOKUP($DG$8,Treecost!$B$6:$AH$49,Treecost!$N$2,FALSE)*DL67*IF(1+'Options and results'!$Q$22*(DF67-1)&gt;0,1+'Options and results'!$Q$22*(DF67-1),0)+EQ67*$EI$14*IF(1+'Options and results'!$Q$21*(DF67-1)&gt;0,1+'Options and results'!$Q$21*(DF67-1),0)),0)*IF(DF67&gt;='Options and results'!$K$27,'Options and results'!$K$26,1)</f>
        <v>0</v>
      </c>
      <c r="ES67" s="914">
        <f>IF(DF67&lt;='Options and results'!$W$20,IF(AND(DR67-DR66&gt;0,DR67&gt;'Options and results'!$M$64),(DL67-DN67)*(VLOOKUP($DG$8,Treecost!$B$6:$AH$49,Treecost!$Y$2,FALSE)+(VLOOKUP($DG$8,Treecost!$B$6:$AH$49,Treecost!$AA$2,FALSE)-VLOOKUP($DG$8,Treecost!$B$6:$AH$49,Treecost!$Y$2,FALSE))/(VLOOKUP($DG$8,Treecost!$B$6:$AH$49,Treecost!$Z$2,FALSE)-VLOOKUP($DG$8,Treecost!$B$6:$AH$49,Treecost!$X$2,FALSE))*(DR67-VLOOKUP($DG$8,Treecost!$B$6:$AH$49,Treecost!$X$2,FALSE)))/60,0)*IF(DF67&gt;='Options and results'!$K$25,'Options and results'!$K$24,1),0)</f>
        <v>0</v>
      </c>
      <c r="ET67" s="913">
        <f>IF(DF67&lt;='Options and results'!$W$20,IF(ES67&gt;0,VLOOKUP($DG$8,Treecost!$B$6:$AH$49,Treecost!$AB$2,FALSE)/60*DL67,0)*IF(DF67&gt;='Options and results'!$K$25,'Options and results'!$K$24,1),0)*((ES67-(MIN($ES$8:$ES$67)))/((MAX($ES$8:$ES$67))-(MIN($ES$8:$ES$67))))</f>
        <v>0</v>
      </c>
      <c r="EU67" s="915">
        <f>IF(ES67&gt;0,(ES67*$EI$15+ET67*$EI$19)*IF(1+'Options and results'!$Q$21*(DF67-1)&gt;0,1+'Options and results'!$Q$21*(DF67-1),0),0)*IF(DF67&gt;='Options and results'!$K$27,'Options and results'!$K$26,1)</f>
        <v>0</v>
      </c>
      <c r="EV67" s="914">
        <f>IF($DG$8=0,0,IF(DF67&lt;='Options and results'!$W$20,IF(AND(VLOOKUP($DG$8,Treecost!$B$2:$AH$49,Treecost!$O$2,FALSE)=DF67,DF67&lt;=IF(AND(Optimisation!$B$3="Yes",Optimisation!$B$4=1),Optimisation!$B$9)),VLOOKUP($DG$8,Treecost!$B$2:$AH$49,Treecost!$P$2,FALSE)*(1-CN67),0)*IF(DF67&gt;='Options and results'!$K$25,'Options and results'!$K$24,1),0))</f>
        <v>0</v>
      </c>
      <c r="EW67" s="913">
        <f>IF($DG$8=0,0,IF(DF67&lt;='Options and results'!$W$20,IF(AND(DF67&gt;VLOOKUP($DG$8,Treecost!$B$2:$AH$49,Treecost!$O$2,FALSE),DF67&lt;=IF(AND(Optimisation!$B$3="Yes",Optimisation!$B$4=1),Optimisation!$B$9,VLOOKUP($DG$8,Treecost!$B$2:$AH$49,Treecost!$R$2,FALSE))),VLOOKUP($DG$8,Treecost!$B$2:$AH$49,Treecost!$S$2,FALSE)*(1-CN67),0)*IF(DF67&gt;='Options and results'!$K$25,'Options and results'!$K$24,1),0))</f>
        <v>0</v>
      </c>
      <c r="EX67" s="915">
        <f>IF($DG$8=0,0,IF(DF67&lt;='Options and results'!$W$20,(IF(AND(VLOOKUP($DG$8,Treecost!$B$2:$AH$49,Treecost!$O$2,FALSE)=DF67,DF67&lt;=IF(AND(Optimisation!$B$3="Yes",Optimisation!$B$4=1),Optimisation!$B$9)),VLOOKUP($DG$8,Treecost!$B$2:$AH$49,Treecost!$Q$2,FALSE),0)*(1-CN67)+IF(AND(DF67&gt;VLOOKUP($DG$8,Treecost!$B$2:$AH$49,Treecost!$O$2,FALSE),DF67&lt;=IF(AND(Optimisation!$B$3="Yes",Optimisation!$B$4=1),Optimisation!$B$9,VLOOKUP($DG$8,Treecost!$B$2:$AH$49,Treecost!$R$2,FALSE))),VLOOKUP($DG$8,Treecost!$B$2:$AH$49,Treecost!$T$2,FALSE),0)*(1-CN67)+(EV67*$EI$16+EW67*$EI$17))*IF(DF67&gt;='Options and results'!$K$27,'Options and results'!$K$26,1),0))*IF(1+'Options and results'!$Q$21*(DF67-1)&gt;0,1+'Options and results'!$Q$21*(DF67-1),0)</f>
        <v>0</v>
      </c>
      <c r="EY67" s="916">
        <f>IF($DG$8=0,0,IF(DF67&lt;='Options and results'!$W$20,IF(AND(DF67&gt;=VLOOKUP($DG$8,Treecost!$B$2:$W$49,Treecost!$U$2,FALSE),DF67&lt;=VLOOKUP($DG$8,Treecost!$B$2:$W$49,Treecost!$V$2,FALSE)),(DL67*VLOOKUP($DG$8,Treecost!$B$2:$W$49,Treecost!$W$2,FALSE)/60),0)*IF(DF67&gt;='Options and results'!$K$25,'Options and results'!$K$24,1),0))</f>
        <v>0</v>
      </c>
      <c r="EZ67" s="915">
        <f>EY67*$EI$18*IF(DF67&gt;='Options and results'!$K$27,'Options and results'!$K$26,1)*IF(1+'Options and results'!$Q$21*(DF67-1)&gt;0,1+'Options and results'!$Q$21*(DF67-1),0)</f>
        <v>0</v>
      </c>
      <c r="FA67" s="1063">
        <f>IF(DF67&lt;='Options and results'!$W$20,IF(DL67&lt;=0,0,VLOOKUP($DG$8,Treecost!$B$6:$AH$49,Treecost!$AC$2,FALSE)+VLOOKUP($DG$8,Treecost!$B$6:$AH$49,Treecost!$AD$2,FALSE)+IF(AND(DF67&gt;=VLOOKUP($DG$8,Treecost!$B$2:$AK$49,Treecost!$AI$2,FALSE),DF67&lt;=VLOOKUP($DG$8,Treecost!$B$2:$AK$49,Treecost!$AJ$2,FALSE)),VLOOKUP($DG$8,Treecost!$B$2:$AK$49,Treecost!$AK$2,FALSE)*(1-CN67),0))*IF(DF67&gt;='Options and results'!$K$27,'Options and results'!$K$26,1),0)*IF(1+'Options and results'!$Q$22*(DF67-1)&gt;0,1+'Options and results'!$Q$22*(DF67-1),0)</f>
        <v>0</v>
      </c>
      <c r="FB67" s="916">
        <f>IF(DF67&lt;='Options and results'!$W$20,IF(DN67&gt;0,VLOOKUP($DG$8,Treecost!$B$6:$AH$49,Treecost!$AE$2,FALSE)/60*DN67,0)*IF(DF67&gt;='Options and results'!$K$25,'Options and results'!$K$24,1),0)</f>
        <v>0</v>
      </c>
      <c r="FC67" s="915">
        <f>IF(DF67&lt;='Options and results'!$W$20,IF(DN67&gt;0,VLOOKUP($DG$8,Treecost!$B$6:$AH$49,Treecost!$AF$2,FALSE)/60*DN67,0)*IF(DF67&gt;='Options and results'!$K$25,'Options and results'!$K$24,1),0)</f>
        <v>0</v>
      </c>
      <c r="FD67" s="915">
        <f>(FB67*$EI$20+FC67*$EI$21)*IF(DF67&gt;='Options and results'!$K$27,'Options and results'!$K$26,1)*IF(1+'Options and results'!$Q$21*(DF67-1)&gt;0,1+'Options and results'!$Q$21*(DF67-1),0)</f>
        <v>0</v>
      </c>
      <c r="FE67" s="916">
        <f>IF(DF67&lt;='Options and results'!$W$20,IF(DO67&gt;0,(VLOOKUP($DG$8,Treecost!$B$6:$AH$49,Treecost!$AG$2,FALSE)/60*DO67)*IF(DF67&gt;='Options and results'!$K$25,'Options and results'!$K$24,1),0),0)</f>
        <v>0</v>
      </c>
      <c r="FF67" s="915">
        <f>IF(DF67&lt;='Options and results'!$W$20,IF(DO67&gt;0,(VLOOKUP($DG$8,Treecost!$B$6:$AH$49,Treecost!$AH$2,FALSE)/60*DO67)*IF(DF67&gt;='Options and results'!$K$25,'Options and results'!$K$24,1),0),0)</f>
        <v>0</v>
      </c>
      <c r="FG67" s="915">
        <f>(FE67*$EI$22+FF67*$EI$23)*IF(DF67&gt;='Options and results'!$K$27,'Options and results'!$K$26,1)*IF(1+'Options and results'!$Q$21*(DF67-1)&gt;0,1+'Options and results'!$Q$21*(DF67-1),0)</f>
        <v>0</v>
      </c>
      <c r="FH67" s="916">
        <f t="shared" si="157"/>
        <v>0</v>
      </c>
      <c r="FI67" s="1175">
        <f t="shared" si="158"/>
        <v>0</v>
      </c>
      <c r="FJ67" s="1175">
        <f t="shared" si="159"/>
        <v>0</v>
      </c>
      <c r="FK67" s="1175">
        <f t="shared" si="160"/>
        <v>0</v>
      </c>
      <c r="FL67" s="1175">
        <f>FI67-FK67</f>
        <v>0</v>
      </c>
      <c r="FM67" s="1175">
        <f>IF($DF67&lt;='Options and results'!$W$20,SUM(FI$8:$FI67),0)</f>
        <v>0</v>
      </c>
      <c r="FN67" s="1175">
        <f>IF($DF67&lt;='Options and results'!$W$20,SUM($FJ$8:FJ67),0)</f>
        <v>0</v>
      </c>
      <c r="FO67" s="1175">
        <f>IF($DF67&lt;='Options and results'!$W$20,SUM($FK$8:FK67),0)</f>
        <v>0</v>
      </c>
      <c r="FP67" s="1175">
        <f>IF($DF67&lt;='Options and results'!$W$20,FM67+FN67-FO67,0)</f>
        <v>0</v>
      </c>
      <c r="FQ67" s="1175">
        <f t="shared" si="162"/>
        <v>0</v>
      </c>
      <c r="FR67" s="1175">
        <f t="shared" si="163"/>
        <v>0</v>
      </c>
      <c r="FS67" s="1175">
        <f t="shared" si="164"/>
        <v>0</v>
      </c>
      <c r="FT67" s="1190">
        <f>IF(DF67&lt;='Options and results'!$W$20,FP67+DZ67,0)</f>
        <v>0</v>
      </c>
      <c r="FU67" s="346"/>
      <c r="FV67" s="902">
        <f t="shared" si="165"/>
        <v>60</v>
      </c>
      <c r="FW67" s="916">
        <f>G67/(1+'Options and results'!$W$33)^(FV67-1)</f>
        <v>0</v>
      </c>
      <c r="FX67" s="915">
        <f>(AP67+AR67+AS67)/(1+'Options and results'!$W$33)^(FV67-1)</f>
        <v>0</v>
      </c>
      <c r="FY67" s="915">
        <f>CQ67/(1+'Options and results'!$W$33)^(FV67-1)</f>
        <v>0</v>
      </c>
      <c r="FZ67" s="915">
        <f>(EA67+EC67+ED67)/(1+'Options and results'!$W$33)^(FV67-1)</f>
        <v>0</v>
      </c>
      <c r="GA67" s="1058">
        <f t="shared" si="180"/>
        <v>0</v>
      </c>
      <c r="GB67" s="1174">
        <f>(AO67+AQ67)/(1+'Options and results'!$W$33)^(FV67-1)+FX67</f>
        <v>0</v>
      </c>
      <c r="GC67" s="1175">
        <f>IF(FV67&gt;'Options and results'!$W$27,0,GB67-GB66)</f>
        <v>0</v>
      </c>
      <c r="GD67" s="1175">
        <f>(DZ67+EB67)/(1+'Options and results'!$W$33)^(FV67-1)+FZ67</f>
        <v>0</v>
      </c>
      <c r="GE67" s="1392">
        <f>IF(FV67&gt;'Options and results'!$W$27,0,GD67-GD66)</f>
        <v>0</v>
      </c>
      <c r="GF67" s="916">
        <f>IF(FV67&lt;='Options and results'!$W$20,SUM(FW$8:FW67),0)</f>
        <v>0</v>
      </c>
      <c r="GG67" s="915">
        <f>IF(FV67&lt;='Options and results'!$W$20,SUM(FX$8:FX67), 0)</f>
        <v>0</v>
      </c>
      <c r="GH67" s="915">
        <f>IF(FV67&lt;='Options and results'!$W$20,SUM(FY$8:FY67),0)</f>
        <v>0</v>
      </c>
      <c r="GI67" s="915">
        <f>IF(FV67&lt;='Options and results'!$W$20,SUM(FZ$8:FZ67),0)</f>
        <v>0</v>
      </c>
      <c r="GJ67" s="1058">
        <f t="shared" si="166"/>
        <v>0</v>
      </c>
      <c r="GK67" s="916">
        <f>IF(FV67&gt;'Options and results'!$W$27,0,GG67+SUM(GC$8:GC67)-FX67)</f>
        <v>0</v>
      </c>
      <c r="GL67" s="915">
        <f>IF(FV67&lt;='Options and results'!$W$20,SUM(GD$8:GD67),0)</f>
        <v>0</v>
      </c>
      <c r="GM67" s="917">
        <f t="shared" si="167"/>
        <v>0</v>
      </c>
      <c r="GN67" s="401"/>
      <c r="GO67" s="902">
        <f t="shared" si="168"/>
        <v>60</v>
      </c>
      <c r="GP67" s="916">
        <f>H67/(1+'Options and results'!$W$33)^(GO67-1)</f>
        <v>0</v>
      </c>
      <c r="GQ67" s="915">
        <f>SUM(AT67:AV67)/(1+'Options and results'!$W$33)^(GO67-1)</f>
        <v>0</v>
      </c>
      <c r="GR67" s="915">
        <f>CR67/(1+'Options and results'!$W$33)^(GO67-1)</f>
        <v>0</v>
      </c>
      <c r="GS67" s="915">
        <f>SUM(EE67:EG67)/(1+'Options and results'!$W$33)^(GO67-1)</f>
        <v>0</v>
      </c>
      <c r="GT67" s="1058">
        <f t="shared" si="181"/>
        <v>0</v>
      </c>
      <c r="GU67" s="916">
        <f>IF(GO67&lt;='Options and results'!$W$20,SUM(GP$8:GP67),0)</f>
        <v>0</v>
      </c>
      <c r="GV67" s="915">
        <f>IF(GO67&lt;='Options and results'!$W$20,SUM(GQ$8:GQ67),0)</f>
        <v>0</v>
      </c>
      <c r="GW67" s="915">
        <f>IF(GO67&lt;='Options and results'!$W$20,SUM(GR$8:GR67),0)</f>
        <v>0</v>
      </c>
      <c r="GX67" s="915">
        <f>IF(GO67&lt;='Options and results'!$W$20,SUM(GS$8:GS67),0)</f>
        <v>0</v>
      </c>
      <c r="GY67" s="917">
        <f>IF(GO67&lt;='Options and results'!$W$20,SUM(GT$8:GT67),0)</f>
        <v>0</v>
      </c>
      <c r="GZ67" s="401"/>
      <c r="HA67" s="902">
        <f t="shared" si="169"/>
        <v>60</v>
      </c>
      <c r="HB67" s="1174">
        <f>(J67+L67+(M67*N67))/(1+'Options and results'!$W$33)^(HA67-1)</f>
        <v>0</v>
      </c>
      <c r="HC67" s="915">
        <f>BZ67/(1+'Options and results'!$W$33)^(HA67-1)</f>
        <v>0</v>
      </c>
      <c r="HD67" s="1175">
        <f>(CT67+CV67+(CW67*CX67))/(1+'Options and results'!$W$33)^(HA67-1)</f>
        <v>0</v>
      </c>
      <c r="HE67" s="915">
        <f>FK67/(1+'Options and results'!$W$33)^(HA67-1)</f>
        <v>0</v>
      </c>
      <c r="HF67" s="1058">
        <f t="shared" si="182"/>
        <v>0</v>
      </c>
      <c r="HG67" s="916">
        <f>IF(HA67&lt;='Options and results'!$W$20,SUM(HB$8:HB67),0)</f>
        <v>0</v>
      </c>
      <c r="HH67" s="915">
        <f>IF(HA67&lt;='Options and results'!$W$20,SUM(HC$8:HC67),0)</f>
        <v>0</v>
      </c>
      <c r="HI67" s="915">
        <f>IF(HA67&lt;='Options and results'!$W$20,SUM(HD$8:HD67),0)</f>
        <v>0</v>
      </c>
      <c r="HJ67" s="915">
        <f>IF(HA67&lt;='Options and results'!$W$20,SUM(HE$8:HE67),0)</f>
        <v>0</v>
      </c>
      <c r="HK67" s="917">
        <f>IF(HA67&lt;='Options and results'!$W$20,SUM(HF$8:HF67),0)</f>
        <v>0</v>
      </c>
      <c r="HL67" s="405"/>
      <c r="HM67" s="902">
        <f t="shared" si="189"/>
        <v>60</v>
      </c>
      <c r="HN67" s="1174">
        <f t="shared" si="171"/>
        <v>0</v>
      </c>
      <c r="HO67" s="1175">
        <f t="shared" si="172"/>
        <v>0</v>
      </c>
      <c r="HP67" s="1175">
        <f t="shared" si="173"/>
        <v>0</v>
      </c>
      <c r="HQ67" s="1175">
        <f t="shared" si="174"/>
        <v>0</v>
      </c>
      <c r="HR67" s="1175">
        <f t="shared" si="175"/>
        <v>0</v>
      </c>
      <c r="HS67" s="1392">
        <f t="shared" si="176"/>
        <v>0</v>
      </c>
      <c r="HT67" s="1174">
        <f>IF($HM67&lt;='Options and results'!$W$20,SUM(HN$8:HN67),0)</f>
        <v>0</v>
      </c>
      <c r="HU67" s="1175">
        <f>IF($HM67&lt;='Options and results'!$W$20,SUM(HO$8:HO67),0)</f>
        <v>0</v>
      </c>
      <c r="HV67" s="1175">
        <f>IF($HM67&lt;='Options and results'!$W$20,SUM(HP$8:HP67),0)</f>
        <v>0</v>
      </c>
      <c r="HW67" s="1175">
        <f>IF($HM67&lt;='Options and results'!$W$20,SUM(HQ$8:HQ67),0)</f>
        <v>0</v>
      </c>
      <c r="HX67" s="1175">
        <f t="shared" si="177"/>
        <v>0</v>
      </c>
      <c r="HY67" s="1175">
        <f>IF($HM67&lt;='Options and results'!$W$20,SUM(HR$8:HR67),0)</f>
        <v>0</v>
      </c>
      <c r="HZ67" s="1175">
        <f>IF($HM67&lt;='Options and results'!$W$20,SUM(HS$8:HS67),0)</f>
        <v>0</v>
      </c>
      <c r="IA67" s="1190">
        <f t="shared" si="178"/>
        <v>0</v>
      </c>
    </row>
    <row r="68" spans="1:235" x14ac:dyDescent="0.25">
      <c r="A68" s="1064"/>
      <c r="B68" s="405"/>
      <c r="C68" s="405"/>
      <c r="D68" s="405"/>
      <c r="E68" s="405"/>
      <c r="F68" s="405"/>
      <c r="G68" s="405"/>
      <c r="H68" s="405"/>
      <c r="I68" s="405"/>
      <c r="J68" s="405"/>
      <c r="K68" s="405"/>
      <c r="L68" s="405"/>
      <c r="M68" s="405"/>
      <c r="N68" s="405"/>
      <c r="O68" s="405"/>
      <c r="P68" s="1043"/>
      <c r="Q68" s="1043"/>
      <c r="R68" s="1043"/>
      <c r="S68" s="1043"/>
      <c r="T68" s="1043"/>
      <c r="U68" s="405"/>
      <c r="V68" s="405"/>
      <c r="W68" s="405"/>
      <c r="X68" s="405"/>
      <c r="Y68" s="405"/>
      <c r="Z68" s="405"/>
      <c r="AA68" s="405"/>
      <c r="AB68" s="405"/>
      <c r="AC68" s="405"/>
      <c r="AD68" s="405"/>
      <c r="AE68" s="405"/>
      <c r="AF68" s="405"/>
      <c r="AG68" s="405"/>
      <c r="AH68" s="405"/>
      <c r="AI68" s="405"/>
      <c r="AJ68" s="1065"/>
      <c r="AK68" s="1065"/>
      <c r="AL68" s="1065"/>
      <c r="AM68" s="1065"/>
      <c r="AN68" s="405"/>
      <c r="AO68" s="405"/>
      <c r="AP68" s="405"/>
      <c r="AQ68" s="405"/>
      <c r="AR68" s="405"/>
      <c r="AS68" s="405"/>
      <c r="AT68" s="405"/>
      <c r="AU68" s="405"/>
      <c r="AV68" s="405"/>
      <c r="AW68" s="405"/>
      <c r="AX68" s="405"/>
      <c r="AY68" s="405"/>
      <c r="AZ68" s="405"/>
      <c r="BA68" s="405"/>
      <c r="BB68" s="405"/>
      <c r="BC68" s="405"/>
      <c r="BD68" s="405"/>
      <c r="BE68" s="405"/>
      <c r="BF68" s="405"/>
      <c r="BG68" s="405"/>
      <c r="BH68" s="405"/>
      <c r="BI68" s="405"/>
      <c r="BJ68" s="405"/>
      <c r="BK68" s="405"/>
      <c r="BL68" s="405"/>
      <c r="BM68" s="405"/>
      <c r="BN68" s="405"/>
      <c r="BO68" s="405"/>
      <c r="BP68" s="405"/>
      <c r="BQ68" s="405"/>
      <c r="BR68" s="405"/>
      <c r="BS68" s="405"/>
      <c r="BT68" s="405"/>
      <c r="BU68" s="405"/>
      <c r="BV68" s="405"/>
      <c r="BW68" s="405"/>
      <c r="BX68" s="405"/>
      <c r="BY68" s="405"/>
      <c r="BZ68" s="405"/>
      <c r="CA68" s="405"/>
      <c r="CB68" s="405"/>
      <c r="CC68" s="405"/>
      <c r="CD68" s="405"/>
      <c r="CE68" s="405"/>
      <c r="CF68" s="405"/>
      <c r="CG68" s="405"/>
      <c r="CH68" s="405"/>
      <c r="CI68" s="405"/>
      <c r="CJ68" s="405"/>
      <c r="CK68" s="405"/>
      <c r="CL68" s="405"/>
      <c r="CM68" s="405"/>
      <c r="CN68" s="405"/>
      <c r="CO68" s="405"/>
      <c r="CP68" s="405"/>
      <c r="CQ68" s="405"/>
      <c r="CR68" s="405"/>
      <c r="CS68" s="405"/>
      <c r="CT68" s="405"/>
      <c r="CU68" s="405"/>
      <c r="CV68" s="405"/>
      <c r="CW68" s="405"/>
      <c r="CX68" s="405"/>
      <c r="CY68" s="405"/>
      <c r="CZ68" s="405"/>
      <c r="DA68" s="405"/>
      <c r="DB68" s="405"/>
      <c r="DC68" s="405"/>
      <c r="DD68" s="405"/>
      <c r="DE68" s="405"/>
      <c r="DF68" s="405"/>
      <c r="DG68" s="405"/>
      <c r="DH68" s="405"/>
      <c r="DI68" s="405"/>
      <c r="DJ68" s="405"/>
      <c r="DK68" s="405"/>
      <c r="DL68" s="405"/>
      <c r="DM68" s="405"/>
      <c r="DN68" s="405"/>
      <c r="DO68" s="405"/>
      <c r="DP68" s="405"/>
      <c r="DQ68" s="405"/>
      <c r="DR68" s="405"/>
      <c r="DS68" s="405"/>
      <c r="DT68" s="405"/>
      <c r="DU68" s="405"/>
      <c r="DV68" s="405"/>
      <c r="DW68" s="405"/>
      <c r="DX68" s="405"/>
      <c r="DY68" s="405"/>
      <c r="DZ68" s="405"/>
      <c r="EA68" s="405"/>
      <c r="EB68" s="405"/>
      <c r="EC68" s="405"/>
      <c r="ED68" s="405"/>
      <c r="EE68" s="405"/>
      <c r="EF68" s="405"/>
      <c r="EG68" s="405"/>
      <c r="EH68" s="405"/>
      <c r="EI68" s="405"/>
      <c r="EJ68" s="405"/>
      <c r="EK68" s="405"/>
      <c r="EL68" s="405"/>
      <c r="EM68" s="405"/>
      <c r="EN68" s="405"/>
      <c r="EO68" s="405"/>
      <c r="EP68" s="405"/>
      <c r="EQ68" s="405"/>
      <c r="ER68" s="405"/>
      <c r="ES68" s="405"/>
      <c r="ET68" s="405"/>
      <c r="EU68" s="405"/>
      <c r="EV68" s="405"/>
      <c r="EW68" s="405"/>
      <c r="EX68" s="405"/>
      <c r="EY68" s="405"/>
      <c r="EZ68" s="405"/>
      <c r="FA68" s="405"/>
      <c r="FB68" s="405"/>
      <c r="FC68" s="405"/>
      <c r="FD68" s="405"/>
      <c r="FE68" s="405"/>
      <c r="FF68" s="405"/>
      <c r="FG68" s="405"/>
      <c r="FH68" s="405"/>
      <c r="FI68" s="405"/>
      <c r="FJ68" s="405"/>
      <c r="FK68" s="405"/>
      <c r="FL68" s="405"/>
      <c r="FM68" s="405"/>
      <c r="FN68" s="405"/>
      <c r="FO68" s="405"/>
      <c r="FP68" s="405"/>
      <c r="FQ68" s="405"/>
      <c r="FR68" s="405"/>
      <c r="FS68" s="405"/>
      <c r="FT68" s="405"/>
      <c r="FU68" s="405"/>
      <c r="FV68" s="405"/>
      <c r="FW68" s="405"/>
      <c r="FX68" s="405"/>
      <c r="FY68" s="405"/>
      <c r="FZ68" s="405"/>
      <c r="GA68" s="405"/>
      <c r="GB68" s="405"/>
      <c r="GC68" s="405"/>
      <c r="GD68" s="405"/>
      <c r="GE68" s="405"/>
      <c r="GF68" s="405"/>
      <c r="GG68" s="405"/>
      <c r="GH68" s="405"/>
      <c r="GI68" s="405"/>
      <c r="GJ68" s="405"/>
      <c r="GK68" s="405"/>
      <c r="GL68" s="405"/>
      <c r="GM68" s="405"/>
      <c r="GN68" s="405"/>
      <c r="GO68" s="405"/>
      <c r="GP68" s="405"/>
      <c r="GQ68" s="405"/>
      <c r="GR68" s="405"/>
      <c r="GS68" s="405"/>
      <c r="GT68" s="405"/>
      <c r="GU68" s="405"/>
      <c r="GV68" s="405"/>
      <c r="GW68" s="405"/>
      <c r="GX68" s="405"/>
      <c r="GY68" s="405"/>
      <c r="GZ68" s="405"/>
      <c r="HA68" s="405"/>
      <c r="HB68" s="405"/>
      <c r="HC68" s="405"/>
      <c r="HD68" s="405"/>
      <c r="HE68" s="405"/>
      <c r="HF68" s="405"/>
      <c r="HG68" s="405"/>
      <c r="HH68" s="405"/>
      <c r="HI68" s="405"/>
      <c r="HJ68" s="405"/>
      <c r="HK68" s="405"/>
      <c r="HL68" s="405"/>
      <c r="HM68" s="405"/>
      <c r="HN68" s="405"/>
      <c r="HO68" s="405"/>
      <c r="HP68" s="405"/>
      <c r="HQ68" s="405"/>
      <c r="HR68" s="405"/>
      <c r="HS68" s="405"/>
      <c r="HT68" s="405"/>
      <c r="HU68" s="405"/>
      <c r="HV68" s="405"/>
      <c r="HW68" s="405"/>
      <c r="HX68" s="405"/>
      <c r="HY68" s="405"/>
      <c r="HZ68" s="405"/>
      <c r="IA68" s="405"/>
    </row>
    <row r="69" spans="1:235" x14ac:dyDescent="0.25">
      <c r="A69" s="402"/>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5"/>
      <c r="BG69" s="405"/>
      <c r="BH69" s="405"/>
      <c r="BI69" s="405"/>
      <c r="BJ69" s="405"/>
      <c r="BK69" s="405"/>
      <c r="BL69" s="405"/>
      <c r="BM69" s="405"/>
      <c r="BN69" s="405"/>
      <c r="BO69" s="405"/>
      <c r="BP69" s="405"/>
      <c r="BQ69" s="405"/>
      <c r="BR69" s="405"/>
      <c r="BS69" s="405"/>
      <c r="BT69" s="405"/>
      <c r="BU69" s="405"/>
      <c r="BV69" s="405"/>
      <c r="BW69" s="405"/>
      <c r="BX69" s="405"/>
      <c r="BY69" s="405"/>
      <c r="BZ69" s="405"/>
      <c r="CA69" s="405"/>
      <c r="CB69" s="405"/>
      <c r="CC69" s="405"/>
      <c r="CD69" s="405"/>
      <c r="CE69" s="405"/>
      <c r="CF69" s="405"/>
      <c r="CG69" s="405"/>
      <c r="CH69" s="405"/>
      <c r="CI69" s="405"/>
      <c r="CJ69" s="405"/>
      <c r="CK69" s="405"/>
      <c r="CL69" s="405"/>
      <c r="CM69" s="405"/>
      <c r="CN69" s="405"/>
      <c r="CO69" s="405"/>
      <c r="CP69" s="405"/>
      <c r="CQ69" s="405"/>
      <c r="CR69" s="405"/>
      <c r="CS69" s="405"/>
      <c r="CT69" s="405"/>
      <c r="CU69" s="405"/>
      <c r="CV69" s="405"/>
      <c r="CW69" s="405"/>
      <c r="CX69" s="405"/>
      <c r="CY69" s="405"/>
      <c r="CZ69" s="405"/>
      <c r="DA69" s="405"/>
      <c r="DB69" s="405"/>
      <c r="DC69" s="405"/>
      <c r="DD69" s="405"/>
      <c r="DE69" s="405"/>
      <c r="DF69" s="405"/>
      <c r="DG69" s="405"/>
      <c r="DH69" s="405"/>
      <c r="DI69" s="405"/>
      <c r="DJ69" s="405"/>
      <c r="DK69" s="405"/>
      <c r="DL69" s="405"/>
      <c r="DM69" s="405"/>
      <c r="DN69" s="405"/>
      <c r="DO69" s="405"/>
      <c r="DP69" s="405"/>
      <c r="DQ69" s="405"/>
      <c r="DR69" s="405"/>
      <c r="DS69" s="405"/>
      <c r="DT69" s="405"/>
      <c r="DU69" s="405"/>
      <c r="DV69" s="405"/>
      <c r="DW69" s="405"/>
      <c r="DX69" s="405"/>
      <c r="DY69" s="405"/>
      <c r="DZ69" s="405"/>
      <c r="EA69" s="405"/>
      <c r="EB69" s="405"/>
      <c r="EC69" s="405"/>
      <c r="ED69" s="405"/>
      <c r="EE69" s="405"/>
      <c r="EF69" s="405"/>
      <c r="EG69" s="405"/>
      <c r="EH69" s="405"/>
      <c r="EI69" s="405"/>
      <c r="EJ69" s="405"/>
      <c r="EK69" s="405"/>
      <c r="EL69" s="405"/>
      <c r="EM69" s="405"/>
      <c r="EN69" s="405"/>
      <c r="EO69" s="405"/>
      <c r="EP69" s="405"/>
      <c r="EQ69" s="405"/>
      <c r="ER69" s="405"/>
      <c r="ES69" s="405"/>
      <c r="ET69" s="405"/>
      <c r="EU69" s="405"/>
      <c r="EV69" s="405"/>
      <c r="EW69" s="405"/>
      <c r="EX69" s="405"/>
      <c r="EY69" s="405"/>
      <c r="EZ69" s="405"/>
      <c r="FA69" s="405"/>
      <c r="FB69" s="405"/>
      <c r="FC69" s="405"/>
      <c r="FD69" s="405"/>
      <c r="FE69" s="405"/>
      <c r="FF69" s="405"/>
      <c r="FG69" s="405"/>
      <c r="FH69" s="405"/>
      <c r="FI69" s="405"/>
      <c r="FJ69" s="405"/>
      <c r="FK69" s="405"/>
      <c r="FL69" s="405"/>
      <c r="FM69" s="405"/>
      <c r="FN69" s="405"/>
      <c r="FO69" s="405"/>
      <c r="FP69" s="405"/>
      <c r="FQ69" s="405"/>
      <c r="FR69" s="405"/>
      <c r="FS69" s="405"/>
      <c r="FT69" s="405"/>
      <c r="FU69" s="405"/>
      <c r="FV69" s="405"/>
      <c r="FW69" s="405"/>
      <c r="FX69" s="405"/>
      <c r="FY69" s="405"/>
      <c r="FZ69" s="405"/>
      <c r="GA69" s="405"/>
      <c r="GB69" s="405"/>
      <c r="GC69" s="405"/>
      <c r="GD69" s="405"/>
      <c r="GE69" s="405"/>
      <c r="GF69" s="405"/>
      <c r="GG69" s="405"/>
      <c r="GH69" s="405"/>
      <c r="GI69" s="405"/>
      <c r="GJ69" s="405"/>
      <c r="GK69" s="405"/>
      <c r="GL69" s="405"/>
      <c r="GM69" s="405"/>
      <c r="GN69" s="405"/>
      <c r="GO69" s="405"/>
      <c r="GP69" s="405"/>
      <c r="GQ69" s="405"/>
      <c r="GR69" s="405"/>
      <c r="GS69" s="405"/>
      <c r="GT69" s="405"/>
      <c r="GU69" s="405"/>
      <c r="GV69" s="405"/>
      <c r="GW69" s="405"/>
      <c r="GX69" s="405"/>
      <c r="GY69" s="405"/>
      <c r="GZ69" s="405"/>
      <c r="HA69" s="405"/>
      <c r="HB69" s="405"/>
      <c r="HC69" s="405"/>
      <c r="HD69" s="405"/>
      <c r="HE69" s="405"/>
      <c r="HF69" s="405"/>
      <c r="HG69" s="405"/>
      <c r="HH69" s="405"/>
      <c r="HI69" s="405"/>
      <c r="HJ69" s="405"/>
      <c r="HK69" s="405"/>
      <c r="HL69" s="405"/>
      <c r="HM69" s="405"/>
      <c r="HN69" s="405"/>
      <c r="HO69" s="405"/>
      <c r="HP69" s="405"/>
      <c r="HQ69" s="405"/>
      <c r="HR69" s="405"/>
      <c r="HS69" s="405"/>
      <c r="HT69" s="405"/>
      <c r="HU69" s="405"/>
      <c r="HV69" s="405"/>
      <c r="HW69" s="405"/>
      <c r="HX69" s="405"/>
      <c r="HY69" s="405"/>
      <c r="HZ69" s="405"/>
      <c r="IA69" s="405"/>
    </row>
    <row r="70" spans="1:235" x14ac:dyDescent="0.25">
      <c r="A70" s="402"/>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5"/>
      <c r="BG70" s="405"/>
      <c r="BH70" s="405"/>
      <c r="BI70" s="405"/>
      <c r="BJ70" s="405"/>
      <c r="BK70" s="405"/>
      <c r="BL70" s="405"/>
      <c r="BM70" s="405"/>
      <c r="BN70" s="405"/>
      <c r="BO70" s="405"/>
      <c r="BP70" s="405"/>
      <c r="BQ70" s="405"/>
      <c r="BR70" s="405"/>
      <c r="BS70" s="405"/>
      <c r="BT70" s="405"/>
      <c r="BU70" s="405"/>
      <c r="BV70" s="405"/>
      <c r="BW70" s="405"/>
      <c r="BX70" s="405"/>
      <c r="BY70" s="405"/>
      <c r="BZ70" s="405"/>
      <c r="CA70" s="405"/>
      <c r="CB70" s="405"/>
      <c r="CC70" s="405"/>
      <c r="CD70" s="405"/>
      <c r="CE70" s="405"/>
      <c r="CF70" s="405"/>
      <c r="CG70" s="405"/>
      <c r="CH70" s="405"/>
      <c r="CI70" s="405"/>
      <c r="CJ70" s="405"/>
      <c r="CK70" s="405"/>
      <c r="CL70" s="405"/>
      <c r="CM70" s="405"/>
      <c r="CN70" s="405"/>
      <c r="CO70" s="405"/>
      <c r="CP70" s="405"/>
      <c r="CQ70" s="405"/>
      <c r="CR70" s="405"/>
      <c r="CS70" s="405"/>
      <c r="CT70" s="405"/>
      <c r="CU70" s="405"/>
      <c r="CV70" s="405"/>
      <c r="CW70" s="405"/>
      <c r="CX70" s="405"/>
      <c r="CY70" s="405"/>
      <c r="CZ70" s="405"/>
      <c r="DA70" s="405"/>
      <c r="DB70" s="405"/>
      <c r="DC70" s="405"/>
      <c r="DD70" s="405"/>
      <c r="DE70" s="405"/>
      <c r="DF70" s="405"/>
      <c r="DG70" s="405"/>
      <c r="DH70" s="405"/>
      <c r="DI70" s="405"/>
      <c r="DJ70" s="405"/>
      <c r="DK70" s="405"/>
      <c r="DL70" s="405"/>
      <c r="DM70" s="405"/>
      <c r="DN70" s="405"/>
      <c r="DO70" s="405"/>
      <c r="DP70" s="405"/>
      <c r="DQ70" s="405"/>
      <c r="DR70" s="405"/>
      <c r="DS70" s="405"/>
      <c r="DT70" s="405"/>
      <c r="DU70" s="405"/>
      <c r="DV70" s="405"/>
      <c r="DW70" s="405"/>
      <c r="DX70" s="405"/>
      <c r="DY70" s="405"/>
      <c r="DZ70" s="405"/>
      <c r="EA70" s="405"/>
      <c r="EB70" s="405"/>
      <c r="EC70" s="405"/>
      <c r="ED70" s="405"/>
      <c r="EE70" s="405"/>
      <c r="EF70" s="405"/>
      <c r="EG70" s="405"/>
      <c r="EH70" s="405"/>
      <c r="EI70" s="405"/>
      <c r="EJ70" s="405"/>
      <c r="EK70" s="405"/>
      <c r="EL70" s="405"/>
      <c r="EM70" s="405"/>
      <c r="EN70" s="405"/>
      <c r="EO70" s="405"/>
      <c r="EP70" s="405"/>
      <c r="EQ70" s="405"/>
      <c r="ER70" s="405"/>
      <c r="ES70" s="405"/>
      <c r="ET70" s="405"/>
      <c r="EU70" s="405"/>
      <c r="EV70" s="405"/>
      <c r="EW70" s="405"/>
      <c r="EX70" s="405"/>
      <c r="EY70" s="405"/>
      <c r="EZ70" s="405"/>
      <c r="FA70" s="405"/>
      <c r="FB70" s="405"/>
      <c r="FC70" s="405"/>
      <c r="FD70" s="405"/>
      <c r="FE70" s="405"/>
      <c r="FF70" s="405"/>
      <c r="FG70" s="405"/>
      <c r="FH70" s="405"/>
      <c r="FI70" s="405"/>
      <c r="FJ70" s="405"/>
      <c r="FK70" s="405"/>
      <c r="FL70" s="405"/>
      <c r="FM70" s="405"/>
      <c r="FN70" s="405"/>
      <c r="FO70" s="405"/>
      <c r="FP70" s="405"/>
      <c r="FQ70" s="405"/>
      <c r="FR70" s="405"/>
      <c r="FS70" s="405"/>
      <c r="FT70" s="405"/>
      <c r="FU70" s="405"/>
      <c r="FV70" s="405"/>
      <c r="FW70" s="405"/>
      <c r="FX70" s="405"/>
      <c r="FY70" s="405"/>
      <c r="FZ70" s="405"/>
      <c r="GA70" s="405"/>
      <c r="GB70" s="405"/>
      <c r="GC70" s="405"/>
      <c r="GD70" s="405"/>
      <c r="GE70" s="405"/>
      <c r="GF70" s="405"/>
      <c r="GG70" s="405"/>
      <c r="GH70" s="405"/>
      <c r="GI70" s="405"/>
      <c r="GJ70" s="405"/>
      <c r="GK70" s="405"/>
      <c r="GL70" s="405"/>
      <c r="GM70" s="405"/>
      <c r="GN70" s="405"/>
      <c r="GO70" s="405"/>
      <c r="GP70" s="405"/>
      <c r="GQ70" s="405"/>
      <c r="GR70" s="405"/>
      <c r="GS70" s="405"/>
      <c r="GT70" s="405"/>
      <c r="GU70" s="405"/>
      <c r="GV70" s="405"/>
      <c r="GW70" s="405"/>
      <c r="GX70" s="405"/>
      <c r="GY70" s="405"/>
      <c r="GZ70" s="405"/>
      <c r="HA70" s="405"/>
      <c r="HB70" s="405"/>
      <c r="HC70" s="405"/>
      <c r="HD70" s="405"/>
      <c r="HE70" s="405"/>
      <c r="HF70" s="405"/>
      <c r="HG70" s="405"/>
      <c r="HH70" s="405"/>
      <c r="HI70" s="405"/>
      <c r="HJ70" s="405"/>
      <c r="HK70" s="405"/>
      <c r="HL70" s="405"/>
      <c r="HM70" s="405"/>
      <c r="HN70" s="405"/>
      <c r="HO70" s="405"/>
      <c r="HP70" s="405"/>
      <c r="HQ70" s="405"/>
      <c r="HR70" s="405"/>
      <c r="HS70" s="405"/>
      <c r="HT70" s="405"/>
      <c r="HU70" s="405"/>
      <c r="HV70" s="405"/>
      <c r="HW70" s="405"/>
      <c r="HX70" s="405"/>
      <c r="HY70" s="405"/>
      <c r="HZ70" s="405"/>
      <c r="IA70" s="405"/>
    </row>
    <row r="71" spans="1:235" ht="15.75" thickBot="1" x14ac:dyDescent="0.3">
      <c r="A71" s="411"/>
      <c r="B71" s="414"/>
      <c r="C71" s="414"/>
      <c r="D71" s="414"/>
      <c r="E71" s="414"/>
      <c r="F71" s="414"/>
      <c r="G71" s="414"/>
      <c r="H71" s="414"/>
      <c r="I71" s="414"/>
      <c r="J71" s="414"/>
      <c r="K71" s="414"/>
      <c r="L71" s="414"/>
      <c r="M71" s="414"/>
      <c r="N71" s="414"/>
      <c r="O71" s="414"/>
      <c r="P71" s="414"/>
      <c r="Q71" s="414"/>
      <c r="R71" s="414"/>
      <c r="S71" s="414"/>
      <c r="T71" s="414"/>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414"/>
      <c r="AT71" s="414"/>
      <c r="AU71" s="414"/>
      <c r="AV71" s="414"/>
      <c r="AW71" s="414"/>
      <c r="AX71" s="414"/>
      <c r="AY71" s="414"/>
      <c r="AZ71" s="414"/>
      <c r="BA71" s="414"/>
      <c r="BB71" s="414"/>
      <c r="BC71" s="414"/>
      <c r="BD71" s="414"/>
      <c r="BE71" s="414"/>
      <c r="BF71" s="414"/>
      <c r="BG71" s="414"/>
      <c r="BH71" s="414"/>
      <c r="BI71" s="414"/>
      <c r="BJ71" s="414"/>
      <c r="BK71" s="414"/>
      <c r="BL71" s="414"/>
      <c r="BM71" s="414"/>
      <c r="BN71" s="414"/>
      <c r="BO71" s="414"/>
      <c r="BP71" s="414"/>
      <c r="BQ71" s="414"/>
      <c r="BR71" s="414"/>
      <c r="BS71" s="414"/>
      <c r="BT71" s="414"/>
      <c r="BU71" s="414"/>
      <c r="BV71" s="414"/>
      <c r="BW71" s="414"/>
      <c r="BX71" s="414"/>
      <c r="BY71" s="414"/>
      <c r="BZ71" s="414"/>
      <c r="CA71" s="414"/>
      <c r="CB71" s="414"/>
      <c r="CC71" s="414"/>
      <c r="CD71" s="414"/>
      <c r="CE71" s="414"/>
      <c r="CF71" s="414"/>
      <c r="CG71" s="414"/>
      <c r="CH71" s="414"/>
      <c r="CI71" s="414"/>
      <c r="CJ71" s="414"/>
      <c r="CK71" s="414"/>
      <c r="CL71" s="414"/>
      <c r="CM71" s="414"/>
      <c r="CN71" s="414"/>
      <c r="CO71" s="414"/>
      <c r="CP71" s="414"/>
      <c r="CQ71" s="414"/>
      <c r="CR71" s="414"/>
      <c r="CS71" s="414"/>
      <c r="CT71" s="414"/>
      <c r="CU71" s="414"/>
      <c r="CV71" s="414"/>
      <c r="CW71" s="414"/>
      <c r="CX71" s="414"/>
      <c r="CY71" s="414"/>
      <c r="CZ71" s="414"/>
      <c r="DA71" s="414"/>
      <c r="DB71" s="414"/>
      <c r="DC71" s="414"/>
      <c r="DD71" s="414"/>
      <c r="DE71" s="414"/>
      <c r="DF71" s="414"/>
      <c r="DG71" s="414"/>
      <c r="DH71" s="414"/>
      <c r="DI71" s="414"/>
      <c r="DJ71" s="414"/>
      <c r="DK71" s="414"/>
      <c r="DL71" s="414"/>
      <c r="DM71" s="414"/>
      <c r="DN71" s="414"/>
      <c r="DO71" s="414"/>
      <c r="DP71" s="414"/>
      <c r="DQ71" s="414"/>
      <c r="DR71" s="414"/>
      <c r="DS71" s="414"/>
      <c r="DT71" s="414"/>
      <c r="DU71" s="414"/>
      <c r="DV71" s="414"/>
      <c r="DW71" s="414"/>
      <c r="DX71" s="414"/>
      <c r="DY71" s="414"/>
      <c r="DZ71" s="414"/>
      <c r="EA71" s="414"/>
      <c r="EB71" s="414"/>
      <c r="EC71" s="414"/>
      <c r="ED71" s="414"/>
      <c r="EE71" s="414"/>
      <c r="EF71" s="414"/>
      <c r="EG71" s="414"/>
      <c r="EH71" s="414"/>
      <c r="EI71" s="414"/>
      <c r="EJ71" s="414"/>
      <c r="EK71" s="414"/>
      <c r="EL71" s="414"/>
      <c r="EM71" s="414"/>
      <c r="EN71" s="414"/>
      <c r="EO71" s="414"/>
      <c r="EP71" s="414"/>
      <c r="EQ71" s="414"/>
      <c r="ER71" s="414"/>
      <c r="ES71" s="414"/>
      <c r="ET71" s="414"/>
      <c r="EU71" s="414"/>
      <c r="EV71" s="414"/>
      <c r="EW71" s="414"/>
      <c r="EX71" s="414"/>
      <c r="EY71" s="414"/>
      <c r="EZ71" s="414"/>
      <c r="FA71" s="414"/>
      <c r="FB71" s="414"/>
      <c r="FC71" s="414"/>
      <c r="FD71" s="414"/>
      <c r="FE71" s="414"/>
      <c r="FF71" s="414"/>
      <c r="FG71" s="414"/>
      <c r="FH71" s="414"/>
      <c r="FI71" s="414"/>
      <c r="FJ71" s="414"/>
      <c r="FK71" s="414"/>
      <c r="FL71" s="414"/>
      <c r="FM71" s="414"/>
      <c r="FN71" s="414"/>
      <c r="FO71" s="414"/>
      <c r="FP71" s="414"/>
      <c r="FQ71" s="414"/>
      <c r="FR71" s="414"/>
      <c r="FS71" s="414"/>
      <c r="FT71" s="414"/>
      <c r="FU71" s="414"/>
      <c r="FV71" s="414"/>
      <c r="FW71" s="414"/>
      <c r="FX71" s="414"/>
      <c r="FY71" s="414"/>
      <c r="FZ71" s="414"/>
      <c r="GA71" s="414"/>
      <c r="GB71" s="414"/>
      <c r="GC71" s="414"/>
      <c r="GD71" s="414"/>
      <c r="GE71" s="414"/>
      <c r="GF71" s="414"/>
      <c r="GG71" s="414"/>
      <c r="GH71" s="414"/>
      <c r="GI71" s="414"/>
      <c r="GJ71" s="414"/>
      <c r="GK71" s="414"/>
      <c r="GL71" s="414"/>
      <c r="GM71" s="414"/>
      <c r="GN71" s="414"/>
      <c r="GO71" s="414"/>
      <c r="GP71" s="414"/>
      <c r="GQ71" s="414"/>
      <c r="GR71" s="414"/>
      <c r="GS71" s="414"/>
      <c r="GT71" s="414"/>
      <c r="GU71" s="414"/>
      <c r="GV71" s="414"/>
      <c r="GW71" s="414"/>
      <c r="GX71" s="414"/>
      <c r="GY71" s="414"/>
      <c r="GZ71" s="414"/>
      <c r="HA71" s="414"/>
      <c r="HB71" s="414"/>
      <c r="HC71" s="414"/>
      <c r="HD71" s="414"/>
      <c r="HE71" s="414"/>
      <c r="HF71" s="414"/>
      <c r="HG71" s="414"/>
      <c r="HH71" s="414"/>
      <c r="HI71" s="414"/>
      <c r="HJ71" s="414"/>
      <c r="HK71" s="414"/>
      <c r="HL71" s="414"/>
      <c r="HM71" s="414"/>
      <c r="HN71" s="414"/>
      <c r="HO71" s="414"/>
      <c r="HP71" s="414"/>
      <c r="HQ71" s="414"/>
      <c r="HR71" s="414"/>
      <c r="HS71" s="414"/>
      <c r="HT71" s="414"/>
      <c r="HU71" s="414"/>
      <c r="HV71" s="414"/>
      <c r="HW71" s="414"/>
      <c r="HX71" s="414"/>
      <c r="HY71" s="414"/>
      <c r="HZ71" s="414"/>
      <c r="IA71" s="414"/>
    </row>
    <row r="72" spans="1:235" x14ac:dyDescent="0.25">
      <c r="BJ72" s="10">
        <f>SUM(BJ8:BJ67)</f>
        <v>805.0607328207592</v>
      </c>
      <c r="HO72" s="10"/>
      <c r="HR72" s="10"/>
      <c r="HS72" s="10"/>
    </row>
    <row r="73" spans="1:235" x14ac:dyDescent="0.25">
      <c r="AT73" s="10"/>
      <c r="GB73" s="10">
        <f>SUM(GB8:GB67)</f>
        <v>29810.514106206607</v>
      </c>
      <c r="GC73" s="10"/>
      <c r="HC73" s="10"/>
    </row>
    <row r="74" spans="1:235" x14ac:dyDescent="0.25">
      <c r="EU74" s="10"/>
    </row>
    <row r="103" spans="41:41" x14ac:dyDescent="0.25">
      <c r="AO103" s="10">
        <f t="shared" ref="AO103:AO104" si="191">AO38</f>
        <v>0</v>
      </c>
    </row>
    <row r="104" spans="41:41" x14ac:dyDescent="0.25">
      <c r="AO104" s="10">
        <f t="shared" si="191"/>
        <v>0</v>
      </c>
    </row>
  </sheetData>
  <phoneticPr fontId="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BA71"/>
  <sheetViews>
    <sheetView topLeftCell="B1" workbookViewId="0">
      <selection activeCell="F4" sqref="F4"/>
    </sheetView>
  </sheetViews>
  <sheetFormatPr defaultColWidth="6.5703125" defaultRowHeight="15" x14ac:dyDescent="0.25"/>
  <cols>
    <col min="1" max="1" width="6.5703125" style="1"/>
    <col min="2" max="2" width="51" style="1" customWidth="1"/>
    <col min="3" max="3" width="6.5703125" style="1"/>
    <col min="4" max="4" width="52.140625" style="1" customWidth="1"/>
    <col min="5" max="5" width="6.5703125" style="1"/>
    <col min="6" max="6" width="63.28515625" style="1" customWidth="1"/>
    <col min="7" max="7" width="5.5703125" style="1" customWidth="1"/>
    <col min="8" max="8" width="9.7109375" style="1" customWidth="1"/>
    <col min="9" max="9" width="11" style="1" customWidth="1"/>
    <col min="10" max="12" width="6.5703125" style="1"/>
    <col min="13" max="13" width="9.140625" style="1" customWidth="1"/>
    <col min="14" max="14" width="12" style="1" customWidth="1"/>
    <col min="15" max="17" width="6.5703125" style="1"/>
    <col min="18" max="18" width="11.5703125" style="1" customWidth="1"/>
    <col min="19" max="19" width="11.42578125" style="1" customWidth="1"/>
    <col min="20" max="20" width="12.5703125" style="1" customWidth="1"/>
    <col min="21" max="22" width="6.5703125" style="1"/>
    <col min="23" max="23" width="9.42578125" style="1" customWidth="1"/>
    <col min="24" max="25" width="9.28515625" style="1" customWidth="1"/>
    <col min="26" max="26" width="8.85546875" style="1" customWidth="1"/>
    <col min="27" max="27" width="9.140625" style="1" customWidth="1"/>
    <col min="28" max="28" width="10" style="1" customWidth="1"/>
    <col min="29" max="29" width="8.140625" style="1" customWidth="1"/>
    <col min="30" max="31" width="6.5703125" style="1"/>
    <col min="32" max="32" width="13" style="1" customWidth="1"/>
    <col min="33" max="33" width="21.85546875" style="1" customWidth="1"/>
    <col min="34" max="40" width="6.5703125" style="1"/>
    <col min="41" max="41" width="9" style="1" customWidth="1"/>
    <col min="42" max="42" width="6.5703125" style="1"/>
    <col min="43" max="43" width="9.42578125" style="1" customWidth="1"/>
    <col min="44" max="44" width="8.7109375" style="1" customWidth="1"/>
    <col min="45" max="45" width="7.85546875" style="1" customWidth="1"/>
    <col min="46" max="46" width="6.5703125" style="1"/>
    <col min="47" max="47" width="20.85546875" style="1" customWidth="1"/>
    <col min="48" max="48" width="6.5703125" style="1"/>
    <col min="49" max="49" width="10.28515625" style="1" customWidth="1"/>
    <col min="50" max="50" width="8.5703125" style="1" customWidth="1"/>
    <col min="51" max="51" width="8.85546875" style="1" customWidth="1"/>
    <col min="52" max="52" width="9.140625" style="1" customWidth="1"/>
    <col min="53" max="53" width="8" style="1" customWidth="1"/>
    <col min="54" max="16384" width="6.5703125" style="1"/>
  </cols>
  <sheetData>
    <row r="1" spans="1:53" ht="15.75" thickBot="1" x14ac:dyDescent="0.3">
      <c r="A1" s="33"/>
    </row>
    <row r="2" spans="1:53" ht="141.75" thickBot="1" x14ac:dyDescent="0.3">
      <c r="H2" s="1089" t="s">
        <v>578</v>
      </c>
      <c r="I2" s="1094" t="s">
        <v>59</v>
      </c>
      <c r="J2" s="1094" t="s">
        <v>337</v>
      </c>
      <c r="K2" s="1094" t="s">
        <v>61</v>
      </c>
      <c r="L2" s="1094" t="s">
        <v>62</v>
      </c>
      <c r="M2" s="1094" t="s">
        <v>63</v>
      </c>
      <c r="N2" s="1095" t="s">
        <v>59</v>
      </c>
      <c r="O2" s="1094" t="s">
        <v>579</v>
      </c>
      <c r="P2" s="1096" t="s">
        <v>580</v>
      </c>
      <c r="R2" s="1161" t="s">
        <v>581</v>
      </c>
      <c r="S2" s="752" t="s">
        <v>64</v>
      </c>
      <c r="T2" s="665" t="s">
        <v>65</v>
      </c>
      <c r="U2" s="665" t="s">
        <v>66</v>
      </c>
      <c r="V2" s="665" t="s">
        <v>305</v>
      </c>
      <c r="W2" s="665" t="s">
        <v>348</v>
      </c>
      <c r="X2" s="665" t="s">
        <v>352</v>
      </c>
      <c r="Y2" s="665" t="s">
        <v>347</v>
      </c>
      <c r="Z2" s="667" t="s">
        <v>63</v>
      </c>
      <c r="AA2" s="752" t="s">
        <v>582</v>
      </c>
      <c r="AB2" s="665" t="s">
        <v>583</v>
      </c>
      <c r="AC2" s="665" t="s">
        <v>584</v>
      </c>
      <c r="AD2" s="667" t="s">
        <v>585</v>
      </c>
      <c r="AF2" s="1162" t="s">
        <v>591</v>
      </c>
      <c r="AG2" s="662" t="s">
        <v>59</v>
      </c>
      <c r="AH2" s="663" t="s">
        <v>337</v>
      </c>
      <c r="AI2" s="663" t="s">
        <v>61</v>
      </c>
      <c r="AJ2" s="663" t="s">
        <v>62</v>
      </c>
      <c r="AK2" s="807" t="s">
        <v>280</v>
      </c>
      <c r="AL2" s="752" t="s">
        <v>64</v>
      </c>
      <c r="AM2" s="665" t="s">
        <v>65</v>
      </c>
      <c r="AN2" s="665" t="s">
        <v>66</v>
      </c>
      <c r="AO2" s="666" t="s">
        <v>296</v>
      </c>
      <c r="AP2" s="665" t="s">
        <v>305</v>
      </c>
      <c r="AQ2" s="665" t="s">
        <v>348</v>
      </c>
      <c r="AR2" s="665" t="s">
        <v>352</v>
      </c>
      <c r="AS2" s="665" t="s">
        <v>347</v>
      </c>
      <c r="AT2" s="667" t="s">
        <v>281</v>
      </c>
      <c r="AU2" s="1095" t="s">
        <v>59</v>
      </c>
      <c r="AV2" s="1094" t="s">
        <v>579</v>
      </c>
      <c r="AW2" s="1096" t="s">
        <v>580</v>
      </c>
      <c r="AX2" s="752" t="s">
        <v>582</v>
      </c>
      <c r="AY2" s="665" t="s">
        <v>583</v>
      </c>
      <c r="AZ2" s="665" t="s">
        <v>584</v>
      </c>
      <c r="BA2" s="667" t="s">
        <v>585</v>
      </c>
    </row>
    <row r="3" spans="1:53" ht="18" thickBot="1" x14ac:dyDescent="0.3">
      <c r="A3" s="223" t="s">
        <v>527</v>
      </c>
      <c r="B3" s="237" t="s">
        <v>58</v>
      </c>
      <c r="C3" s="320" t="s">
        <v>527</v>
      </c>
      <c r="D3" s="321" t="s">
        <v>313</v>
      </c>
      <c r="E3" s="1086" t="s">
        <v>527</v>
      </c>
      <c r="F3" s="317" t="s">
        <v>678</v>
      </c>
      <c r="G3" s="33"/>
      <c r="H3" s="1092" t="s">
        <v>172</v>
      </c>
      <c r="I3" s="810" t="s">
        <v>300</v>
      </c>
      <c r="J3" s="1090" t="s">
        <v>217</v>
      </c>
      <c r="K3" s="1090" t="s">
        <v>37</v>
      </c>
      <c r="L3" s="1090" t="s">
        <v>561</v>
      </c>
      <c r="M3" s="1091" t="s">
        <v>561</v>
      </c>
      <c r="N3" s="810" t="s">
        <v>300</v>
      </c>
      <c r="O3" s="1090" t="s">
        <v>561</v>
      </c>
      <c r="P3" s="1091" t="s">
        <v>561</v>
      </c>
      <c r="R3" s="756" t="s">
        <v>172</v>
      </c>
      <c r="S3" s="757" t="s">
        <v>562</v>
      </c>
      <c r="T3" s="675" t="s">
        <v>562</v>
      </c>
      <c r="U3" s="675" t="s">
        <v>39</v>
      </c>
      <c r="V3" s="675" t="s">
        <v>39</v>
      </c>
      <c r="W3" s="676" t="s">
        <v>563</v>
      </c>
      <c r="X3" s="675" t="s">
        <v>563</v>
      </c>
      <c r="Y3" s="675" t="s">
        <v>563</v>
      </c>
      <c r="Z3" s="677" t="s">
        <v>561</v>
      </c>
      <c r="AA3" s="676" t="s">
        <v>563</v>
      </c>
      <c r="AB3" s="675" t="s">
        <v>563</v>
      </c>
      <c r="AC3" s="675" t="s">
        <v>563</v>
      </c>
      <c r="AD3" s="677" t="s">
        <v>561</v>
      </c>
      <c r="AF3" s="722" t="s">
        <v>172</v>
      </c>
      <c r="AG3" s="723" t="s">
        <v>300</v>
      </c>
      <c r="AH3" s="724" t="s">
        <v>217</v>
      </c>
      <c r="AI3" s="725" t="s">
        <v>37</v>
      </c>
      <c r="AJ3" s="724" t="s">
        <v>561</v>
      </c>
      <c r="AK3" s="725" t="s">
        <v>561</v>
      </c>
      <c r="AL3" s="726" t="s">
        <v>562</v>
      </c>
      <c r="AM3" s="727" t="s">
        <v>562</v>
      </c>
      <c r="AN3" s="728" t="s">
        <v>39</v>
      </c>
      <c r="AO3" s="729" t="s">
        <v>37</v>
      </c>
      <c r="AP3" s="728" t="s">
        <v>39</v>
      </c>
      <c r="AQ3" s="727" t="s">
        <v>563</v>
      </c>
      <c r="AR3" s="728" t="s">
        <v>563</v>
      </c>
      <c r="AS3" s="727" t="s">
        <v>563</v>
      </c>
      <c r="AT3" s="730" t="s">
        <v>561</v>
      </c>
      <c r="AU3" s="1088" t="s">
        <v>300</v>
      </c>
      <c r="AV3" s="1117" t="s">
        <v>561</v>
      </c>
      <c r="AW3" s="1093" t="s">
        <v>561</v>
      </c>
      <c r="AX3" s="676" t="s">
        <v>563</v>
      </c>
      <c r="AY3" s="675" t="s">
        <v>563</v>
      </c>
      <c r="AZ3" s="675" t="s">
        <v>563</v>
      </c>
      <c r="BA3" s="677" t="s">
        <v>561</v>
      </c>
    </row>
    <row r="4" spans="1:53" ht="15.75" thickBot="1" x14ac:dyDescent="0.3">
      <c r="A4" s="311" t="s">
        <v>267</v>
      </c>
      <c r="B4" s="314" t="s">
        <v>2</v>
      </c>
      <c r="C4" s="311" t="s">
        <v>267</v>
      </c>
      <c r="D4" s="314" t="s">
        <v>3</v>
      </c>
      <c r="E4" s="311" t="s">
        <v>267</v>
      </c>
      <c r="F4" s="312" t="s">
        <v>4</v>
      </c>
      <c r="G4" s="1084"/>
      <c r="H4" s="205">
        <v>1</v>
      </c>
      <c r="I4" s="1143" t="str" cm="1">
        <f t="array" aca="1" ref="I4:M33" ca="1">OFFSET(Arablesystem!$A$13, 0, (1+('Options and results'!$C$17-1)*5),'Options and results'!$W$20,5)</f>
        <v>Wheat</v>
      </c>
      <c r="J4" s="1144">
        <f ca="1"/>
        <v>0</v>
      </c>
      <c r="K4" s="1144">
        <f ca="1"/>
        <v>1</v>
      </c>
      <c r="L4" s="1144">
        <f ca="1"/>
        <v>9.9183094992989567</v>
      </c>
      <c r="M4" s="1145">
        <f ca="1"/>
        <v>3.9673237997195829</v>
      </c>
      <c r="N4" s="54" t="str" cm="1">
        <f t="array" aca="1" ref="N4:N6" ca="1">_xlfn.UNIQUE(OFFSET(Arablesystem!$A$13, 0, (1+('Options and results'!$C$17-1)*5),'Options and results'!$W$20,1))</f>
        <v>Wheat</v>
      </c>
      <c r="O4" s="1119">
        <f ca="1">IFERROR(SUMIF($I$4:$I$66,N4,$L$4:$L$66)/COUNTIF($I$4:$I$66,N4), "")</f>
        <v>8.7834057953067539</v>
      </c>
      <c r="P4" s="1120">
        <f ca="1">IFERROR(SUMIF($I$4:$I$66,N4,$M$4:$M$66)/COUNTIF($I$4:$I$66,N4), "")</f>
        <v>3.5133623181227027</v>
      </c>
      <c r="R4" s="758">
        <v>0</v>
      </c>
      <c r="S4" s="764" cm="1">
        <f t="array" aca="1" ref="S4:Z34" ca="1">OFFSET(Forestrysystem!$A$10, 0, (1+('Options and results'!$C$32-1)*8),'Options and results'!$W$20+1,8)</f>
        <v>156</v>
      </c>
      <c r="T4" s="685">
        <f ca="1"/>
        <v>0</v>
      </c>
      <c r="U4" s="760">
        <f ca="1"/>
        <v>0</v>
      </c>
      <c r="V4" s="761">
        <f ca="1"/>
        <v>0</v>
      </c>
      <c r="W4" s="761">
        <f ca="1"/>
        <v>0</v>
      </c>
      <c r="X4" s="760">
        <f ca="1"/>
        <v>0</v>
      </c>
      <c r="Y4" s="761">
        <f ca="1"/>
        <v>0</v>
      </c>
      <c r="Z4" s="762">
        <f ca="1"/>
        <v>0</v>
      </c>
      <c r="AA4" s="1100">
        <f ca="1">MAX(W4:W64)</f>
        <v>219.0520197990561</v>
      </c>
      <c r="AB4" s="1101">
        <f ca="1">MAX(X4:X64)</f>
        <v>103.65</v>
      </c>
      <c r="AC4" s="1101">
        <f ca="1">MAX(Y4:Y64)</f>
        <v>103.65</v>
      </c>
      <c r="AD4" s="1102">
        <f ca="1">MAX(Z4:Z64)</f>
        <v>0</v>
      </c>
      <c r="AF4" s="678">
        <v>0</v>
      </c>
      <c r="AG4" s="54" cm="1">
        <f t="array" aca="1" ref="AG4:AT34" ca="1">OFFSET(Agroforestrysystem!$A$14, 0, (1+('Options and results'!$C$54-1)*14),'Options and results'!$W$20+1,14)</f>
        <v>0</v>
      </c>
      <c r="AH4" s="1112">
        <f ca="1"/>
        <v>0</v>
      </c>
      <c r="AI4" s="1132">
        <f ca="1"/>
        <v>0</v>
      </c>
      <c r="AJ4" s="1133">
        <f ca="1"/>
        <v>0</v>
      </c>
      <c r="AK4" s="1113">
        <f ca="1"/>
        <v>0</v>
      </c>
      <c r="AL4" s="1129">
        <f ca="1"/>
        <v>100</v>
      </c>
      <c r="AM4" s="1138">
        <f ca="1"/>
        <v>0</v>
      </c>
      <c r="AN4" s="1139">
        <f ca="1"/>
        <v>0</v>
      </c>
      <c r="AO4" s="1139">
        <f ca="1"/>
        <v>0</v>
      </c>
      <c r="AP4" s="1140">
        <f ca="1"/>
        <v>0</v>
      </c>
      <c r="AQ4" s="1140">
        <f ca="1"/>
        <v>0</v>
      </c>
      <c r="AR4" s="1140">
        <f ca="1"/>
        <v>0</v>
      </c>
      <c r="AS4" s="1140">
        <f ca="1"/>
        <v>0</v>
      </c>
      <c r="AT4" s="1114">
        <f ca="1"/>
        <v>0</v>
      </c>
      <c r="AU4" s="54" t="str" cm="1">
        <f t="array" aca="1" ref="AU4:AU7" ca="1">_xlfn.UNIQUE(OFFSET(Agroforestrysystem!$A$15, 0, (1+('Options and results'!$C$54-1)*14),'Options and results'!$W$20,1))</f>
        <v>Wheat</v>
      </c>
      <c r="AV4" s="1151">
        <f ca="1">IFERROR(SUMIF($AG$5:$AG$66,AU4,$AJ$5:$AJ$66)/COUNTIF($AG$5:$AG$66,AU4), " ")</f>
        <v>7.753750000000001</v>
      </c>
      <c r="AW4" s="1154">
        <f ca="1">IFERROR(SUMIF($AG$5:$AG$66,AU4,$AK$5:$AK$66)/COUNTIF($AG$5:$AG$66,AU4), "")</f>
        <v>3.1040000000000001</v>
      </c>
      <c r="AX4" s="1101">
        <f ca="1">MAX(AQ5:AQ64)</f>
        <v>216.57651403057335</v>
      </c>
      <c r="AY4" s="1101">
        <f ca="1">MAX(AR5:AR64)</f>
        <v>102.68</v>
      </c>
      <c r="AZ4" s="1101">
        <f t="shared" ref="AZ4:BA4" ca="1" si="0">MAX(AS5:AS64)</f>
        <v>102.68</v>
      </c>
      <c r="BA4" s="1102">
        <f t="shared" ca="1" si="0"/>
        <v>0</v>
      </c>
    </row>
    <row r="5" spans="1:53" x14ac:dyDescent="0.25">
      <c r="A5" s="311">
        <v>1</v>
      </c>
      <c r="B5" s="318" t="str">
        <f>CONCATENATE(HLOOKUP(A5,Arablesystem!$A$2:$ER$10,2,FALSE)," ",HLOOKUP(A5,Arablesystem!$A$2:$ER$10,3,FALSE)," ",HLOOKUP(A5,Arablesystem!$A$2:$ER$10,4,FALSE)," ",HLOOKUP(A5,Arablesystem!$A$2:$ER$10,5,FALSE)," ",HLOOKUP(A5,Arablesystem!$A$2:$ER$10,6,FALSE))</f>
        <v>UK England standard   Cereals</v>
      </c>
      <c r="C5" s="311">
        <v>1</v>
      </c>
      <c r="D5" s="318" t="str">
        <f>CONCATENATE(HLOOKUP(A5,Forestrysystem!$A$2:$IG$7,2,FALSE)," ",HLOOKUP(A5,Forestrysystem!$A$2:$IG$7,3,FALSE)," ",HLOOKUP(A5,Forestrysystem!$A$2:$IG$7,4,FALSE))</f>
        <v xml:space="preserve">UK Poplar 156 trees/ha </v>
      </c>
      <c r="E5" s="1087">
        <v>1</v>
      </c>
      <c r="F5" s="313" t="str">
        <f>CONCATENATE(HLOOKUP(A5,Agroforestrysystem!$2:$73,2,FALSE)," ",HLOOKUP(A5,Agroforestrysystem!$2:$73,3,FALSE)," ",HLOOKUP(A5,Agroforestrysystem!$2:$73,4,FALSE)," ",HLOOKUP(A5,Agroforestrysystem!$2:$73,5,FALSE)," ",HLOOKUP(A5,Agroforestrysystem!$2:$73,6,FALSE))</f>
        <v>UK Silsoe Silsoe_02 Poplar 100 trees/ha wwbo 30yr 80% WWBO</v>
      </c>
      <c r="G5" s="1085"/>
      <c r="H5" s="205">
        <v>2</v>
      </c>
      <c r="I5" s="1146" t="str">
        <f ca="1"/>
        <v>Wheat</v>
      </c>
      <c r="J5" s="374">
        <f ca="1"/>
        <v>0</v>
      </c>
      <c r="K5" s="374">
        <f ca="1"/>
        <v>1</v>
      </c>
      <c r="L5" s="374">
        <f ca="1"/>
        <v>8.0775971559440496</v>
      </c>
      <c r="M5" s="1147">
        <f ca="1"/>
        <v>3.2310388623776198</v>
      </c>
      <c r="N5" s="1" t="str">
        <f ca="1"/>
        <v>Barley</v>
      </c>
      <c r="O5" s="1118">
        <f t="shared" ref="O5:O33" ca="1" si="1">IFERROR(SUMIF($I$4:$I$66,N5,$L$4:$L$66)/COUNTIF($I$4:$I$66,N5), "")</f>
        <v>6.6994351205186193</v>
      </c>
      <c r="P5" s="1121">
        <f t="shared" ref="P5:P33" ca="1" si="2">IFERROR(SUMIF($I$4:$I$66,N5,$M$4:$M$66)/COUNTIF($I$4:$I$66,N5), "")</f>
        <v>4.0196610723111714</v>
      </c>
      <c r="R5" s="763">
        <v>1</v>
      </c>
      <c r="S5" s="764" t="str">
        <f ca="1"/>
        <v>.</v>
      </c>
      <c r="T5" s="699">
        <f ca="1"/>
        <v>0</v>
      </c>
      <c r="U5" s="765">
        <f ca="1"/>
        <v>1.4592373029457841</v>
      </c>
      <c r="V5" s="766">
        <f ca="1"/>
        <v>0</v>
      </c>
      <c r="W5" s="766">
        <f ca="1"/>
        <v>2.8267045991225252E-2</v>
      </c>
      <c r="X5" s="765">
        <f ca="1"/>
        <v>1.2464282740101161E-2</v>
      </c>
      <c r="Y5" s="766">
        <f ca="1"/>
        <v>0</v>
      </c>
      <c r="Z5" s="767">
        <f ca="1"/>
        <v>0</v>
      </c>
      <c r="AF5" s="692">
        <v>1</v>
      </c>
      <c r="AG5" s="1115" t="str">
        <f ca="1"/>
        <v>Wheat</v>
      </c>
      <c r="AH5" s="1131">
        <f ca="1"/>
        <v>0</v>
      </c>
      <c r="AI5" s="1134">
        <f ca="1"/>
        <v>0.99</v>
      </c>
      <c r="AJ5" s="1135">
        <f ca="1"/>
        <v>10.19</v>
      </c>
      <c r="AK5" s="1116">
        <f ca="1"/>
        <v>4.0759999999999996</v>
      </c>
      <c r="AL5" s="1130">
        <f ca="1"/>
        <v>0</v>
      </c>
      <c r="AM5" s="1141">
        <f ca="1"/>
        <v>0</v>
      </c>
      <c r="AN5" s="1142">
        <f ca="1"/>
        <v>1.4592525036169861</v>
      </c>
      <c r="AO5" s="1142">
        <f ca="1"/>
        <v>5.8</v>
      </c>
      <c r="AP5" s="1142">
        <f ca="1"/>
        <v>0</v>
      </c>
      <c r="AQ5" s="1142">
        <f ca="1"/>
        <v>1.8120467539768537E-2</v>
      </c>
      <c r="AR5" s="1142">
        <f ca="1"/>
        <v>7.9901745257927592E-3</v>
      </c>
      <c r="AS5" s="1142">
        <f ca="1"/>
        <v>0</v>
      </c>
      <c r="AT5" s="1116">
        <f ca="1"/>
        <v>0</v>
      </c>
      <c r="AU5" s="1" t="str">
        <f ca="1"/>
        <v>Barley</v>
      </c>
      <c r="AV5" s="1152">
        <f t="shared" ref="AV5:AV34" ca="1" si="3">IFERROR(SUMIF($AG$5:$AG$66,AU5,$AJ$5:$AJ$66)/COUNTIF($AG$5:$AG$66,AU5), " ")</f>
        <v>5.9899999999999993</v>
      </c>
      <c r="AW5" s="1155">
        <f t="shared" ref="AW5:AW34" ca="1" si="4">IFERROR(SUMIF($AG$5:$AG$66,AU5,$AK$5:$AK$66)/COUNTIF($AG$5:$AG$66,AU5), "")</f>
        <v>3.6759999999999997</v>
      </c>
    </row>
    <row r="6" spans="1:53" x14ac:dyDescent="0.25">
      <c r="A6" s="311">
        <f>A5+1</f>
        <v>2</v>
      </c>
      <c r="B6" s="318" t="str">
        <f>CONCATENATE(HLOOKUP(A6,Arablesystem!$A$2:$ER$10,2,FALSE)," ",HLOOKUP(A6,Arablesystem!$A$2:$ER$10,3,FALSE)," ",HLOOKUP(A6,Arablesystem!$A$2:$ER$10,4,FALSE)," ",HLOOKUP(A6,Arablesystem!$A$2:$ER$10,5,FALSE)," ",HLOOKUP(A6,Arablesystem!$A$2:$ER$10,6,FALSE))</f>
        <v xml:space="preserve">    </v>
      </c>
      <c r="C6" s="311">
        <f>C5+1</f>
        <v>2</v>
      </c>
      <c r="D6" s="318" t="str">
        <f>CONCATENATE(HLOOKUP(A6,Forestrysystem!$A$2:$IG$7,2,FALSE)," ",HLOOKUP(A6,Forestrysystem!$A$2:$IG$7,3,FALSE)," ",HLOOKUP(A6,Forestrysystem!$A$2:$IG$7,4,FALSE))</f>
        <v xml:space="preserve">  </v>
      </c>
      <c r="E6" s="1087">
        <f>E5+1</f>
        <v>2</v>
      </c>
      <c r="F6" s="313" t="str">
        <f>CONCATENATE(HLOOKUP(A6,Agroforestrysystem!$2:$73,2,FALSE)," ",HLOOKUP(A6,Agroforestrysystem!$2:$73,3,FALSE)," ",HLOOKUP(A6,Agroforestrysystem!$2:$73,4,FALSE)," ",HLOOKUP(A6,Agroforestrysystem!$2:$73,5,FALSE)," ",HLOOKUP(A6,Agroforestrysystem!$2:$73,6,FALSE))</f>
        <v>UK Silsoe Silsoe_02 Poplar 100 trees/ha wwbo 14yr 99% WWBO</v>
      </c>
      <c r="G6" s="1085"/>
      <c r="H6" s="205">
        <v>3</v>
      </c>
      <c r="I6" s="1146" t="str">
        <f ca="1"/>
        <v>Barley</v>
      </c>
      <c r="J6" s="374">
        <f ca="1"/>
        <v>0</v>
      </c>
      <c r="K6" s="374">
        <f ca="1"/>
        <v>1</v>
      </c>
      <c r="L6" s="374">
        <f ca="1"/>
        <v>8.1997959365738353</v>
      </c>
      <c r="M6" s="1147">
        <f ca="1"/>
        <v>4.9198775619443014</v>
      </c>
      <c r="N6" s="8" t="str">
        <f ca="1"/>
        <v>Oilseed</v>
      </c>
      <c r="O6" s="1118">
        <f t="shared" ca="1" si="1"/>
        <v>3.4850692449673084</v>
      </c>
      <c r="P6" s="1121">
        <f t="shared" ca="1" si="2"/>
        <v>1.7425346224836542</v>
      </c>
      <c r="R6" s="763">
        <f t="shared" ref="R6:R64" si="5">R5+1</f>
        <v>2</v>
      </c>
      <c r="S6" s="764">
        <f ca="1"/>
        <v>0</v>
      </c>
      <c r="T6" s="699">
        <f ca="1"/>
        <v>0</v>
      </c>
      <c r="U6" s="765">
        <f ca="1"/>
        <v>1.8299207624268055</v>
      </c>
      <c r="V6" s="766">
        <f ca="1"/>
        <v>0</v>
      </c>
      <c r="W6" s="766">
        <f ca="1"/>
        <v>5.5744177291407571E-2</v>
      </c>
      <c r="X6" s="765">
        <f ca="1"/>
        <v>2.4580254586564015E-2</v>
      </c>
      <c r="Y6" s="766">
        <f ca="1"/>
        <v>0</v>
      </c>
      <c r="Z6" s="767">
        <f ca="1"/>
        <v>0</v>
      </c>
      <c r="AF6" s="692">
        <f t="shared" ref="AF6:AF64" si="6">AF5+1</f>
        <v>2</v>
      </c>
      <c r="AG6" s="1115" t="str">
        <f ca="1"/>
        <v>Wheat</v>
      </c>
      <c r="AH6" s="1131">
        <f ca="1"/>
        <v>0</v>
      </c>
      <c r="AI6" s="1134">
        <f ca="1"/>
        <v>0.99</v>
      </c>
      <c r="AJ6" s="1135">
        <f ca="1"/>
        <v>8.3000000000000007</v>
      </c>
      <c r="AK6" s="1116">
        <f ca="1"/>
        <v>3.3200000000000003</v>
      </c>
      <c r="AL6" s="1130">
        <f ca="1"/>
        <v>0</v>
      </c>
      <c r="AM6" s="1141">
        <f ca="1"/>
        <v>0</v>
      </c>
      <c r="AN6" s="1142">
        <f ca="1"/>
        <v>1.8299774974366299</v>
      </c>
      <c r="AO6" s="1142">
        <f ca="1"/>
        <v>6.2</v>
      </c>
      <c r="AP6" s="1142">
        <f ca="1"/>
        <v>0</v>
      </c>
      <c r="AQ6" s="1142">
        <f ca="1"/>
        <v>3.5736770732672521E-2</v>
      </c>
      <c r="AR6" s="1142">
        <f ca="1"/>
        <v>1.5758039052558771E-2</v>
      </c>
      <c r="AS6" s="1142">
        <f ca="1"/>
        <v>0</v>
      </c>
      <c r="AT6" s="1116">
        <f ca="1"/>
        <v>0</v>
      </c>
      <c r="AU6" s="1" t="str">
        <f ca="1"/>
        <v>Oilseed</v>
      </c>
      <c r="AV6" s="1152">
        <f t="shared" ca="1" si="3"/>
        <v>3.1633333333333336</v>
      </c>
      <c r="AW6" s="1155">
        <f t="shared" ca="1" si="4"/>
        <v>1.5816666666666668</v>
      </c>
    </row>
    <row r="7" spans="1:53" x14ac:dyDescent="0.25">
      <c r="A7" s="311">
        <f t="shared" ref="A7:E34" si="7">A6+1</f>
        <v>3</v>
      </c>
      <c r="B7" s="318" t="str">
        <f>CONCATENATE(HLOOKUP(A7,Arablesystem!$A$2:$ER$10,2,FALSE)," ",HLOOKUP(A7,Arablesystem!$A$2:$ER$10,3,FALSE)," ",HLOOKUP(A7,Arablesystem!$A$2:$ER$10,4,FALSE)," ",HLOOKUP(A7,Arablesystem!$A$2:$ER$10,5,FALSE)," ",HLOOKUP(A7,Arablesystem!$A$2:$ER$10,6,FALSE))</f>
        <v xml:space="preserve">    </v>
      </c>
      <c r="C7" s="311">
        <f t="shared" si="7"/>
        <v>3</v>
      </c>
      <c r="D7" s="318" t="str">
        <f>CONCATENATE(HLOOKUP(A7,Forestrysystem!$A$2:$IG$7,2,FALSE)," ",HLOOKUP(A7,Forestrysystem!$A$2:$IG$7,3,FALSE)," ",HLOOKUP(A7,Forestrysystem!$A$2:$IG$7,4,FALSE))</f>
        <v xml:space="preserve">  </v>
      </c>
      <c r="E7" s="1087">
        <f t="shared" si="7"/>
        <v>3</v>
      </c>
      <c r="F7" s="313" t="str">
        <f>CONCATENATE(HLOOKUP(A7,Agroforestrysystem!$2:$73,2,FALSE)," ",HLOOKUP(A7,Agroforestrysystem!$2:$73,3,FALSE)," ",HLOOKUP(A7,Agroforestrysystem!$2:$73,4,FALSE)," ",HLOOKUP(A7,Agroforestrysystem!$2:$73,5,FALSE)," ",HLOOKUP(A7,Agroforestrysystem!$2:$73,6,FALSE))</f>
        <v xml:space="preserve">    </v>
      </c>
      <c r="G7" s="1085"/>
      <c r="H7" s="205">
        <v>4</v>
      </c>
      <c r="I7" s="1146" t="str">
        <f ca="1"/>
        <v>Oilseed</v>
      </c>
      <c r="J7" s="374">
        <f ca="1"/>
        <v>0</v>
      </c>
      <c r="K7" s="374">
        <f ca="1"/>
        <v>1</v>
      </c>
      <c r="L7" s="374">
        <f ca="1"/>
        <v>3.3662036102330277</v>
      </c>
      <c r="M7" s="1147">
        <f ca="1"/>
        <v>1.6831018051165139</v>
      </c>
      <c r="N7" s="8"/>
      <c r="O7" s="94" t="str">
        <f t="shared" ca="1" si="1"/>
        <v/>
      </c>
      <c r="P7" s="1097" t="str">
        <f t="shared" ca="1" si="2"/>
        <v/>
      </c>
      <c r="R7" s="763">
        <f t="shared" si="5"/>
        <v>3</v>
      </c>
      <c r="S7" s="764">
        <f ca="1"/>
        <v>0</v>
      </c>
      <c r="T7" s="699">
        <f ca="1"/>
        <v>0</v>
      </c>
      <c r="U7" s="765">
        <f ca="1"/>
        <v>2.3398691363728927</v>
      </c>
      <c r="V7" s="766">
        <f ca="1"/>
        <v>1.5</v>
      </c>
      <c r="W7" s="766">
        <f ca="1"/>
        <v>0.11654063041516</v>
      </c>
      <c r="X7" s="765">
        <f ca="1"/>
        <v>5.1388297477391397E-2</v>
      </c>
      <c r="Y7" s="766">
        <f ca="1"/>
        <v>0</v>
      </c>
      <c r="Z7" s="767">
        <f ca="1"/>
        <v>0</v>
      </c>
      <c r="AF7" s="692">
        <f t="shared" si="6"/>
        <v>3</v>
      </c>
      <c r="AG7" s="1115" t="str">
        <f ca="1"/>
        <v>Barley</v>
      </c>
      <c r="AH7" s="1131">
        <f ca="1"/>
        <v>0</v>
      </c>
      <c r="AI7" s="1134">
        <f ca="1"/>
        <v>0.99</v>
      </c>
      <c r="AJ7" s="1135">
        <f ca="1"/>
        <v>7.5</v>
      </c>
      <c r="AK7" s="1116">
        <f ca="1"/>
        <v>4.7459999999999996</v>
      </c>
      <c r="AL7" s="1130">
        <f ca="1"/>
        <v>0</v>
      </c>
      <c r="AM7" s="1141">
        <f ca="1"/>
        <v>0</v>
      </c>
      <c r="AN7" s="1142">
        <f ca="1"/>
        <v>2.3400475234040528</v>
      </c>
      <c r="AO7" s="1142">
        <f ca="1"/>
        <v>15.4</v>
      </c>
      <c r="AP7" s="1142">
        <f ca="1"/>
        <v>1.5</v>
      </c>
      <c r="AQ7" s="1142">
        <f ca="1"/>
        <v>7.4722619829604042E-2</v>
      </c>
      <c r="AR7" s="1142">
        <f ca="1"/>
        <v>3.2948751027128596E-2</v>
      </c>
      <c r="AS7" s="1142">
        <f ca="1"/>
        <v>0</v>
      </c>
      <c r="AT7" s="1116">
        <f ca="1"/>
        <v>0</v>
      </c>
      <c r="AU7" s="1" t="str">
        <f ca="1"/>
        <v>Agroforestry fallow</v>
      </c>
      <c r="AV7" s="1152">
        <f t="shared" ca="1" si="3"/>
        <v>0</v>
      </c>
      <c r="AW7" s="1155">
        <f t="shared" ca="1" si="4"/>
        <v>0</v>
      </c>
    </row>
    <row r="8" spans="1:53" x14ac:dyDescent="0.25">
      <c r="A8" s="311">
        <f t="shared" si="7"/>
        <v>4</v>
      </c>
      <c r="B8" s="318" t="str">
        <f>CONCATENATE(HLOOKUP(A8,Arablesystem!$A$2:$ER$10,2,FALSE)," ",HLOOKUP(A8,Arablesystem!$A$2:$ER$10,3,FALSE)," ",HLOOKUP(A8,Arablesystem!$A$2:$ER$10,4,FALSE)," ",HLOOKUP(A8,Arablesystem!$A$2:$ER$10,5,FALSE)," ",HLOOKUP(A8,Arablesystem!$A$2:$ER$10,6,FALSE))</f>
        <v xml:space="preserve">    </v>
      </c>
      <c r="C8" s="311">
        <f t="shared" si="7"/>
        <v>4</v>
      </c>
      <c r="D8" s="318" t="str">
        <f>CONCATENATE(HLOOKUP(A8,Forestrysystem!$A$2:$IG$7,2,FALSE)," ",HLOOKUP(A8,Forestrysystem!$A$2:$IG$7,3,FALSE)," ",HLOOKUP(A8,Forestrysystem!$A$2:$IG$7,4,FALSE))</f>
        <v xml:space="preserve">  </v>
      </c>
      <c r="E8" s="1087">
        <f t="shared" si="7"/>
        <v>4</v>
      </c>
      <c r="F8" s="313" t="str">
        <f>CONCATENATE(HLOOKUP(A8,Agroforestrysystem!$2:$73,2,FALSE)," ",HLOOKUP(A8,Agroforestrysystem!$2:$73,3,FALSE)," ",HLOOKUP(A8,Agroforestrysystem!$2:$73,4,FALSE)," ",HLOOKUP(A8,Agroforestrysystem!$2:$73,5,FALSE)," ",HLOOKUP(A8,Agroforestrysystem!$2:$73,6,FALSE))</f>
        <v xml:space="preserve">    </v>
      </c>
      <c r="G8" s="1085"/>
      <c r="H8" s="205">
        <v>5</v>
      </c>
      <c r="I8" s="1146" t="str">
        <f ca="1"/>
        <v>Wheat</v>
      </c>
      <c r="J8" s="374">
        <f ca="1"/>
        <v>0</v>
      </c>
      <c r="K8" s="374">
        <f ca="1"/>
        <v>1</v>
      </c>
      <c r="L8" s="374">
        <f ca="1"/>
        <v>10.016722001588439</v>
      </c>
      <c r="M8" s="1147">
        <f ca="1"/>
        <v>4.0066888006353762</v>
      </c>
      <c r="N8" s="8"/>
      <c r="O8" s="94" t="str">
        <f t="shared" ca="1" si="1"/>
        <v/>
      </c>
      <c r="P8" s="1097" t="str">
        <f t="shared" ca="1" si="2"/>
        <v/>
      </c>
      <c r="R8" s="763">
        <f t="shared" si="5"/>
        <v>4</v>
      </c>
      <c r="S8" s="764">
        <f ca="1"/>
        <v>0</v>
      </c>
      <c r="T8" s="699">
        <f ca="1"/>
        <v>0</v>
      </c>
      <c r="U8" s="765">
        <f ca="1"/>
        <v>2.9554375323531632</v>
      </c>
      <c r="V8" s="766">
        <f ca="1"/>
        <v>1.5</v>
      </c>
      <c r="W8" s="766">
        <f ca="1"/>
        <v>0.2348378031700093</v>
      </c>
      <c r="X8" s="765">
        <f ca="1"/>
        <v>0.10355113787566821</v>
      </c>
      <c r="Y8" s="766">
        <f ca="1"/>
        <v>0</v>
      </c>
      <c r="Z8" s="767">
        <f ca="1"/>
        <v>0</v>
      </c>
      <c r="AF8" s="692">
        <f t="shared" si="6"/>
        <v>4</v>
      </c>
      <c r="AG8" s="1115" t="str">
        <f ca="1"/>
        <v>Oilseed</v>
      </c>
      <c r="AH8" s="1131">
        <f ca="1"/>
        <v>0</v>
      </c>
      <c r="AI8" s="1134">
        <f ca="1"/>
        <v>0.99</v>
      </c>
      <c r="AJ8" s="1135">
        <f ca="1"/>
        <v>3.35</v>
      </c>
      <c r="AK8" s="1116">
        <f ca="1"/>
        <v>1.675</v>
      </c>
      <c r="AL8" s="1130">
        <f ca="1"/>
        <v>0</v>
      </c>
      <c r="AM8" s="1141">
        <f ca="1"/>
        <v>0</v>
      </c>
      <c r="AN8" s="1142">
        <f ca="1"/>
        <v>2.95597248118148</v>
      </c>
      <c r="AO8" s="1142">
        <f ca="1"/>
        <v>15.4</v>
      </c>
      <c r="AP8" s="1142">
        <f ca="1"/>
        <v>1.5</v>
      </c>
      <c r="AQ8" s="1142">
        <f ca="1"/>
        <v>0.15061881196731625</v>
      </c>
      <c r="AR8" s="1142">
        <f ca="1"/>
        <v>6.6414985807909915E-2</v>
      </c>
      <c r="AS8" s="1142">
        <f ca="1"/>
        <v>0</v>
      </c>
      <c r="AT8" s="1116">
        <f ca="1"/>
        <v>0</v>
      </c>
      <c r="AV8" s="1152" t="str">
        <f t="shared" ca="1" si="3"/>
        <v xml:space="preserve"> </v>
      </c>
      <c r="AW8" s="1155" t="str">
        <f t="shared" ca="1" si="4"/>
        <v/>
      </c>
    </row>
    <row r="9" spans="1:53" x14ac:dyDescent="0.25">
      <c r="A9" s="311">
        <f t="shared" si="7"/>
        <v>5</v>
      </c>
      <c r="B9" s="318" t="str">
        <f>CONCATENATE(HLOOKUP(A9,Arablesystem!$A$2:$ER$10,2,FALSE)," ",HLOOKUP(A9,Arablesystem!$A$2:$ER$10,3,FALSE)," ",HLOOKUP(A9,Arablesystem!$A$2:$ER$10,4,FALSE)," ",HLOOKUP(A9,Arablesystem!$A$2:$ER$10,5,FALSE)," ",HLOOKUP(A9,Arablesystem!$A$2:$ER$10,6,FALSE))</f>
        <v xml:space="preserve">    </v>
      </c>
      <c r="C9" s="311">
        <f t="shared" si="7"/>
        <v>5</v>
      </c>
      <c r="D9" s="318" t="str">
        <f>CONCATENATE(HLOOKUP(A9,Forestrysystem!$A$2:$IG$7,2,FALSE)," ",HLOOKUP(A9,Forestrysystem!$A$2:$IG$7,3,FALSE)," ",HLOOKUP(A9,Forestrysystem!$A$2:$IG$7,4,FALSE))</f>
        <v xml:space="preserve">  </v>
      </c>
      <c r="E9" s="1087">
        <f t="shared" si="7"/>
        <v>5</v>
      </c>
      <c r="F9" s="313" t="str">
        <f>CONCATENATE(HLOOKUP(A9,Agroforestrysystem!$2:$73,2,FALSE)," ",HLOOKUP(A9,Agroforestrysystem!$2:$73,3,FALSE)," ",HLOOKUP(A9,Agroforestrysystem!$2:$73,4,FALSE)," ",HLOOKUP(A9,Agroforestrysystem!$2:$73,5,FALSE)," ",HLOOKUP(A9,Agroforestrysystem!$2:$73,6,FALSE))</f>
        <v xml:space="preserve">    </v>
      </c>
      <c r="G9" s="1085"/>
      <c r="H9" s="205">
        <v>6</v>
      </c>
      <c r="I9" s="1146" t="str">
        <f ca="1"/>
        <v>Wheat</v>
      </c>
      <c r="J9" s="374">
        <f ca="1"/>
        <v>0</v>
      </c>
      <c r="K9" s="374">
        <f ca="1"/>
        <v>1</v>
      </c>
      <c r="L9" s="374">
        <f ca="1"/>
        <v>9.1338840154624883</v>
      </c>
      <c r="M9" s="1147">
        <f ca="1"/>
        <v>3.6535536061849956</v>
      </c>
      <c r="N9" s="8"/>
      <c r="O9" s="94" t="str">
        <f t="shared" ca="1" si="1"/>
        <v/>
      </c>
      <c r="P9" s="1097" t="str">
        <f t="shared" ca="1" si="2"/>
        <v/>
      </c>
      <c r="R9" s="763">
        <f t="shared" si="5"/>
        <v>5</v>
      </c>
      <c r="S9" s="764">
        <f ca="1"/>
        <v>0</v>
      </c>
      <c r="T9" s="699">
        <f ca="1"/>
        <v>0</v>
      </c>
      <c r="U9" s="765">
        <f ca="1"/>
        <v>3.6936856888204792</v>
      </c>
      <c r="V9" s="766">
        <f ca="1"/>
        <v>1.5</v>
      </c>
      <c r="W9" s="766">
        <f ca="1"/>
        <v>0.45843996039034762</v>
      </c>
      <c r="X9" s="765">
        <f ca="1"/>
        <v>0.20214794596647515</v>
      </c>
      <c r="Y9" s="766">
        <f ca="1"/>
        <v>0</v>
      </c>
      <c r="Z9" s="767">
        <f ca="1"/>
        <v>0</v>
      </c>
      <c r="AF9" s="692">
        <f t="shared" si="6"/>
        <v>5</v>
      </c>
      <c r="AG9" s="1115" t="str">
        <f ca="1"/>
        <v>Wheat</v>
      </c>
      <c r="AH9" s="1131">
        <f ca="1"/>
        <v>0</v>
      </c>
      <c r="AI9" s="1134">
        <f ca="1"/>
        <v>0.99</v>
      </c>
      <c r="AJ9" s="1135">
        <f ca="1"/>
        <v>9.11</v>
      </c>
      <c r="AK9" s="1116">
        <f ca="1"/>
        <v>3.6680000000000001</v>
      </c>
      <c r="AL9" s="1130">
        <f ca="1"/>
        <v>0</v>
      </c>
      <c r="AM9" s="1141">
        <f ca="1"/>
        <v>0</v>
      </c>
      <c r="AN9" s="1142">
        <f ca="1"/>
        <v>3.6949194561232286</v>
      </c>
      <c r="AO9" s="1142">
        <f ca="1"/>
        <v>32.9</v>
      </c>
      <c r="AP9" s="1142">
        <f ca="1"/>
        <v>1.5</v>
      </c>
      <c r="AQ9" s="1142">
        <f ca="1"/>
        <v>0.2941663455738871</v>
      </c>
      <c r="AR9" s="1142">
        <f ca="1"/>
        <v>0.12971190923145715</v>
      </c>
      <c r="AS9" s="1142">
        <f ca="1"/>
        <v>0</v>
      </c>
      <c r="AT9" s="1116">
        <f ca="1"/>
        <v>0</v>
      </c>
      <c r="AV9" s="1152" t="str">
        <f t="shared" ca="1" si="3"/>
        <v xml:space="preserve"> </v>
      </c>
      <c r="AW9" s="1155" t="str">
        <f t="shared" ca="1" si="4"/>
        <v/>
      </c>
    </row>
    <row r="10" spans="1:53" x14ac:dyDescent="0.25">
      <c r="A10" s="311">
        <f t="shared" si="7"/>
        <v>6</v>
      </c>
      <c r="B10" s="318" t="str">
        <f>CONCATENATE(HLOOKUP(A10,Arablesystem!$A$2:$ER$10,2,FALSE)," ",HLOOKUP(A10,Arablesystem!$A$2:$ER$10,3,FALSE)," ",HLOOKUP(A10,Arablesystem!$A$2:$ER$10,4,FALSE)," ",HLOOKUP(A10,Arablesystem!$A$2:$ER$10,5,FALSE)," ",HLOOKUP(A10,Arablesystem!$A$2:$ER$10,6,FALSE))</f>
        <v xml:space="preserve">    </v>
      </c>
      <c r="C10" s="311">
        <f t="shared" si="7"/>
        <v>6</v>
      </c>
      <c r="D10" s="318" t="str">
        <f>CONCATENATE(HLOOKUP(A10,Forestrysystem!$A$2:$IG$7,2,FALSE)," ",HLOOKUP(A10,Forestrysystem!$A$2:$IG$7,3,FALSE)," ",HLOOKUP(A10,Forestrysystem!$A$2:$IG$7,4,FALSE))</f>
        <v xml:space="preserve">  </v>
      </c>
      <c r="E10" s="1087">
        <f t="shared" si="7"/>
        <v>6</v>
      </c>
      <c r="F10" s="313" t="str">
        <f>CONCATENATE(HLOOKUP(A10,Agroforestrysystem!$2:$73,2,FALSE)," ",HLOOKUP(A10,Agroforestrysystem!$2:$73,3,FALSE)," ",HLOOKUP(A10,Agroforestrysystem!$2:$73,4,FALSE)," ",HLOOKUP(A10,Agroforestrysystem!$2:$73,5,FALSE)," ",HLOOKUP(A10,Agroforestrysystem!$2:$73,6,FALSE))</f>
        <v xml:space="preserve">    </v>
      </c>
      <c r="G10" s="1085"/>
      <c r="H10" s="205">
        <v>7</v>
      </c>
      <c r="I10" s="1146" t="str">
        <f ca="1"/>
        <v>Barley</v>
      </c>
      <c r="J10" s="374">
        <f ca="1"/>
        <v>0</v>
      </c>
      <c r="K10" s="374">
        <f ca="1"/>
        <v>1</v>
      </c>
      <c r="L10" s="374">
        <f ca="1"/>
        <v>7.4303894798102812</v>
      </c>
      <c r="M10" s="1147">
        <f ca="1"/>
        <v>4.4582336878861684</v>
      </c>
      <c r="N10" s="8"/>
      <c r="O10" s="94" t="str">
        <f t="shared" ca="1" si="1"/>
        <v/>
      </c>
      <c r="P10" s="1097" t="str">
        <f t="shared" ca="1" si="2"/>
        <v/>
      </c>
      <c r="R10" s="763">
        <f t="shared" si="5"/>
        <v>6</v>
      </c>
      <c r="S10" s="764">
        <f ca="1"/>
        <v>0</v>
      </c>
      <c r="T10" s="699">
        <f ca="1"/>
        <v>0</v>
      </c>
      <c r="U10" s="765">
        <f ca="1"/>
        <v>4.7092102408061614</v>
      </c>
      <c r="V10" s="766">
        <f ca="1"/>
        <v>3</v>
      </c>
      <c r="W10" s="766">
        <f ca="1"/>
        <v>0.95005094756148822</v>
      </c>
      <c r="X10" s="765">
        <f ca="1"/>
        <v>0.41892257265167893</v>
      </c>
      <c r="Y10" s="766">
        <f ca="1"/>
        <v>0</v>
      </c>
      <c r="Z10" s="767">
        <f ca="1"/>
        <v>0</v>
      </c>
      <c r="AF10" s="692">
        <f t="shared" si="6"/>
        <v>6</v>
      </c>
      <c r="AG10" s="1115" t="str">
        <f ca="1"/>
        <v>Wheat</v>
      </c>
      <c r="AH10" s="1131">
        <f ca="1"/>
        <v>0</v>
      </c>
      <c r="AI10" s="1134">
        <f ca="1"/>
        <v>0.99</v>
      </c>
      <c r="AJ10" s="1135">
        <f ca="1"/>
        <v>8.07</v>
      </c>
      <c r="AK10" s="1116">
        <f ca="1"/>
        <v>3.2240000000000002</v>
      </c>
      <c r="AL10" s="1130">
        <f ca="1"/>
        <v>0</v>
      </c>
      <c r="AM10" s="1141">
        <f ca="1"/>
        <v>0</v>
      </c>
      <c r="AN10" s="1142">
        <f ca="1"/>
        <v>4.7123786070984011</v>
      </c>
      <c r="AO10" s="1142">
        <f ca="1"/>
        <v>32.9</v>
      </c>
      <c r="AP10" s="1142">
        <f ca="1"/>
        <v>3</v>
      </c>
      <c r="AQ10" s="1142">
        <f ca="1"/>
        <v>0.61023706838251768</v>
      </c>
      <c r="AR10" s="1142">
        <f ca="1"/>
        <v>0.2690824984390402</v>
      </c>
      <c r="AS10" s="1142">
        <f ca="1"/>
        <v>0</v>
      </c>
      <c r="AT10" s="1116">
        <f ca="1"/>
        <v>0</v>
      </c>
      <c r="AV10" s="1152" t="str">
        <f t="shared" ca="1" si="3"/>
        <v xml:space="preserve"> </v>
      </c>
      <c r="AW10" s="1155" t="str">
        <f t="shared" ca="1" si="4"/>
        <v/>
      </c>
    </row>
    <row r="11" spans="1:53" x14ac:dyDescent="0.25">
      <c r="A11" s="311">
        <f t="shared" si="7"/>
        <v>7</v>
      </c>
      <c r="B11" s="318" t="str">
        <f>CONCATENATE(HLOOKUP(A11,Arablesystem!$A$2:$ER$10,2,FALSE)," ",HLOOKUP(A11,Arablesystem!$A$2:$ER$10,3,FALSE)," ",HLOOKUP(A11,Arablesystem!$A$2:$ER$10,4,FALSE)," ",HLOOKUP(A11,Arablesystem!$A$2:$ER$10,5,FALSE)," ",HLOOKUP(A11,Arablesystem!$A$2:$ER$10,6,FALSE))</f>
        <v xml:space="preserve">    </v>
      </c>
      <c r="C11" s="311">
        <f t="shared" si="7"/>
        <v>7</v>
      </c>
      <c r="D11" s="318" t="str">
        <f>CONCATENATE(HLOOKUP(A11,Forestrysystem!$A$2:$IG$7,2,FALSE)," ",HLOOKUP(A11,Forestrysystem!$A$2:$IG$7,3,FALSE)," ",HLOOKUP(A11,Forestrysystem!$A$2:$IG$7,4,FALSE))</f>
        <v xml:space="preserve">  </v>
      </c>
      <c r="E11" s="1087">
        <f t="shared" si="7"/>
        <v>7</v>
      </c>
      <c r="F11" s="313" t="str">
        <f>CONCATENATE(HLOOKUP(A11,Agroforestrysystem!$2:$73,2,FALSE)," ",HLOOKUP(A11,Agroforestrysystem!$2:$73,3,FALSE)," ",HLOOKUP(A11,Agroforestrysystem!$2:$73,4,FALSE)," ",HLOOKUP(A11,Agroforestrysystem!$2:$73,5,FALSE)," ",HLOOKUP(A11,Agroforestrysystem!$2:$73,6,FALSE))</f>
        <v xml:space="preserve">    </v>
      </c>
      <c r="G11" s="1085"/>
      <c r="H11" s="205">
        <v>8</v>
      </c>
      <c r="I11" s="1146" t="str">
        <f ca="1"/>
        <v>Oilseed</v>
      </c>
      <c r="J11" s="374">
        <f ca="1"/>
        <v>0</v>
      </c>
      <c r="K11" s="374">
        <f ca="1"/>
        <v>1</v>
      </c>
      <c r="L11" s="374">
        <f ca="1"/>
        <v>3.1964407959971979</v>
      </c>
      <c r="M11" s="1147">
        <f ca="1"/>
        <v>1.5982203979985989</v>
      </c>
      <c r="N11" s="8"/>
      <c r="O11" s="94" t="str">
        <f t="shared" ca="1" si="1"/>
        <v/>
      </c>
      <c r="P11" s="1097" t="str">
        <f t="shared" ca="1" si="2"/>
        <v/>
      </c>
      <c r="R11" s="763">
        <f t="shared" si="5"/>
        <v>7</v>
      </c>
      <c r="S11" s="764">
        <f ca="1"/>
        <v>0</v>
      </c>
      <c r="T11" s="699">
        <f ca="1"/>
        <v>0</v>
      </c>
      <c r="U11" s="765">
        <f ca="1"/>
        <v>5.82796497475052</v>
      </c>
      <c r="V11" s="766">
        <f ca="1"/>
        <v>3</v>
      </c>
      <c r="W11" s="766">
        <f ca="1"/>
        <v>1.8007501319971386</v>
      </c>
      <c r="X11" s="765">
        <f ca="1"/>
        <v>0.794036235567533</v>
      </c>
      <c r="Y11" s="766">
        <f ca="1"/>
        <v>0</v>
      </c>
      <c r="Z11" s="767">
        <f ca="1"/>
        <v>0</v>
      </c>
      <c r="AF11" s="692">
        <f t="shared" si="6"/>
        <v>7</v>
      </c>
      <c r="AG11" s="1115" t="str">
        <f ca="1"/>
        <v>Barley</v>
      </c>
      <c r="AH11" s="1131">
        <f ca="1"/>
        <v>0</v>
      </c>
      <c r="AI11" s="1134">
        <f ca="1"/>
        <v>0.99</v>
      </c>
      <c r="AJ11" s="1135">
        <f ca="1"/>
        <v>5.34</v>
      </c>
      <c r="AK11" s="1116">
        <f ca="1"/>
        <v>3.2039999999999997</v>
      </c>
      <c r="AL11" s="1130">
        <f ca="1"/>
        <v>0</v>
      </c>
      <c r="AM11" s="1141">
        <f ca="1"/>
        <v>0</v>
      </c>
      <c r="AN11" s="1142">
        <f ca="1"/>
        <v>5.8351866940448929</v>
      </c>
      <c r="AO11" s="1142">
        <f ca="1"/>
        <v>45.1</v>
      </c>
      <c r="AP11" s="1142">
        <f ca="1"/>
        <v>3</v>
      </c>
      <c r="AQ11" s="1142">
        <f ca="1"/>
        <v>1.1586234781164211</v>
      </c>
      <c r="AR11" s="1142">
        <f ca="1"/>
        <v>0.51089210471605095</v>
      </c>
      <c r="AS11" s="1142">
        <f ca="1"/>
        <v>0</v>
      </c>
      <c r="AT11" s="1116">
        <f ca="1"/>
        <v>0</v>
      </c>
      <c r="AV11" s="1152" t="str">
        <f t="shared" ca="1" si="3"/>
        <v xml:space="preserve"> </v>
      </c>
      <c r="AW11" s="1155" t="str">
        <f t="shared" ca="1" si="4"/>
        <v/>
      </c>
    </row>
    <row r="12" spans="1:53" x14ac:dyDescent="0.25">
      <c r="A12" s="311">
        <f t="shared" si="7"/>
        <v>8</v>
      </c>
      <c r="B12" s="318" t="str">
        <f>CONCATENATE(HLOOKUP(A12,Arablesystem!$A$2:$ER$10,2,FALSE)," ",HLOOKUP(A12,Arablesystem!$A$2:$ER$10,3,FALSE)," ",HLOOKUP(A12,Arablesystem!$A$2:$ER$10,4,FALSE)," ",HLOOKUP(A12,Arablesystem!$A$2:$ER$10,5,FALSE)," ",HLOOKUP(A12,Arablesystem!$A$2:$ER$10,6,FALSE))</f>
        <v xml:space="preserve">    </v>
      </c>
      <c r="C12" s="311">
        <f t="shared" si="7"/>
        <v>8</v>
      </c>
      <c r="D12" s="318" t="str">
        <f>CONCATENATE(HLOOKUP(A12,Forestrysystem!$A$2:$IG$7,2,FALSE)," ",HLOOKUP(A12,Forestrysystem!$A$2:$IG$7,3,FALSE)," ",HLOOKUP(A12,Forestrysystem!$A$2:$IG$7,4,FALSE))</f>
        <v xml:space="preserve">  </v>
      </c>
      <c r="E12" s="1087">
        <f t="shared" si="7"/>
        <v>8</v>
      </c>
      <c r="F12" s="313" t="str">
        <f>CONCATENATE(HLOOKUP(A12,Agroforestrysystem!$2:$73,2,FALSE)," ",HLOOKUP(A12,Agroforestrysystem!$2:$73,3,FALSE)," ",HLOOKUP(A12,Agroforestrysystem!$2:$73,4,FALSE)," ",HLOOKUP(A12,Agroforestrysystem!$2:$73,5,FALSE)," ",HLOOKUP(A12,Agroforestrysystem!$2:$73,6,FALSE))</f>
        <v xml:space="preserve">    </v>
      </c>
      <c r="G12" s="1085"/>
      <c r="H12" s="205">
        <v>9</v>
      </c>
      <c r="I12" s="1146" t="str">
        <f ca="1"/>
        <v>Wheat</v>
      </c>
      <c r="J12" s="374">
        <f ca="1"/>
        <v>0</v>
      </c>
      <c r="K12" s="374">
        <f ca="1"/>
        <v>1</v>
      </c>
      <c r="L12" s="374">
        <f ca="1"/>
        <v>9.8493672631198592</v>
      </c>
      <c r="M12" s="1147">
        <f ca="1"/>
        <v>3.9397469052479437</v>
      </c>
      <c r="O12" s="94" t="str">
        <f t="shared" ca="1" si="1"/>
        <v/>
      </c>
      <c r="P12" s="1097" t="str">
        <f t="shared" ca="1" si="2"/>
        <v/>
      </c>
      <c r="R12" s="763">
        <f t="shared" si="5"/>
        <v>8</v>
      </c>
      <c r="S12" s="764">
        <f ca="1"/>
        <v>0</v>
      </c>
      <c r="T12" s="699">
        <f ca="1"/>
        <v>0</v>
      </c>
      <c r="U12" s="765">
        <f ca="1"/>
        <v>6.8861306138199492</v>
      </c>
      <c r="V12" s="766">
        <f ca="1"/>
        <v>4.5</v>
      </c>
      <c r="W12" s="766">
        <f ca="1"/>
        <v>2.9704922531954656</v>
      </c>
      <c r="X12" s="765">
        <f ca="1"/>
        <v>1.3098310779485727</v>
      </c>
      <c r="Y12" s="766">
        <f ca="1"/>
        <v>0</v>
      </c>
      <c r="Z12" s="767">
        <f ca="1"/>
        <v>0</v>
      </c>
      <c r="AF12" s="692">
        <f t="shared" si="6"/>
        <v>8</v>
      </c>
      <c r="AG12" s="1115" t="str">
        <f ca="1"/>
        <v>Oilseed</v>
      </c>
      <c r="AH12" s="1131">
        <f ca="1"/>
        <v>0</v>
      </c>
      <c r="AI12" s="1134">
        <f ca="1"/>
        <v>0.99</v>
      </c>
      <c r="AJ12" s="1135">
        <f ca="1"/>
        <v>2.92</v>
      </c>
      <c r="AK12" s="1116">
        <f ca="1"/>
        <v>1.46</v>
      </c>
      <c r="AL12" s="1130">
        <f ca="1"/>
        <v>0</v>
      </c>
      <c r="AM12" s="1141">
        <f ca="1"/>
        <v>0</v>
      </c>
      <c r="AN12" s="1142">
        <f ca="1"/>
        <v>6.9009972560664954</v>
      </c>
      <c r="AO12" s="1142">
        <f ca="1"/>
        <v>45.1</v>
      </c>
      <c r="AP12" s="1142">
        <f ca="1"/>
        <v>4.5</v>
      </c>
      <c r="AQ12" s="1142">
        <f ca="1"/>
        <v>1.9165211747338018</v>
      </c>
      <c r="AR12" s="1142">
        <f ca="1"/>
        <v>0.84508518529627519</v>
      </c>
      <c r="AS12" s="1142">
        <f ca="1"/>
        <v>0</v>
      </c>
      <c r="AT12" s="1116">
        <f ca="1"/>
        <v>0</v>
      </c>
      <c r="AV12" s="1152" t="str">
        <f t="shared" ca="1" si="3"/>
        <v xml:space="preserve"> </v>
      </c>
      <c r="AW12" s="1155" t="str">
        <f t="shared" ca="1" si="4"/>
        <v/>
      </c>
    </row>
    <row r="13" spans="1:53" x14ac:dyDescent="0.25">
      <c r="A13" s="311">
        <f t="shared" si="7"/>
        <v>9</v>
      </c>
      <c r="B13" s="318" t="str">
        <f>CONCATENATE(HLOOKUP(A13,Arablesystem!$A$2:$ER$10,2,FALSE)," ",HLOOKUP(A13,Arablesystem!$A$2:$ER$10,3,FALSE)," ",HLOOKUP(A13,Arablesystem!$A$2:$ER$10,4,FALSE)," ",HLOOKUP(A13,Arablesystem!$A$2:$ER$10,5,FALSE)," ",HLOOKUP(A13,Arablesystem!$A$2:$ER$10,6,FALSE))</f>
        <v xml:space="preserve">    </v>
      </c>
      <c r="C13" s="311">
        <f t="shared" si="7"/>
        <v>9</v>
      </c>
      <c r="D13" s="318" t="str">
        <f>CONCATENATE(HLOOKUP(A13,Forestrysystem!$A$2:$IG$7,2,FALSE)," ",HLOOKUP(A13,Forestrysystem!$A$2:$IG$7,3,FALSE)," ",HLOOKUP(A13,Forestrysystem!$A$2:$IG$7,4,FALSE))</f>
        <v xml:space="preserve">  </v>
      </c>
      <c r="E13" s="1087">
        <f t="shared" si="7"/>
        <v>9</v>
      </c>
      <c r="F13" s="313" t="str">
        <f>CONCATENATE(HLOOKUP(A13,Agroforestrysystem!$2:$73,2,FALSE)," ",HLOOKUP(A13,Agroforestrysystem!$2:$73,3,FALSE)," ",HLOOKUP(A13,Agroforestrysystem!$2:$73,4,FALSE)," ",HLOOKUP(A13,Agroforestrysystem!$2:$73,5,FALSE)," ",HLOOKUP(A13,Agroforestrysystem!$2:$73,6,FALSE))</f>
        <v xml:space="preserve">    </v>
      </c>
      <c r="G13" s="1085"/>
      <c r="H13" s="205">
        <v>10</v>
      </c>
      <c r="I13" s="1146" t="str">
        <f ca="1"/>
        <v>Wheat</v>
      </c>
      <c r="J13" s="374">
        <f ca="1"/>
        <v>0</v>
      </c>
      <c r="K13" s="374">
        <f ca="1"/>
        <v>1</v>
      </c>
      <c r="L13" s="374">
        <f ca="1"/>
        <v>8.790305531183721</v>
      </c>
      <c r="M13" s="1147">
        <f ca="1"/>
        <v>3.5161222124734888</v>
      </c>
      <c r="N13" s="8"/>
      <c r="O13" s="94" t="str">
        <f t="shared" ca="1" si="1"/>
        <v/>
      </c>
      <c r="P13" s="1097" t="str">
        <f t="shared" ca="1" si="2"/>
        <v/>
      </c>
      <c r="R13" s="763">
        <f t="shared" si="5"/>
        <v>9</v>
      </c>
      <c r="S13" s="764">
        <f ca="1"/>
        <v>0</v>
      </c>
      <c r="T13" s="699">
        <f ca="1"/>
        <v>0</v>
      </c>
      <c r="U13" s="765">
        <f ca="1"/>
        <v>8.2687675058381345</v>
      </c>
      <c r="V13" s="766">
        <f ca="1"/>
        <v>6</v>
      </c>
      <c r="W13" s="766">
        <f ca="1"/>
        <v>5.1431003603587255</v>
      </c>
      <c r="X13" s="765">
        <f ca="1"/>
        <v>2.2678371511521584</v>
      </c>
      <c r="Y13" s="766">
        <f ca="1"/>
        <v>0</v>
      </c>
      <c r="Z13" s="767">
        <f ca="1"/>
        <v>0</v>
      </c>
      <c r="AF13" s="692">
        <f t="shared" si="6"/>
        <v>9</v>
      </c>
      <c r="AG13" s="1115" t="str">
        <f ca="1"/>
        <v>Wheat</v>
      </c>
      <c r="AH13" s="1131">
        <f ca="1"/>
        <v>0</v>
      </c>
      <c r="AI13" s="1134">
        <f ca="1"/>
        <v>0.99</v>
      </c>
      <c r="AJ13" s="1135">
        <f ca="1"/>
        <v>7.64</v>
      </c>
      <c r="AK13" s="1116">
        <f ca="1"/>
        <v>3.056</v>
      </c>
      <c r="AL13" s="1130">
        <f ca="1"/>
        <v>0</v>
      </c>
      <c r="AM13" s="1141">
        <f ca="1"/>
        <v>0</v>
      </c>
      <c r="AN13" s="1142">
        <f ca="1"/>
        <v>8.2960052997657101</v>
      </c>
      <c r="AO13" s="1142">
        <f ca="1"/>
        <v>65.2</v>
      </c>
      <c r="AP13" s="1142">
        <f ca="1"/>
        <v>6</v>
      </c>
      <c r="AQ13" s="1142">
        <f ca="1"/>
        <v>3.3295467733643926</v>
      </c>
      <c r="AR13" s="1142">
        <f ca="1"/>
        <v>1.4681552643487403</v>
      </c>
      <c r="AS13" s="1142">
        <f ca="1"/>
        <v>0</v>
      </c>
      <c r="AT13" s="1116">
        <f ca="1"/>
        <v>0</v>
      </c>
      <c r="AV13" s="1152" t="str">
        <f t="shared" ca="1" si="3"/>
        <v xml:space="preserve"> </v>
      </c>
      <c r="AW13" s="1155" t="str">
        <f t="shared" ca="1" si="4"/>
        <v/>
      </c>
    </row>
    <row r="14" spans="1:53" x14ac:dyDescent="0.25">
      <c r="A14" s="311">
        <f t="shared" si="7"/>
        <v>10</v>
      </c>
      <c r="B14" s="318" t="str">
        <f>CONCATENATE(HLOOKUP(A14,Arablesystem!$A$2:$ER$10,2,FALSE)," ",HLOOKUP(A14,Arablesystem!$A$2:$ER$10,3,FALSE)," ",HLOOKUP(A14,Arablesystem!$A$2:$ER$10,4,FALSE)," ",HLOOKUP(A14,Arablesystem!$A$2:$ER$10,5,FALSE)," ",HLOOKUP(A14,Arablesystem!$A$2:$ER$10,6,FALSE))</f>
        <v xml:space="preserve">    </v>
      </c>
      <c r="C14" s="311">
        <f t="shared" si="7"/>
        <v>10</v>
      </c>
      <c r="D14" s="318" t="str">
        <f>CONCATENATE(HLOOKUP(A14,Forestrysystem!$A$2:$IG$7,2,FALSE)," ",HLOOKUP(A14,Forestrysystem!$A$2:$IG$7,3,FALSE)," ",HLOOKUP(A14,Forestrysystem!$A$2:$IG$7,4,FALSE))</f>
        <v xml:space="preserve">  </v>
      </c>
      <c r="E14" s="1087">
        <f t="shared" si="7"/>
        <v>10</v>
      </c>
      <c r="F14" s="313" t="str">
        <f>CONCATENATE(HLOOKUP(A14,Agroforestrysystem!$2:$73,2,FALSE)," ",HLOOKUP(A14,Agroforestrysystem!$2:$73,3,FALSE)," ",HLOOKUP(A14,Agroforestrysystem!$2:$73,4,FALSE)," ",HLOOKUP(A14,Agroforestrysystem!$2:$73,5,FALSE)," ",HLOOKUP(A14,Agroforestrysystem!$2:$73,6,FALSE))</f>
        <v xml:space="preserve">    </v>
      </c>
      <c r="G14" s="1085"/>
      <c r="H14" s="205">
        <v>11</v>
      </c>
      <c r="I14" s="1146" t="str">
        <f ca="1"/>
        <v>Barley</v>
      </c>
      <c r="J14" s="374">
        <f ca="1"/>
        <v>0</v>
      </c>
      <c r="K14" s="374">
        <f ca="1"/>
        <v>1</v>
      </c>
      <c r="L14" s="374">
        <f ca="1"/>
        <v>9.3097413610737618</v>
      </c>
      <c r="M14" s="1147">
        <f ca="1"/>
        <v>5.5858448166442569</v>
      </c>
      <c r="O14" s="94" t="str">
        <f t="shared" ca="1" si="1"/>
        <v/>
      </c>
      <c r="P14" s="1097" t="str">
        <f t="shared" ca="1" si="2"/>
        <v/>
      </c>
      <c r="R14" s="763">
        <f t="shared" si="5"/>
        <v>10</v>
      </c>
      <c r="S14" s="764">
        <f ca="1"/>
        <v>0</v>
      </c>
      <c r="T14" s="699">
        <f ca="1"/>
        <v>0</v>
      </c>
      <c r="U14" s="765">
        <f ca="1"/>
        <v>9.6730383950005265</v>
      </c>
      <c r="V14" s="766">
        <f ca="1"/>
        <v>6</v>
      </c>
      <c r="W14" s="766">
        <f ca="1"/>
        <v>8.2336308346738214</v>
      </c>
      <c r="X14" s="765">
        <f ca="1"/>
        <v>3.6305987803906787</v>
      </c>
      <c r="Y14" s="766">
        <f ca="1"/>
        <v>0</v>
      </c>
      <c r="Z14" s="767">
        <f ca="1"/>
        <v>0</v>
      </c>
      <c r="AF14" s="692">
        <f t="shared" si="6"/>
        <v>10</v>
      </c>
      <c r="AG14" s="1115" t="str">
        <f ca="1"/>
        <v>Wheat</v>
      </c>
      <c r="AH14" s="1131">
        <f ca="1"/>
        <v>0</v>
      </c>
      <c r="AI14" s="1134">
        <f ca="1"/>
        <v>0.99</v>
      </c>
      <c r="AJ14" s="1135">
        <f ca="1"/>
        <v>6.56</v>
      </c>
      <c r="AK14" s="1116">
        <f ca="1"/>
        <v>2.6240000000000001</v>
      </c>
      <c r="AL14" s="1130">
        <f ca="1"/>
        <v>0</v>
      </c>
      <c r="AM14" s="1141">
        <f ca="1"/>
        <v>0</v>
      </c>
      <c r="AN14" s="1142">
        <f ca="1"/>
        <v>9.7233292241840541</v>
      </c>
      <c r="AO14" s="1142">
        <f ca="1"/>
        <v>65.2</v>
      </c>
      <c r="AP14" s="1142">
        <f ca="1"/>
        <v>6</v>
      </c>
      <c r="AQ14" s="1142">
        <f ca="1"/>
        <v>5.3607188460803448</v>
      </c>
      <c r="AR14" s="1142">
        <f ca="1"/>
        <v>2.3637954743653071</v>
      </c>
      <c r="AS14" s="1142">
        <f ca="1"/>
        <v>0</v>
      </c>
      <c r="AT14" s="1116">
        <f ca="1"/>
        <v>0</v>
      </c>
      <c r="AV14" s="1152" t="str">
        <f t="shared" ca="1" si="3"/>
        <v xml:space="preserve"> </v>
      </c>
      <c r="AW14" s="1155" t="str">
        <f t="shared" ca="1" si="4"/>
        <v/>
      </c>
    </row>
    <row r="15" spans="1:53" x14ac:dyDescent="0.25">
      <c r="A15" s="311">
        <f t="shared" si="7"/>
        <v>11</v>
      </c>
      <c r="B15" s="318" t="str">
        <f>CONCATENATE(HLOOKUP(A15,Arablesystem!$A$2:$ER$10,2,FALSE)," ",HLOOKUP(A15,Arablesystem!$A$2:$ER$10,3,FALSE)," ",HLOOKUP(A15,Arablesystem!$A$2:$ER$10,4,FALSE)," ",HLOOKUP(A15,Arablesystem!$A$2:$ER$10,5,FALSE)," ",HLOOKUP(A15,Arablesystem!$A$2:$ER$10,6,FALSE))</f>
        <v xml:space="preserve">    </v>
      </c>
      <c r="C15" s="311">
        <f t="shared" si="7"/>
        <v>11</v>
      </c>
      <c r="D15" s="318" t="str">
        <f>CONCATENATE(HLOOKUP(A15,Forestrysystem!$A$2:$IG$7,2,FALSE)," ",HLOOKUP(A15,Forestrysystem!$A$2:$IG$7,3,FALSE)," ",HLOOKUP(A15,Forestrysystem!$A$2:$IG$7,4,FALSE))</f>
        <v xml:space="preserve">  </v>
      </c>
      <c r="E15" s="1087">
        <f t="shared" si="7"/>
        <v>11</v>
      </c>
      <c r="F15" s="313" t="str">
        <f>CONCATENATE(HLOOKUP(A15,Agroforestrysystem!$2:$73,2,FALSE)," ",HLOOKUP(A15,Agroforestrysystem!$2:$73,3,FALSE)," ",HLOOKUP(A15,Agroforestrysystem!$2:$73,4,FALSE)," ",HLOOKUP(A15,Agroforestrysystem!$2:$73,5,FALSE)," ",HLOOKUP(A15,Agroforestrysystem!$2:$73,6,FALSE))</f>
        <v xml:space="preserve">    </v>
      </c>
      <c r="G15" s="1085"/>
      <c r="H15" s="205">
        <v>12</v>
      </c>
      <c r="I15" s="1146" t="str">
        <f ca="1"/>
        <v>Oilseed</v>
      </c>
      <c r="J15" s="374">
        <f ca="1"/>
        <v>0</v>
      </c>
      <c r="K15" s="374">
        <f ca="1"/>
        <v>1</v>
      </c>
      <c r="L15" s="374">
        <f ca="1"/>
        <v>3.5467265073385787</v>
      </c>
      <c r="M15" s="1147">
        <f ca="1"/>
        <v>1.7733632536692894</v>
      </c>
      <c r="N15" s="8"/>
      <c r="O15" s="94" t="str">
        <f t="shared" ca="1" si="1"/>
        <v/>
      </c>
      <c r="P15" s="1097" t="str">
        <f t="shared" ca="1" si="2"/>
        <v/>
      </c>
      <c r="R15" s="763">
        <f t="shared" si="5"/>
        <v>11</v>
      </c>
      <c r="S15" s="764">
        <f ca="1"/>
        <v>0</v>
      </c>
      <c r="T15" s="699">
        <f ca="1"/>
        <v>0</v>
      </c>
      <c r="U15" s="765">
        <f ca="1"/>
        <v>11.115801998941063</v>
      </c>
      <c r="V15" s="766">
        <f ca="1"/>
        <v>7.5</v>
      </c>
      <c r="W15" s="766">
        <f ca="1"/>
        <v>12.494677842039225</v>
      </c>
      <c r="X15" s="765">
        <f ca="1"/>
        <v>5.5094967269660353</v>
      </c>
      <c r="Y15" s="766">
        <f ca="1"/>
        <v>0</v>
      </c>
      <c r="Z15" s="767">
        <f ca="1"/>
        <v>0</v>
      </c>
      <c r="AF15" s="692">
        <f t="shared" si="6"/>
        <v>11</v>
      </c>
      <c r="AG15" s="1115" t="str">
        <f ca="1"/>
        <v>Barley</v>
      </c>
      <c r="AH15" s="1131">
        <f ca="1"/>
        <v>0</v>
      </c>
      <c r="AI15" s="1134">
        <f ca="1"/>
        <v>0.99</v>
      </c>
      <c r="AJ15" s="1135">
        <f ca="1"/>
        <v>5.13</v>
      </c>
      <c r="AK15" s="1116">
        <f ca="1"/>
        <v>3.0779999999999998</v>
      </c>
      <c r="AL15" s="1130">
        <f ca="1"/>
        <v>0</v>
      </c>
      <c r="AM15" s="1141">
        <f ca="1"/>
        <v>0</v>
      </c>
      <c r="AN15" s="1142">
        <f ca="1"/>
        <v>11.193071661185297</v>
      </c>
      <c r="AO15" s="1142">
        <f ca="1"/>
        <v>68.8</v>
      </c>
      <c r="AP15" s="1142">
        <f ca="1"/>
        <v>6</v>
      </c>
      <c r="AQ15" s="1142">
        <f ca="1"/>
        <v>8.1776008827282425</v>
      </c>
      <c r="AR15" s="1142">
        <f ca="1"/>
        <v>3.6058925141900731</v>
      </c>
      <c r="AS15" s="1142">
        <f ca="1"/>
        <v>0</v>
      </c>
      <c r="AT15" s="1116">
        <f ca="1"/>
        <v>0</v>
      </c>
      <c r="AV15" s="1152" t="str">
        <f t="shared" ca="1" si="3"/>
        <v xml:space="preserve"> </v>
      </c>
      <c r="AW15" s="1155" t="str">
        <f t="shared" ca="1" si="4"/>
        <v/>
      </c>
    </row>
    <row r="16" spans="1:53" x14ac:dyDescent="0.25">
      <c r="A16" s="311">
        <f t="shared" si="7"/>
        <v>12</v>
      </c>
      <c r="B16" s="318" t="str">
        <f>CONCATENATE(HLOOKUP(A16,Arablesystem!$A$2:$ER$10,2,FALSE)," ",HLOOKUP(A16,Arablesystem!$A$2:$ER$10,3,FALSE)," ",HLOOKUP(A16,Arablesystem!$A$2:$ER$10,4,FALSE)," ",HLOOKUP(A16,Arablesystem!$A$2:$ER$10,5,FALSE)," ",HLOOKUP(A16,Arablesystem!$A$2:$ER$10,6,FALSE))</f>
        <v xml:space="preserve">    </v>
      </c>
      <c r="C16" s="311">
        <f t="shared" si="7"/>
        <v>12</v>
      </c>
      <c r="D16" s="318" t="str">
        <f>CONCATENATE(HLOOKUP(A16,Forestrysystem!$A$2:$IG$7,2,FALSE)," ",HLOOKUP(A16,Forestrysystem!$A$2:$IG$7,3,FALSE)," ",HLOOKUP(A16,Forestrysystem!$A$2:$IG$7,4,FALSE))</f>
        <v xml:space="preserve">  </v>
      </c>
      <c r="E16" s="1087">
        <f t="shared" si="7"/>
        <v>12</v>
      </c>
      <c r="F16" s="313" t="str">
        <f>CONCATENATE(HLOOKUP(A16,Agroforestrysystem!$2:$73,2,FALSE)," ",HLOOKUP(A16,Agroforestrysystem!$2:$73,3,FALSE)," ",HLOOKUP(A16,Agroforestrysystem!$2:$73,4,FALSE)," ",HLOOKUP(A16,Agroforestrysystem!$2:$73,5,FALSE)," ",HLOOKUP(A16,Agroforestrysystem!$2:$73,6,FALSE))</f>
        <v xml:space="preserve">    </v>
      </c>
      <c r="G16" s="1085"/>
      <c r="H16" s="205">
        <v>13</v>
      </c>
      <c r="I16" s="1146" t="str">
        <f ca="1"/>
        <v>Wheat</v>
      </c>
      <c r="J16" s="374">
        <f ca="1"/>
        <v>0</v>
      </c>
      <c r="K16" s="374">
        <f ca="1"/>
        <v>1</v>
      </c>
      <c r="L16" s="374">
        <f ca="1"/>
        <v>7.9761913966210409</v>
      </c>
      <c r="M16" s="1147">
        <f ca="1"/>
        <v>3.1904765586484167</v>
      </c>
      <c r="N16" s="8"/>
      <c r="O16" s="94" t="str">
        <f t="shared" ca="1" si="1"/>
        <v/>
      </c>
      <c r="P16" s="1097" t="str">
        <f t="shared" ca="1" si="2"/>
        <v/>
      </c>
      <c r="R16" s="763">
        <f t="shared" si="5"/>
        <v>12</v>
      </c>
      <c r="S16" s="764">
        <f ca="1"/>
        <v>0</v>
      </c>
      <c r="T16" s="699">
        <f ca="1"/>
        <v>0</v>
      </c>
      <c r="U16" s="765">
        <f ca="1"/>
        <v>12.487749425796061</v>
      </c>
      <c r="V16" s="766">
        <f ca="1"/>
        <v>7.5</v>
      </c>
      <c r="W16" s="766">
        <f ca="1"/>
        <v>17.715572163609639</v>
      </c>
      <c r="X16" s="765">
        <f ca="1"/>
        <v>7.8116369293926695</v>
      </c>
      <c r="Y16" s="766">
        <f ca="1"/>
        <v>0</v>
      </c>
      <c r="Z16" s="767">
        <f ca="1"/>
        <v>0</v>
      </c>
      <c r="AF16" s="692">
        <f t="shared" si="6"/>
        <v>12</v>
      </c>
      <c r="AG16" s="1115" t="str">
        <f ca="1"/>
        <v>Oilseed</v>
      </c>
      <c r="AH16" s="1131">
        <f ca="1"/>
        <v>0</v>
      </c>
      <c r="AI16" s="1134">
        <f ca="1"/>
        <v>0.99</v>
      </c>
      <c r="AJ16" s="1135">
        <f ca="1"/>
        <v>3.22</v>
      </c>
      <c r="AK16" s="1116">
        <f ca="1"/>
        <v>1.61</v>
      </c>
      <c r="AL16" s="1130">
        <f ca="1"/>
        <v>0</v>
      </c>
      <c r="AM16" s="1141">
        <f ca="1"/>
        <v>0</v>
      </c>
      <c r="AN16" s="1142">
        <f ca="1"/>
        <v>12.615289678822272</v>
      </c>
      <c r="AO16" s="1142">
        <f ca="1"/>
        <v>83.9</v>
      </c>
      <c r="AP16" s="1142">
        <f ca="1"/>
        <v>7.5</v>
      </c>
      <c r="AQ16" s="1142">
        <f ca="1"/>
        <v>11.707650253869144</v>
      </c>
      <c r="AR16" s="1142">
        <f ca="1"/>
        <v>5.1624588940684291</v>
      </c>
      <c r="AS16" s="1142">
        <f ca="1"/>
        <v>0</v>
      </c>
      <c r="AT16" s="1116">
        <f ca="1"/>
        <v>0</v>
      </c>
      <c r="AV16" s="1152" t="str">
        <f t="shared" ca="1" si="3"/>
        <v xml:space="preserve"> </v>
      </c>
      <c r="AW16" s="1155" t="str">
        <f t="shared" ca="1" si="4"/>
        <v/>
      </c>
    </row>
    <row r="17" spans="1:49" x14ac:dyDescent="0.25">
      <c r="A17" s="311">
        <f t="shared" si="7"/>
        <v>13</v>
      </c>
      <c r="B17" s="318" t="str">
        <f>CONCATENATE(HLOOKUP(A17,Arablesystem!$A$2:$ER$10,2,FALSE)," ",HLOOKUP(A17,Arablesystem!$A$2:$ER$10,3,FALSE)," ",HLOOKUP(A17,Arablesystem!$A$2:$ER$10,4,FALSE)," ",HLOOKUP(A17,Arablesystem!$A$2:$ER$10,5,FALSE)," ",HLOOKUP(A17,Arablesystem!$A$2:$ER$10,6,FALSE))</f>
        <v xml:space="preserve">    </v>
      </c>
      <c r="C17" s="311">
        <f t="shared" si="7"/>
        <v>13</v>
      </c>
      <c r="D17" s="318" t="str">
        <f>CONCATENATE(HLOOKUP(A17,Forestrysystem!$A$2:$IG$7,2,FALSE)," ",HLOOKUP(A17,Forestrysystem!$A$2:$IG$7,3,FALSE)," ",HLOOKUP(A17,Forestrysystem!$A$2:$IG$7,4,FALSE))</f>
        <v xml:space="preserve">  </v>
      </c>
      <c r="E17" s="1087">
        <f t="shared" si="7"/>
        <v>13</v>
      </c>
      <c r="F17" s="313" t="str">
        <f>CONCATENATE(HLOOKUP(A17,Agroforestrysystem!$2:$73,2,FALSE)," ",HLOOKUP(A17,Agroforestrysystem!$2:$73,3,FALSE)," ",HLOOKUP(A17,Agroforestrysystem!$2:$73,4,FALSE)," ",HLOOKUP(A17,Agroforestrysystem!$2:$73,5,FALSE)," ",HLOOKUP(A17,Agroforestrysystem!$2:$73,6,FALSE))</f>
        <v xml:space="preserve">    </v>
      </c>
      <c r="G17" s="1085"/>
      <c r="H17" s="205">
        <v>14</v>
      </c>
      <c r="I17" s="1146" t="str">
        <f ca="1"/>
        <v>Wheat</v>
      </c>
      <c r="J17" s="374">
        <f ca="1"/>
        <v>0</v>
      </c>
      <c r="K17" s="374">
        <f ca="1"/>
        <v>1</v>
      </c>
      <c r="L17" s="374">
        <f ca="1"/>
        <v>9.2881315939317908</v>
      </c>
      <c r="M17" s="1147">
        <f ca="1"/>
        <v>3.7152526375727164</v>
      </c>
      <c r="N17" s="8"/>
      <c r="O17" s="94" t="str">
        <f t="shared" ca="1" si="1"/>
        <v/>
      </c>
      <c r="P17" s="1097" t="str">
        <f t="shared" ca="1" si="2"/>
        <v/>
      </c>
      <c r="R17" s="763">
        <f t="shared" si="5"/>
        <v>13</v>
      </c>
      <c r="S17" s="764">
        <f ca="1"/>
        <v>0</v>
      </c>
      <c r="T17" s="699">
        <f ca="1"/>
        <v>0</v>
      </c>
      <c r="U17" s="765">
        <f ca="1"/>
        <v>14.033605794248535</v>
      </c>
      <c r="V17" s="766">
        <f ca="1"/>
        <v>7.5</v>
      </c>
      <c r="W17" s="766">
        <f ca="1"/>
        <v>25.142616726174616</v>
      </c>
      <c r="X17" s="765">
        <f ca="1"/>
        <v>11.086573524460919</v>
      </c>
      <c r="Y17" s="766">
        <f ca="1"/>
        <v>0</v>
      </c>
      <c r="Z17" s="767">
        <f ca="1"/>
        <v>0</v>
      </c>
      <c r="AF17" s="692">
        <f t="shared" si="6"/>
        <v>13</v>
      </c>
      <c r="AG17" s="1115" t="str">
        <f ca="1"/>
        <v>Wheat</v>
      </c>
      <c r="AH17" s="1131">
        <f ca="1"/>
        <v>0</v>
      </c>
      <c r="AI17" s="1134">
        <f ca="1"/>
        <v>0.99</v>
      </c>
      <c r="AJ17" s="1135">
        <f ca="1"/>
        <v>5.99</v>
      </c>
      <c r="AK17" s="1116">
        <f ca="1"/>
        <v>2.3960000000000004</v>
      </c>
      <c r="AL17" s="1130">
        <f ca="1"/>
        <v>0</v>
      </c>
      <c r="AM17" s="1141">
        <f ca="1"/>
        <v>0</v>
      </c>
      <c r="AN17" s="1142">
        <f ca="1"/>
        <v>14.210891258682691</v>
      </c>
      <c r="AO17" s="1142">
        <f ca="1"/>
        <v>100</v>
      </c>
      <c r="AP17" s="1142">
        <f ca="1"/>
        <v>7.5</v>
      </c>
      <c r="AQ17" s="1142">
        <f ca="1"/>
        <v>16.735627719780698</v>
      </c>
      <c r="AR17" s="1142">
        <f ca="1"/>
        <v>7.3795328948477552</v>
      </c>
      <c r="AS17" s="1142">
        <f ca="1"/>
        <v>0</v>
      </c>
      <c r="AT17" s="1116">
        <f ca="1"/>
        <v>0</v>
      </c>
      <c r="AV17" s="1152" t="str">
        <f t="shared" ca="1" si="3"/>
        <v xml:space="preserve"> </v>
      </c>
      <c r="AW17" s="1155" t="str">
        <f t="shared" ca="1" si="4"/>
        <v/>
      </c>
    </row>
    <row r="18" spans="1:49" x14ac:dyDescent="0.25">
      <c r="A18" s="311">
        <f t="shared" si="7"/>
        <v>14</v>
      </c>
      <c r="B18" s="318" t="str">
        <f>CONCATENATE(HLOOKUP(A18,Arablesystem!$A$2:$ER$10,2,FALSE)," ",HLOOKUP(A18,Arablesystem!$A$2:$ER$10,3,FALSE)," ",HLOOKUP(A18,Arablesystem!$A$2:$ER$10,4,FALSE)," ",HLOOKUP(A18,Arablesystem!$A$2:$ER$10,5,FALSE)," ",HLOOKUP(A18,Arablesystem!$A$2:$ER$10,6,FALSE))</f>
        <v xml:space="preserve">    </v>
      </c>
      <c r="C18" s="311">
        <f t="shared" si="7"/>
        <v>14</v>
      </c>
      <c r="D18" s="318" t="str">
        <f>CONCATENATE(HLOOKUP(A18,Forestrysystem!$A$2:$IG$7,2,FALSE)," ",HLOOKUP(A18,Forestrysystem!$A$2:$IG$7,3,FALSE)," ",HLOOKUP(A18,Forestrysystem!$A$2:$IG$7,4,FALSE))</f>
        <v xml:space="preserve">  </v>
      </c>
      <c r="E18" s="1087">
        <f t="shared" si="7"/>
        <v>14</v>
      </c>
      <c r="F18" s="313" t="str">
        <f>CONCATENATE(HLOOKUP(A18,Agroforestrysystem!$2:$73,2,FALSE)," ",HLOOKUP(A18,Agroforestrysystem!$2:$73,3,FALSE)," ",HLOOKUP(A18,Agroforestrysystem!$2:$73,4,FALSE)," ",HLOOKUP(A18,Agroforestrysystem!$2:$73,5,FALSE)," ",HLOOKUP(A18,Agroforestrysystem!$2:$73,6,FALSE))</f>
        <v xml:space="preserve">    </v>
      </c>
      <c r="G18" s="1085"/>
      <c r="H18" s="205">
        <v>15</v>
      </c>
      <c r="I18" s="1146" t="str">
        <f ca="1"/>
        <v>Barley</v>
      </c>
      <c r="J18" s="374">
        <f ca="1"/>
        <v>0</v>
      </c>
      <c r="K18" s="374">
        <f ca="1"/>
        <v>1</v>
      </c>
      <c r="L18" s="374">
        <f ca="1"/>
        <v>8.2073891917756878</v>
      </c>
      <c r="M18" s="1147">
        <f ca="1"/>
        <v>4.9244335150654122</v>
      </c>
      <c r="N18" s="8"/>
      <c r="O18" s="94" t="str">
        <f t="shared" ca="1" si="1"/>
        <v/>
      </c>
      <c r="P18" s="1097" t="str">
        <f t="shared" ca="1" si="2"/>
        <v/>
      </c>
      <c r="R18" s="763">
        <f t="shared" si="5"/>
        <v>14</v>
      </c>
      <c r="S18" s="764">
        <f ca="1"/>
        <v>0</v>
      </c>
      <c r="T18" s="699">
        <f ca="1"/>
        <v>0</v>
      </c>
      <c r="U18" s="765">
        <f ca="1"/>
        <v>14.958466732170733</v>
      </c>
      <c r="V18" s="766">
        <f ca="1"/>
        <v>7.5</v>
      </c>
      <c r="W18" s="766">
        <f ca="1"/>
        <v>30.448359302089404</v>
      </c>
      <c r="X18" s="765">
        <f ca="1"/>
        <v>13.426127350952854</v>
      </c>
      <c r="Y18" s="766">
        <f ca="1"/>
        <v>0</v>
      </c>
      <c r="Z18" s="767">
        <f ca="1"/>
        <v>0</v>
      </c>
      <c r="AF18" s="692">
        <f t="shared" si="6"/>
        <v>14</v>
      </c>
      <c r="AG18" s="1115" t="str">
        <f ca="1"/>
        <v>Wheat</v>
      </c>
      <c r="AH18" s="1131">
        <f ca="1"/>
        <v>0</v>
      </c>
      <c r="AI18" s="1134">
        <f ca="1"/>
        <v>0.99</v>
      </c>
      <c r="AJ18" s="1135">
        <f ca="1"/>
        <v>6.17</v>
      </c>
      <c r="AK18" s="1116">
        <f ca="1"/>
        <v>2.468</v>
      </c>
      <c r="AL18" s="1130">
        <f ca="1"/>
        <v>0</v>
      </c>
      <c r="AM18" s="1141">
        <f ca="1"/>
        <v>0</v>
      </c>
      <c r="AN18" s="1142">
        <f ca="1"/>
        <v>15.494389937521738</v>
      </c>
      <c r="AO18" s="1142">
        <f ca="1"/>
        <v>100</v>
      </c>
      <c r="AP18" s="1142">
        <f ca="1"/>
        <v>7.5</v>
      </c>
      <c r="AQ18" s="1142">
        <f ca="1"/>
        <v>21.692095207628785</v>
      </c>
      <c r="AR18" s="1142">
        <f ca="1"/>
        <v>9.5650747508957856</v>
      </c>
      <c r="AS18" s="1142">
        <f ca="1"/>
        <v>0</v>
      </c>
      <c r="AT18" s="1116">
        <f ca="1"/>
        <v>0</v>
      </c>
      <c r="AV18" s="1152" t="str">
        <f t="shared" ca="1" si="3"/>
        <v xml:space="preserve"> </v>
      </c>
      <c r="AW18" s="1155" t="str">
        <f t="shared" ca="1" si="4"/>
        <v/>
      </c>
    </row>
    <row r="19" spans="1:49" x14ac:dyDescent="0.25">
      <c r="A19" s="311">
        <f t="shared" si="7"/>
        <v>15</v>
      </c>
      <c r="B19" s="318" t="str">
        <f>CONCATENATE(HLOOKUP(A19,Arablesystem!$A$2:$ER$10,2,FALSE)," ",HLOOKUP(A19,Arablesystem!$A$2:$ER$10,3,FALSE)," ",HLOOKUP(A19,Arablesystem!$A$2:$ER$10,4,FALSE)," ",HLOOKUP(A19,Arablesystem!$A$2:$ER$10,5,FALSE)," ",HLOOKUP(A19,Arablesystem!$A$2:$ER$10,6,FALSE))</f>
        <v xml:space="preserve">    </v>
      </c>
      <c r="C19" s="311">
        <f t="shared" si="7"/>
        <v>15</v>
      </c>
      <c r="D19" s="318" t="str">
        <f>CONCATENATE(HLOOKUP(A19,Forestrysystem!$A$2:$IG$7,2,FALSE)," ",HLOOKUP(A19,Forestrysystem!$A$2:$IG$7,3,FALSE)," ",HLOOKUP(A19,Forestrysystem!$A$2:$IG$7,4,FALSE))</f>
        <v xml:space="preserve">  </v>
      </c>
      <c r="E19" s="1087">
        <f t="shared" si="7"/>
        <v>15</v>
      </c>
      <c r="F19" s="313" t="str">
        <f>CONCATENATE(HLOOKUP(A19,Agroforestrysystem!$2:$73,2,FALSE)," ",HLOOKUP(A19,Agroforestrysystem!$2:$73,3,FALSE)," ",HLOOKUP(A19,Agroforestrysystem!$2:$73,4,FALSE)," ",HLOOKUP(A19,Agroforestrysystem!$2:$73,5,FALSE)," ",HLOOKUP(A19,Agroforestrysystem!$2:$73,6,FALSE))</f>
        <v xml:space="preserve">    </v>
      </c>
      <c r="G19" s="1085"/>
      <c r="H19" s="205">
        <v>16</v>
      </c>
      <c r="I19" s="1146" t="str">
        <f ca="1"/>
        <v>Oilseed</v>
      </c>
      <c r="J19" s="374">
        <f ca="1"/>
        <v>0</v>
      </c>
      <c r="K19" s="374">
        <f ca="1"/>
        <v>1</v>
      </c>
      <c r="L19" s="374">
        <f ca="1"/>
        <v>3.6171271045742861</v>
      </c>
      <c r="M19" s="1147">
        <f ca="1"/>
        <v>1.8085635522871431</v>
      </c>
      <c r="O19" s="578" t="str">
        <f t="shared" ca="1" si="1"/>
        <v/>
      </c>
      <c r="P19" s="1097" t="str">
        <f t="shared" ca="1" si="2"/>
        <v/>
      </c>
      <c r="R19" s="763">
        <f t="shared" si="5"/>
        <v>15</v>
      </c>
      <c r="S19" s="764">
        <f ca="1"/>
        <v>0</v>
      </c>
      <c r="T19" s="699">
        <f ca="1"/>
        <v>0</v>
      </c>
      <c r="U19" s="765">
        <f ca="1"/>
        <v>16.521508530923708</v>
      </c>
      <c r="V19" s="766">
        <f ca="1"/>
        <v>7.5</v>
      </c>
      <c r="W19" s="766">
        <f ca="1"/>
        <v>41.02529881497766</v>
      </c>
      <c r="X19" s="765">
        <f ca="1"/>
        <v>18.090002191447734</v>
      </c>
      <c r="Y19" s="766">
        <f ca="1"/>
        <v>0</v>
      </c>
      <c r="Z19" s="767">
        <f ca="1"/>
        <v>0</v>
      </c>
      <c r="AF19" s="692">
        <f t="shared" si="6"/>
        <v>15</v>
      </c>
      <c r="AG19" s="1115" t="str">
        <f ca="1"/>
        <v>Agroforestry fallow</v>
      </c>
      <c r="AH19" s="1131">
        <f ca="1"/>
        <v>0</v>
      </c>
      <c r="AI19" s="1134">
        <f ca="1"/>
        <v>0.99</v>
      </c>
      <c r="AJ19" s="1135">
        <f ca="1"/>
        <v>0</v>
      </c>
      <c r="AK19" s="1116">
        <f ca="1"/>
        <v>0</v>
      </c>
      <c r="AL19" s="1130">
        <f ca="1"/>
        <v>0</v>
      </c>
      <c r="AM19" s="1141">
        <f ca="1"/>
        <v>0</v>
      </c>
      <c r="AN19" s="1142">
        <f ca="1"/>
        <v>17.307500536000951</v>
      </c>
      <c r="AO19" s="1142">
        <f ca="1"/>
        <v>100</v>
      </c>
      <c r="AP19" s="1142">
        <f ca="1"/>
        <v>7.5</v>
      </c>
      <c r="AQ19" s="1142">
        <f ca="1"/>
        <v>30.232991290963536</v>
      </c>
      <c r="AR19" s="1142">
        <f ca="1"/>
        <v>13.331161368844947</v>
      </c>
      <c r="AS19" s="1142">
        <f ca="1"/>
        <v>0</v>
      </c>
      <c r="AT19" s="1116">
        <f ca="1"/>
        <v>0</v>
      </c>
      <c r="AV19" s="1152" t="str">
        <f t="shared" ca="1" si="3"/>
        <v xml:space="preserve"> </v>
      </c>
      <c r="AW19" s="1155" t="str">
        <f t="shared" ca="1" si="4"/>
        <v/>
      </c>
    </row>
    <row r="20" spans="1:49" x14ac:dyDescent="0.25">
      <c r="A20" s="311">
        <f t="shared" si="7"/>
        <v>16</v>
      </c>
      <c r="B20" s="318" t="str">
        <f>CONCATENATE(HLOOKUP(A20,Arablesystem!$A$2:$ER$10,2,FALSE)," ",HLOOKUP(A20,Arablesystem!$A$2:$ER$10,3,FALSE)," ",HLOOKUP(A20,Arablesystem!$A$2:$ER$10,4,FALSE)," ",HLOOKUP(A20,Arablesystem!$A$2:$ER$10,5,FALSE)," ",HLOOKUP(A20,Arablesystem!$A$2:$ER$10,6,FALSE))</f>
        <v xml:space="preserve">    </v>
      </c>
      <c r="C20" s="311">
        <f t="shared" si="7"/>
        <v>16</v>
      </c>
      <c r="D20" s="318" t="str">
        <f>CONCATENATE(HLOOKUP(A20,Forestrysystem!$A$2:$IG$7,2,FALSE)," ",HLOOKUP(A20,Forestrysystem!$A$2:$IG$7,3,FALSE)," ",HLOOKUP(A20,Forestrysystem!$A$2:$IG$7,4,FALSE))</f>
        <v xml:space="preserve">  </v>
      </c>
      <c r="E20" s="1087">
        <f t="shared" si="7"/>
        <v>16</v>
      </c>
      <c r="F20" s="313" t="str">
        <f>CONCATENATE(HLOOKUP(A20,Agroforestrysystem!$2:$73,2,FALSE)," ",HLOOKUP(A20,Agroforestrysystem!$2:$73,3,FALSE)," ",HLOOKUP(A20,Agroforestrysystem!$2:$73,4,FALSE)," ",HLOOKUP(A20,Agroforestrysystem!$2:$73,5,FALSE)," ",HLOOKUP(A20,Agroforestrysystem!$2:$73,6,FALSE))</f>
        <v xml:space="preserve">    </v>
      </c>
      <c r="G20" s="1085"/>
      <c r="H20" s="205">
        <v>17</v>
      </c>
      <c r="I20" s="1146" t="str">
        <f ca="1"/>
        <v>Wheat</v>
      </c>
      <c r="J20" s="374">
        <f ca="1"/>
        <v>0</v>
      </c>
      <c r="K20" s="374">
        <f ca="1"/>
        <v>1</v>
      </c>
      <c r="L20" s="374">
        <f ca="1"/>
        <v>9.2046218257840753</v>
      </c>
      <c r="M20" s="1147">
        <f ca="1"/>
        <v>3.6818487303136305</v>
      </c>
      <c r="N20" s="8"/>
      <c r="O20" s="94" t="str">
        <f t="shared" ca="1" si="1"/>
        <v/>
      </c>
      <c r="P20" s="1097" t="str">
        <f t="shared" ca="1" si="2"/>
        <v/>
      </c>
      <c r="R20" s="763">
        <f t="shared" si="5"/>
        <v>16</v>
      </c>
      <c r="S20" s="764">
        <f ca="1"/>
        <v>0</v>
      </c>
      <c r="T20" s="699">
        <f ca="1"/>
        <v>0</v>
      </c>
      <c r="U20" s="765">
        <f ca="1"/>
        <v>17.869193831264578</v>
      </c>
      <c r="V20" s="766">
        <f ca="1"/>
        <v>7.5</v>
      </c>
      <c r="W20" s="766">
        <f ca="1"/>
        <v>51.905996768575733</v>
      </c>
      <c r="X20" s="765">
        <f ca="1"/>
        <v>22.887818551366845</v>
      </c>
      <c r="Y20" s="766">
        <f ca="1"/>
        <v>0</v>
      </c>
      <c r="Z20" s="767">
        <f ca="1"/>
        <v>0</v>
      </c>
      <c r="AF20" s="692">
        <f t="shared" si="6"/>
        <v>16</v>
      </c>
      <c r="AG20" s="1115" t="str">
        <f ca="1"/>
        <v>Agroforestry fallow</v>
      </c>
      <c r="AH20" s="1131">
        <f ca="1"/>
        <v>0</v>
      </c>
      <c r="AI20" s="1134">
        <f ca="1"/>
        <v>0.99</v>
      </c>
      <c r="AJ20" s="1135">
        <f ca="1"/>
        <v>0</v>
      </c>
      <c r="AK20" s="1116">
        <f ca="1"/>
        <v>0</v>
      </c>
      <c r="AL20" s="1130">
        <f ca="1"/>
        <v>0</v>
      </c>
      <c r="AM20" s="1141">
        <f ca="1"/>
        <v>0</v>
      </c>
      <c r="AN20" s="1142">
        <f ca="1"/>
        <v>19.09945159140986</v>
      </c>
      <c r="AO20" s="1142">
        <f ca="1"/>
        <v>100</v>
      </c>
      <c r="AP20" s="1142">
        <f ca="1"/>
        <v>7.5</v>
      </c>
      <c r="AQ20" s="1142">
        <f ca="1"/>
        <v>40.629431907125252</v>
      </c>
      <c r="AR20" s="1142">
        <f ca="1"/>
        <v>17.915445675409455</v>
      </c>
      <c r="AS20" s="1142">
        <f ca="1"/>
        <v>0</v>
      </c>
      <c r="AT20" s="1116">
        <f ca="1"/>
        <v>0</v>
      </c>
      <c r="AV20" s="1152" t="str">
        <f t="shared" ca="1" si="3"/>
        <v xml:space="preserve"> </v>
      </c>
      <c r="AW20" s="1155" t="str">
        <f t="shared" ca="1" si="4"/>
        <v/>
      </c>
    </row>
    <row r="21" spans="1:49" x14ac:dyDescent="0.25">
      <c r="A21" s="311">
        <f t="shared" si="7"/>
        <v>17</v>
      </c>
      <c r="B21" s="318" t="str">
        <f>CONCATENATE(HLOOKUP(A21,Arablesystem!$A$2:$ER$10,2,FALSE)," ",HLOOKUP(A21,Arablesystem!$A$2:$ER$10,3,FALSE)," ",HLOOKUP(A21,Arablesystem!$A$2:$ER$10,4,FALSE)," ",HLOOKUP(A21,Arablesystem!$A$2:$ER$10,5,FALSE)," ",HLOOKUP(A21,Arablesystem!$A$2:$ER$10,6,FALSE))</f>
        <v xml:space="preserve">    </v>
      </c>
      <c r="C21" s="311">
        <f t="shared" si="7"/>
        <v>17</v>
      </c>
      <c r="D21" s="318" t="str">
        <f>CONCATENATE(HLOOKUP(A21,Forestrysystem!$A$2:$IG$7,2,FALSE)," ",HLOOKUP(A21,Forestrysystem!$A$2:$IG$7,3,FALSE)," ",HLOOKUP(A21,Forestrysystem!$A$2:$IG$7,4,FALSE))</f>
        <v xml:space="preserve">  </v>
      </c>
      <c r="E21" s="1087">
        <f t="shared" si="7"/>
        <v>17</v>
      </c>
      <c r="F21" s="313" t="str">
        <f>CONCATENATE(HLOOKUP(A21,Agroforestrysystem!$2:$73,2,FALSE)," ",HLOOKUP(A21,Agroforestrysystem!$2:$73,3,FALSE)," ",HLOOKUP(A21,Agroforestrysystem!$2:$73,4,FALSE)," ",HLOOKUP(A21,Agroforestrysystem!$2:$73,5,FALSE)," ",HLOOKUP(A21,Agroforestrysystem!$2:$73,6,FALSE))</f>
        <v xml:space="preserve">    </v>
      </c>
      <c r="G21" s="1085"/>
      <c r="H21" s="205">
        <v>18</v>
      </c>
      <c r="I21" s="1146" t="str">
        <f ca="1"/>
        <v>Wheat</v>
      </c>
      <c r="J21" s="374">
        <f ca="1"/>
        <v>0</v>
      </c>
      <c r="K21" s="374">
        <f ca="1"/>
        <v>1</v>
      </c>
      <c r="L21" s="374">
        <f ca="1"/>
        <v>6.9787773046095287</v>
      </c>
      <c r="M21" s="1147">
        <f ca="1"/>
        <v>2.7915109218438117</v>
      </c>
      <c r="O21" s="94" t="str">
        <f t="shared" ca="1" si="1"/>
        <v/>
      </c>
      <c r="P21" s="1097" t="str">
        <f t="shared" ca="1" si="2"/>
        <v/>
      </c>
      <c r="R21" s="763">
        <f t="shared" si="5"/>
        <v>17</v>
      </c>
      <c r="S21" s="764">
        <f ca="1"/>
        <v>0</v>
      </c>
      <c r="T21" s="699">
        <f ca="1"/>
        <v>0</v>
      </c>
      <c r="U21" s="765">
        <f ca="1"/>
        <v>19.315856380867629</v>
      </c>
      <c r="V21" s="766">
        <f ca="1"/>
        <v>7.5</v>
      </c>
      <c r="W21" s="766">
        <f ca="1"/>
        <v>65.560847497173981</v>
      </c>
      <c r="X21" s="765">
        <f ca="1"/>
        <v>28.908890590799558</v>
      </c>
      <c r="Y21" s="766">
        <f ca="1"/>
        <v>0</v>
      </c>
      <c r="Z21" s="767">
        <f ca="1"/>
        <v>0</v>
      </c>
      <c r="AF21" s="692">
        <f t="shared" si="6"/>
        <v>17</v>
      </c>
      <c r="AG21" s="1115" t="str">
        <f ca="1"/>
        <v>Agroforestry fallow</v>
      </c>
      <c r="AH21" s="1131">
        <f ca="1"/>
        <v>0</v>
      </c>
      <c r="AI21" s="1134">
        <f ca="1"/>
        <v>0.99</v>
      </c>
      <c r="AJ21" s="1135">
        <f ca="1"/>
        <v>0</v>
      </c>
      <c r="AK21" s="1116">
        <f ca="1"/>
        <v>0</v>
      </c>
      <c r="AL21" s="1130">
        <f ca="1"/>
        <v>0</v>
      </c>
      <c r="AM21" s="1141">
        <f ca="1"/>
        <v>0</v>
      </c>
      <c r="AN21" s="1142">
        <f ca="1"/>
        <v>20.894585316533927</v>
      </c>
      <c r="AO21" s="1142">
        <f ca="1"/>
        <v>100</v>
      </c>
      <c r="AP21" s="1142">
        <f ca="1"/>
        <v>7.5</v>
      </c>
      <c r="AQ21" s="1142">
        <f ca="1"/>
        <v>53.196042808101986</v>
      </c>
      <c r="AR21" s="1142">
        <f ca="1"/>
        <v>23.45666110355268</v>
      </c>
      <c r="AS21" s="1142">
        <f ca="1"/>
        <v>0</v>
      </c>
      <c r="AT21" s="1116">
        <f ca="1"/>
        <v>0</v>
      </c>
      <c r="AV21" s="1152" t="str">
        <f t="shared" ca="1" si="3"/>
        <v xml:space="preserve"> </v>
      </c>
      <c r="AW21" s="1155" t="str">
        <f t="shared" ca="1" si="4"/>
        <v/>
      </c>
    </row>
    <row r="22" spans="1:49" x14ac:dyDescent="0.25">
      <c r="A22" s="311">
        <f t="shared" si="7"/>
        <v>18</v>
      </c>
      <c r="B22" s="318" t="str">
        <f>CONCATENATE(HLOOKUP(A22,Arablesystem!$A$2:$ER$10,2,FALSE)," ",HLOOKUP(A22,Arablesystem!$A$2:$ER$10,3,FALSE)," ",HLOOKUP(A22,Arablesystem!$A$2:$ER$10,4,FALSE)," ",HLOOKUP(A22,Arablesystem!$A$2:$ER$10,5,FALSE)," ",HLOOKUP(A22,Arablesystem!$A$2:$ER$10,6,FALSE))</f>
        <v xml:space="preserve">    </v>
      </c>
      <c r="C22" s="311">
        <f t="shared" si="7"/>
        <v>18</v>
      </c>
      <c r="D22" s="318" t="str">
        <f>CONCATENATE(HLOOKUP(A22,Forestrysystem!$A$2:$IG$7,2,FALSE)," ",HLOOKUP(A22,Forestrysystem!$A$2:$IG$7,3,FALSE)," ",HLOOKUP(A22,Forestrysystem!$A$2:$IG$7,4,FALSE))</f>
        <v xml:space="preserve">  </v>
      </c>
      <c r="E22" s="1087">
        <f t="shared" si="7"/>
        <v>18</v>
      </c>
      <c r="F22" s="313" t="e">
        <f>CONCATENATE(HLOOKUP(A22,Agroforestrysystem!$2:$73,2,FALSE)," ",HLOOKUP(A22,Agroforestrysystem!$2:$73,3,FALSE)," ",HLOOKUP(A22,Agroforestrysystem!$2:$73,4,FALSE)," ",HLOOKUP(A22,Agroforestrysystem!$2:$73,5,FALSE)," ",HLOOKUP(A22,Agroforestrysystem!$2:$73,6,FALSE))</f>
        <v>#N/A</v>
      </c>
      <c r="G22" s="1085"/>
      <c r="H22" s="205">
        <v>19</v>
      </c>
      <c r="I22" s="1146" t="str">
        <f ca="1"/>
        <v>Barley</v>
      </c>
      <c r="J22" s="374">
        <f ca="1"/>
        <v>0</v>
      </c>
      <c r="K22" s="374">
        <f ca="1"/>
        <v>1</v>
      </c>
      <c r="L22" s="374">
        <f ca="1"/>
        <v>8.9197894611856832</v>
      </c>
      <c r="M22" s="1147">
        <f ca="1"/>
        <v>5.3518736767114099</v>
      </c>
      <c r="N22" s="8"/>
      <c r="O22" s="94" t="str">
        <f t="shared" ca="1" si="1"/>
        <v/>
      </c>
      <c r="P22" s="1097" t="str">
        <f t="shared" ca="1" si="2"/>
        <v/>
      </c>
      <c r="R22" s="763">
        <f t="shared" si="5"/>
        <v>18</v>
      </c>
      <c r="S22" s="764">
        <f ca="1"/>
        <v>0</v>
      </c>
      <c r="T22" s="699">
        <f ca="1"/>
        <v>0</v>
      </c>
      <c r="U22" s="765">
        <f ca="1"/>
        <v>20.458164288201111</v>
      </c>
      <c r="V22" s="766">
        <f ca="1"/>
        <v>7.5</v>
      </c>
      <c r="W22" s="766">
        <f ca="1"/>
        <v>77.893755262702228</v>
      </c>
      <c r="X22" s="765">
        <f ca="1"/>
        <v>34.347055209941288</v>
      </c>
      <c r="Y22" s="766">
        <f ca="1"/>
        <v>0</v>
      </c>
      <c r="Z22" s="767">
        <f ca="1"/>
        <v>0</v>
      </c>
      <c r="AF22" s="692">
        <f t="shared" si="6"/>
        <v>18</v>
      </c>
      <c r="AG22" s="1115" t="str">
        <f ca="1"/>
        <v>Agroforestry fallow</v>
      </c>
      <c r="AH22" s="1131">
        <f ca="1"/>
        <v>0</v>
      </c>
      <c r="AI22" s="1134">
        <f ca="1"/>
        <v>0.99</v>
      </c>
      <c r="AJ22" s="1135">
        <f ca="1"/>
        <v>0</v>
      </c>
      <c r="AK22" s="1116">
        <f ca="1"/>
        <v>0</v>
      </c>
      <c r="AL22" s="1130">
        <f ca="1"/>
        <v>0</v>
      </c>
      <c r="AM22" s="1141">
        <f ca="1"/>
        <v>0</v>
      </c>
      <c r="AN22" s="1142">
        <f ca="1"/>
        <v>22.326452250793562</v>
      </c>
      <c r="AO22" s="1142">
        <f ca="1"/>
        <v>100</v>
      </c>
      <c r="AP22" s="1142">
        <f ca="1"/>
        <v>7.5</v>
      </c>
      <c r="AQ22" s="1142">
        <f ca="1"/>
        <v>64.898881319576986</v>
      </c>
      <c r="AR22" s="1142">
        <f ca="1"/>
        <v>28.616998271930647</v>
      </c>
      <c r="AS22" s="1142">
        <f ca="1"/>
        <v>0</v>
      </c>
      <c r="AT22" s="1116">
        <f ca="1"/>
        <v>0</v>
      </c>
      <c r="AV22" s="1152" t="str">
        <f t="shared" ca="1" si="3"/>
        <v xml:space="preserve"> </v>
      </c>
      <c r="AW22" s="1155" t="str">
        <f t="shared" ca="1" si="4"/>
        <v/>
      </c>
    </row>
    <row r="23" spans="1:49" x14ac:dyDescent="0.25">
      <c r="A23" s="311">
        <f t="shared" si="7"/>
        <v>19</v>
      </c>
      <c r="B23" s="318" t="str">
        <f>CONCATENATE(HLOOKUP(A23,Arablesystem!$A$2:$ER$10,2,FALSE)," ",HLOOKUP(A23,Arablesystem!$A$2:$ER$10,3,FALSE)," ",HLOOKUP(A23,Arablesystem!$A$2:$ER$10,4,FALSE)," ",HLOOKUP(A23,Arablesystem!$A$2:$ER$10,5,FALSE)," ",HLOOKUP(A23,Arablesystem!$A$2:$ER$10,6,FALSE))</f>
        <v xml:space="preserve">    </v>
      </c>
      <c r="C23" s="311">
        <f t="shared" si="7"/>
        <v>19</v>
      </c>
      <c r="D23" s="318" t="str">
        <f>CONCATENATE(HLOOKUP(A23,Forestrysystem!$A$2:$IG$7,2,FALSE)," ",HLOOKUP(A23,Forestrysystem!$A$2:$IG$7,3,FALSE)," ",HLOOKUP(A23,Forestrysystem!$A$2:$IG$7,4,FALSE))</f>
        <v xml:space="preserve">  </v>
      </c>
      <c r="E23" s="1087">
        <f t="shared" si="7"/>
        <v>19</v>
      </c>
      <c r="F23" s="313" t="e">
        <f>CONCATENATE(HLOOKUP(A23,Agroforestrysystem!$2:$73,2,FALSE)," ",HLOOKUP(A23,Agroforestrysystem!$2:$73,3,FALSE)," ",HLOOKUP(A23,Agroforestrysystem!$2:$73,4,FALSE)," ",HLOOKUP(A23,Agroforestrysystem!$2:$73,5,FALSE)," ",HLOOKUP(A23,Agroforestrysystem!$2:$73,6,FALSE))</f>
        <v>#N/A</v>
      </c>
      <c r="G23" s="1085"/>
      <c r="H23" s="205">
        <v>20</v>
      </c>
      <c r="I23" s="1146" t="str">
        <f ca="1"/>
        <v>Oilseed</v>
      </c>
      <c r="J23" s="374">
        <f ca="1"/>
        <v>0</v>
      </c>
      <c r="K23" s="374">
        <f ca="1"/>
        <v>1</v>
      </c>
      <c r="L23" s="374">
        <f ca="1"/>
        <v>3.640381106165357</v>
      </c>
      <c r="M23" s="1147">
        <f ca="1"/>
        <v>1.8201905530826785</v>
      </c>
      <c r="N23" s="8"/>
      <c r="O23" s="94" t="str">
        <f t="shared" ca="1" si="1"/>
        <v/>
      </c>
      <c r="P23" s="1097" t="str">
        <f t="shared" ca="1" si="2"/>
        <v/>
      </c>
      <c r="R23" s="763">
        <f t="shared" si="5"/>
        <v>19</v>
      </c>
      <c r="S23" s="764">
        <f ca="1"/>
        <v>0</v>
      </c>
      <c r="T23" s="699">
        <f ca="1"/>
        <v>0</v>
      </c>
      <c r="U23" s="765">
        <f ca="1"/>
        <v>21.416100776787999</v>
      </c>
      <c r="V23" s="766">
        <f ca="1"/>
        <v>7.5</v>
      </c>
      <c r="W23" s="766">
        <f ca="1"/>
        <v>89.356029243091129</v>
      </c>
      <c r="X23" s="765">
        <f ca="1"/>
        <v>39.401316054191582</v>
      </c>
      <c r="Y23" s="766">
        <f ca="1"/>
        <v>0</v>
      </c>
      <c r="Z23" s="767">
        <f ca="1"/>
        <v>0</v>
      </c>
      <c r="AF23" s="692">
        <f t="shared" si="6"/>
        <v>19</v>
      </c>
      <c r="AG23" s="1115" t="str">
        <f ca="1"/>
        <v>Agroforestry fallow</v>
      </c>
      <c r="AH23" s="1131">
        <f ca="1"/>
        <v>0</v>
      </c>
      <c r="AI23" s="1134">
        <f ca="1"/>
        <v>0.99</v>
      </c>
      <c r="AJ23" s="1135">
        <f ca="1"/>
        <v>0</v>
      </c>
      <c r="AK23" s="1116">
        <f ca="1"/>
        <v>0</v>
      </c>
      <c r="AL23" s="1130">
        <f ca="1"/>
        <v>0</v>
      </c>
      <c r="AM23" s="1141">
        <f ca="1"/>
        <v>0</v>
      </c>
      <c r="AN23" s="1142">
        <f ca="1"/>
        <v>23.614133271957773</v>
      </c>
      <c r="AO23" s="1142">
        <f ca="1"/>
        <v>100</v>
      </c>
      <c r="AP23" s="1142">
        <f ca="1"/>
        <v>7.5</v>
      </c>
      <c r="AQ23" s="1142">
        <f ca="1"/>
        <v>76.788129320326519</v>
      </c>
      <c r="AR23" s="1142">
        <f ca="1"/>
        <v>33.859532235137358</v>
      </c>
      <c r="AS23" s="1142">
        <f ca="1"/>
        <v>0</v>
      </c>
      <c r="AT23" s="1116">
        <f ca="1"/>
        <v>0</v>
      </c>
      <c r="AV23" s="1152" t="str">
        <f t="shared" ca="1" si="3"/>
        <v xml:space="preserve"> </v>
      </c>
      <c r="AW23" s="1155" t="str">
        <f t="shared" ca="1" si="4"/>
        <v/>
      </c>
    </row>
    <row r="24" spans="1:49" x14ac:dyDescent="0.25">
      <c r="A24" s="311">
        <f t="shared" si="7"/>
        <v>20</v>
      </c>
      <c r="B24" s="318" t="str">
        <f>CONCATENATE(HLOOKUP(A24,Arablesystem!$A$2:$ER$10,2,FALSE)," ",HLOOKUP(A24,Arablesystem!$A$2:$ER$10,3,FALSE)," ",HLOOKUP(A24,Arablesystem!$A$2:$ER$10,4,FALSE)," ",HLOOKUP(A24,Arablesystem!$A$2:$ER$10,5,FALSE)," ",HLOOKUP(A24,Arablesystem!$A$2:$ER$10,6,FALSE))</f>
        <v xml:space="preserve">    </v>
      </c>
      <c r="C24" s="311">
        <f t="shared" si="7"/>
        <v>20</v>
      </c>
      <c r="D24" s="318" t="str">
        <f>CONCATENATE(HLOOKUP(A24,Forestrysystem!$A$2:$IG$7,2,FALSE)," ",HLOOKUP(A24,Forestrysystem!$A$2:$IG$7,3,FALSE)," ",HLOOKUP(A24,Forestrysystem!$A$2:$IG$7,4,FALSE))</f>
        <v xml:space="preserve">  </v>
      </c>
      <c r="E24" s="1087">
        <f t="shared" si="7"/>
        <v>20</v>
      </c>
      <c r="F24" s="313" t="e">
        <f>CONCATENATE(HLOOKUP(A24,Agroforestrysystem!$2:$73,2,FALSE)," ",HLOOKUP(A24,Agroforestrysystem!$2:$73,3,FALSE)," ",HLOOKUP(A24,Agroforestrysystem!$2:$73,4,FALSE)," ",HLOOKUP(A24,Agroforestrysystem!$2:$73,5,FALSE)," ",HLOOKUP(A24,Agroforestrysystem!$2:$73,6,FALSE))</f>
        <v>#N/A</v>
      </c>
      <c r="G24" s="1085"/>
      <c r="H24" s="205">
        <v>21</v>
      </c>
      <c r="I24" s="1146" t="str">
        <f ca="1"/>
        <v>Wheat</v>
      </c>
      <c r="J24" s="374">
        <f ca="1"/>
        <v>0</v>
      </c>
      <c r="K24" s="374">
        <f ca="1"/>
        <v>1</v>
      </c>
      <c r="L24" s="374">
        <f ca="1"/>
        <v>7.8448561677528508</v>
      </c>
      <c r="M24" s="1147">
        <f ca="1"/>
        <v>3.1379424671011407</v>
      </c>
      <c r="N24" s="8"/>
      <c r="O24" s="94" t="str">
        <f t="shared" ca="1" si="1"/>
        <v/>
      </c>
      <c r="P24" s="1097" t="str">
        <f t="shared" ca="1" si="2"/>
        <v/>
      </c>
      <c r="R24" s="763">
        <f t="shared" si="5"/>
        <v>20</v>
      </c>
      <c r="S24" s="764">
        <f ca="1"/>
        <v>0</v>
      </c>
      <c r="T24" s="699">
        <f ca="1"/>
        <v>0</v>
      </c>
      <c r="U24" s="765">
        <f ca="1"/>
        <v>22.265649732193484</v>
      </c>
      <c r="V24" s="766">
        <f ca="1"/>
        <v>7.5</v>
      </c>
      <c r="W24" s="766">
        <f ca="1"/>
        <v>100.41735420603597</v>
      </c>
      <c r="X24" s="765">
        <f ca="1"/>
        <v>44.278779438978304</v>
      </c>
      <c r="Y24" s="766">
        <f ca="1"/>
        <v>0</v>
      </c>
      <c r="Z24" s="767">
        <f ca="1"/>
        <v>0</v>
      </c>
      <c r="AF24" s="692">
        <f t="shared" si="6"/>
        <v>20</v>
      </c>
      <c r="AG24" s="1115" t="str">
        <f ca="1"/>
        <v>Agroforestry fallow</v>
      </c>
      <c r="AH24" s="1131">
        <f ca="1"/>
        <v>0</v>
      </c>
      <c r="AI24" s="1134">
        <f ca="1"/>
        <v>0.99</v>
      </c>
      <c r="AJ24" s="1135">
        <f ca="1"/>
        <v>0</v>
      </c>
      <c r="AK24" s="1116">
        <f ca="1"/>
        <v>0</v>
      </c>
      <c r="AL24" s="1130">
        <f ca="1"/>
        <v>0</v>
      </c>
      <c r="AM24" s="1141">
        <f ca="1"/>
        <v>0</v>
      </c>
      <c r="AN24" s="1142">
        <f ca="1"/>
        <v>24.889538456459135</v>
      </c>
      <c r="AO24" s="1142">
        <f ca="1"/>
        <v>100</v>
      </c>
      <c r="AP24" s="1142">
        <f ca="1"/>
        <v>7.5</v>
      </c>
      <c r="AQ24" s="1142">
        <f ca="1"/>
        <v>89.914262732444683</v>
      </c>
      <c r="AR24" s="1142">
        <f ca="1"/>
        <v>39.647467705427296</v>
      </c>
      <c r="AS24" s="1142">
        <f ca="1"/>
        <v>0</v>
      </c>
      <c r="AT24" s="1116">
        <f ca="1"/>
        <v>0</v>
      </c>
      <c r="AV24" s="1152" t="str">
        <f t="shared" ca="1" si="3"/>
        <v xml:space="preserve"> </v>
      </c>
      <c r="AW24" s="1155" t="str">
        <f t="shared" ca="1" si="4"/>
        <v/>
      </c>
    </row>
    <row r="25" spans="1:49" x14ac:dyDescent="0.25">
      <c r="A25" s="311">
        <f t="shared" si="7"/>
        <v>21</v>
      </c>
      <c r="B25" s="318" t="str">
        <f>CONCATENATE(HLOOKUP(A25,Arablesystem!$A$2:$ER$10,2,FALSE)," ",HLOOKUP(A25,Arablesystem!$A$2:$ER$10,3,FALSE)," ",HLOOKUP(A25,Arablesystem!$A$2:$ER$10,4,FALSE)," ",HLOOKUP(A25,Arablesystem!$A$2:$ER$10,5,FALSE)," ",HLOOKUP(A25,Arablesystem!$A$2:$ER$10,6,FALSE))</f>
        <v xml:space="preserve">    </v>
      </c>
      <c r="C25" s="311">
        <f t="shared" si="7"/>
        <v>21</v>
      </c>
      <c r="D25" s="318" t="str">
        <f>CONCATENATE(HLOOKUP(A25,Forestrysystem!$A$2:$IG$7,2,FALSE)," ",HLOOKUP(A25,Forestrysystem!$A$2:$IG$7,3,FALSE)," ",HLOOKUP(A25,Forestrysystem!$A$2:$IG$7,4,FALSE))</f>
        <v xml:space="preserve">  </v>
      </c>
      <c r="E25" s="1087">
        <f t="shared" si="7"/>
        <v>21</v>
      </c>
      <c r="F25" s="313" t="e">
        <f>CONCATENATE(HLOOKUP(A25,Agroforestrysystem!$2:$73,2,FALSE)," ",HLOOKUP(A25,Agroforestrysystem!$2:$73,3,FALSE)," ",HLOOKUP(A25,Agroforestrysystem!$2:$73,4,FALSE)," ",HLOOKUP(A25,Agroforestrysystem!$2:$73,5,FALSE)," ",HLOOKUP(A25,Agroforestrysystem!$2:$73,6,FALSE))</f>
        <v>#N/A</v>
      </c>
      <c r="G25" s="1085"/>
      <c r="H25" s="205">
        <v>22</v>
      </c>
      <c r="I25" s="1146" t="str">
        <f ca="1"/>
        <v>Wheat</v>
      </c>
      <c r="J25" s="374">
        <f ca="1"/>
        <v>0</v>
      </c>
      <c r="K25" s="374">
        <f ca="1"/>
        <v>1</v>
      </c>
      <c r="L25" s="374">
        <f ca="1"/>
        <v>8.781007189956199</v>
      </c>
      <c r="M25" s="1147">
        <f ca="1"/>
        <v>3.5124028759824797</v>
      </c>
      <c r="N25" s="8"/>
      <c r="O25" s="94" t="str">
        <f t="shared" ca="1" si="1"/>
        <v/>
      </c>
      <c r="P25" s="1097" t="str">
        <f t="shared" ca="1" si="2"/>
        <v/>
      </c>
      <c r="R25" s="763">
        <f t="shared" si="5"/>
        <v>21</v>
      </c>
      <c r="S25" s="764">
        <f ca="1"/>
        <v>0</v>
      </c>
      <c r="T25" s="699">
        <f ca="1"/>
        <v>0</v>
      </c>
      <c r="U25" s="765">
        <f ca="1"/>
        <v>23.171876038108632</v>
      </c>
      <c r="V25" s="766">
        <f ca="1"/>
        <v>7.5</v>
      </c>
      <c r="W25" s="766">
        <f ca="1"/>
        <v>113.18431468887758</v>
      </c>
      <c r="X25" s="765">
        <f ca="1"/>
        <v>49.908338510670276</v>
      </c>
      <c r="Y25" s="766">
        <f ca="1"/>
        <v>0</v>
      </c>
      <c r="Z25" s="767">
        <f ca="1"/>
        <v>0</v>
      </c>
      <c r="AF25" s="692">
        <f t="shared" si="6"/>
        <v>21</v>
      </c>
      <c r="AG25" s="1115" t="str">
        <f ca="1"/>
        <v>Agroforestry fallow</v>
      </c>
      <c r="AH25" s="1131">
        <f ca="1"/>
        <v>0</v>
      </c>
      <c r="AI25" s="1134">
        <f ca="1"/>
        <v>0.99</v>
      </c>
      <c r="AJ25" s="1135">
        <f ca="1"/>
        <v>0</v>
      </c>
      <c r="AK25" s="1116">
        <f ca="1"/>
        <v>0</v>
      </c>
      <c r="AL25" s="1130">
        <f ca="1"/>
        <v>0</v>
      </c>
      <c r="AM25" s="1141">
        <f ca="1"/>
        <v>0</v>
      </c>
      <c r="AN25" s="1142">
        <f ca="1"/>
        <v>25.999911879858779</v>
      </c>
      <c r="AO25" s="1142">
        <f ca="1"/>
        <v>100</v>
      </c>
      <c r="AP25" s="1142">
        <f ca="1"/>
        <v>7.5</v>
      </c>
      <c r="AQ25" s="1142">
        <f ca="1"/>
        <v>102.49287743146732</v>
      </c>
      <c r="AR25" s="1142">
        <f ca="1"/>
        <v>45.193976178087645</v>
      </c>
      <c r="AS25" s="1142">
        <f ca="1"/>
        <v>0</v>
      </c>
      <c r="AT25" s="1116">
        <f ca="1"/>
        <v>0</v>
      </c>
      <c r="AV25" s="1152" t="str">
        <f t="shared" ca="1" si="3"/>
        <v xml:space="preserve"> </v>
      </c>
      <c r="AW25" s="1155" t="str">
        <f t="shared" ca="1" si="4"/>
        <v/>
      </c>
    </row>
    <row r="26" spans="1:49" x14ac:dyDescent="0.25">
      <c r="A26" s="311">
        <f t="shared" si="7"/>
        <v>22</v>
      </c>
      <c r="B26" s="318" t="str">
        <f>CONCATENATE(HLOOKUP(A26,Arablesystem!$A$2:$ER$10,2,FALSE)," ",HLOOKUP(A26,Arablesystem!$A$2:$ER$10,3,FALSE)," ",HLOOKUP(A26,Arablesystem!$A$2:$ER$10,4,FALSE)," ",HLOOKUP(A26,Arablesystem!$A$2:$ER$10,5,FALSE)," ",HLOOKUP(A26,Arablesystem!$A$2:$ER$10,6,FALSE))</f>
        <v xml:space="preserve">    </v>
      </c>
      <c r="C26" s="311">
        <f t="shared" si="7"/>
        <v>22</v>
      </c>
      <c r="D26" s="318" t="str">
        <f>CONCATENATE(HLOOKUP(A26,Forestrysystem!$A$2:$IG$7,2,FALSE)," ",HLOOKUP(A26,Forestrysystem!$A$2:$IG$7,3,FALSE)," ",HLOOKUP(A26,Forestrysystem!$A$2:$IG$7,4,FALSE))</f>
        <v xml:space="preserve">  </v>
      </c>
      <c r="E26" s="1087">
        <f t="shared" si="7"/>
        <v>22</v>
      </c>
      <c r="F26" s="313" t="e">
        <f>CONCATENATE(HLOOKUP(A26,Agroforestrysystem!$2:$73,2,FALSE)," ",HLOOKUP(A26,Agroforestrysystem!$2:$73,3,FALSE)," ",HLOOKUP(A26,Agroforestrysystem!$2:$73,4,FALSE)," ",HLOOKUP(A26,Agroforestrysystem!$2:$73,5,FALSE)," ",HLOOKUP(A26,Agroforestrysystem!$2:$73,6,FALSE))</f>
        <v>#N/A</v>
      </c>
      <c r="G26" s="1085"/>
      <c r="H26" s="205">
        <v>23</v>
      </c>
      <c r="I26" s="1146" t="str">
        <f ca="1"/>
        <v>Barley</v>
      </c>
      <c r="J26" s="374">
        <f ca="1"/>
        <v>0</v>
      </c>
      <c r="K26" s="374">
        <f ca="1"/>
        <v>1</v>
      </c>
      <c r="L26" s="374">
        <f ca="1"/>
        <v>2.9890761852256884</v>
      </c>
      <c r="M26" s="1147">
        <f ca="1"/>
        <v>1.793445711135413</v>
      </c>
      <c r="N26" s="8"/>
      <c r="O26" s="94" t="str">
        <f t="shared" ca="1" si="1"/>
        <v/>
      </c>
      <c r="P26" s="1097" t="str">
        <f t="shared" ca="1" si="2"/>
        <v/>
      </c>
      <c r="R26" s="763">
        <f t="shared" si="5"/>
        <v>22</v>
      </c>
      <c r="S26" s="764">
        <f ca="1"/>
        <v>0</v>
      </c>
      <c r="T26" s="699">
        <f ca="1"/>
        <v>0</v>
      </c>
      <c r="U26" s="765">
        <f ca="1"/>
        <v>23.956149211064968</v>
      </c>
      <c r="V26" s="766">
        <f ca="1"/>
        <v>7.5</v>
      </c>
      <c r="W26" s="766">
        <f ca="1"/>
        <v>125.07015394139599</v>
      </c>
      <c r="X26" s="765">
        <f ca="1"/>
        <v>55.149369394929316</v>
      </c>
      <c r="Y26" s="766">
        <f ca="1"/>
        <v>0</v>
      </c>
      <c r="Z26" s="767">
        <f ca="1"/>
        <v>0</v>
      </c>
      <c r="AF26" s="692">
        <f t="shared" si="6"/>
        <v>22</v>
      </c>
      <c r="AG26" s="1115" t="str">
        <f ca="1"/>
        <v>Agroforestry fallow</v>
      </c>
      <c r="AH26" s="1131">
        <f ca="1"/>
        <v>0</v>
      </c>
      <c r="AI26" s="1134">
        <f ca="1"/>
        <v>0.99</v>
      </c>
      <c r="AJ26" s="1135">
        <f ca="1"/>
        <v>0</v>
      </c>
      <c r="AK26" s="1116">
        <f ca="1"/>
        <v>0</v>
      </c>
      <c r="AL26" s="1130">
        <f ca="1"/>
        <v>0</v>
      </c>
      <c r="AM26" s="1141">
        <f ca="1"/>
        <v>0</v>
      </c>
      <c r="AN26" s="1142">
        <f ca="1"/>
        <v>27.010276587145121</v>
      </c>
      <c r="AO26" s="1142">
        <f ca="1"/>
        <v>100</v>
      </c>
      <c r="AP26" s="1142">
        <f ca="1"/>
        <v>7.5</v>
      </c>
      <c r="AQ26" s="1142">
        <f ca="1"/>
        <v>114.91193876244324</v>
      </c>
      <c r="AR26" s="1142">
        <f ca="1"/>
        <v>50.670129994938293</v>
      </c>
      <c r="AS26" s="1142">
        <f ca="1"/>
        <v>0</v>
      </c>
      <c r="AT26" s="1116">
        <f ca="1"/>
        <v>0</v>
      </c>
      <c r="AV26" s="1152" t="str">
        <f t="shared" ca="1" si="3"/>
        <v xml:space="preserve"> </v>
      </c>
      <c r="AW26" s="1155" t="str">
        <f t="shared" ca="1" si="4"/>
        <v/>
      </c>
    </row>
    <row r="27" spans="1:49" x14ac:dyDescent="0.25">
      <c r="A27" s="311">
        <f t="shared" si="7"/>
        <v>23</v>
      </c>
      <c r="B27" s="318" t="str">
        <f>CONCATENATE(HLOOKUP(A27,Arablesystem!$A$2:$ER$10,2,FALSE)," ",HLOOKUP(A27,Arablesystem!$A$2:$ER$10,3,FALSE)," ",HLOOKUP(A27,Arablesystem!$A$2:$ER$10,4,FALSE)," ",HLOOKUP(A27,Arablesystem!$A$2:$ER$10,5,FALSE)," ",HLOOKUP(A27,Arablesystem!$A$2:$ER$10,6,FALSE))</f>
        <v xml:space="preserve">    </v>
      </c>
      <c r="C27" s="311">
        <f t="shared" si="7"/>
        <v>23</v>
      </c>
      <c r="D27" s="318" t="str">
        <f>CONCATENATE(HLOOKUP(A27,Forestrysystem!$A$2:$IG$7,2,FALSE)," ",HLOOKUP(A27,Forestrysystem!$A$2:$IG$7,3,FALSE)," ",HLOOKUP(A27,Forestrysystem!$A$2:$IG$7,4,FALSE))</f>
        <v xml:space="preserve">  </v>
      </c>
      <c r="E27" s="1087">
        <f t="shared" si="7"/>
        <v>23</v>
      </c>
      <c r="F27" s="313" t="e">
        <f>CONCATENATE(HLOOKUP(A27,Agroforestrysystem!$2:$73,2,FALSE)," ",HLOOKUP(A27,Agroforestrysystem!$2:$73,3,FALSE)," ",HLOOKUP(A27,Agroforestrysystem!$2:$73,4,FALSE)," ",HLOOKUP(A27,Agroforestrysystem!$2:$73,5,FALSE)," ",HLOOKUP(A27,Agroforestrysystem!$2:$73,6,FALSE))</f>
        <v>#N/A</v>
      </c>
      <c r="G27" s="1085"/>
      <c r="H27" s="205">
        <v>24</v>
      </c>
      <c r="I27" s="1146" t="str">
        <f ca="1"/>
        <v>Oilseed</v>
      </c>
      <c r="J27" s="374">
        <f ca="1"/>
        <v>0</v>
      </c>
      <c r="K27" s="374">
        <f ca="1"/>
        <v>1</v>
      </c>
      <c r="L27" s="374">
        <f ca="1"/>
        <v>3.2880286689319052</v>
      </c>
      <c r="M27" s="1147">
        <f ca="1"/>
        <v>1.6440143344659526</v>
      </c>
      <c r="N27" s="8"/>
      <c r="O27" s="94" t="str">
        <f t="shared" ca="1" si="1"/>
        <v/>
      </c>
      <c r="P27" s="1097" t="str">
        <f t="shared" ca="1" si="2"/>
        <v/>
      </c>
      <c r="R27" s="763">
        <f t="shared" si="5"/>
        <v>23</v>
      </c>
      <c r="S27" s="764">
        <f ca="1"/>
        <v>0</v>
      </c>
      <c r="T27" s="699">
        <f ca="1"/>
        <v>0</v>
      </c>
      <c r="U27" s="765">
        <f ca="1"/>
        <v>24.653123835710584</v>
      </c>
      <c r="V27" s="766">
        <f ca="1"/>
        <v>7.5</v>
      </c>
      <c r="W27" s="766">
        <f ca="1"/>
        <v>136.30711560923348</v>
      </c>
      <c r="X27" s="765">
        <f ca="1"/>
        <v>60.104279342402535</v>
      </c>
      <c r="Y27" s="766">
        <f ca="1"/>
        <v>0</v>
      </c>
      <c r="Z27" s="767">
        <f ca="1"/>
        <v>0</v>
      </c>
      <c r="AF27" s="692">
        <f t="shared" si="6"/>
        <v>23</v>
      </c>
      <c r="AG27" s="1115" t="str">
        <f ca="1"/>
        <v>Agroforestry fallow</v>
      </c>
      <c r="AH27" s="1131">
        <f ca="1"/>
        <v>0</v>
      </c>
      <c r="AI27" s="1134">
        <f ca="1"/>
        <v>0.99</v>
      </c>
      <c r="AJ27" s="1135">
        <f ca="1"/>
        <v>0</v>
      </c>
      <c r="AK27" s="1116">
        <f ca="1"/>
        <v>0</v>
      </c>
      <c r="AL27" s="1130">
        <f ca="1"/>
        <v>0</v>
      </c>
      <c r="AM27" s="1141">
        <f ca="1"/>
        <v>0</v>
      </c>
      <c r="AN27" s="1142">
        <f ca="1"/>
        <v>27.968130289986959</v>
      </c>
      <c r="AO27" s="1142">
        <f ca="1"/>
        <v>100</v>
      </c>
      <c r="AP27" s="1142">
        <f ca="1"/>
        <v>7.5</v>
      </c>
      <c r="AQ27" s="1142">
        <f ca="1"/>
        <v>127.57581755454304</v>
      </c>
      <c r="AR27" s="1142">
        <f ca="1"/>
        <v>56.254235454705892</v>
      </c>
      <c r="AS27" s="1142">
        <f ca="1"/>
        <v>0</v>
      </c>
      <c r="AT27" s="1116">
        <f ca="1"/>
        <v>0</v>
      </c>
      <c r="AV27" s="1152" t="str">
        <f t="shared" ca="1" si="3"/>
        <v xml:space="preserve"> </v>
      </c>
      <c r="AW27" s="1155" t="str">
        <f t="shared" ca="1" si="4"/>
        <v/>
      </c>
    </row>
    <row r="28" spans="1:49" x14ac:dyDescent="0.25">
      <c r="A28" s="311">
        <f t="shared" si="7"/>
        <v>24</v>
      </c>
      <c r="B28" s="318" t="str">
        <f>CONCATENATE(HLOOKUP(A28,Arablesystem!$A$2:$ER$10,2,FALSE)," ",HLOOKUP(A28,Arablesystem!$A$2:$ER$10,3,FALSE)," ",HLOOKUP(A28,Arablesystem!$A$2:$ER$10,4,FALSE)," ",HLOOKUP(A28,Arablesystem!$A$2:$ER$10,5,FALSE)," ",HLOOKUP(A28,Arablesystem!$A$2:$ER$10,6,FALSE))</f>
        <v xml:space="preserve">    </v>
      </c>
      <c r="C28" s="311">
        <f t="shared" si="7"/>
        <v>24</v>
      </c>
      <c r="D28" s="318" t="str">
        <f>CONCATENATE(HLOOKUP(A28,Forestrysystem!$A$2:$IG$7,2,FALSE)," ",HLOOKUP(A28,Forestrysystem!$A$2:$IG$7,3,FALSE)," ",HLOOKUP(A28,Forestrysystem!$A$2:$IG$7,4,FALSE))</f>
        <v xml:space="preserve">  </v>
      </c>
      <c r="E28" s="311"/>
      <c r="F28" s="314"/>
      <c r="G28" s="310"/>
      <c r="H28" s="205">
        <v>25</v>
      </c>
      <c r="I28" s="1146" t="str">
        <f ca="1"/>
        <v>Wheat</v>
      </c>
      <c r="J28" s="374">
        <f ca="1"/>
        <v>0</v>
      </c>
      <c r="K28" s="374">
        <f ca="1"/>
        <v>1</v>
      </c>
      <c r="L28" s="374">
        <f ca="1"/>
        <v>9.6999624392668604</v>
      </c>
      <c r="M28" s="1147">
        <f ca="1"/>
        <v>3.8799849757067442</v>
      </c>
      <c r="O28" s="94" t="str">
        <f t="shared" ca="1" si="1"/>
        <v/>
      </c>
      <c r="P28" s="1097" t="str">
        <f t="shared" ca="1" si="2"/>
        <v/>
      </c>
      <c r="R28" s="763">
        <f t="shared" si="5"/>
        <v>24</v>
      </c>
      <c r="S28" s="764">
        <f ca="1"/>
        <v>0</v>
      </c>
      <c r="T28" s="699">
        <f ca="1"/>
        <v>0</v>
      </c>
      <c r="U28" s="765">
        <f ca="1"/>
        <v>25.345789602907153</v>
      </c>
      <c r="V28" s="766">
        <f ca="1"/>
        <v>7.5</v>
      </c>
      <c r="W28" s="766">
        <f ca="1"/>
        <v>148.12219270331869</v>
      </c>
      <c r="X28" s="765">
        <f ca="1"/>
        <v>65.314107831112878</v>
      </c>
      <c r="Y28" s="766">
        <f ca="1"/>
        <v>0</v>
      </c>
      <c r="Z28" s="767">
        <f ca="1"/>
        <v>0</v>
      </c>
      <c r="AF28" s="692">
        <f t="shared" si="6"/>
        <v>24</v>
      </c>
      <c r="AG28" s="1115" t="str">
        <f ca="1"/>
        <v>Agroforestry fallow</v>
      </c>
      <c r="AH28" s="1131">
        <f ca="1"/>
        <v>0</v>
      </c>
      <c r="AI28" s="1134">
        <f ca="1"/>
        <v>0.99</v>
      </c>
      <c r="AJ28" s="1135">
        <f ca="1"/>
        <v>0</v>
      </c>
      <c r="AK28" s="1116">
        <f ca="1"/>
        <v>0</v>
      </c>
      <c r="AL28" s="1130">
        <f ca="1"/>
        <v>0</v>
      </c>
      <c r="AM28" s="1141">
        <f ca="1"/>
        <v>0</v>
      </c>
      <c r="AN28" s="1142">
        <f ca="1"/>
        <v>28.969086452927897</v>
      </c>
      <c r="AO28" s="1142">
        <f ca="1"/>
        <v>100</v>
      </c>
      <c r="AP28" s="1142">
        <f ca="1"/>
        <v>7.5</v>
      </c>
      <c r="AQ28" s="1142">
        <f ca="1"/>
        <v>141.76938561836587</v>
      </c>
      <c r="AR28" s="1142">
        <f ca="1"/>
        <v>62.512853546362003</v>
      </c>
      <c r="AS28" s="1142">
        <f ca="1"/>
        <v>0</v>
      </c>
      <c r="AT28" s="1116">
        <f ca="1"/>
        <v>0</v>
      </c>
      <c r="AV28" s="1152" t="str">
        <f t="shared" ca="1" si="3"/>
        <v xml:space="preserve"> </v>
      </c>
      <c r="AW28" s="1155" t="str">
        <f t="shared" ca="1" si="4"/>
        <v/>
      </c>
    </row>
    <row r="29" spans="1:49" x14ac:dyDescent="0.25">
      <c r="A29" s="311">
        <f t="shared" si="7"/>
        <v>25</v>
      </c>
      <c r="B29" s="318" t="str">
        <f>CONCATENATE(HLOOKUP(A29,Arablesystem!$A$2:$ER$10,2,FALSE)," ",HLOOKUP(A29,Arablesystem!$A$2:$ER$10,3,FALSE)," ",HLOOKUP(A29,Arablesystem!$A$2:$ER$10,4,FALSE)," ",HLOOKUP(A29,Arablesystem!$A$2:$ER$10,5,FALSE)," ",HLOOKUP(A29,Arablesystem!$A$2:$ER$10,6,FALSE))</f>
        <v xml:space="preserve">    </v>
      </c>
      <c r="C29" s="311">
        <f t="shared" si="7"/>
        <v>25</v>
      </c>
      <c r="D29" s="318" t="str">
        <f>CONCATENATE(HLOOKUP(A29,Forestrysystem!$A$2:$IG$7,2,FALSE)," ",HLOOKUP(A29,Forestrysystem!$A$2:$IG$7,3,FALSE)," ",HLOOKUP(A29,Forestrysystem!$A$2:$IG$7,4,FALSE))</f>
        <v xml:space="preserve">  </v>
      </c>
      <c r="E29" s="311"/>
      <c r="F29" s="314"/>
      <c r="G29" s="310"/>
      <c r="H29" s="205">
        <v>26</v>
      </c>
      <c r="I29" s="1146" t="str">
        <f ca="1"/>
        <v>Wheat</v>
      </c>
      <c r="J29" s="374">
        <f ca="1"/>
        <v>0</v>
      </c>
      <c r="K29" s="374">
        <f ca="1"/>
        <v>1</v>
      </c>
      <c r="L29" s="374">
        <f ca="1"/>
        <v>7.1984437274483266</v>
      </c>
      <c r="M29" s="1147">
        <f ca="1"/>
        <v>2.8793774909793308</v>
      </c>
      <c r="N29" s="8"/>
      <c r="O29" s="94" t="str">
        <f t="shared" ca="1" si="1"/>
        <v/>
      </c>
      <c r="P29" s="1097" t="str">
        <f t="shared" ca="1" si="2"/>
        <v/>
      </c>
      <c r="R29" s="763">
        <f t="shared" si="5"/>
        <v>25</v>
      </c>
      <c r="S29" s="764">
        <f ca="1"/>
        <v>0</v>
      </c>
      <c r="T29" s="699">
        <f ca="1"/>
        <v>0</v>
      </c>
      <c r="U29" s="765">
        <f ca="1"/>
        <v>26.06268556257508</v>
      </c>
      <c r="V29" s="766">
        <f ca="1"/>
        <v>7.5</v>
      </c>
      <c r="W29" s="766">
        <f ca="1"/>
        <v>161.04978502384833</v>
      </c>
      <c r="X29" s="765">
        <f ca="1"/>
        <v>71.014497107086797</v>
      </c>
      <c r="Y29" s="766">
        <f ca="1"/>
        <v>0</v>
      </c>
      <c r="Z29" s="767">
        <f ca="1"/>
        <v>0</v>
      </c>
      <c r="AF29" s="692">
        <f t="shared" si="6"/>
        <v>25</v>
      </c>
      <c r="AG29" s="1115" t="str">
        <f ca="1"/>
        <v>Agroforestry fallow</v>
      </c>
      <c r="AH29" s="1131">
        <f ca="1"/>
        <v>0</v>
      </c>
      <c r="AI29" s="1134">
        <f ca="1"/>
        <v>0.99</v>
      </c>
      <c r="AJ29" s="1135">
        <f ca="1"/>
        <v>0</v>
      </c>
      <c r="AK29" s="1116">
        <f ca="1"/>
        <v>0</v>
      </c>
      <c r="AL29" s="1130">
        <f ca="1"/>
        <v>0</v>
      </c>
      <c r="AM29" s="1141">
        <f ca="1"/>
        <v>0</v>
      </c>
      <c r="AN29" s="1142">
        <f ca="1"/>
        <v>29.87023370886768</v>
      </c>
      <c r="AO29" s="1142">
        <f ca="1"/>
        <v>100</v>
      </c>
      <c r="AP29" s="1142">
        <f ca="1"/>
        <v>7.5</v>
      </c>
      <c r="AQ29" s="1142">
        <f ca="1"/>
        <v>155.41535313027694</v>
      </c>
      <c r="AR29" s="1142">
        <f ca="1"/>
        <v>68.530008553768624</v>
      </c>
      <c r="AS29" s="1142">
        <f ca="1"/>
        <v>0</v>
      </c>
      <c r="AT29" s="1116">
        <f ca="1"/>
        <v>0</v>
      </c>
      <c r="AV29" s="1152" t="str">
        <f t="shared" ca="1" si="3"/>
        <v xml:space="preserve"> </v>
      </c>
      <c r="AW29" s="1155" t="str">
        <f t="shared" ca="1" si="4"/>
        <v/>
      </c>
    </row>
    <row r="30" spans="1:49" x14ac:dyDescent="0.25">
      <c r="A30" s="311">
        <f t="shared" si="7"/>
        <v>26</v>
      </c>
      <c r="B30" s="318" t="str">
        <f>CONCATENATE(HLOOKUP(A30,Arablesystem!$A$2:$ER$10,2,FALSE)," ",HLOOKUP(A30,Arablesystem!$A$2:$ER$10,3,FALSE)," ",HLOOKUP(A30,Arablesystem!$A$2:$ER$10,4,FALSE)," ",HLOOKUP(A30,Arablesystem!$A$2:$ER$10,5,FALSE)," ",HLOOKUP(A30,Arablesystem!$A$2:$ER$10,6,FALSE))</f>
        <v xml:space="preserve">    </v>
      </c>
      <c r="C30" s="311">
        <f t="shared" si="7"/>
        <v>26</v>
      </c>
      <c r="D30" s="318" t="str">
        <f>CONCATENATE(HLOOKUP(A30,Forestrysystem!$A$2:$IG$7,2,FALSE)," ",HLOOKUP(A30,Forestrysystem!$A$2:$IG$7,3,FALSE)," ",HLOOKUP(A30,Forestrysystem!$A$2:$IG$7,4,FALSE))</f>
        <v xml:space="preserve">  </v>
      </c>
      <c r="E30" s="311"/>
      <c r="F30" s="314"/>
      <c r="G30" s="310"/>
      <c r="H30" s="205">
        <v>27</v>
      </c>
      <c r="I30" s="1146" t="str">
        <f ca="1"/>
        <v>Barley</v>
      </c>
      <c r="J30" s="374">
        <f ca="1"/>
        <v>0</v>
      </c>
      <c r="K30" s="374">
        <f ca="1"/>
        <v>1</v>
      </c>
      <c r="L30" s="374">
        <f ca="1"/>
        <v>1.8398642279853941</v>
      </c>
      <c r="M30" s="1147">
        <f ca="1"/>
        <v>1.1039185367912363</v>
      </c>
      <c r="O30" s="94" t="str">
        <f t="shared" ca="1" si="1"/>
        <v/>
      </c>
      <c r="P30" s="1097" t="str">
        <f t="shared" ca="1" si="2"/>
        <v/>
      </c>
      <c r="R30" s="763">
        <f t="shared" si="5"/>
        <v>26</v>
      </c>
      <c r="S30" s="764">
        <f ca="1"/>
        <v>0</v>
      </c>
      <c r="T30" s="699">
        <f ca="1"/>
        <v>0</v>
      </c>
      <c r="U30" s="765">
        <f ca="1"/>
        <v>26.742370629769656</v>
      </c>
      <c r="V30" s="766">
        <f ca="1"/>
        <v>7.5</v>
      </c>
      <c r="W30" s="766">
        <f ca="1"/>
        <v>173.98121790139112</v>
      </c>
      <c r="X30" s="765">
        <f ca="1"/>
        <v>76.716579867003333</v>
      </c>
      <c r="Y30" s="766">
        <f ca="1"/>
        <v>0</v>
      </c>
      <c r="Z30" s="767">
        <f ca="1"/>
        <v>0</v>
      </c>
      <c r="AF30" s="692">
        <f t="shared" si="6"/>
        <v>26</v>
      </c>
      <c r="AG30" s="1115" t="str">
        <f ca="1"/>
        <v>Agroforestry fallow</v>
      </c>
      <c r="AH30" s="1131">
        <f ca="1"/>
        <v>0</v>
      </c>
      <c r="AI30" s="1134">
        <f ca="1"/>
        <v>0.99</v>
      </c>
      <c r="AJ30" s="1135">
        <f ca="1"/>
        <v>0</v>
      </c>
      <c r="AK30" s="1116">
        <f ca="1"/>
        <v>0</v>
      </c>
      <c r="AL30" s="1130">
        <f ca="1"/>
        <v>0</v>
      </c>
      <c r="AM30" s="1141">
        <f ca="1"/>
        <v>0</v>
      </c>
      <c r="AN30" s="1142">
        <f ca="1"/>
        <v>30.702299397450968</v>
      </c>
      <c r="AO30" s="1142">
        <f ca="1"/>
        <v>100</v>
      </c>
      <c r="AP30" s="1142">
        <f ca="1"/>
        <v>7.5</v>
      </c>
      <c r="AQ30" s="1142">
        <f ca="1"/>
        <v>168.76825700103655</v>
      </c>
      <c r="AR30" s="1142">
        <f ca="1"/>
        <v>74.417937886681727</v>
      </c>
      <c r="AS30" s="1142">
        <f ca="1"/>
        <v>0</v>
      </c>
      <c r="AT30" s="1116">
        <f ca="1"/>
        <v>0</v>
      </c>
      <c r="AV30" s="1152" t="str">
        <f t="shared" ca="1" si="3"/>
        <v xml:space="preserve"> </v>
      </c>
      <c r="AW30" s="1155" t="str">
        <f t="shared" ca="1" si="4"/>
        <v/>
      </c>
    </row>
    <row r="31" spans="1:49" x14ac:dyDescent="0.25">
      <c r="A31" s="311">
        <f t="shared" si="7"/>
        <v>27</v>
      </c>
      <c r="B31" s="318" t="str">
        <f>CONCATENATE(HLOOKUP(A31,Arablesystem!$A$2:$ER$10,2,FALSE)," ",HLOOKUP(A31,Arablesystem!$A$2:$ER$10,3,FALSE)," ",HLOOKUP(A31,Arablesystem!$A$2:$ER$10,4,FALSE)," ",HLOOKUP(A31,Arablesystem!$A$2:$ER$10,5,FALSE)," ",HLOOKUP(A31,Arablesystem!$A$2:$ER$10,6,FALSE))</f>
        <v xml:space="preserve">    </v>
      </c>
      <c r="C31" s="311">
        <f t="shared" si="7"/>
        <v>27</v>
      </c>
      <c r="D31" s="318" t="str">
        <f>CONCATENATE(HLOOKUP(A31,Forestrysystem!$A$2:$IG$7,2,FALSE)," ",HLOOKUP(A31,Forestrysystem!$A$2:$IG$7,3,FALSE)," ",HLOOKUP(A31,Forestrysystem!$A$2:$IG$7,4,FALSE))</f>
        <v xml:space="preserve">  </v>
      </c>
      <c r="E31" s="311"/>
      <c r="F31" s="314"/>
      <c r="G31" s="310"/>
      <c r="H31" s="205">
        <v>28</v>
      </c>
      <c r="I31" s="1146" t="str">
        <f ca="1"/>
        <v>Oilseed</v>
      </c>
      <c r="J31" s="374">
        <f ca="1"/>
        <v>0</v>
      </c>
      <c r="K31" s="374">
        <f ca="1"/>
        <v>1</v>
      </c>
      <c r="L31" s="374">
        <f ca="1"/>
        <v>3.7405769215308071</v>
      </c>
      <c r="M31" s="1147">
        <f ca="1"/>
        <v>1.8702884607654036</v>
      </c>
      <c r="O31" s="94" t="str">
        <f t="shared" ca="1" si="1"/>
        <v/>
      </c>
      <c r="P31" s="1097" t="str">
        <f t="shared" ca="1" si="2"/>
        <v/>
      </c>
      <c r="R31" s="763">
        <f t="shared" si="5"/>
        <v>27</v>
      </c>
      <c r="S31" s="764">
        <f ca="1"/>
        <v>0</v>
      </c>
      <c r="T31" s="699">
        <f ca="1"/>
        <v>0</v>
      </c>
      <c r="U31" s="765">
        <f ca="1"/>
        <v>27.40099990923574</v>
      </c>
      <c r="V31" s="766">
        <f ca="1"/>
        <v>7.5</v>
      </c>
      <c r="W31" s="766">
        <f ca="1"/>
        <v>187.15519639685195</v>
      </c>
      <c r="X31" s="765">
        <f ca="1"/>
        <v>82.525612506296781</v>
      </c>
      <c r="Y31" s="766">
        <f ca="1"/>
        <v>0</v>
      </c>
      <c r="Z31" s="767">
        <f ca="1"/>
        <v>0</v>
      </c>
      <c r="AF31" s="692">
        <f t="shared" si="6"/>
        <v>27</v>
      </c>
      <c r="AG31" s="1115" t="str">
        <f ca="1"/>
        <v>Agroforestry fallow</v>
      </c>
      <c r="AH31" s="1131">
        <f ca="1"/>
        <v>0</v>
      </c>
      <c r="AI31" s="1134">
        <f ca="1"/>
        <v>0.99</v>
      </c>
      <c r="AJ31" s="1135">
        <f ca="1"/>
        <v>0</v>
      </c>
      <c r="AK31" s="1116">
        <f ca="1"/>
        <v>0</v>
      </c>
      <c r="AL31" s="1130">
        <f ca="1"/>
        <v>0</v>
      </c>
      <c r="AM31" s="1141">
        <f ca="1"/>
        <v>0</v>
      </c>
      <c r="AN31" s="1142">
        <f ca="1"/>
        <v>31.552991880035002</v>
      </c>
      <c r="AO31" s="1142">
        <f ca="1"/>
        <v>100</v>
      </c>
      <c r="AP31" s="1142">
        <f ca="1"/>
        <v>7.5</v>
      </c>
      <c r="AQ31" s="1142">
        <f ca="1"/>
        <v>183.18912776364732</v>
      </c>
      <c r="AR31" s="1142">
        <f ca="1"/>
        <v>80.77678453091319</v>
      </c>
      <c r="AS31" s="1142">
        <f ca="1"/>
        <v>0</v>
      </c>
      <c r="AT31" s="1116">
        <f ca="1"/>
        <v>0</v>
      </c>
      <c r="AV31" s="1152" t="str">
        <f t="shared" ca="1" si="3"/>
        <v xml:space="preserve"> </v>
      </c>
      <c r="AW31" s="1155" t="str">
        <f t="shared" ca="1" si="4"/>
        <v/>
      </c>
    </row>
    <row r="32" spans="1:49" x14ac:dyDescent="0.25">
      <c r="A32" s="311">
        <f t="shared" si="7"/>
        <v>28</v>
      </c>
      <c r="B32" s="318" t="e">
        <f>CONCATENATE(HLOOKUP(A32,Arablesystem!$A$2:$ER$10,2,FALSE)," ",HLOOKUP(A32,Arablesystem!$A$2:$ER$10,3,FALSE)," ",HLOOKUP(A32,Arablesystem!$A$2:$ER$10,4,FALSE)," ",HLOOKUP(A32,Arablesystem!$A$2:$ER$10,5,FALSE)," ",HLOOKUP(A32,Arablesystem!$A$2:$ER$10,6,FALSE))</f>
        <v>#N/A</v>
      </c>
      <c r="C32" s="311">
        <f t="shared" si="7"/>
        <v>28</v>
      </c>
      <c r="D32" s="318" t="str">
        <f>CONCATENATE(HLOOKUP(A32,Forestrysystem!$A$2:$IG$7,2,FALSE)," ",HLOOKUP(A32,Forestrysystem!$A$2:$IG$7,3,FALSE)," ",HLOOKUP(A32,Forestrysystem!$A$2:$IG$7,4,FALSE))</f>
        <v xml:space="preserve">  </v>
      </c>
      <c r="E32" s="311"/>
      <c r="F32" s="314"/>
      <c r="G32" s="310"/>
      <c r="H32" s="205">
        <v>29</v>
      </c>
      <c r="I32" s="1146" t="str">
        <f ca="1"/>
        <v>Wheat</v>
      </c>
      <c r="J32" s="374">
        <f ca="1"/>
        <v>0</v>
      </c>
      <c r="K32" s="374">
        <f ca="1"/>
        <v>1</v>
      </c>
      <c r="L32" s="374">
        <f ca="1"/>
        <v>7.9811870817503401</v>
      </c>
      <c r="M32" s="1147">
        <f ca="1"/>
        <v>3.1924748327001362</v>
      </c>
      <c r="O32" s="94" t="str">
        <f t="shared" ca="1" si="1"/>
        <v/>
      </c>
      <c r="P32" s="1097" t="str">
        <f t="shared" ca="1" si="2"/>
        <v/>
      </c>
      <c r="R32" s="763">
        <f t="shared" si="5"/>
        <v>28</v>
      </c>
      <c r="S32" s="764">
        <f ca="1"/>
        <v>0</v>
      </c>
      <c r="T32" s="699">
        <f ca="1"/>
        <v>0</v>
      </c>
      <c r="U32" s="765">
        <f ca="1"/>
        <v>27.89425313060428</v>
      </c>
      <c r="V32" s="766">
        <f ca="1"/>
        <v>7.5</v>
      </c>
      <c r="W32" s="766">
        <f ca="1"/>
        <v>197.4453313037246</v>
      </c>
      <c r="X32" s="765">
        <f ca="1"/>
        <v>87.063021578078093</v>
      </c>
      <c r="Y32" s="766">
        <f ca="1"/>
        <v>0</v>
      </c>
      <c r="Z32" s="767">
        <f ca="1"/>
        <v>0</v>
      </c>
      <c r="AF32" s="692">
        <f t="shared" si="6"/>
        <v>28</v>
      </c>
      <c r="AG32" s="1115" t="str">
        <f ca="1"/>
        <v>Agroforestry fallow</v>
      </c>
      <c r="AH32" s="1131">
        <f ca="1"/>
        <v>0</v>
      </c>
      <c r="AI32" s="1134">
        <f ca="1"/>
        <v>0.99</v>
      </c>
      <c r="AJ32" s="1135">
        <f ca="1"/>
        <v>0</v>
      </c>
      <c r="AK32" s="1116">
        <f ca="1"/>
        <v>0</v>
      </c>
      <c r="AL32" s="1130">
        <f ca="1"/>
        <v>0</v>
      </c>
      <c r="AM32" s="1141">
        <f ca="1"/>
        <v>0</v>
      </c>
      <c r="AN32" s="1142">
        <f ca="1"/>
        <v>32.197641135652972</v>
      </c>
      <c r="AO32" s="1142">
        <f ca="1"/>
        <v>100</v>
      </c>
      <c r="AP32" s="1142">
        <f ca="1"/>
        <v>7.5</v>
      </c>
      <c r="AQ32" s="1142">
        <f ca="1"/>
        <v>194.64812493120189</v>
      </c>
      <c r="AR32" s="1142">
        <f ca="1"/>
        <v>85.829600472796741</v>
      </c>
      <c r="AS32" s="1142">
        <f ca="1"/>
        <v>0</v>
      </c>
      <c r="AT32" s="1116">
        <f ca="1"/>
        <v>0</v>
      </c>
      <c r="AV32" s="1152" t="str">
        <f t="shared" ca="1" si="3"/>
        <v xml:space="preserve"> </v>
      </c>
      <c r="AW32" s="1155" t="str">
        <f t="shared" ca="1" si="4"/>
        <v/>
      </c>
    </row>
    <row r="33" spans="1:49" ht="15.75" thickBot="1" x14ac:dyDescent="0.3">
      <c r="A33" s="311">
        <f t="shared" si="7"/>
        <v>29</v>
      </c>
      <c r="B33" s="318" t="e">
        <f>CONCATENATE(HLOOKUP(A33,Arablesystem!$A$2:$ER$10,2,FALSE)," ",HLOOKUP(A33,Arablesystem!$A$2:$ER$10,3,FALSE)," ",HLOOKUP(A33,Arablesystem!$A$2:$ER$10,4,FALSE)," ",HLOOKUP(A33,Arablesystem!$A$2:$ER$10,5,FALSE)," ",HLOOKUP(A33,Arablesystem!$A$2:$ER$10,6,FALSE))</f>
        <v>#N/A</v>
      </c>
      <c r="C33" s="311">
        <f t="shared" si="7"/>
        <v>29</v>
      </c>
      <c r="D33" s="318" t="str">
        <f>CONCATENATE(HLOOKUP(A33,Forestrysystem!$A$2:$IG$7,2,FALSE)," ",HLOOKUP(A33,Forestrysystem!$A$2:$IG$7,3,FALSE)," ",HLOOKUP(A33,Forestrysystem!$A$2:$IG$7,4,FALSE))</f>
        <v xml:space="preserve">  </v>
      </c>
      <c r="E33" s="311"/>
      <c r="F33" s="314"/>
      <c r="G33" s="310"/>
      <c r="H33" s="205">
        <v>30</v>
      </c>
      <c r="I33" s="1146" t="str">
        <f ca="1"/>
        <v>Wheat</v>
      </c>
      <c r="J33" s="374">
        <f ca="1"/>
        <v>0</v>
      </c>
      <c r="K33" s="374">
        <f ca="1"/>
        <v>1</v>
      </c>
      <c r="L33" s="374">
        <f ca="1"/>
        <v>9.7951285311895653</v>
      </c>
      <c r="M33" s="1147">
        <f ca="1"/>
        <v>3.9180514124758261</v>
      </c>
      <c r="N33" s="47"/>
      <c r="O33" s="1098" t="str">
        <f t="shared" ca="1" si="1"/>
        <v/>
      </c>
      <c r="P33" s="1099" t="str">
        <f t="shared" ca="1" si="2"/>
        <v/>
      </c>
      <c r="R33" s="763">
        <f t="shared" si="5"/>
        <v>29</v>
      </c>
      <c r="S33" s="764">
        <f ca="1"/>
        <v>0</v>
      </c>
      <c r="T33" s="699">
        <f ca="1"/>
        <v>0</v>
      </c>
      <c r="U33" s="765">
        <f ca="1"/>
        <v>28.368222328032822</v>
      </c>
      <c r="V33" s="766">
        <f ca="1"/>
        <v>7.5</v>
      </c>
      <c r="W33" s="766">
        <f ca="1"/>
        <v>207.68207864813559</v>
      </c>
      <c r="X33" s="765">
        <f ca="1"/>
        <v>91.576889538646952</v>
      </c>
      <c r="Y33" s="766">
        <f ca="1"/>
        <v>0</v>
      </c>
      <c r="Z33" s="767">
        <f ca="1"/>
        <v>0</v>
      </c>
      <c r="AF33" s="692">
        <f t="shared" si="6"/>
        <v>29</v>
      </c>
      <c r="AG33" s="1115" t="str">
        <f ca="1"/>
        <v>Agroforestry fallow</v>
      </c>
      <c r="AH33" s="1131">
        <f ca="1"/>
        <v>0</v>
      </c>
      <c r="AI33" s="1134">
        <f ca="1"/>
        <v>0.99</v>
      </c>
      <c r="AJ33" s="1135">
        <f ca="1"/>
        <v>0</v>
      </c>
      <c r="AK33" s="1116">
        <f ca="1"/>
        <v>0</v>
      </c>
      <c r="AL33" s="1130">
        <f ca="1"/>
        <v>0</v>
      </c>
      <c r="AM33" s="1141">
        <f ca="1"/>
        <v>0</v>
      </c>
      <c r="AN33" s="1142">
        <f ca="1"/>
        <v>32.761133090868427</v>
      </c>
      <c r="AO33" s="1142">
        <f ca="1"/>
        <v>100</v>
      </c>
      <c r="AP33" s="1142">
        <f ca="1"/>
        <v>7.5</v>
      </c>
      <c r="AQ33" s="1142">
        <f ca="1"/>
        <v>205.04765169351325</v>
      </c>
      <c r="AR33" s="1142">
        <f ca="1"/>
        <v>90.415245607733567</v>
      </c>
      <c r="AS33" s="1142">
        <f ca="1"/>
        <v>0</v>
      </c>
      <c r="AT33" s="1116">
        <f ca="1"/>
        <v>0</v>
      </c>
      <c r="AV33" s="1152" t="str">
        <f t="shared" ca="1" si="3"/>
        <v xml:space="preserve"> </v>
      </c>
      <c r="AW33" s="1155" t="str">
        <f t="shared" ca="1" si="4"/>
        <v/>
      </c>
    </row>
    <row r="34" spans="1:49" ht="15.75" thickBot="1" x14ac:dyDescent="0.3">
      <c r="A34" s="315">
        <f t="shared" si="7"/>
        <v>30</v>
      </c>
      <c r="B34" s="319" t="e">
        <f>CONCATENATE(HLOOKUP(A34,Arablesystem!$A$2:$ER$10,2,FALSE)," ",HLOOKUP(A34,Arablesystem!$A$2:$ER$10,3,FALSE)," ",HLOOKUP(A34,Arablesystem!$A$2:$ER$10,4,FALSE)," ",HLOOKUP(A34,Arablesystem!$A$2:$ER$10,5,FALSE)," ",HLOOKUP(A34,Arablesystem!$A$2:$ER$10,6,FALSE))</f>
        <v>#N/A</v>
      </c>
      <c r="C34" s="315">
        <f t="shared" si="7"/>
        <v>30</v>
      </c>
      <c r="D34" s="319" t="str">
        <f>CONCATENATE(HLOOKUP(A34,Forestrysystem!$A$2:$IG$7,2,FALSE)," ",HLOOKUP(A34,Forestrysystem!$A$2:$IG$7,3,FALSE)," ",HLOOKUP(A34,Forestrysystem!$A$2:$IG$7,4,FALSE))</f>
        <v xml:space="preserve">  </v>
      </c>
      <c r="E34" s="315"/>
      <c r="F34" s="316"/>
      <c r="G34" s="310"/>
      <c r="H34" s="205">
        <v>31</v>
      </c>
      <c r="I34" s="1146"/>
      <c r="J34" s="374"/>
      <c r="K34" s="374"/>
      <c r="L34" s="374"/>
      <c r="M34" s="1147"/>
      <c r="R34" s="763">
        <f t="shared" si="5"/>
        <v>30</v>
      </c>
      <c r="S34" s="764">
        <f ca="1"/>
        <v>0</v>
      </c>
      <c r="T34" s="699">
        <f ca="1"/>
        <v>156</v>
      </c>
      <c r="U34" s="765">
        <f ca="1"/>
        <v>28.876742618403934</v>
      </c>
      <c r="V34" s="766">
        <f ca="1"/>
        <v>7.5</v>
      </c>
      <c r="W34" s="766">
        <f ca="1"/>
        <v>219.0520197990561</v>
      </c>
      <c r="X34" s="765">
        <f ca="1"/>
        <v>103.65</v>
      </c>
      <c r="Y34" s="766">
        <f ca="1"/>
        <v>103.65</v>
      </c>
      <c r="Z34" s="767">
        <f ca="1"/>
        <v>0</v>
      </c>
      <c r="AF34" s="692">
        <f t="shared" si="6"/>
        <v>30</v>
      </c>
      <c r="AG34" s="1115" t="str">
        <f ca="1"/>
        <v>Agroforestry fallow</v>
      </c>
      <c r="AH34" s="1131">
        <f ca="1"/>
        <v>0</v>
      </c>
      <c r="AI34" s="1134">
        <f ca="1"/>
        <v>0.99</v>
      </c>
      <c r="AJ34" s="1135">
        <f ca="1"/>
        <v>0</v>
      </c>
      <c r="AK34" s="1116">
        <f ca="1"/>
        <v>0</v>
      </c>
      <c r="AL34" s="1130">
        <f ca="1"/>
        <v>0</v>
      </c>
      <c r="AM34" s="1141">
        <f ca="1"/>
        <v>100</v>
      </c>
      <c r="AN34" s="1142">
        <f ca="1"/>
        <v>33.3639734650965</v>
      </c>
      <c r="AO34" s="1142">
        <f ca="1"/>
        <v>100</v>
      </c>
      <c r="AP34" s="1142">
        <f ca="1"/>
        <v>7.5</v>
      </c>
      <c r="AQ34" s="1142">
        <f ca="1"/>
        <v>216.57651403057335</v>
      </c>
      <c r="AR34" s="1142">
        <f ca="1"/>
        <v>102.68</v>
      </c>
      <c r="AS34" s="1142">
        <f ca="1"/>
        <v>102.68</v>
      </c>
      <c r="AT34" s="1116">
        <f ca="1"/>
        <v>0</v>
      </c>
      <c r="AU34" s="47"/>
      <c r="AV34" s="1153" t="str">
        <f t="shared" ca="1" si="3"/>
        <v xml:space="preserve"> </v>
      </c>
      <c r="AW34" s="1156" t="str">
        <f t="shared" ca="1" si="4"/>
        <v/>
      </c>
    </row>
    <row r="35" spans="1:49" x14ac:dyDescent="0.25">
      <c r="H35" s="205">
        <v>32</v>
      </c>
      <c r="I35" s="1146"/>
      <c r="J35" s="374"/>
      <c r="K35" s="374"/>
      <c r="L35" s="374"/>
      <c r="M35" s="1147"/>
      <c r="N35" s="8"/>
      <c r="R35" s="763">
        <f t="shared" si="5"/>
        <v>31</v>
      </c>
      <c r="S35" s="764"/>
      <c r="T35" s="699"/>
      <c r="U35" s="765"/>
      <c r="V35" s="766"/>
      <c r="W35" s="766"/>
      <c r="X35" s="765"/>
      <c r="Y35" s="766"/>
      <c r="Z35" s="767"/>
      <c r="AF35" s="692">
        <f t="shared" si="6"/>
        <v>31</v>
      </c>
      <c r="AG35" s="1123"/>
      <c r="AH35" s="1127"/>
      <c r="AI35" s="1136"/>
      <c r="AJ35" s="1136"/>
      <c r="AK35" s="1124"/>
      <c r="AL35" s="1127"/>
      <c r="AM35" s="1136"/>
      <c r="AN35" s="1136"/>
      <c r="AO35" s="1136"/>
      <c r="AP35" s="1136"/>
      <c r="AQ35" s="1136"/>
      <c r="AR35" s="1136"/>
      <c r="AS35" s="1136"/>
      <c r="AT35" s="1124"/>
    </row>
    <row r="36" spans="1:49" x14ac:dyDescent="0.25">
      <c r="H36" s="205">
        <v>33</v>
      </c>
      <c r="I36" s="1146"/>
      <c r="J36" s="374"/>
      <c r="K36" s="374"/>
      <c r="L36" s="374"/>
      <c r="M36" s="1147"/>
      <c r="R36" s="763">
        <f t="shared" si="5"/>
        <v>32</v>
      </c>
      <c r="S36" s="764"/>
      <c r="T36" s="699"/>
      <c r="U36" s="765"/>
      <c r="V36" s="766"/>
      <c r="W36" s="766"/>
      <c r="X36" s="765"/>
      <c r="Y36" s="766"/>
      <c r="Z36" s="767"/>
      <c r="AF36" s="692">
        <f t="shared" si="6"/>
        <v>32</v>
      </c>
      <c r="AG36" s="1123"/>
      <c r="AH36" s="1127"/>
      <c r="AI36" s="1136"/>
      <c r="AJ36" s="1136"/>
      <c r="AK36" s="1124"/>
      <c r="AL36" s="1127"/>
      <c r="AM36" s="1136"/>
      <c r="AN36" s="1136"/>
      <c r="AO36" s="1136"/>
      <c r="AP36" s="1136"/>
      <c r="AQ36" s="1136"/>
      <c r="AR36" s="1136"/>
      <c r="AS36" s="1136"/>
      <c r="AT36" s="1124"/>
    </row>
    <row r="37" spans="1:49" x14ac:dyDescent="0.25">
      <c r="H37" s="205">
        <v>34</v>
      </c>
      <c r="I37" s="1146"/>
      <c r="J37" s="374"/>
      <c r="K37" s="374"/>
      <c r="L37" s="374"/>
      <c r="M37" s="1147"/>
      <c r="R37" s="763">
        <f t="shared" si="5"/>
        <v>33</v>
      </c>
      <c r="S37" s="764"/>
      <c r="T37" s="699"/>
      <c r="U37" s="765"/>
      <c r="V37" s="766"/>
      <c r="W37" s="766"/>
      <c r="X37" s="765"/>
      <c r="Y37" s="766"/>
      <c r="Z37" s="767"/>
      <c r="AF37" s="692">
        <f t="shared" si="6"/>
        <v>33</v>
      </c>
      <c r="AG37" s="1123"/>
      <c r="AH37" s="1127"/>
      <c r="AI37" s="1136"/>
      <c r="AJ37" s="1136"/>
      <c r="AK37" s="1124"/>
      <c r="AL37" s="1127"/>
      <c r="AM37" s="1136"/>
      <c r="AN37" s="1136"/>
      <c r="AO37" s="1136"/>
      <c r="AP37" s="1136"/>
      <c r="AQ37" s="1136"/>
      <c r="AR37" s="1136"/>
      <c r="AS37" s="1136"/>
      <c r="AT37" s="1124"/>
    </row>
    <row r="38" spans="1:49" x14ac:dyDescent="0.25">
      <c r="H38" s="205">
        <v>35</v>
      </c>
      <c r="I38" s="1146"/>
      <c r="J38" s="374"/>
      <c r="K38" s="374"/>
      <c r="L38" s="374"/>
      <c r="M38" s="1147"/>
      <c r="R38" s="763">
        <f t="shared" si="5"/>
        <v>34</v>
      </c>
      <c r="S38" s="764"/>
      <c r="T38" s="699"/>
      <c r="U38" s="765"/>
      <c r="V38" s="766"/>
      <c r="W38" s="766"/>
      <c r="X38" s="765"/>
      <c r="Y38" s="766"/>
      <c r="Z38" s="767"/>
      <c r="AF38" s="692">
        <f t="shared" si="6"/>
        <v>34</v>
      </c>
      <c r="AG38" s="1123"/>
      <c r="AH38" s="1127"/>
      <c r="AI38" s="1136"/>
      <c r="AJ38" s="1136"/>
      <c r="AK38" s="1124"/>
      <c r="AL38" s="1127"/>
      <c r="AM38" s="1136"/>
      <c r="AN38" s="1136"/>
      <c r="AO38" s="1136"/>
      <c r="AP38" s="1136"/>
      <c r="AQ38" s="1136"/>
      <c r="AR38" s="1136"/>
      <c r="AS38" s="1136"/>
      <c r="AT38" s="1124"/>
    </row>
    <row r="39" spans="1:49" x14ac:dyDescent="0.25">
      <c r="H39" s="205">
        <v>36</v>
      </c>
      <c r="I39" s="1146"/>
      <c r="J39" s="374"/>
      <c r="K39" s="374"/>
      <c r="L39" s="374"/>
      <c r="M39" s="1147"/>
      <c r="R39" s="763">
        <f t="shared" si="5"/>
        <v>35</v>
      </c>
      <c r="S39" s="764"/>
      <c r="T39" s="699"/>
      <c r="U39" s="765"/>
      <c r="V39" s="766"/>
      <c r="W39" s="766"/>
      <c r="X39" s="765"/>
      <c r="Y39" s="766"/>
      <c r="Z39" s="767"/>
      <c r="AF39" s="692">
        <f t="shared" si="6"/>
        <v>35</v>
      </c>
      <c r="AG39" s="1123"/>
      <c r="AH39" s="1127"/>
      <c r="AI39" s="1136"/>
      <c r="AJ39" s="1136"/>
      <c r="AK39" s="1124"/>
      <c r="AL39" s="1127"/>
      <c r="AM39" s="1136"/>
      <c r="AN39" s="1136"/>
      <c r="AO39" s="1136"/>
      <c r="AP39" s="1136"/>
      <c r="AQ39" s="1136"/>
      <c r="AR39" s="1136"/>
      <c r="AS39" s="1136"/>
      <c r="AT39" s="1124"/>
    </row>
    <row r="40" spans="1:49" x14ac:dyDescent="0.25">
      <c r="H40" s="205">
        <v>37</v>
      </c>
      <c r="I40" s="1146"/>
      <c r="J40" s="374"/>
      <c r="K40" s="374"/>
      <c r="L40" s="374"/>
      <c r="M40" s="1147"/>
      <c r="R40" s="763">
        <f t="shared" si="5"/>
        <v>36</v>
      </c>
      <c r="S40" s="764"/>
      <c r="T40" s="699"/>
      <c r="U40" s="765"/>
      <c r="V40" s="766"/>
      <c r="W40" s="766"/>
      <c r="X40" s="765"/>
      <c r="Y40" s="766"/>
      <c r="Z40" s="767"/>
      <c r="AF40" s="692">
        <f t="shared" si="6"/>
        <v>36</v>
      </c>
      <c r="AG40" s="1123"/>
      <c r="AH40" s="1127"/>
      <c r="AI40" s="1136"/>
      <c r="AJ40" s="1136"/>
      <c r="AK40" s="1124"/>
      <c r="AL40" s="1127"/>
      <c r="AM40" s="1136"/>
      <c r="AN40" s="1136"/>
      <c r="AO40" s="1136"/>
      <c r="AP40" s="1136"/>
      <c r="AQ40" s="1136"/>
      <c r="AR40" s="1136"/>
      <c r="AS40" s="1136"/>
      <c r="AT40" s="1124"/>
    </row>
    <row r="41" spans="1:49" x14ac:dyDescent="0.25">
      <c r="H41" s="205">
        <v>38</v>
      </c>
      <c r="I41" s="1146"/>
      <c r="J41" s="374"/>
      <c r="K41" s="374"/>
      <c r="L41" s="374"/>
      <c r="M41" s="1147"/>
      <c r="R41" s="763">
        <f t="shared" si="5"/>
        <v>37</v>
      </c>
      <c r="S41" s="764"/>
      <c r="T41" s="699"/>
      <c r="U41" s="765"/>
      <c r="V41" s="766"/>
      <c r="W41" s="766"/>
      <c r="X41" s="765"/>
      <c r="Y41" s="766"/>
      <c r="Z41" s="767"/>
      <c r="AF41" s="692">
        <f t="shared" si="6"/>
        <v>37</v>
      </c>
      <c r="AG41" s="1123"/>
      <c r="AH41" s="1127"/>
      <c r="AI41" s="1136"/>
      <c r="AJ41" s="1136"/>
      <c r="AK41" s="1124"/>
      <c r="AL41" s="1127"/>
      <c r="AM41" s="1136"/>
      <c r="AN41" s="1136"/>
      <c r="AO41" s="1136"/>
      <c r="AP41" s="1136"/>
      <c r="AQ41" s="1136"/>
      <c r="AR41" s="1136"/>
      <c r="AS41" s="1136"/>
      <c r="AT41" s="1124"/>
    </row>
    <row r="42" spans="1:49" x14ac:dyDescent="0.25">
      <c r="H42" s="205">
        <v>39</v>
      </c>
      <c r="I42" s="1146"/>
      <c r="J42" s="374"/>
      <c r="K42" s="374"/>
      <c r="L42" s="374"/>
      <c r="M42" s="1147"/>
      <c r="R42" s="763">
        <f t="shared" si="5"/>
        <v>38</v>
      </c>
      <c r="S42" s="764"/>
      <c r="T42" s="699"/>
      <c r="U42" s="765"/>
      <c r="V42" s="766"/>
      <c r="W42" s="766"/>
      <c r="X42" s="765"/>
      <c r="Y42" s="766"/>
      <c r="Z42" s="767"/>
      <c r="AF42" s="692">
        <f t="shared" si="6"/>
        <v>38</v>
      </c>
      <c r="AG42" s="1123"/>
      <c r="AH42" s="1127"/>
      <c r="AI42" s="1136"/>
      <c r="AJ42" s="1136"/>
      <c r="AK42" s="1124"/>
      <c r="AL42" s="1127"/>
      <c r="AM42" s="1136"/>
      <c r="AN42" s="1136"/>
      <c r="AO42" s="1136"/>
      <c r="AP42" s="1136"/>
      <c r="AQ42" s="1136"/>
      <c r="AR42" s="1136"/>
      <c r="AS42" s="1136"/>
      <c r="AT42" s="1124"/>
    </row>
    <row r="43" spans="1:49" x14ac:dyDescent="0.25">
      <c r="H43" s="205">
        <v>40</v>
      </c>
      <c r="I43" s="1146"/>
      <c r="J43" s="374"/>
      <c r="K43" s="374"/>
      <c r="L43" s="374"/>
      <c r="M43" s="1147"/>
      <c r="R43" s="763">
        <f t="shared" si="5"/>
        <v>39</v>
      </c>
      <c r="S43" s="764"/>
      <c r="T43" s="699"/>
      <c r="U43" s="765"/>
      <c r="V43" s="766"/>
      <c r="W43" s="766"/>
      <c r="X43" s="765"/>
      <c r="Y43" s="766"/>
      <c r="Z43" s="767"/>
      <c r="AF43" s="692">
        <f t="shared" si="6"/>
        <v>39</v>
      </c>
      <c r="AG43" s="1123"/>
      <c r="AH43" s="1127"/>
      <c r="AI43" s="1136"/>
      <c r="AJ43" s="1136"/>
      <c r="AK43" s="1124"/>
      <c r="AL43" s="1127"/>
      <c r="AM43" s="1136"/>
      <c r="AN43" s="1136"/>
      <c r="AO43" s="1136"/>
      <c r="AP43" s="1136"/>
      <c r="AQ43" s="1136"/>
      <c r="AR43" s="1136"/>
      <c r="AS43" s="1136"/>
      <c r="AT43" s="1124"/>
    </row>
    <row r="44" spans="1:49" x14ac:dyDescent="0.25">
      <c r="H44" s="205">
        <v>41</v>
      </c>
      <c r="I44" s="1146"/>
      <c r="J44" s="374"/>
      <c r="K44" s="374"/>
      <c r="L44" s="374"/>
      <c r="M44" s="1147"/>
      <c r="R44" s="763">
        <f t="shared" si="5"/>
        <v>40</v>
      </c>
      <c r="S44" s="764"/>
      <c r="T44" s="699"/>
      <c r="U44" s="765"/>
      <c r="V44" s="766"/>
      <c r="W44" s="766"/>
      <c r="X44" s="765"/>
      <c r="Y44" s="766"/>
      <c r="Z44" s="767"/>
      <c r="AF44" s="692">
        <f t="shared" si="6"/>
        <v>40</v>
      </c>
      <c r="AG44" s="1123"/>
      <c r="AH44" s="1127"/>
      <c r="AI44" s="1136"/>
      <c r="AJ44" s="1136"/>
      <c r="AK44" s="1124"/>
      <c r="AL44" s="1127"/>
      <c r="AM44" s="1136"/>
      <c r="AN44" s="1136"/>
      <c r="AO44" s="1136"/>
      <c r="AP44" s="1136"/>
      <c r="AQ44" s="1136"/>
      <c r="AR44" s="1136"/>
      <c r="AS44" s="1136"/>
      <c r="AT44" s="1124"/>
    </row>
    <row r="45" spans="1:49" x14ac:dyDescent="0.25">
      <c r="H45" s="205">
        <v>42</v>
      </c>
      <c r="I45" s="1146"/>
      <c r="J45" s="374"/>
      <c r="K45" s="374"/>
      <c r="L45" s="374"/>
      <c r="M45" s="1147"/>
      <c r="R45" s="763">
        <f t="shared" si="5"/>
        <v>41</v>
      </c>
      <c r="S45" s="764"/>
      <c r="T45" s="699"/>
      <c r="U45" s="765"/>
      <c r="V45" s="766"/>
      <c r="W45" s="766"/>
      <c r="X45" s="765"/>
      <c r="Y45" s="766"/>
      <c r="Z45" s="767"/>
      <c r="AF45" s="692">
        <f t="shared" si="6"/>
        <v>41</v>
      </c>
      <c r="AG45" s="1123"/>
      <c r="AH45" s="1127"/>
      <c r="AI45" s="1136"/>
      <c r="AJ45" s="1136"/>
      <c r="AK45" s="1124"/>
      <c r="AL45" s="1127"/>
      <c r="AM45" s="1136"/>
      <c r="AN45" s="1136"/>
      <c r="AO45" s="1136"/>
      <c r="AP45" s="1136"/>
      <c r="AQ45" s="1136"/>
      <c r="AR45" s="1136"/>
      <c r="AS45" s="1136"/>
      <c r="AT45" s="1124"/>
    </row>
    <row r="46" spans="1:49" x14ac:dyDescent="0.25">
      <c r="H46" s="205">
        <v>43</v>
      </c>
      <c r="I46" s="1146"/>
      <c r="J46" s="374"/>
      <c r="K46" s="374"/>
      <c r="L46" s="374"/>
      <c r="M46" s="1147"/>
      <c r="R46" s="763">
        <f t="shared" si="5"/>
        <v>42</v>
      </c>
      <c r="S46" s="764"/>
      <c r="T46" s="699"/>
      <c r="U46" s="765"/>
      <c r="V46" s="766"/>
      <c r="W46" s="766"/>
      <c r="X46" s="765"/>
      <c r="Y46" s="766"/>
      <c r="Z46" s="767"/>
      <c r="AF46" s="692">
        <f t="shared" si="6"/>
        <v>42</v>
      </c>
      <c r="AG46" s="1123"/>
      <c r="AH46" s="1127"/>
      <c r="AI46" s="1136"/>
      <c r="AJ46" s="1136"/>
      <c r="AK46" s="1124"/>
      <c r="AL46" s="1127"/>
      <c r="AM46" s="1136"/>
      <c r="AN46" s="1136"/>
      <c r="AO46" s="1136"/>
      <c r="AP46" s="1136"/>
      <c r="AQ46" s="1136"/>
      <c r="AR46" s="1136"/>
      <c r="AS46" s="1136"/>
      <c r="AT46" s="1124"/>
    </row>
    <row r="47" spans="1:49" x14ac:dyDescent="0.25">
      <c r="H47" s="205">
        <v>44</v>
      </c>
      <c r="I47" s="1146"/>
      <c r="J47" s="374"/>
      <c r="K47" s="374"/>
      <c r="L47" s="374"/>
      <c r="M47" s="1147"/>
      <c r="R47" s="763">
        <f t="shared" si="5"/>
        <v>43</v>
      </c>
      <c r="S47" s="764"/>
      <c r="T47" s="699"/>
      <c r="U47" s="765"/>
      <c r="V47" s="766"/>
      <c r="W47" s="766"/>
      <c r="X47" s="765"/>
      <c r="Y47" s="766"/>
      <c r="Z47" s="767"/>
      <c r="AF47" s="692">
        <f t="shared" si="6"/>
        <v>43</v>
      </c>
      <c r="AG47" s="1123"/>
      <c r="AH47" s="1127"/>
      <c r="AI47" s="1136"/>
      <c r="AJ47" s="1136"/>
      <c r="AK47" s="1124"/>
      <c r="AL47" s="1127"/>
      <c r="AM47" s="1136"/>
      <c r="AN47" s="1136"/>
      <c r="AO47" s="1136"/>
      <c r="AP47" s="1136"/>
      <c r="AQ47" s="1136"/>
      <c r="AR47" s="1136"/>
      <c r="AS47" s="1136"/>
      <c r="AT47" s="1124"/>
    </row>
    <row r="48" spans="1:49" x14ac:dyDescent="0.25">
      <c r="H48" s="205">
        <v>45</v>
      </c>
      <c r="I48" s="1146"/>
      <c r="J48" s="374"/>
      <c r="K48" s="374"/>
      <c r="L48" s="374"/>
      <c r="M48" s="1147"/>
      <c r="R48" s="763">
        <f t="shared" si="5"/>
        <v>44</v>
      </c>
      <c r="S48" s="764"/>
      <c r="T48" s="699"/>
      <c r="U48" s="765"/>
      <c r="V48" s="766"/>
      <c r="W48" s="766"/>
      <c r="X48" s="765"/>
      <c r="Y48" s="766"/>
      <c r="Z48" s="767"/>
      <c r="AF48" s="692">
        <f t="shared" si="6"/>
        <v>44</v>
      </c>
      <c r="AG48" s="1123"/>
      <c r="AH48" s="1127"/>
      <c r="AI48" s="1136"/>
      <c r="AJ48" s="1136"/>
      <c r="AK48" s="1124"/>
      <c r="AL48" s="1127"/>
      <c r="AM48" s="1136"/>
      <c r="AN48" s="1136"/>
      <c r="AO48" s="1136"/>
      <c r="AP48" s="1136"/>
      <c r="AQ48" s="1136"/>
      <c r="AR48" s="1136"/>
      <c r="AS48" s="1136"/>
      <c r="AT48" s="1124"/>
    </row>
    <row r="49" spans="8:46" x14ac:dyDescent="0.25">
      <c r="H49" s="205">
        <v>46</v>
      </c>
      <c r="I49" s="1146"/>
      <c r="J49" s="374"/>
      <c r="K49" s="374"/>
      <c r="L49" s="374"/>
      <c r="M49" s="1147"/>
      <c r="R49" s="763">
        <f t="shared" si="5"/>
        <v>45</v>
      </c>
      <c r="S49" s="764"/>
      <c r="T49" s="699"/>
      <c r="U49" s="765"/>
      <c r="V49" s="766"/>
      <c r="W49" s="766"/>
      <c r="X49" s="765"/>
      <c r="Y49" s="766"/>
      <c r="Z49" s="767"/>
      <c r="AF49" s="692">
        <f t="shared" si="6"/>
        <v>45</v>
      </c>
      <c r="AG49" s="1123"/>
      <c r="AH49" s="1127"/>
      <c r="AI49" s="1136"/>
      <c r="AJ49" s="1136"/>
      <c r="AK49" s="1124"/>
      <c r="AL49" s="1127"/>
      <c r="AM49" s="1136"/>
      <c r="AN49" s="1136"/>
      <c r="AO49" s="1136"/>
      <c r="AP49" s="1136"/>
      <c r="AQ49" s="1136"/>
      <c r="AR49" s="1136"/>
      <c r="AS49" s="1136"/>
      <c r="AT49" s="1124"/>
    </row>
    <row r="50" spans="8:46" x14ac:dyDescent="0.25">
      <c r="H50" s="205">
        <v>47</v>
      </c>
      <c r="I50" s="1146"/>
      <c r="J50" s="374"/>
      <c r="K50" s="374"/>
      <c r="L50" s="374"/>
      <c r="M50" s="1147"/>
      <c r="R50" s="763">
        <f t="shared" si="5"/>
        <v>46</v>
      </c>
      <c r="S50" s="764"/>
      <c r="T50" s="699"/>
      <c r="U50" s="765"/>
      <c r="V50" s="766"/>
      <c r="W50" s="766"/>
      <c r="X50" s="765"/>
      <c r="Y50" s="766"/>
      <c r="Z50" s="767"/>
      <c r="AF50" s="692">
        <f t="shared" si="6"/>
        <v>46</v>
      </c>
      <c r="AG50" s="1123"/>
      <c r="AH50" s="1127"/>
      <c r="AI50" s="1136"/>
      <c r="AJ50" s="1136"/>
      <c r="AK50" s="1124"/>
      <c r="AL50" s="1127"/>
      <c r="AM50" s="1136"/>
      <c r="AN50" s="1136"/>
      <c r="AO50" s="1136"/>
      <c r="AP50" s="1136"/>
      <c r="AQ50" s="1136"/>
      <c r="AR50" s="1136"/>
      <c r="AS50" s="1136"/>
      <c r="AT50" s="1124"/>
    </row>
    <row r="51" spans="8:46" x14ac:dyDescent="0.25">
      <c r="H51" s="205">
        <v>48</v>
      </c>
      <c r="I51" s="1146"/>
      <c r="J51" s="374"/>
      <c r="K51" s="374"/>
      <c r="L51" s="374"/>
      <c r="M51" s="1147"/>
      <c r="R51" s="763">
        <f t="shared" si="5"/>
        <v>47</v>
      </c>
      <c r="S51" s="764"/>
      <c r="T51" s="699"/>
      <c r="U51" s="765"/>
      <c r="V51" s="766"/>
      <c r="W51" s="766"/>
      <c r="X51" s="765"/>
      <c r="Y51" s="766"/>
      <c r="Z51" s="767"/>
      <c r="AF51" s="692">
        <f t="shared" si="6"/>
        <v>47</v>
      </c>
      <c r="AG51" s="1123"/>
      <c r="AH51" s="1127"/>
      <c r="AI51" s="1136"/>
      <c r="AJ51" s="1136"/>
      <c r="AK51" s="1124"/>
      <c r="AL51" s="1127"/>
      <c r="AM51" s="1136"/>
      <c r="AN51" s="1136"/>
      <c r="AO51" s="1136"/>
      <c r="AP51" s="1136"/>
      <c r="AQ51" s="1136"/>
      <c r="AR51" s="1136"/>
      <c r="AS51" s="1136"/>
      <c r="AT51" s="1124"/>
    </row>
    <row r="52" spans="8:46" x14ac:dyDescent="0.25">
      <c r="H52" s="205">
        <v>49</v>
      </c>
      <c r="I52" s="1146"/>
      <c r="J52" s="374"/>
      <c r="K52" s="374"/>
      <c r="L52" s="374"/>
      <c r="M52" s="1147"/>
      <c r="R52" s="763">
        <f t="shared" si="5"/>
        <v>48</v>
      </c>
      <c r="S52" s="764"/>
      <c r="T52" s="699"/>
      <c r="U52" s="765"/>
      <c r="V52" s="766"/>
      <c r="W52" s="766"/>
      <c r="X52" s="765"/>
      <c r="Y52" s="766"/>
      <c r="Z52" s="767"/>
      <c r="AF52" s="692">
        <f t="shared" si="6"/>
        <v>48</v>
      </c>
      <c r="AG52" s="1123"/>
      <c r="AH52" s="1127"/>
      <c r="AI52" s="1136"/>
      <c r="AJ52" s="1136"/>
      <c r="AK52" s="1124"/>
      <c r="AL52" s="1127"/>
      <c r="AM52" s="1136"/>
      <c r="AN52" s="1136"/>
      <c r="AO52" s="1136"/>
      <c r="AP52" s="1136"/>
      <c r="AQ52" s="1136"/>
      <c r="AR52" s="1136"/>
      <c r="AS52" s="1136"/>
      <c r="AT52" s="1124"/>
    </row>
    <row r="53" spans="8:46" x14ac:dyDescent="0.25">
      <c r="H53" s="205">
        <v>50</v>
      </c>
      <c r="I53" s="1146"/>
      <c r="J53" s="374"/>
      <c r="K53" s="374"/>
      <c r="L53" s="374"/>
      <c r="M53" s="1147"/>
      <c r="R53" s="763">
        <f t="shared" si="5"/>
        <v>49</v>
      </c>
      <c r="S53" s="764"/>
      <c r="T53" s="699"/>
      <c r="U53" s="765"/>
      <c r="V53" s="766"/>
      <c r="W53" s="766"/>
      <c r="X53" s="765"/>
      <c r="Y53" s="766"/>
      <c r="Z53" s="767"/>
      <c r="AF53" s="692">
        <f t="shared" si="6"/>
        <v>49</v>
      </c>
      <c r="AG53" s="1123"/>
      <c r="AH53" s="1127"/>
      <c r="AI53" s="1136"/>
      <c r="AJ53" s="1136"/>
      <c r="AK53" s="1124"/>
      <c r="AL53" s="1127"/>
      <c r="AM53" s="1136"/>
      <c r="AN53" s="1136"/>
      <c r="AO53" s="1136"/>
      <c r="AP53" s="1136"/>
      <c r="AQ53" s="1136"/>
      <c r="AR53" s="1136"/>
      <c r="AS53" s="1136"/>
      <c r="AT53" s="1124"/>
    </row>
    <row r="54" spans="8:46" x14ac:dyDescent="0.25">
      <c r="H54" s="205">
        <v>51</v>
      </c>
      <c r="I54" s="1146"/>
      <c r="J54" s="374"/>
      <c r="K54" s="374"/>
      <c r="L54" s="374"/>
      <c r="M54" s="1147"/>
      <c r="R54" s="763">
        <f t="shared" si="5"/>
        <v>50</v>
      </c>
      <c r="S54" s="764"/>
      <c r="T54" s="699"/>
      <c r="U54" s="765"/>
      <c r="V54" s="766"/>
      <c r="W54" s="766"/>
      <c r="X54" s="765"/>
      <c r="Y54" s="766"/>
      <c r="Z54" s="767"/>
      <c r="AF54" s="692">
        <f t="shared" si="6"/>
        <v>50</v>
      </c>
      <c r="AG54" s="1123"/>
      <c r="AH54" s="1127"/>
      <c r="AI54" s="1136"/>
      <c r="AJ54" s="1136"/>
      <c r="AK54" s="1124"/>
      <c r="AL54" s="1127"/>
      <c r="AM54" s="1136"/>
      <c r="AN54" s="1136"/>
      <c r="AO54" s="1136"/>
      <c r="AP54" s="1136"/>
      <c r="AQ54" s="1136"/>
      <c r="AR54" s="1136"/>
      <c r="AS54" s="1136"/>
      <c r="AT54" s="1124"/>
    </row>
    <row r="55" spans="8:46" x14ac:dyDescent="0.25">
      <c r="H55" s="205">
        <v>52</v>
      </c>
      <c r="I55" s="1146"/>
      <c r="J55" s="374"/>
      <c r="K55" s="374"/>
      <c r="L55" s="374"/>
      <c r="M55" s="1147"/>
      <c r="R55" s="763">
        <f t="shared" si="5"/>
        <v>51</v>
      </c>
      <c r="S55" s="764"/>
      <c r="T55" s="699"/>
      <c r="U55" s="765"/>
      <c r="V55" s="766"/>
      <c r="W55" s="766"/>
      <c r="X55" s="765"/>
      <c r="Y55" s="766"/>
      <c r="Z55" s="767"/>
      <c r="AF55" s="692">
        <f t="shared" si="6"/>
        <v>51</v>
      </c>
      <c r="AG55" s="1123"/>
      <c r="AH55" s="1127"/>
      <c r="AI55" s="1136"/>
      <c r="AJ55" s="1136"/>
      <c r="AK55" s="1124"/>
      <c r="AL55" s="1127"/>
      <c r="AM55" s="1136"/>
      <c r="AN55" s="1136"/>
      <c r="AO55" s="1136"/>
      <c r="AP55" s="1136"/>
      <c r="AQ55" s="1136"/>
      <c r="AR55" s="1136"/>
      <c r="AS55" s="1136"/>
      <c r="AT55" s="1124"/>
    </row>
    <row r="56" spans="8:46" x14ac:dyDescent="0.25">
      <c r="H56" s="205">
        <v>53</v>
      </c>
      <c r="I56" s="1146"/>
      <c r="J56" s="374"/>
      <c r="K56" s="374"/>
      <c r="L56" s="374"/>
      <c r="M56" s="1147"/>
      <c r="R56" s="763">
        <f t="shared" si="5"/>
        <v>52</v>
      </c>
      <c r="S56" s="764"/>
      <c r="T56" s="699"/>
      <c r="U56" s="765"/>
      <c r="V56" s="766"/>
      <c r="W56" s="766"/>
      <c r="X56" s="765"/>
      <c r="Y56" s="766"/>
      <c r="Z56" s="767"/>
      <c r="AF56" s="692">
        <f t="shared" si="6"/>
        <v>52</v>
      </c>
      <c r="AG56" s="1123"/>
      <c r="AH56" s="1127"/>
      <c r="AI56" s="1136"/>
      <c r="AJ56" s="1136"/>
      <c r="AK56" s="1124"/>
      <c r="AL56" s="1127"/>
      <c r="AM56" s="1136"/>
      <c r="AN56" s="1136"/>
      <c r="AO56" s="1136"/>
      <c r="AP56" s="1136"/>
      <c r="AQ56" s="1136"/>
      <c r="AR56" s="1136"/>
      <c r="AS56" s="1136"/>
      <c r="AT56" s="1124"/>
    </row>
    <row r="57" spans="8:46" x14ac:dyDescent="0.25">
      <c r="H57" s="205">
        <v>54</v>
      </c>
      <c r="I57" s="1146"/>
      <c r="J57" s="374"/>
      <c r="K57" s="374"/>
      <c r="L57" s="374"/>
      <c r="M57" s="1147"/>
      <c r="R57" s="763">
        <f t="shared" si="5"/>
        <v>53</v>
      </c>
      <c r="S57" s="764"/>
      <c r="T57" s="699"/>
      <c r="U57" s="765"/>
      <c r="V57" s="766"/>
      <c r="W57" s="766"/>
      <c r="X57" s="765"/>
      <c r="Y57" s="766"/>
      <c r="Z57" s="767"/>
      <c r="AF57" s="692">
        <f t="shared" si="6"/>
        <v>53</v>
      </c>
      <c r="AG57" s="1123"/>
      <c r="AH57" s="1127"/>
      <c r="AI57" s="1136"/>
      <c r="AJ57" s="1136"/>
      <c r="AK57" s="1124"/>
      <c r="AL57" s="1127"/>
      <c r="AM57" s="1136"/>
      <c r="AN57" s="1136"/>
      <c r="AO57" s="1136"/>
      <c r="AP57" s="1136"/>
      <c r="AQ57" s="1136"/>
      <c r="AR57" s="1136"/>
      <c r="AS57" s="1136"/>
      <c r="AT57" s="1124"/>
    </row>
    <row r="58" spans="8:46" x14ac:dyDescent="0.25">
      <c r="H58" s="205">
        <v>55</v>
      </c>
      <c r="I58" s="1146"/>
      <c r="J58" s="374"/>
      <c r="K58" s="374"/>
      <c r="L58" s="374"/>
      <c r="M58" s="1147"/>
      <c r="R58" s="763">
        <f t="shared" si="5"/>
        <v>54</v>
      </c>
      <c r="S58" s="764"/>
      <c r="T58" s="699"/>
      <c r="U58" s="765"/>
      <c r="V58" s="766"/>
      <c r="W58" s="766"/>
      <c r="X58" s="765"/>
      <c r="Y58" s="766"/>
      <c r="Z58" s="767"/>
      <c r="AF58" s="692">
        <f t="shared" si="6"/>
        <v>54</v>
      </c>
      <c r="AG58" s="1123"/>
      <c r="AH58" s="1127"/>
      <c r="AI58" s="1136"/>
      <c r="AJ58" s="1136"/>
      <c r="AK58" s="1124"/>
      <c r="AL58" s="1127"/>
      <c r="AM58" s="1136"/>
      <c r="AN58" s="1136"/>
      <c r="AO58" s="1136"/>
      <c r="AP58" s="1136"/>
      <c r="AQ58" s="1136"/>
      <c r="AR58" s="1136"/>
      <c r="AS58" s="1136"/>
      <c r="AT58" s="1124"/>
    </row>
    <row r="59" spans="8:46" x14ac:dyDescent="0.25">
      <c r="H59" s="205">
        <v>56</v>
      </c>
      <c r="I59" s="1146"/>
      <c r="J59" s="374"/>
      <c r="K59" s="374"/>
      <c r="L59" s="374"/>
      <c r="M59" s="1147"/>
      <c r="R59" s="763">
        <f t="shared" si="5"/>
        <v>55</v>
      </c>
      <c r="S59" s="764"/>
      <c r="T59" s="699"/>
      <c r="U59" s="765"/>
      <c r="V59" s="766"/>
      <c r="W59" s="766"/>
      <c r="X59" s="765"/>
      <c r="Y59" s="766"/>
      <c r="Z59" s="767"/>
      <c r="AF59" s="692">
        <f t="shared" si="6"/>
        <v>55</v>
      </c>
      <c r="AG59" s="1123"/>
      <c r="AH59" s="1127"/>
      <c r="AI59" s="1136"/>
      <c r="AJ59" s="1136"/>
      <c r="AK59" s="1124"/>
      <c r="AL59" s="1127"/>
      <c r="AM59" s="1136"/>
      <c r="AN59" s="1136"/>
      <c r="AO59" s="1136"/>
      <c r="AP59" s="1136"/>
      <c r="AQ59" s="1136"/>
      <c r="AR59" s="1136"/>
      <c r="AS59" s="1136"/>
      <c r="AT59" s="1124"/>
    </row>
    <row r="60" spans="8:46" x14ac:dyDescent="0.25">
      <c r="H60" s="205">
        <v>57</v>
      </c>
      <c r="I60" s="1146"/>
      <c r="J60" s="374"/>
      <c r="K60" s="374"/>
      <c r="L60" s="374"/>
      <c r="M60" s="1147"/>
      <c r="R60" s="763">
        <f t="shared" si="5"/>
        <v>56</v>
      </c>
      <c r="S60" s="764"/>
      <c r="T60" s="699"/>
      <c r="U60" s="765"/>
      <c r="V60" s="766"/>
      <c r="W60" s="766"/>
      <c r="X60" s="765"/>
      <c r="Y60" s="766"/>
      <c r="Z60" s="767"/>
      <c r="AF60" s="692">
        <f t="shared" si="6"/>
        <v>56</v>
      </c>
      <c r="AG60" s="1123"/>
      <c r="AH60" s="1127"/>
      <c r="AI60" s="1136"/>
      <c r="AJ60" s="1136"/>
      <c r="AK60" s="1124"/>
      <c r="AL60" s="1127"/>
      <c r="AM60" s="1136"/>
      <c r="AN60" s="1136"/>
      <c r="AO60" s="1136"/>
      <c r="AP60" s="1136"/>
      <c r="AQ60" s="1136"/>
      <c r="AR60" s="1136"/>
      <c r="AS60" s="1136"/>
      <c r="AT60" s="1124"/>
    </row>
    <row r="61" spans="8:46" x14ac:dyDescent="0.25">
      <c r="H61" s="205">
        <v>58</v>
      </c>
      <c r="I61" s="1146"/>
      <c r="J61" s="374"/>
      <c r="K61" s="374"/>
      <c r="L61" s="374"/>
      <c r="M61" s="1147"/>
      <c r="R61" s="763">
        <f t="shared" si="5"/>
        <v>57</v>
      </c>
      <c r="S61" s="764"/>
      <c r="T61" s="699"/>
      <c r="U61" s="765"/>
      <c r="V61" s="766"/>
      <c r="W61" s="766"/>
      <c r="X61" s="765"/>
      <c r="Y61" s="766"/>
      <c r="Z61" s="767"/>
      <c r="AF61" s="692">
        <f t="shared" si="6"/>
        <v>57</v>
      </c>
      <c r="AG61" s="1123"/>
      <c r="AH61" s="1127"/>
      <c r="AI61" s="1136"/>
      <c r="AJ61" s="1136"/>
      <c r="AK61" s="1124"/>
      <c r="AL61" s="1127"/>
      <c r="AM61" s="1136"/>
      <c r="AN61" s="1136"/>
      <c r="AO61" s="1136"/>
      <c r="AP61" s="1136"/>
      <c r="AQ61" s="1136"/>
      <c r="AR61" s="1136"/>
      <c r="AS61" s="1136"/>
      <c r="AT61" s="1124"/>
    </row>
    <row r="62" spans="8:46" x14ac:dyDescent="0.25">
      <c r="H62" s="205">
        <v>59</v>
      </c>
      <c r="I62" s="1146"/>
      <c r="J62" s="374"/>
      <c r="K62" s="374"/>
      <c r="L62" s="374"/>
      <c r="M62" s="1147"/>
      <c r="R62" s="763">
        <f t="shared" si="5"/>
        <v>58</v>
      </c>
      <c r="S62" s="764"/>
      <c r="T62" s="699"/>
      <c r="U62" s="765"/>
      <c r="V62" s="766"/>
      <c r="W62" s="766"/>
      <c r="X62" s="765"/>
      <c r="Y62" s="766"/>
      <c r="Z62" s="767"/>
      <c r="AF62" s="692">
        <f t="shared" si="6"/>
        <v>58</v>
      </c>
      <c r="AG62" s="1123"/>
      <c r="AH62" s="1127"/>
      <c r="AI62" s="1136"/>
      <c r="AJ62" s="1136"/>
      <c r="AK62" s="1124"/>
      <c r="AL62" s="1127"/>
      <c r="AM62" s="1136"/>
      <c r="AN62" s="1136"/>
      <c r="AO62" s="1136"/>
      <c r="AP62" s="1136"/>
      <c r="AQ62" s="1136"/>
      <c r="AR62" s="1136"/>
      <c r="AS62" s="1136"/>
      <c r="AT62" s="1124"/>
    </row>
    <row r="63" spans="8:46" ht="15.75" thickBot="1" x14ac:dyDescent="0.3">
      <c r="H63" s="216">
        <v>60</v>
      </c>
      <c r="I63" s="1148"/>
      <c r="J63" s="1149"/>
      <c r="K63" s="1149"/>
      <c r="L63" s="1149"/>
      <c r="M63" s="1150"/>
      <c r="R63" s="763">
        <f t="shared" si="5"/>
        <v>59</v>
      </c>
      <c r="S63" s="764"/>
      <c r="T63" s="699"/>
      <c r="U63" s="765"/>
      <c r="V63" s="766"/>
      <c r="W63" s="766"/>
      <c r="X63" s="765"/>
      <c r="Y63" s="766"/>
      <c r="Z63" s="767"/>
      <c r="AF63" s="692">
        <f t="shared" si="6"/>
        <v>59</v>
      </c>
      <c r="AG63" s="1123"/>
      <c r="AH63" s="1127"/>
      <c r="AI63" s="1136"/>
      <c r="AJ63" s="1136"/>
      <c r="AK63" s="1124"/>
      <c r="AL63" s="1127"/>
      <c r="AM63" s="1136"/>
      <c r="AN63" s="1136"/>
      <c r="AO63" s="1136"/>
      <c r="AP63" s="1136"/>
      <c r="AQ63" s="1136"/>
      <c r="AR63" s="1136"/>
      <c r="AS63" s="1136"/>
      <c r="AT63" s="1124"/>
    </row>
    <row r="64" spans="8:46" ht="15.75" thickBot="1" x14ac:dyDescent="0.3">
      <c r="I64" s="289"/>
      <c r="J64" s="289"/>
      <c r="K64" s="289"/>
      <c r="L64" s="289"/>
      <c r="M64" s="289"/>
      <c r="N64" s="289"/>
      <c r="R64" s="771">
        <f t="shared" si="5"/>
        <v>60</v>
      </c>
      <c r="S64" s="772"/>
      <c r="T64" s="713"/>
      <c r="U64" s="773"/>
      <c r="V64" s="774"/>
      <c r="W64" s="774"/>
      <c r="X64" s="773"/>
      <c r="Y64" s="774"/>
      <c r="Z64" s="775"/>
      <c r="AF64" s="692">
        <f t="shared" si="6"/>
        <v>60</v>
      </c>
      <c r="AG64" s="1125"/>
      <c r="AH64" s="1128"/>
      <c r="AI64" s="1137"/>
      <c r="AJ64" s="1137"/>
      <c r="AK64" s="1126"/>
      <c r="AL64" s="1128"/>
      <c r="AM64" s="1137"/>
      <c r="AN64" s="1137"/>
      <c r="AO64" s="1137"/>
      <c r="AP64" s="1137"/>
      <c r="AQ64" s="1137"/>
      <c r="AR64" s="1137"/>
      <c r="AS64" s="1137"/>
      <c r="AT64" s="1126"/>
    </row>
    <row r="65" spans="9:14" x14ac:dyDescent="0.25">
      <c r="I65" s="289"/>
      <c r="J65" s="289"/>
      <c r="K65" s="289"/>
      <c r="L65" s="289"/>
      <c r="M65" s="289"/>
      <c r="N65" s="289"/>
    </row>
    <row r="66" spans="9:14" x14ac:dyDescent="0.25">
      <c r="I66" s="289"/>
      <c r="J66" s="289"/>
      <c r="K66" s="289"/>
      <c r="L66" s="289"/>
      <c r="M66" s="289"/>
      <c r="N66" s="289"/>
    </row>
    <row r="67" spans="9:14" x14ac:dyDescent="0.25">
      <c r="I67" s="289"/>
      <c r="J67" s="289"/>
      <c r="K67" s="289"/>
      <c r="L67" s="289"/>
      <c r="M67" s="289"/>
      <c r="N67" s="289"/>
    </row>
    <row r="68" spans="9:14" x14ac:dyDescent="0.25">
      <c r="I68" s="289"/>
      <c r="J68" s="289"/>
      <c r="K68" s="289"/>
      <c r="L68" s="289"/>
      <c r="M68" s="289"/>
      <c r="N68" s="289"/>
    </row>
    <row r="69" spans="9:14" x14ac:dyDescent="0.25">
      <c r="I69" s="289"/>
      <c r="J69" s="289"/>
      <c r="K69" s="289"/>
      <c r="L69" s="289"/>
      <c r="M69" s="289"/>
      <c r="N69" s="289"/>
    </row>
    <row r="70" spans="9:14" x14ac:dyDescent="0.25">
      <c r="I70" s="289"/>
      <c r="J70" s="289"/>
      <c r="K70" s="289"/>
      <c r="L70" s="289"/>
      <c r="M70" s="289"/>
      <c r="N70" s="289"/>
    </row>
    <row r="71" spans="9:14" x14ac:dyDescent="0.25">
      <c r="I71" s="289"/>
      <c r="J71" s="289"/>
      <c r="K71" s="289"/>
      <c r="L71" s="289"/>
      <c r="M71" s="289"/>
      <c r="N71" s="289"/>
    </row>
  </sheetData>
  <phoneticPr fontId="4"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dimension ref="A1:BF72"/>
  <sheetViews>
    <sheetView topLeftCell="AA37" zoomScale="50" zoomScaleNormal="50" workbookViewId="0">
      <selection activeCell="BF1" sqref="BF1:BF72"/>
    </sheetView>
  </sheetViews>
  <sheetFormatPr defaultColWidth="7.7109375" defaultRowHeight="15" x14ac:dyDescent="0.25"/>
  <cols>
    <col min="1" max="1" width="7.7109375" style="1"/>
    <col min="2" max="2" width="13.85546875" style="1" customWidth="1"/>
    <col min="3" max="3" width="14.28515625" style="1" customWidth="1"/>
    <col min="4" max="18" width="7.7109375" style="1"/>
    <col min="19" max="19" width="8.28515625" style="1" bestFit="1" customWidth="1"/>
    <col min="20" max="37" width="7.7109375" style="1"/>
    <col min="38" max="38" width="9.42578125" style="1" customWidth="1"/>
    <col min="39" max="39" width="10.42578125" style="1" customWidth="1"/>
    <col min="40" max="40" width="7.7109375" style="1"/>
    <col min="41" max="41" width="10.5703125" style="1" customWidth="1"/>
    <col min="42" max="42" width="10.42578125" style="1" customWidth="1"/>
    <col min="43" max="43" width="9.85546875" style="1" customWidth="1"/>
    <col min="44" max="44" width="13" style="1" customWidth="1"/>
    <col min="45" max="45" width="7.7109375" style="1"/>
    <col min="46" max="46" width="11" style="1" customWidth="1"/>
    <col min="47" max="47" width="9.7109375" style="1" customWidth="1"/>
    <col min="48" max="48" width="7.7109375" style="1"/>
    <col min="49" max="49" width="7.7109375" style="1" customWidth="1"/>
    <col min="50" max="52" width="7.7109375" style="1"/>
    <col min="53" max="53" width="10.5703125" style="1" customWidth="1"/>
    <col min="54" max="54" width="11.5703125" style="1" customWidth="1"/>
    <col min="55" max="55" width="10.7109375" style="1" customWidth="1"/>
    <col min="56" max="56" width="10" style="1" customWidth="1"/>
    <col min="57" max="16384" width="7.7109375" style="1"/>
  </cols>
  <sheetData>
    <row r="1" spans="1:58" ht="15.75" thickBot="1" x14ac:dyDescent="0.3">
      <c r="A1" s="832" t="s">
        <v>336</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6"/>
    </row>
    <row r="2" spans="1:58" x14ac:dyDescent="0.25">
      <c r="A2" s="833" t="s">
        <v>29</v>
      </c>
      <c r="B2" s="834"/>
      <c r="C2" s="834"/>
      <c r="D2" s="834"/>
      <c r="E2" s="834"/>
      <c r="F2" s="834"/>
      <c r="G2" s="834"/>
      <c r="H2" s="834"/>
      <c r="I2" s="834"/>
      <c r="J2" s="834"/>
      <c r="K2" s="834"/>
      <c r="L2" s="834"/>
      <c r="M2" s="834"/>
      <c r="N2" s="835"/>
      <c r="O2" s="834"/>
      <c r="P2" s="834"/>
      <c r="Q2" s="834"/>
      <c r="R2" s="834"/>
      <c r="S2" s="834"/>
      <c r="T2" s="834"/>
      <c r="U2" s="834"/>
      <c r="V2" s="834"/>
      <c r="W2" s="834"/>
      <c r="X2" s="834"/>
      <c r="Y2" s="834"/>
      <c r="Z2" s="834"/>
      <c r="AA2" s="834"/>
      <c r="AB2" s="834"/>
      <c r="AC2" s="834"/>
      <c r="AD2" s="834"/>
      <c r="AE2" s="834"/>
      <c r="AF2" s="834"/>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346"/>
    </row>
    <row r="3" spans="1:58" ht="15.75" thickBot="1" x14ac:dyDescent="0.3">
      <c r="A3" s="836">
        <v>1</v>
      </c>
      <c r="B3" s="837">
        <f t="shared" ref="B3:AD3" si="0">A3+1</f>
        <v>2</v>
      </c>
      <c r="C3" s="837">
        <f t="shared" si="0"/>
        <v>3</v>
      </c>
      <c r="D3" s="837">
        <f t="shared" si="0"/>
        <v>4</v>
      </c>
      <c r="E3" s="837">
        <f t="shared" si="0"/>
        <v>5</v>
      </c>
      <c r="F3" s="837">
        <f t="shared" si="0"/>
        <v>6</v>
      </c>
      <c r="G3" s="837">
        <f t="shared" si="0"/>
        <v>7</v>
      </c>
      <c r="H3" s="837">
        <f t="shared" si="0"/>
        <v>8</v>
      </c>
      <c r="I3" s="837">
        <f t="shared" si="0"/>
        <v>9</v>
      </c>
      <c r="J3" s="837">
        <f t="shared" si="0"/>
        <v>10</v>
      </c>
      <c r="K3" s="837">
        <f>J3+1</f>
        <v>11</v>
      </c>
      <c r="L3" s="837">
        <f t="shared" si="0"/>
        <v>12</v>
      </c>
      <c r="M3" s="837">
        <f t="shared" si="0"/>
        <v>13</v>
      </c>
      <c r="N3" s="837">
        <f t="shared" si="0"/>
        <v>14</v>
      </c>
      <c r="O3" s="837">
        <f t="shared" si="0"/>
        <v>15</v>
      </c>
      <c r="P3" s="837">
        <f>O3+1</f>
        <v>16</v>
      </c>
      <c r="Q3" s="837">
        <f t="shared" si="0"/>
        <v>17</v>
      </c>
      <c r="R3" s="837">
        <f t="shared" si="0"/>
        <v>18</v>
      </c>
      <c r="S3" s="837">
        <f t="shared" si="0"/>
        <v>19</v>
      </c>
      <c r="T3" s="837">
        <f t="shared" si="0"/>
        <v>20</v>
      </c>
      <c r="U3" s="837">
        <f t="shared" si="0"/>
        <v>21</v>
      </c>
      <c r="V3" s="837">
        <f t="shared" si="0"/>
        <v>22</v>
      </c>
      <c r="W3" s="837">
        <f t="shared" si="0"/>
        <v>23</v>
      </c>
      <c r="X3" s="837">
        <f t="shared" si="0"/>
        <v>24</v>
      </c>
      <c r="Y3" s="837">
        <f t="shared" si="0"/>
        <v>25</v>
      </c>
      <c r="Z3" s="837">
        <f t="shared" si="0"/>
        <v>26</v>
      </c>
      <c r="AA3" s="837">
        <f t="shared" si="0"/>
        <v>27</v>
      </c>
      <c r="AB3" s="837">
        <f>AA3+1</f>
        <v>28</v>
      </c>
      <c r="AC3" s="837">
        <f t="shared" si="0"/>
        <v>29</v>
      </c>
      <c r="AD3" s="837">
        <f t="shared" si="0"/>
        <v>30</v>
      </c>
      <c r="AE3" s="837">
        <f>AD3+1</f>
        <v>31</v>
      </c>
      <c r="AF3" s="837">
        <f t="shared" ref="AF3:BE3" si="1">AE3+1</f>
        <v>32</v>
      </c>
      <c r="AG3" s="837">
        <f t="shared" si="1"/>
        <v>33</v>
      </c>
      <c r="AH3" s="837">
        <f t="shared" si="1"/>
        <v>34</v>
      </c>
      <c r="AI3" s="837">
        <f t="shared" si="1"/>
        <v>35</v>
      </c>
      <c r="AJ3" s="837">
        <f t="shared" si="1"/>
        <v>36</v>
      </c>
      <c r="AK3" s="837">
        <f t="shared" si="1"/>
        <v>37</v>
      </c>
      <c r="AL3" s="837">
        <f t="shared" si="1"/>
        <v>38</v>
      </c>
      <c r="AM3" s="837">
        <f t="shared" si="1"/>
        <v>39</v>
      </c>
      <c r="AN3" s="837">
        <f t="shared" si="1"/>
        <v>40</v>
      </c>
      <c r="AO3" s="837">
        <f t="shared" si="1"/>
        <v>41</v>
      </c>
      <c r="AP3" s="837">
        <f t="shared" si="1"/>
        <v>42</v>
      </c>
      <c r="AQ3" s="837">
        <f t="shared" si="1"/>
        <v>43</v>
      </c>
      <c r="AR3" s="837">
        <f t="shared" si="1"/>
        <v>44</v>
      </c>
      <c r="AS3" s="837">
        <f t="shared" si="1"/>
        <v>45</v>
      </c>
      <c r="AT3" s="837">
        <f t="shared" si="1"/>
        <v>46</v>
      </c>
      <c r="AU3" s="837">
        <f t="shared" si="1"/>
        <v>47</v>
      </c>
      <c r="AV3" s="837">
        <f t="shared" si="1"/>
        <v>48</v>
      </c>
      <c r="AW3" s="837">
        <f t="shared" si="1"/>
        <v>49</v>
      </c>
      <c r="AX3" s="837">
        <f t="shared" si="1"/>
        <v>50</v>
      </c>
      <c r="AY3" s="837">
        <f t="shared" si="1"/>
        <v>51</v>
      </c>
      <c r="AZ3" s="837">
        <f t="shared" si="1"/>
        <v>52</v>
      </c>
      <c r="BA3" s="837">
        <f t="shared" si="1"/>
        <v>53</v>
      </c>
      <c r="BB3" s="837">
        <f t="shared" si="1"/>
        <v>54</v>
      </c>
      <c r="BC3" s="837">
        <f t="shared" si="1"/>
        <v>55</v>
      </c>
      <c r="BD3" s="837">
        <f t="shared" si="1"/>
        <v>56</v>
      </c>
      <c r="BE3" s="837">
        <f t="shared" si="1"/>
        <v>57</v>
      </c>
      <c r="BF3" s="346"/>
    </row>
    <row r="4" spans="1:58" x14ac:dyDescent="0.25">
      <c r="A4" s="838" t="s">
        <v>33</v>
      </c>
      <c r="B4" s="839" t="s">
        <v>335</v>
      </c>
      <c r="C4" s="840"/>
      <c r="D4" s="841" t="s">
        <v>78</v>
      </c>
      <c r="E4" s="842"/>
      <c r="F4" s="842"/>
      <c r="G4" s="842"/>
      <c r="H4" s="842"/>
      <c r="I4" s="842"/>
      <c r="J4" s="842"/>
      <c r="K4" s="842"/>
      <c r="L4" s="842"/>
      <c r="M4" s="843"/>
      <c r="N4" s="843"/>
      <c r="O4" s="843"/>
      <c r="P4" s="843"/>
      <c r="Q4" s="842"/>
      <c r="R4" s="843"/>
      <c r="S4" s="833" t="s">
        <v>71</v>
      </c>
      <c r="T4" s="844"/>
      <c r="U4" s="845"/>
      <c r="V4" s="846" t="s">
        <v>169</v>
      </c>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346"/>
    </row>
    <row r="5" spans="1:58" x14ac:dyDescent="0.25">
      <c r="A5" s="847"/>
      <c r="B5" s="848"/>
      <c r="C5" s="849"/>
      <c r="D5" s="850"/>
      <c r="E5" s="851" t="s">
        <v>34</v>
      </c>
      <c r="F5" s="852"/>
      <c r="G5" s="852"/>
      <c r="H5" s="851" t="s">
        <v>112</v>
      </c>
      <c r="I5" s="852"/>
      <c r="J5" s="852"/>
      <c r="K5" s="852"/>
      <c r="L5" s="852"/>
      <c r="M5" s="851" t="s">
        <v>23</v>
      </c>
      <c r="N5" s="852"/>
      <c r="O5" s="852"/>
      <c r="P5" s="851" t="s">
        <v>114</v>
      </c>
      <c r="Q5" s="852"/>
      <c r="R5" s="853"/>
      <c r="S5" s="847"/>
      <c r="T5" s="854"/>
      <c r="U5" s="855"/>
      <c r="V5" s="854" t="s">
        <v>113</v>
      </c>
      <c r="W5" s="854"/>
      <c r="X5" s="854"/>
      <c r="Y5" s="854"/>
      <c r="Z5" s="854"/>
      <c r="AA5" s="848" t="s">
        <v>112</v>
      </c>
      <c r="AB5" s="854"/>
      <c r="AC5" s="854"/>
      <c r="AD5" s="854"/>
      <c r="AE5" s="854"/>
      <c r="AF5" s="854"/>
      <c r="AG5" s="848" t="s">
        <v>111</v>
      </c>
      <c r="AH5" s="854"/>
      <c r="AI5" s="854"/>
      <c r="AJ5" s="854"/>
      <c r="AK5" s="854"/>
      <c r="AL5" s="848" t="s">
        <v>110</v>
      </c>
      <c r="AM5" s="854"/>
      <c r="AN5" s="854"/>
      <c r="AO5" s="854"/>
      <c r="AP5" s="854"/>
      <c r="AQ5" s="848" t="s">
        <v>109</v>
      </c>
      <c r="AR5" s="854"/>
      <c r="AS5" s="854"/>
      <c r="AT5" s="854"/>
      <c r="AU5" s="854"/>
      <c r="AV5" s="848" t="s">
        <v>115</v>
      </c>
      <c r="AW5" s="854"/>
      <c r="AX5" s="854"/>
      <c r="AY5" s="854"/>
      <c r="AZ5" s="854"/>
      <c r="BA5" s="848" t="s">
        <v>116</v>
      </c>
      <c r="BB5" s="854"/>
      <c r="BC5" s="854"/>
      <c r="BD5" s="854"/>
      <c r="BE5" s="854"/>
      <c r="BF5" s="346"/>
    </row>
    <row r="6" spans="1:58" ht="168" customHeight="1" x14ac:dyDescent="0.25">
      <c r="A6" s="856"/>
      <c r="B6" s="857" t="s">
        <v>42</v>
      </c>
      <c r="C6" s="858" t="s">
        <v>43</v>
      </c>
      <c r="D6" s="859"/>
      <c r="E6" s="860" t="s">
        <v>41</v>
      </c>
      <c r="F6" s="861" t="s">
        <v>42</v>
      </c>
      <c r="G6" s="861" t="s">
        <v>43</v>
      </c>
      <c r="H6" s="860" t="s">
        <v>80</v>
      </c>
      <c r="I6" s="861" t="s">
        <v>82</v>
      </c>
      <c r="J6" s="861" t="s">
        <v>292</v>
      </c>
      <c r="K6" s="861" t="s">
        <v>81</v>
      </c>
      <c r="L6" s="861" t="s">
        <v>83</v>
      </c>
      <c r="M6" s="860" t="s">
        <v>41</v>
      </c>
      <c r="N6" s="861" t="s">
        <v>42</v>
      </c>
      <c r="O6" s="861" t="s">
        <v>43</v>
      </c>
      <c r="P6" s="860" t="s">
        <v>41</v>
      </c>
      <c r="Q6" s="861" t="s">
        <v>42</v>
      </c>
      <c r="R6" s="862" t="s">
        <v>43</v>
      </c>
      <c r="S6" s="856" t="s">
        <v>73</v>
      </c>
      <c r="T6" s="863" t="s">
        <v>76</v>
      </c>
      <c r="U6" s="864" t="s">
        <v>77</v>
      </c>
      <c r="V6" s="865" t="s">
        <v>74</v>
      </c>
      <c r="W6" s="865" t="s">
        <v>72</v>
      </c>
      <c r="X6" s="865" t="s">
        <v>473</v>
      </c>
      <c r="Y6" s="865" t="s">
        <v>75</v>
      </c>
      <c r="Z6" s="865" t="s">
        <v>44</v>
      </c>
      <c r="AA6" s="866" t="s">
        <v>455</v>
      </c>
      <c r="AB6" s="865" t="s">
        <v>80</v>
      </c>
      <c r="AC6" s="865" t="s">
        <v>82</v>
      </c>
      <c r="AD6" s="865" t="s">
        <v>42</v>
      </c>
      <c r="AE6" s="865" t="s">
        <v>79</v>
      </c>
      <c r="AF6" s="865" t="s">
        <v>84</v>
      </c>
      <c r="AG6" s="866" t="s">
        <v>455</v>
      </c>
      <c r="AH6" s="865" t="s">
        <v>41</v>
      </c>
      <c r="AI6" s="865" t="s">
        <v>42</v>
      </c>
      <c r="AJ6" s="865" t="s">
        <v>43</v>
      </c>
      <c r="AK6" s="865" t="s">
        <v>44</v>
      </c>
      <c r="AL6" s="866" t="s">
        <v>455</v>
      </c>
      <c r="AM6" s="865" t="s">
        <v>41</v>
      </c>
      <c r="AN6" s="865" t="s">
        <v>42</v>
      </c>
      <c r="AO6" s="865" t="s">
        <v>43</v>
      </c>
      <c r="AP6" s="865" t="s">
        <v>44</v>
      </c>
      <c r="AQ6" s="866" t="s">
        <v>455</v>
      </c>
      <c r="AR6" s="865" t="s">
        <v>41</v>
      </c>
      <c r="AS6" s="865" t="s">
        <v>42</v>
      </c>
      <c r="AT6" s="865" t="s">
        <v>43</v>
      </c>
      <c r="AU6" s="865" t="s">
        <v>44</v>
      </c>
      <c r="AV6" s="866" t="s">
        <v>455</v>
      </c>
      <c r="AW6" s="865" t="s">
        <v>41</v>
      </c>
      <c r="AX6" s="865" t="s">
        <v>42</v>
      </c>
      <c r="AY6" s="865" t="s">
        <v>43</v>
      </c>
      <c r="AZ6" s="865" t="s">
        <v>44</v>
      </c>
      <c r="BA6" s="866" t="s">
        <v>455</v>
      </c>
      <c r="BB6" s="865" t="s">
        <v>41</v>
      </c>
      <c r="BC6" s="865" t="s">
        <v>42</v>
      </c>
      <c r="BD6" s="865" t="s">
        <v>43</v>
      </c>
      <c r="BE6" s="865" t="s">
        <v>44</v>
      </c>
      <c r="BF6" s="346"/>
    </row>
    <row r="7" spans="1:58" ht="18" thickBot="1" x14ac:dyDescent="0.3">
      <c r="A7" s="867" t="s">
        <v>333</v>
      </c>
      <c r="B7" s="165" t="s">
        <v>47</v>
      </c>
      <c r="C7" s="868" t="s">
        <v>47</v>
      </c>
      <c r="D7" s="869" t="s">
        <v>33</v>
      </c>
      <c r="E7" s="870" t="s">
        <v>47</v>
      </c>
      <c r="F7" s="871" t="s">
        <v>47</v>
      </c>
      <c r="G7" s="871" t="s">
        <v>47</v>
      </c>
      <c r="H7" s="870" t="s">
        <v>565</v>
      </c>
      <c r="I7" s="870" t="s">
        <v>565</v>
      </c>
      <c r="J7" s="871" t="s">
        <v>35</v>
      </c>
      <c r="K7" s="870" t="s">
        <v>565</v>
      </c>
      <c r="L7" s="870" t="s">
        <v>565</v>
      </c>
      <c r="M7" s="870" t="s">
        <v>27</v>
      </c>
      <c r="N7" s="871" t="s">
        <v>27</v>
      </c>
      <c r="O7" s="871" t="s">
        <v>27</v>
      </c>
      <c r="P7" s="870" t="s">
        <v>460</v>
      </c>
      <c r="Q7" s="871" t="s">
        <v>460</v>
      </c>
      <c r="R7" s="872" t="s">
        <v>460</v>
      </c>
      <c r="S7" s="867" t="s">
        <v>47</v>
      </c>
      <c r="T7" s="166" t="s">
        <v>47</v>
      </c>
      <c r="U7" s="873" t="s">
        <v>47</v>
      </c>
      <c r="V7" s="166" t="s">
        <v>345</v>
      </c>
      <c r="W7" s="166" t="s">
        <v>345</v>
      </c>
      <c r="X7" s="166" t="s">
        <v>345</v>
      </c>
      <c r="Y7" s="166" t="s">
        <v>345</v>
      </c>
      <c r="Z7" s="166" t="s">
        <v>345</v>
      </c>
      <c r="AA7" s="165" t="s">
        <v>165</v>
      </c>
      <c r="AB7" s="166" t="s">
        <v>566</v>
      </c>
      <c r="AC7" s="166" t="s">
        <v>566</v>
      </c>
      <c r="AD7" s="166" t="s">
        <v>165</v>
      </c>
      <c r="AE7" s="166" t="s">
        <v>566</v>
      </c>
      <c r="AF7" s="166" t="s">
        <v>566</v>
      </c>
      <c r="AG7" s="165" t="s">
        <v>159</v>
      </c>
      <c r="AH7" s="166" t="s">
        <v>159</v>
      </c>
      <c r="AI7" s="166" t="s">
        <v>159</v>
      </c>
      <c r="AJ7" s="166" t="s">
        <v>159</v>
      </c>
      <c r="AK7" s="166" t="s">
        <v>159</v>
      </c>
      <c r="AL7" s="165" t="s">
        <v>461</v>
      </c>
      <c r="AM7" s="166" t="s">
        <v>461</v>
      </c>
      <c r="AN7" s="166" t="s">
        <v>461</v>
      </c>
      <c r="AO7" s="166" t="s">
        <v>461</v>
      </c>
      <c r="AP7" s="166" t="s">
        <v>461</v>
      </c>
      <c r="AQ7" s="165" t="s">
        <v>461</v>
      </c>
      <c r="AR7" s="166" t="s">
        <v>461</v>
      </c>
      <c r="AS7" s="166" t="s">
        <v>461</v>
      </c>
      <c r="AT7" s="166" t="s">
        <v>461</v>
      </c>
      <c r="AU7" s="166" t="s">
        <v>461</v>
      </c>
      <c r="AV7" s="165" t="s">
        <v>461</v>
      </c>
      <c r="AW7" s="166" t="s">
        <v>461</v>
      </c>
      <c r="AX7" s="166" t="s">
        <v>461</v>
      </c>
      <c r="AY7" s="166" t="s">
        <v>461</v>
      </c>
      <c r="AZ7" s="166" t="s">
        <v>461</v>
      </c>
      <c r="BA7" s="165" t="s">
        <v>461</v>
      </c>
      <c r="BB7" s="166" t="s">
        <v>461</v>
      </c>
      <c r="BC7" s="166" t="s">
        <v>461</v>
      </c>
      <c r="BD7" s="166" t="s">
        <v>461</v>
      </c>
      <c r="BE7" s="166" t="s">
        <v>461</v>
      </c>
      <c r="BF7" s="346"/>
    </row>
    <row r="8" spans="1:58" ht="15.75" thickBot="1" x14ac:dyDescent="0.3">
      <c r="A8" s="874"/>
      <c r="B8" s="174"/>
      <c r="C8" s="180"/>
      <c r="D8" s="131"/>
      <c r="E8" s="174"/>
      <c r="F8" s="132"/>
      <c r="G8" s="132"/>
      <c r="H8" s="174"/>
      <c r="I8" s="217"/>
      <c r="J8" s="217"/>
      <c r="K8" s="217"/>
      <c r="L8" s="217"/>
      <c r="M8" s="174"/>
      <c r="N8" s="132"/>
      <c r="O8" s="132"/>
      <c r="P8" s="174"/>
      <c r="Q8" s="132"/>
      <c r="R8" s="133"/>
      <c r="S8" s="131"/>
      <c r="T8" s="132"/>
      <c r="U8" s="133"/>
      <c r="V8" s="875"/>
      <c r="W8" s="132"/>
      <c r="X8" s="132"/>
      <c r="Y8" s="132"/>
      <c r="Z8" s="132"/>
      <c r="AA8" s="174"/>
      <c r="AB8" s="132"/>
      <c r="AC8" s="132"/>
      <c r="AD8" s="132"/>
      <c r="AE8" s="132"/>
      <c r="AF8" s="132"/>
      <c r="AG8" s="174"/>
      <c r="AH8" s="132"/>
      <c r="AI8" s="132"/>
      <c r="AJ8" s="132"/>
      <c r="AK8" s="132"/>
      <c r="AL8" s="174"/>
      <c r="AM8" s="132"/>
      <c r="AN8" s="132"/>
      <c r="AO8" s="132"/>
      <c r="AP8" s="132"/>
      <c r="AQ8" s="876"/>
      <c r="AR8" s="217"/>
      <c r="AS8" s="217"/>
      <c r="AT8" s="217"/>
      <c r="AU8" s="217"/>
      <c r="AV8" s="876"/>
      <c r="AW8" s="217"/>
      <c r="AX8" s="217"/>
      <c r="AY8" s="217"/>
      <c r="AZ8" s="217"/>
      <c r="BA8" s="876"/>
      <c r="BB8" s="217"/>
      <c r="BC8" s="217"/>
      <c r="BD8" s="217"/>
      <c r="BE8" s="217"/>
      <c r="BF8" s="346"/>
    </row>
    <row r="9" spans="1:58" x14ac:dyDescent="0.25">
      <c r="A9" s="877">
        <v>1</v>
      </c>
      <c r="B9" s="878">
        <f>IF('Options and results'!$C$54="none",0,IF(HLOOKUP('Options and results'!$C$54,Agroforestrysystem!$2:$9,8,FALSE)="No",LOOKUP(A9,Plot!$CK$8:$CN$67),LOOKUP(A9,Plot!$CK$8:$CN$67)+LOOKUP(A9,Plot!#REF!)))</f>
        <v>0.99</v>
      </c>
      <c r="C9" s="879">
        <f>IF(VLOOKUP(A9,Plot!$DF$8:$DL$67,7,FALSE)&gt;0,1-B9,0)</f>
        <v>1.0000000000000009E-2</v>
      </c>
      <c r="D9" s="880">
        <v>60</v>
      </c>
      <c r="E9" s="881">
        <f>IF(VLOOKUP(D9,Plot!$V$8:$AB$67,Plot!$AB$2,FALSE)&gt;0,1,0)</f>
        <v>0</v>
      </c>
      <c r="F9" s="882">
        <f t="shared" ref="F9:F40" si="2">VLOOKUP(D9,$A$9:$B$68,2,FALSE)</f>
        <v>0</v>
      </c>
      <c r="G9" s="882">
        <f t="shared" ref="G9:G40" si="3">VLOOKUP(D9,$A$9:$C$68,3,FALSE)</f>
        <v>0</v>
      </c>
      <c r="H9" s="883">
        <f>VLOOKUP(D9,Plot!$V$8:$AH$67,Plot!$AH$2,FALSE)</f>
        <v>0</v>
      </c>
      <c r="I9" s="884">
        <f>VLOOKUP(D9,Plot!$V$8:$AJ$67,Plot!$AJ$2,FALSE)</f>
        <v>0</v>
      </c>
      <c r="J9" s="885">
        <f ca="1">VLOOKUP(D9,Plot!$CK$8:$CP$67,Plot!$CO$2,FALSE)*VLOOKUP(D9,Plot!$CK$8:$CP$67,Plot!$CN$2,FALSE)</f>
        <v>0</v>
      </c>
      <c r="K9" s="884">
        <f>VLOOKUP(D9,Plot!$DF$8:$DS$67,Plot!$DS$2,FALSE)</f>
        <v>0</v>
      </c>
      <c r="L9" s="884">
        <f>VLOOKUP(D9,Plot!$DF$8:$DU$67,Plot!$DU$2,FALSE)</f>
        <v>0</v>
      </c>
      <c r="M9" s="886">
        <f>VLOOKUP(D9,Plot!$V$8:$BW$67,Plot!$BW$2,FALSE)</f>
        <v>0</v>
      </c>
      <c r="N9" s="887">
        <f>VLOOKUP(D9,Plot!$CK$8:$CX$67,Plot!$CX$2,FALSE)</f>
        <v>0</v>
      </c>
      <c r="O9" s="887">
        <f>VLOOKUP(D9,Plot!$DF$8:$FH$67,Plot!$FH$2,FALSE)</f>
        <v>0</v>
      </c>
      <c r="P9" s="886">
        <f>VLOOKUP(D9,Plot!$V$8:$CA$67,Plot!$CA$2,FALSE)</f>
        <v>0</v>
      </c>
      <c r="Q9" s="887">
        <f>VLOOKUP($D9,Plot!$CK$8:$CZ$67,Plot!$CZ$2,FALSE)</f>
        <v>0</v>
      </c>
      <c r="R9" s="888">
        <f>VLOOKUP($D9,Plot!$DF$8:$FL$67,Plot!$FL$2,FALSE)</f>
        <v>0</v>
      </c>
      <c r="S9" s="1374">
        <f>IF(A9&lt;='Options and results'!$W$20,V9,0)</f>
        <v>33.340000000000003</v>
      </c>
      <c r="T9" s="287">
        <f>IF($A9='Options and results'!$I$33,'Options and results'!$I$34)+IF($A9='Options and results'!$I$35,'Options and results'!$I$36)+IF($A9='Options and results'!$I$37,'Options and results'!$I$38)+IF($A9='Options and results'!$I$39,'Options and results'!$I$40)+IF($A9='Options and results'!$I$41,'Options and results'!$I$42)+IF(AND($A9&gt;='Options and results'!$I$44,$A9&lt;='Options and results'!$I$45),IF(MOD($A9+'Options and results'!$I$46-'Options and results'!$I$44,'Options and results'!$I$46)=0,'Options and results'!$I$47,0))</f>
        <v>33.33</v>
      </c>
      <c r="U9" s="918">
        <f>IF($A9='Options and results'!$I$59,'Options and results'!$I$60)+IF($A9='Options and results'!$I$61,'Options and results'!$I$62)+IF($A9='Options and results'!$I$63,'Options and results'!$I$64)+IF($A9='Options and results'!$I$65,'Options and results'!$I$66)+IF($A9='Options and results'!$I$67,'Options and results'!$I$68)+IF(AND($A9&gt;='Options and results'!$I$70,$A9&lt;='Options and results'!$I$71),IF(MOD($A9+'Options and results'!$I$72-'Options and results'!$I$70,'Options and results'!$I$72)=0,'Options and results'!$I$73,0))</f>
        <v>33.33</v>
      </c>
      <c r="V9" s="889">
        <f>'Options and results'!$W$18-W9-X9-Y9</f>
        <v>33.340000000000003</v>
      </c>
      <c r="W9" s="890">
        <f>SUMPRODUCT(T9:T9,E68:E68)</f>
        <v>33.33</v>
      </c>
      <c r="X9" s="890">
        <f>SUMPRODUCT(U9:U9,F68:F68)</f>
        <v>32.996699999999997</v>
      </c>
      <c r="Y9" s="890">
        <f>SUMPRODUCT(U9:U9,G68:G68)</f>
        <v>0.33330000000000026</v>
      </c>
      <c r="Z9" s="889">
        <f t="shared" ref="Z9:Z40" si="4">X9+Y9</f>
        <v>33.33</v>
      </c>
      <c r="AA9" s="894">
        <f>(V9*Plot!E8*Plot!D8)</f>
        <v>330.67643870662727</v>
      </c>
      <c r="AB9" s="893">
        <f>SUMPRODUCT(T9:T9,H68:H68)</f>
        <v>0.94214064288753763</v>
      </c>
      <c r="AC9" s="893">
        <f>SUMPRODUCT(T9:T9,I68:I68)</f>
        <v>0</v>
      </c>
      <c r="AD9" s="893">
        <f ca="1">SUMPRODUCT(U9:U9,J68:J68)</f>
        <v>336.23637299999996</v>
      </c>
      <c r="AE9" s="893">
        <f>SUMPRODUCT(U9:U9,K68:K68)</f>
        <v>0.60395518310048535</v>
      </c>
      <c r="AF9" s="893">
        <f>SUMPRODUCT(U9:U9,L68:L68)</f>
        <v>0</v>
      </c>
      <c r="AG9" s="892">
        <f>Plot!N8*S9</f>
        <v>387.83870545896116</v>
      </c>
      <c r="AH9" s="893">
        <f>IF($A9&lt;='Options and results'!$W$20,SUMPRODUCT(T9:T9,M68:M68),0)</f>
        <v>175.49760000000001</v>
      </c>
      <c r="AI9" s="893">
        <f>IF($A9&lt;='Options and results'!$W$20,SUMPRODUCT(U9:U9,N68:N68),0)</f>
        <v>383.84515334186267</v>
      </c>
      <c r="AJ9" s="893">
        <f>IF($A9&lt;='Options and results'!$W$20,SUMPRODUCT(U9:U9,O68:O68),0)</f>
        <v>187.60749999999999</v>
      </c>
      <c r="AK9" s="893">
        <f t="shared" ref="AK9:AK40" si="5">AI9+AJ9</f>
        <v>571.45265334186263</v>
      </c>
      <c r="AL9" s="740">
        <f>Plot!P8*S9</f>
        <v>27955.408145243575</v>
      </c>
      <c r="AM9" s="740">
        <f>IF($A9&lt;='Options and results'!$W$20,SUMPRODUCT(T9:T9,P68:P68),0)</f>
        <v>-23553.765599999999</v>
      </c>
      <c r="AN9" s="893">
        <f ca="1">IF($A9&lt;='Options and results'!$W$20,SUMPRODUCT(U9:U9,Q68:Q68),0)</f>
        <v>21597.606981208795</v>
      </c>
      <c r="AO9" s="893">
        <f>IF($A9&lt;='Options and results'!$W$20,SUMPRODUCT(U9:U9,R68:R68),0)</f>
        <v>-16231.053499999998</v>
      </c>
      <c r="AP9" s="740">
        <f t="shared" ref="AP9:AP40" ca="1" si="6">AN9+AO9</f>
        <v>5366.5534812087972</v>
      </c>
      <c r="AQ9" s="894">
        <f>IF($A9&lt;='Options and results'!$W$20,AQ8+AL9,0)</f>
        <v>27955.408145243575</v>
      </c>
      <c r="AR9" s="740">
        <f>IF($A9&lt;='Options and results'!$W$20,AR8+AM9,0)</f>
        <v>-23553.765599999999</v>
      </c>
      <c r="AS9" s="740">
        <f ca="1">IF($A9&lt;='Options and results'!$W$20,AS8+AN9,0)</f>
        <v>21597.606981208795</v>
      </c>
      <c r="AT9" s="740">
        <f>IF($A9&lt;='Options and results'!$W$20,AT8+AO9,0)</f>
        <v>-16231.053499999998</v>
      </c>
      <c r="AU9" s="740">
        <f ca="1">IF($A9&lt;='Options and results'!$W$20,AU8+AP9,0)</f>
        <v>5366.5534812087972</v>
      </c>
      <c r="AV9" s="894">
        <f>AL9/(1+'Options and results'!$W$33)^($A9-1)</f>
        <v>27955.408145243575</v>
      </c>
      <c r="AW9" s="740">
        <f>AM9/(1+'Options and results'!$W$33)^($A9-1)</f>
        <v>-23553.765599999999</v>
      </c>
      <c r="AX9" s="740">
        <f ca="1">AN9/(1+'Options and results'!$W$33)^($A9-1)</f>
        <v>21597.606981208795</v>
      </c>
      <c r="AY9" s="740">
        <f>AO9/(1+'Options and results'!$W$33)^($A9-1)</f>
        <v>-16231.053499999998</v>
      </c>
      <c r="AZ9" s="740">
        <f t="shared" ref="AZ9:AZ40" ca="1" si="7">AX9+AY9</f>
        <v>5366.5534812087972</v>
      </c>
      <c r="BA9" s="894">
        <f>IF($A9&lt;='Options and results'!$W$20,AV9+BA8,0)</f>
        <v>27955.408145243575</v>
      </c>
      <c r="BB9" s="740">
        <f>IF($A9&lt;='Options and results'!$W$20,AW9+BB8,0)</f>
        <v>-23553.765599999999</v>
      </c>
      <c r="BC9" s="740">
        <f ca="1">IF($A9&lt;='Options and results'!$W$20,AX9+BC8,0)</f>
        <v>21597.606981208795</v>
      </c>
      <c r="BD9" s="740">
        <f>IF($A9&lt;='Options and results'!$W$20,AY9+BD8,0)</f>
        <v>-16231.053499999998</v>
      </c>
      <c r="BE9" s="740">
        <f ca="1">IF($A9&lt;='Options and results'!$W$20,AZ9+BE8,0)</f>
        <v>5366.5534812087972</v>
      </c>
      <c r="BF9" s="346"/>
    </row>
    <row r="10" spans="1:58" x14ac:dyDescent="0.25">
      <c r="A10" s="895">
        <f t="shared" ref="A10:A41" si="8">A9+1</f>
        <v>2</v>
      </c>
      <c r="B10" s="878">
        <f>IF('Options and results'!$C$54="none",0,IF(HLOOKUP('Options and results'!$C$54,Agroforestrysystem!$2:$9,8,FALSE)="No",LOOKUP(A10,Plot!$CK$8:$CN$67),LOOKUP(A10,Plot!$CK$8:$CN$67)+LOOKUP(A10,Plot!#REF!)))</f>
        <v>0.99</v>
      </c>
      <c r="C10" s="879">
        <f>IF(VLOOKUP(A10,Plot!$DF$8:$DL$67,7,FALSE)&gt;0,1-B10,0)</f>
        <v>1.0000000000000009E-2</v>
      </c>
      <c r="D10" s="896">
        <f t="shared" ref="D10:D41" si="9">D9-1</f>
        <v>59</v>
      </c>
      <c r="E10" s="897">
        <f>IF(VLOOKUP(D10,Plot!$V$8:$AB$67,Plot!$AB$2,FALSE)&gt;0,1,0)</f>
        <v>0</v>
      </c>
      <c r="F10" s="898">
        <f t="shared" si="2"/>
        <v>0</v>
      </c>
      <c r="G10" s="898">
        <f t="shared" si="3"/>
        <v>0</v>
      </c>
      <c r="H10" s="883">
        <f>VLOOKUP(D10,Plot!$V$8:$AH$67,Plot!$AH$2,FALSE)</f>
        <v>0</v>
      </c>
      <c r="I10" s="884">
        <f>VLOOKUP(D10,Plot!$V$8:$AJ$67,Plot!$AJ$2,FALSE)</f>
        <v>0</v>
      </c>
      <c r="J10" s="885">
        <f ca="1">VLOOKUP(D10,Plot!$CK$8:$CP$67,Plot!$CO$2,FALSE)*VLOOKUP(D10,Plot!$CK$8:$CP$67,Plot!$CN$2,FALSE)</f>
        <v>0</v>
      </c>
      <c r="K10" s="884">
        <f>VLOOKUP(D10,Plot!$DF$8:$DS$67,Plot!$DS$2,FALSE)</f>
        <v>0</v>
      </c>
      <c r="L10" s="884">
        <f>VLOOKUP(D10,Plot!$DF$8:$DU$67,Plot!$DU$2,FALSE)</f>
        <v>0</v>
      </c>
      <c r="M10" s="883">
        <f>VLOOKUP(D10,Plot!$V$8:$BW$67,Plot!$BW$2,FALSE)</f>
        <v>0</v>
      </c>
      <c r="N10" s="884">
        <f>VLOOKUP(D10,Plot!$CK$8:$CX$67,Plot!$CX$2,FALSE)</f>
        <v>0</v>
      </c>
      <c r="O10" s="884">
        <f>VLOOKUP(D10,Plot!$DF$8:$FH$67,Plot!$FH$2,FALSE)</f>
        <v>0</v>
      </c>
      <c r="P10" s="883">
        <f>VLOOKUP(D10,Plot!$V$8:$CA$67,Plot!$CA$2,FALSE)</f>
        <v>0</v>
      </c>
      <c r="Q10" s="884">
        <f>VLOOKUP($D10,Plot!$CK$8:$CZ$67,Plot!$CZ$2,FALSE)</f>
        <v>0</v>
      </c>
      <c r="R10" s="899">
        <f>VLOOKUP($D10,Plot!$DF$8:$FL$67,Plot!$FL$2,FALSE)</f>
        <v>0</v>
      </c>
      <c r="S10" s="895">
        <f t="shared" ref="S10:S41" si="10">V10</f>
        <v>33.340000000000003</v>
      </c>
      <c r="T10" s="740">
        <f>IF($A10='Options and results'!$I$33,'Options and results'!$I$34)+IF($A10='Options and results'!$I$35,'Options and results'!$I$36)+IF($A10='Options and results'!$I$37,'Options and results'!$I$38)+IF($A10='Options and results'!$I$39,'Options and results'!$I$40)+IF($A10='Options and results'!$I$41,'Options and results'!$I$42)+IF(AND($A10&gt;='Options and results'!$I$44,$A10&lt;='Options and results'!$I$45),IF(MOD($A10+'Options and results'!$I$46-'Options and results'!$I$44,'Options and results'!$I$46)=0,'Options and results'!$I$47,0))</f>
        <v>0</v>
      </c>
      <c r="U10" s="901">
        <f>IF($A10='Options and results'!$I$59,'Options and results'!$I$60)+IF($A10='Options and results'!$I$61,'Options and results'!$I$62)+IF($A10='Options and results'!$I$63,'Options and results'!$I$64)+IF($A10='Options and results'!$I$65,'Options and results'!$I$66)+IF($A10='Options and results'!$I$67,'Options and results'!$I$68)+IF(AND($A10&gt;='Options and results'!$I$70,$A10&lt;='Options and results'!$I$71),IF(MOD($A10+'Options and results'!$I$72-'Options and results'!$I$70,'Options and results'!$I$72)=0,'Options and results'!$I$73,0))</f>
        <v>0</v>
      </c>
      <c r="V10" s="889">
        <f>'Options and results'!$W$18-W10-X10-Y10</f>
        <v>33.340000000000003</v>
      </c>
      <c r="W10" s="889">
        <f>SUMPRODUCT(T9:T10,E67:E68)</f>
        <v>33.33</v>
      </c>
      <c r="X10" s="889">
        <f>SUMPRODUCT(U9:U10,F67:F68)</f>
        <v>32.996699999999997</v>
      </c>
      <c r="Y10" s="889">
        <f>SUMPRODUCT(U9:U10,G67:G68)</f>
        <v>0.33330000000000026</v>
      </c>
      <c r="Z10" s="889">
        <f t="shared" si="4"/>
        <v>33.33</v>
      </c>
      <c r="AA10" s="894">
        <f>(V10*Plot!E9*Plot!D9)</f>
        <v>269.30708917917462</v>
      </c>
      <c r="AB10" s="740">
        <f>SUMPRODUCT(T9:T10,H67:H68)</f>
        <v>1.8579534291226143</v>
      </c>
      <c r="AC10" s="740">
        <f>SUMPRODUCT(T9:T10,I67:I68)</f>
        <v>0</v>
      </c>
      <c r="AD10" s="740">
        <f ca="1">SUMPRODUCT(U9:U10,J67:J68)</f>
        <v>273.87261000000001</v>
      </c>
      <c r="AE10" s="740">
        <f>SUMPRODUCT(U9:U10,K67:K68)</f>
        <v>1.1911065685199751</v>
      </c>
      <c r="AF10" s="740">
        <f>SUMPRODUCT(U9:U10,L67:L68)</f>
        <v>0</v>
      </c>
      <c r="AG10" s="894">
        <f>Plot!N9*S10</f>
        <v>387.83870545896116</v>
      </c>
      <c r="AH10" s="740">
        <f>IF($A10&lt;='Options and results'!$W$20,SUMPRODUCT(T9:T10,M67:M68),0)</f>
        <v>0</v>
      </c>
      <c r="AI10" s="740">
        <f>IF($A10&lt;='Options and results'!$W$20,SUMPRODUCT(U9:U10,N67:N68),0)</f>
        <v>383.84515334186267</v>
      </c>
      <c r="AJ10" s="740">
        <f>IF($A10&lt;='Options and results'!$W$20,SUMPRODUCT(U9:U10,O67:O68),0)</f>
        <v>0</v>
      </c>
      <c r="AK10" s="740">
        <f t="shared" si="5"/>
        <v>383.84515334186267</v>
      </c>
      <c r="AL10" s="740">
        <f>Plot!P9*S10</f>
        <v>16380.466942704603</v>
      </c>
      <c r="AM10" s="740">
        <f>IF($A10&lt;='Options and results'!$W$20,SUMPRODUCT(T9:T10,P67:P68),0)</f>
        <v>-2099.79</v>
      </c>
      <c r="AN10" s="740">
        <f ca="1">IF($A10&lt;='Options and results'!$W$20,SUMPRODUCT(U9:U10,Q67:Q68),0)</f>
        <v>9835.1083487088072</v>
      </c>
      <c r="AO10" s="740">
        <f>IF($A10&lt;='Options and results'!$W$20,SUMPRODUCT(U9:U10,R67:R68),0)</f>
        <v>-1433.1899999999998</v>
      </c>
      <c r="AP10" s="740">
        <f t="shared" ca="1" si="6"/>
        <v>8401.9183487088067</v>
      </c>
      <c r="AQ10" s="894">
        <f>IF($A10&lt;='Options and results'!$W$20,AQ9+AL10,0)</f>
        <v>44335.875087948181</v>
      </c>
      <c r="AR10" s="740">
        <f>IF($A10&lt;='Options and results'!$W$20,AR9+AM10,0)</f>
        <v>-25653.5556</v>
      </c>
      <c r="AS10" s="740">
        <f ca="1">IF($A10&lt;='Options and results'!$W$20,AS9+AN10,0)</f>
        <v>31432.715329917603</v>
      </c>
      <c r="AT10" s="740">
        <f>IF($A10&lt;='Options and results'!$W$20,AT9+AO10,0)</f>
        <v>-17664.243499999997</v>
      </c>
      <c r="AU10" s="740">
        <f ca="1">IF($A10&lt;='Options and results'!$W$20,AU9+AP10,0)</f>
        <v>13768.471829917604</v>
      </c>
      <c r="AV10" s="894">
        <f>AL10/(1+'Options and results'!$W$33)^($A10-1)</f>
        <v>15750.44898336981</v>
      </c>
      <c r="AW10" s="740">
        <f>AM10/(1+'Options and results'!$W$33)^($A10-1)</f>
        <v>-2019.028846153846</v>
      </c>
      <c r="AX10" s="740">
        <f ca="1">AN10/(1+'Options and results'!$W$33)^($A10-1)</f>
        <v>9456.8349506815448</v>
      </c>
      <c r="AY10" s="740">
        <f>AO10/(1+'Options and results'!$W$33)^($A10-1)</f>
        <v>-1378.0673076923074</v>
      </c>
      <c r="AZ10" s="740">
        <f t="shared" ca="1" si="7"/>
        <v>8078.7676429892372</v>
      </c>
      <c r="BA10" s="894">
        <f>IF($A10&lt;='Options and results'!$W$20,AV10+BA9,0)</f>
        <v>43705.857128613381</v>
      </c>
      <c r="BB10" s="740">
        <f>IF($A10&lt;='Options and results'!$W$20,AW10+BB9,0)</f>
        <v>-25572.794446153846</v>
      </c>
      <c r="BC10" s="740">
        <f ca="1">IF($A10&lt;='Options and results'!$W$20,AX10+BC9,0)</f>
        <v>31054.441931890338</v>
      </c>
      <c r="BD10" s="740">
        <f>IF($A10&lt;='Options and results'!$W$20,AY10+BD9,0)</f>
        <v>-17609.120807692307</v>
      </c>
      <c r="BE10" s="740">
        <f ca="1">IF($A10&lt;='Options and results'!$W$20,AZ10+BE9,0)</f>
        <v>13445.321124198035</v>
      </c>
      <c r="BF10" s="346"/>
    </row>
    <row r="11" spans="1:58" x14ac:dyDescent="0.25">
      <c r="A11" s="895">
        <f t="shared" si="8"/>
        <v>3</v>
      </c>
      <c r="B11" s="878">
        <f>IF('Options and results'!$C$54="none",0,IF(HLOOKUP('Options and results'!$C$54,Agroforestrysystem!$2:$9,8,FALSE)="No",LOOKUP(A11,Plot!$CK$8:$CN$67),LOOKUP(A11,Plot!$CK$8:$CN$67)+LOOKUP(A11,Plot!#REF!)))</f>
        <v>0.99</v>
      </c>
      <c r="C11" s="879">
        <f>IF(VLOOKUP(A11,Plot!$DF$8:$DL$67,7,FALSE)&gt;0,1-B11,0)</f>
        <v>1.0000000000000009E-2</v>
      </c>
      <c r="D11" s="896">
        <f t="shared" si="9"/>
        <v>58</v>
      </c>
      <c r="E11" s="897">
        <f>IF(VLOOKUP(D11,Plot!$V$8:$AB$67,Plot!$AB$2,FALSE)&gt;0,1,0)</f>
        <v>0</v>
      </c>
      <c r="F11" s="898">
        <f t="shared" si="2"/>
        <v>0</v>
      </c>
      <c r="G11" s="898">
        <f t="shared" si="3"/>
        <v>0</v>
      </c>
      <c r="H11" s="883">
        <f>VLOOKUP(D11,Plot!$V$8:$AH$67,Plot!$AH$2,FALSE)</f>
        <v>0</v>
      </c>
      <c r="I11" s="884">
        <f>VLOOKUP(D11,Plot!$V$8:$AJ$67,Plot!$AJ$2,FALSE)</f>
        <v>0</v>
      </c>
      <c r="J11" s="885">
        <f ca="1">VLOOKUP(D11,Plot!$CK$8:$CP$67,Plot!$CO$2,FALSE)*VLOOKUP(D11,Plot!$CK$8:$CP$67,Plot!$CN$2,FALSE)</f>
        <v>0</v>
      </c>
      <c r="K11" s="884">
        <f>VLOOKUP(D11,Plot!$DF$8:$DS$67,Plot!$DS$2,FALSE)</f>
        <v>0</v>
      </c>
      <c r="L11" s="884">
        <f>VLOOKUP(D11,Plot!$DF$8:$DU$67,Plot!$DU$2,FALSE)</f>
        <v>0</v>
      </c>
      <c r="M11" s="883">
        <f>VLOOKUP(D11,Plot!$V$8:$BW$67,Plot!$BW$2,FALSE)</f>
        <v>0</v>
      </c>
      <c r="N11" s="884">
        <f>VLOOKUP(D11,Plot!$CK$8:$CX$67,Plot!$CX$2,FALSE)</f>
        <v>0</v>
      </c>
      <c r="O11" s="884">
        <f>VLOOKUP(D11,Plot!$DF$8:$FH$67,Plot!$FH$2,FALSE)</f>
        <v>0</v>
      </c>
      <c r="P11" s="883">
        <f>VLOOKUP(D11,Plot!$V$8:$CA$67,Plot!$CA$2,FALSE)</f>
        <v>0</v>
      </c>
      <c r="Q11" s="884">
        <f>VLOOKUP($D11,Plot!$CK$8:$CZ$67,Plot!$CZ$2,FALSE)</f>
        <v>0</v>
      </c>
      <c r="R11" s="899">
        <f>VLOOKUP($D11,Plot!$DF$8:$FL$67,Plot!$FL$2,FALSE)</f>
        <v>0</v>
      </c>
      <c r="S11" s="895">
        <f t="shared" si="10"/>
        <v>33.340000000000003</v>
      </c>
      <c r="T11" s="900">
        <f>IF($A11='Options and results'!$I$33,'Options and results'!$I$34)+IF($A11='Options and results'!$I$35,'Options and results'!$I$36)+IF($A11='Options and results'!$I$37,'Options and results'!$I$38)+IF($A11='Options and results'!$I$39,'Options and results'!$I$40)+IF($A11='Options and results'!$I$41,'Options and results'!$I$42)+IF(AND($A11&gt;='Options and results'!$I$44,$A11&lt;='Options and results'!$I$45),IF(MOD($A11+'Options and results'!$I$46-'Options and results'!$I$44,'Options and results'!$I$46)=0,'Options and results'!$I$47,0))</f>
        <v>0</v>
      </c>
      <c r="U11" s="901">
        <f>IF($A11='Options and results'!$I$59,'Options and results'!$I$60)+IF($A11='Options and results'!$I$61,'Options and results'!$I$62)+IF($A11='Options and results'!$I$63,'Options and results'!$I$64)+IF($A11='Options and results'!$I$65,'Options and results'!$I$66)+IF($A11='Options and results'!$I$67,'Options and results'!$I$68)+IF(AND($A11&gt;='Options and results'!$I$70,$A11&lt;='Options and results'!$I$71),IF(MOD($A11+'Options and results'!$I$72-'Options and results'!$I$70,'Options and results'!$I$72)=0,'Options and results'!$I$73,0))</f>
        <v>0</v>
      </c>
      <c r="V11" s="889">
        <f>'Options and results'!$W$18-W11-X11-Y11</f>
        <v>33.340000000000003</v>
      </c>
      <c r="W11" s="889">
        <f>SUMPRODUCT(T9:T11,E66:E68)</f>
        <v>33.33</v>
      </c>
      <c r="X11" s="889">
        <f>SUMPRODUCT(U9:U11,F66:F68)</f>
        <v>32.996699999999997</v>
      </c>
      <c r="Y11" s="889">
        <f>SUMPRODUCT(U9:U11,G66:G68)</f>
        <v>0.33330000000000026</v>
      </c>
      <c r="Z11" s="889">
        <f t="shared" si="4"/>
        <v>33.33</v>
      </c>
      <c r="AA11" s="894">
        <f>(V11*Plot!E10*Plot!D10)</f>
        <v>273.38119652537171</v>
      </c>
      <c r="AB11" s="740">
        <f>SUMPRODUCT(T9:T11,H66:H68)</f>
        <v>3.8842992117372823</v>
      </c>
      <c r="AC11" s="740">
        <f>SUMPRODUCT(T9:T11,I66:I68)</f>
        <v>0</v>
      </c>
      <c r="AD11" s="740">
        <f ca="1">SUMPRODUCT(U9:U11,J66:J68)</f>
        <v>247.47524999999999</v>
      </c>
      <c r="AE11" s="740">
        <f>SUMPRODUCT(U9:U11,K66:K68)</f>
        <v>2.4905049189207027</v>
      </c>
      <c r="AF11" s="740">
        <f>SUMPRODUCT(U9:U11,L66:L68)</f>
        <v>0</v>
      </c>
      <c r="AG11" s="894">
        <f>Plot!N10*S11</f>
        <v>361.19521025749333</v>
      </c>
      <c r="AH11" s="740">
        <f>IF($A11&lt;='Options and results'!$W$20,SUMPRODUCT(T9:T11,M66:M68),0)</f>
        <v>56.423923872451432</v>
      </c>
      <c r="AI11" s="740">
        <f>IF($A11&lt;='Options and results'!$W$20,SUMPRODUCT(U9:U11,N66:N68),0)</f>
        <v>357.47600462817718</v>
      </c>
      <c r="AJ11" s="740">
        <f>IF($A11&lt;='Options and results'!$W$20,SUMPRODUCT(U9:U11,O66:O68),0)</f>
        <v>36.169181969520153</v>
      </c>
      <c r="AK11" s="740">
        <f t="shared" si="5"/>
        <v>393.64518659769732</v>
      </c>
      <c r="AL11" s="740">
        <f>Plot!P10*S11</f>
        <v>22593.12602726918</v>
      </c>
      <c r="AM11" s="740">
        <f>IF($A11&lt;='Options and results'!$W$20,SUMPRODUCT(T9:T11,P66:P68),0)</f>
        <v>-923.77928853779076</v>
      </c>
      <c r="AN11" s="740">
        <f ca="1">IF($A11&lt;='Options and results'!$W$20,SUMPRODUCT(U9:U11,Q66:Q68),0)</f>
        <v>10595.966995928615</v>
      </c>
      <c r="AO11" s="740">
        <f>IF($A11&lt;='Options and results'!$W$20,SUMPRODUCT(U9:U11,R66:R68),0)</f>
        <v>-628.06005675499421</v>
      </c>
      <c r="AP11" s="740">
        <f t="shared" ca="1" si="6"/>
        <v>9967.9069391736211</v>
      </c>
      <c r="AQ11" s="894">
        <f>IF($A11&lt;='Options and results'!$W$20,AQ10+AL11,0)</f>
        <v>66929.001115217368</v>
      </c>
      <c r="AR11" s="740">
        <f>IF($A11&lt;='Options and results'!$W$20,AR10+AM11,0)</f>
        <v>-26577.334888537789</v>
      </c>
      <c r="AS11" s="740">
        <f ca="1">IF($A11&lt;='Options and results'!$W$20,AS10+AN11,0)</f>
        <v>42028.682325846217</v>
      </c>
      <c r="AT11" s="740">
        <f>IF($A11&lt;='Options and results'!$W$20,AT10+AO11,0)</f>
        <v>-18292.303556754992</v>
      </c>
      <c r="AU11" s="740">
        <f ca="1">IF($A11&lt;='Options and results'!$W$20,AU10+AP11,0)</f>
        <v>23736.378769091225</v>
      </c>
      <c r="AV11" s="894">
        <f>AL11/(1+'Options and results'!$W$33)^($A11-1)</f>
        <v>20888.615040004788</v>
      </c>
      <c r="AW11" s="740">
        <f>AM11/(1+'Options and results'!$W$33)^($A11-1)</f>
        <v>-854.08588067473249</v>
      </c>
      <c r="AX11" s="740">
        <f ca="1">AN11/(1+'Options and results'!$W$33)^($A11-1)</f>
        <v>9796.5671190168396</v>
      </c>
      <c r="AY11" s="740">
        <f>AO11/(1+'Options and results'!$W$33)^($A11-1)</f>
        <v>-580.67682762111144</v>
      </c>
      <c r="AZ11" s="740">
        <f t="shared" ca="1" si="7"/>
        <v>9215.8902913957281</v>
      </c>
      <c r="BA11" s="894">
        <f>IF($A11&lt;='Options and results'!$W$20,AV11+BA10,0)</f>
        <v>64594.472168618173</v>
      </c>
      <c r="BB11" s="740">
        <f>IF($A11&lt;='Options and results'!$W$20,AW11+BB10,0)</f>
        <v>-26426.880326828577</v>
      </c>
      <c r="BC11" s="740">
        <f ca="1">IF($A11&lt;='Options and results'!$W$20,AX11+BC10,0)</f>
        <v>40851.009050907174</v>
      </c>
      <c r="BD11" s="740">
        <f>IF($A11&lt;='Options and results'!$W$20,AY11+BD10,0)</f>
        <v>-18189.797635313418</v>
      </c>
      <c r="BE11" s="740">
        <f ca="1">IF($A11&lt;='Options and results'!$W$20,AZ11+BE10,0)</f>
        <v>22661.211415593763</v>
      </c>
      <c r="BF11" s="346"/>
    </row>
    <row r="12" spans="1:58" x14ac:dyDescent="0.25">
      <c r="A12" s="895">
        <f t="shared" si="8"/>
        <v>4</v>
      </c>
      <c r="B12" s="878">
        <f>IF('Options and results'!$C$54="none",0,IF(HLOOKUP('Options and results'!$C$54,Agroforestrysystem!$2:$9,8,FALSE)="No",LOOKUP(A12,Plot!$CK$8:$CN$67),LOOKUP(A12,Plot!$CK$8:$CN$67)+LOOKUP(A12,Plot!#REF!)))</f>
        <v>0.99</v>
      </c>
      <c r="C12" s="879">
        <f>IF(VLOOKUP(A12,Plot!$DF$8:$DL$67,7,FALSE)&gt;0,1-B12,0)</f>
        <v>1.0000000000000009E-2</v>
      </c>
      <c r="D12" s="896">
        <f t="shared" si="9"/>
        <v>57</v>
      </c>
      <c r="E12" s="897">
        <f>IF(VLOOKUP(D12,Plot!$V$8:$AB$67,Plot!$AB$2,FALSE)&gt;0,1,0)</f>
        <v>0</v>
      </c>
      <c r="F12" s="898">
        <f t="shared" si="2"/>
        <v>0</v>
      </c>
      <c r="G12" s="898">
        <f t="shared" si="3"/>
        <v>0</v>
      </c>
      <c r="H12" s="883">
        <f>VLOOKUP(D12,Plot!$V$8:$AH$67,Plot!$AH$2,FALSE)</f>
        <v>0</v>
      </c>
      <c r="I12" s="884">
        <f>VLOOKUP(D12,Plot!$V$8:$AJ$67,Plot!$AJ$2,FALSE)</f>
        <v>0</v>
      </c>
      <c r="J12" s="885">
        <f ca="1">VLOOKUP(D12,Plot!$CK$8:$CP$67,Plot!$CO$2,FALSE)*VLOOKUP(D12,Plot!$CK$8:$CP$67,Plot!$CN$2,FALSE)</f>
        <v>0</v>
      </c>
      <c r="K12" s="884">
        <f>VLOOKUP(D12,Plot!$DF$8:$DS$67,Plot!$DS$2,FALSE)</f>
        <v>0</v>
      </c>
      <c r="L12" s="884">
        <f>VLOOKUP(D12,Plot!$DF$8:$DU$67,Plot!$DU$2,FALSE)</f>
        <v>0</v>
      </c>
      <c r="M12" s="883">
        <f>VLOOKUP(D12,Plot!$V$8:$BW$67,Plot!$BW$2,FALSE)</f>
        <v>0</v>
      </c>
      <c r="N12" s="884">
        <f>VLOOKUP(D12,Plot!$CK$8:$CX$67,Plot!$CX$2,FALSE)</f>
        <v>0</v>
      </c>
      <c r="O12" s="884">
        <f>VLOOKUP(D12,Plot!$DF$8:$FH$67,Plot!$FH$2,FALSE)</f>
        <v>0</v>
      </c>
      <c r="P12" s="883">
        <f>VLOOKUP(D12,Plot!$V$8:$CA$67,Plot!$CA$2,FALSE)</f>
        <v>0</v>
      </c>
      <c r="Q12" s="884">
        <f>VLOOKUP($D12,Plot!$CK$8:$CZ$67,Plot!$CZ$2,FALSE)</f>
        <v>0</v>
      </c>
      <c r="R12" s="899">
        <f>VLOOKUP($D12,Plot!$DF$8:$FL$67,Plot!$FL$2,FALSE)</f>
        <v>0</v>
      </c>
      <c r="S12" s="895">
        <f t="shared" si="10"/>
        <v>33.340000000000003</v>
      </c>
      <c r="T12" s="900">
        <f>IF($A12='Options and results'!$I$33,'Options and results'!$I$34)+IF($A12='Options and results'!$I$35,'Options and results'!$I$36)+IF($A12='Options and results'!$I$37,'Options and results'!$I$38)+IF($A12='Options and results'!$I$39,'Options and results'!$I$40)+IF($A12='Options and results'!$I$41,'Options and results'!$I$42)+IF(AND($A12&gt;='Options and results'!$I$44,$A12&lt;='Options and results'!$I$45),IF(MOD($A12+'Options and results'!$I$46-'Options and results'!$I$44,'Options and results'!$I$46)=0,'Options and results'!$I$47,0))</f>
        <v>0</v>
      </c>
      <c r="U12" s="901">
        <f>IF($A12='Options and results'!$I$59,'Options and results'!$I$60)+IF($A12='Options and results'!$I$61,'Options and results'!$I$62)+IF($A12='Options and results'!$I$63,'Options and results'!$I$64)+IF($A12='Options and results'!$I$65,'Options and results'!$I$66)+IF($A12='Options and results'!$I$67,'Options and results'!$I$68)+IF(AND($A12&gt;='Options and results'!$I$70,$A12&lt;='Options and results'!$I$71),IF(MOD($A12+'Options and results'!$I$72-'Options and results'!$I$70,'Options and results'!$I$72)=0,'Options and results'!$I$73,0))</f>
        <v>0</v>
      </c>
      <c r="V12" s="889">
        <f>'Options and results'!$W$18-W12-X12-Y12</f>
        <v>33.340000000000003</v>
      </c>
      <c r="W12" s="889">
        <f>SUMPRODUCT(T9:T12,E65:E68)</f>
        <v>33.33</v>
      </c>
      <c r="X12" s="889">
        <f>SUMPRODUCT(U9:U12,F65:F68)</f>
        <v>32.996699999999997</v>
      </c>
      <c r="Y12" s="889">
        <f>SUMPRODUCT(U9:U12,G65:G68)</f>
        <v>0.33330000000000026</v>
      </c>
      <c r="Z12" s="889">
        <f t="shared" si="4"/>
        <v>33.33</v>
      </c>
      <c r="AA12" s="894">
        <f>(V12*Plot!E11*Plot!D11)</f>
        <v>112.22922836516915</v>
      </c>
      <c r="AB12" s="740">
        <f>SUMPRODUCT(T9:T12,H65:H68)</f>
        <v>7.8271439796564097</v>
      </c>
      <c r="AC12" s="740">
        <f>SUMPRODUCT(T9:T12,I65:I68)</f>
        <v>0</v>
      </c>
      <c r="AD12" s="740">
        <f ca="1">SUMPRODUCT(U9:U12,J65:J68)</f>
        <v>110.538945</v>
      </c>
      <c r="AE12" s="740">
        <f>SUMPRODUCT(U9:U12,K65:K68)</f>
        <v>5.0201250028706506</v>
      </c>
      <c r="AF12" s="740">
        <f>SUMPRODUCT(U9:U12,L65:L68)</f>
        <v>0</v>
      </c>
      <c r="AG12" s="894">
        <f>Plot!N11*S12</f>
        <v>248.68682984763632</v>
      </c>
      <c r="AH12" s="740">
        <f>IF($A12&lt;='Options and results'!$W$20,SUMPRODUCT(T9:T12,M65:M68),0)</f>
        <v>0</v>
      </c>
      <c r="AI12" s="740">
        <f>IF($A12&lt;='Options and results'!$W$20,SUMPRODUCT(U9:U12,N65:N68),0)</f>
        <v>246.12611632973906</v>
      </c>
      <c r="AJ12" s="740">
        <f>IF($A12&lt;='Options and results'!$W$20,SUMPRODUCT(U9:U12,O65:O68),0)</f>
        <v>0</v>
      </c>
      <c r="AK12" s="740">
        <f t="shared" si="5"/>
        <v>246.12611632973906</v>
      </c>
      <c r="AL12" s="740">
        <f>Plot!P11*S12</f>
        <v>8786.328304980032</v>
      </c>
      <c r="AM12" s="740">
        <f>IF($A12&lt;='Options and results'!$W$20,SUMPRODUCT(T9:T12,P65:P68),0)</f>
        <v>-99.99</v>
      </c>
      <c r="AN12" s="740">
        <f ca="1">IF($A12&lt;='Options and results'!$W$20,SUMPRODUCT(U9:U12,Q65:Q68),0)</f>
        <v>741.95845158580005</v>
      </c>
      <c r="AO12" s="740">
        <f>IF($A12&lt;='Options and results'!$W$20,SUMPRODUCT(U9:U12,R65:R68),0)</f>
        <v>-99.99</v>
      </c>
      <c r="AP12" s="740">
        <f t="shared" ca="1" si="6"/>
        <v>641.96845158580004</v>
      </c>
      <c r="AQ12" s="894">
        <f>IF($A12&lt;='Options and results'!$W$20,AQ11+AL12,0)</f>
        <v>75715.329420197406</v>
      </c>
      <c r="AR12" s="740">
        <f>IF($A12&lt;='Options and results'!$W$20,AR11+AM12,0)</f>
        <v>-26677.324888537791</v>
      </c>
      <c r="AS12" s="740">
        <f ca="1">IF($A12&lt;='Options and results'!$W$20,AS11+AN12,0)</f>
        <v>42770.640777432018</v>
      </c>
      <c r="AT12" s="740">
        <f>IF($A12&lt;='Options and results'!$W$20,AT11+AO12,0)</f>
        <v>-18392.293556754994</v>
      </c>
      <c r="AU12" s="740">
        <f ca="1">IF($A12&lt;='Options and results'!$W$20,AU11+AP12,0)</f>
        <v>24378.347220677024</v>
      </c>
      <c r="AV12" s="894">
        <f>AL12/(1+'Options and results'!$W$33)^($A12-1)</f>
        <v>7811.0138692144392</v>
      </c>
      <c r="AW12" s="740">
        <f>AM12/(1+'Options and results'!$W$33)^($A12-1)</f>
        <v>-88.890745903504765</v>
      </c>
      <c r="AX12" s="740">
        <f ca="1">AN12/(1+'Options and results'!$W$33)^($A12-1)</f>
        <v>659.59836174488646</v>
      </c>
      <c r="AY12" s="740">
        <f>AO12/(1+'Options and results'!$W$33)^($A12-1)</f>
        <v>-88.890745903504765</v>
      </c>
      <c r="AZ12" s="740">
        <f t="shared" ca="1" si="7"/>
        <v>570.70761584138165</v>
      </c>
      <c r="BA12" s="894">
        <f>IF($A12&lt;='Options and results'!$W$20,AV12+BA11,0)</f>
        <v>72405.486037832612</v>
      </c>
      <c r="BB12" s="740">
        <f>IF($A12&lt;='Options and results'!$W$20,AW12+BB11,0)</f>
        <v>-26515.771072732081</v>
      </c>
      <c r="BC12" s="740">
        <f ca="1">IF($A12&lt;='Options and results'!$W$20,AX12+BC11,0)</f>
        <v>41510.607412652062</v>
      </c>
      <c r="BD12" s="740">
        <f>IF($A12&lt;='Options and results'!$W$20,AY12+BD11,0)</f>
        <v>-18278.688381216922</v>
      </c>
      <c r="BE12" s="740">
        <f ca="1">IF($A12&lt;='Options and results'!$W$20,AZ12+BE11,0)</f>
        <v>23231.919031435144</v>
      </c>
      <c r="BF12" s="346"/>
    </row>
    <row r="13" spans="1:58" x14ac:dyDescent="0.25">
      <c r="A13" s="895">
        <f t="shared" si="8"/>
        <v>5</v>
      </c>
      <c r="B13" s="878">
        <f>IF('Options and results'!$C$54="none",0,IF(HLOOKUP('Options and results'!$C$54,Agroforestrysystem!$2:$9,8,FALSE)="No",LOOKUP(A13,Plot!$CK$8:$CN$67),LOOKUP(A13,Plot!$CK$8:$CN$67)+LOOKUP(A13,Plot!#REF!)))</f>
        <v>0.99</v>
      </c>
      <c r="C13" s="879">
        <f>IF(VLOOKUP(A13,Plot!$DF$8:$DL$67,7,FALSE)&gt;0,1-B13,0)</f>
        <v>1.0000000000000009E-2</v>
      </c>
      <c r="D13" s="896">
        <f t="shared" si="9"/>
        <v>56</v>
      </c>
      <c r="E13" s="897">
        <f>IF(VLOOKUP(D13,Plot!$V$8:$AB$67,Plot!$AB$2,FALSE)&gt;0,1,0)</f>
        <v>0</v>
      </c>
      <c r="F13" s="898">
        <f t="shared" si="2"/>
        <v>0</v>
      </c>
      <c r="G13" s="898">
        <f t="shared" si="3"/>
        <v>0</v>
      </c>
      <c r="H13" s="883">
        <f>VLOOKUP(D13,Plot!$V$8:$AH$67,Plot!$AH$2,FALSE)</f>
        <v>0</v>
      </c>
      <c r="I13" s="884">
        <f>VLOOKUP(D13,Plot!$V$8:$AJ$67,Plot!$AJ$2,FALSE)</f>
        <v>0</v>
      </c>
      <c r="J13" s="885">
        <f ca="1">VLOOKUP(D13,Plot!$CK$8:$CP$67,Plot!$CO$2,FALSE)*VLOOKUP(D13,Plot!$CK$8:$CP$67,Plot!$CN$2,FALSE)</f>
        <v>0</v>
      </c>
      <c r="K13" s="884">
        <f>VLOOKUP(D13,Plot!$DF$8:$DS$67,Plot!$DS$2,FALSE)</f>
        <v>0</v>
      </c>
      <c r="L13" s="884">
        <f>VLOOKUP(D13,Plot!$DF$8:$DU$67,Plot!$DU$2,FALSE)</f>
        <v>0</v>
      </c>
      <c r="M13" s="883">
        <f>VLOOKUP(D13,Plot!$V$8:$BW$67,Plot!$BW$2,FALSE)</f>
        <v>0</v>
      </c>
      <c r="N13" s="884">
        <f>VLOOKUP(D13,Plot!$CK$8:$CX$67,Plot!$CX$2,FALSE)</f>
        <v>0</v>
      </c>
      <c r="O13" s="884">
        <f>VLOOKUP(D13,Plot!$DF$8:$FH$67,Plot!$FH$2,FALSE)</f>
        <v>0</v>
      </c>
      <c r="P13" s="883">
        <f>VLOOKUP(D13,Plot!$V$8:$CA$67,Plot!$CA$2,FALSE)</f>
        <v>0</v>
      </c>
      <c r="Q13" s="884">
        <f>VLOOKUP($D13,Plot!$CK$8:$CZ$67,Plot!$CZ$2,FALSE)</f>
        <v>0</v>
      </c>
      <c r="R13" s="899">
        <f>VLOOKUP($D13,Plot!$DF$8:$FL$67,Plot!$FL$2,FALSE)</f>
        <v>0</v>
      </c>
      <c r="S13" s="895">
        <f t="shared" si="10"/>
        <v>33.340000000000003</v>
      </c>
      <c r="T13" s="900">
        <f>IF($A13='Options and results'!$I$33,'Options and results'!$I$34)+IF($A13='Options and results'!$I$35,'Options and results'!$I$36)+IF($A13='Options and results'!$I$37,'Options and results'!$I$38)+IF($A13='Options and results'!$I$39,'Options and results'!$I$40)+IF($A13='Options and results'!$I$41,'Options and results'!$I$42)+IF(AND($A13&gt;='Options and results'!$I$44,$A13&lt;='Options and results'!$I$45),IF(MOD($A13+'Options and results'!$I$46-'Options and results'!$I$44,'Options and results'!$I$46)=0,'Options and results'!$I$47,0))</f>
        <v>0</v>
      </c>
      <c r="U13" s="901">
        <f>IF($A13='Options and results'!$I$59,'Options and results'!$I$60)+IF($A13='Options and results'!$I$61,'Options and results'!$I$62)+IF($A13='Options and results'!$I$63,'Options and results'!$I$64)+IF($A13='Options and results'!$I$65,'Options and results'!$I$66)+IF($A13='Options and results'!$I$67,'Options and results'!$I$68)+IF(AND($A13&gt;='Options and results'!$I$70,$A13&lt;='Options and results'!$I$71),IF(MOD($A13+'Options and results'!$I$72-'Options and results'!$I$70,'Options and results'!$I$72)=0,'Options and results'!$I$73,0))</f>
        <v>0</v>
      </c>
      <c r="V13" s="889">
        <f>'Options and results'!$W$18-W13-X13-Y13</f>
        <v>33.340000000000003</v>
      </c>
      <c r="W13" s="889">
        <f>SUMPRODUCT(T9:T13,E64:E68)</f>
        <v>33.33</v>
      </c>
      <c r="X13" s="889">
        <f>SUMPRODUCT(U9:U13,F64:F68)</f>
        <v>32.996699999999997</v>
      </c>
      <c r="Y13" s="889">
        <f>SUMPRODUCT(U9:U13,G64:G68)</f>
        <v>0.33330000000000026</v>
      </c>
      <c r="Z13" s="889">
        <f t="shared" si="4"/>
        <v>33.33</v>
      </c>
      <c r="AA13" s="894">
        <f>(V13*Plot!E12*Plot!D12)</f>
        <v>333.95751153295862</v>
      </c>
      <c r="AB13" s="740">
        <f>SUMPRODUCT(T9:T13,H64:H68)</f>
        <v>15.279803879810286</v>
      </c>
      <c r="AC13" s="740">
        <f>SUMPRODUCT(T9:T13,I64:I68)</f>
        <v>0</v>
      </c>
      <c r="AD13" s="740">
        <f ca="1">SUMPRODUCT(U9:U13,J64:J68)</f>
        <v>300.59993699999995</v>
      </c>
      <c r="AE13" s="740">
        <f>SUMPRODUCT(U9:U13,K64:K68)</f>
        <v>9.8045642979776559</v>
      </c>
      <c r="AF13" s="740">
        <f>SUMPRODUCT(U9:U13,L64:L68)</f>
        <v>0</v>
      </c>
      <c r="AG13" s="894">
        <f>Plot!N12*S13</f>
        <v>387.83870545896116</v>
      </c>
      <c r="AH13" s="740">
        <f>IF($A13&lt;='Options and results'!$W$20,SUMPRODUCT(T9:T13,M64:M68),0)</f>
        <v>0</v>
      </c>
      <c r="AI13" s="740">
        <f>IF($A13&lt;='Options and results'!$W$20,SUMPRODUCT(U9:U13,N64:N68),0)</f>
        <v>383.84515334186267</v>
      </c>
      <c r="AJ13" s="740">
        <f>IF($A13&lt;='Options and results'!$W$20,SUMPRODUCT(U9:U13,O64:O68),0)</f>
        <v>0</v>
      </c>
      <c r="AK13" s="740">
        <f t="shared" si="5"/>
        <v>383.84515334186267</v>
      </c>
      <c r="AL13" s="740">
        <f>Plot!P12*S13</f>
        <v>28574.254936654415</v>
      </c>
      <c r="AM13" s="740">
        <f>IF($A13&lt;='Options and results'!$W$20,SUMPRODUCT(T9:T13,P64:P68),0)</f>
        <v>-99.99</v>
      </c>
      <c r="AN13" s="740">
        <f ca="1">IF($A13&lt;='Options and results'!$W$20,SUMPRODUCT(U9:U13,Q64:Q68),0)</f>
        <v>14905.876221208799</v>
      </c>
      <c r="AO13" s="740">
        <f>IF($A13&lt;='Options and results'!$W$20,SUMPRODUCT(U9:U13,R64:R68),0)</f>
        <v>-99.99</v>
      </c>
      <c r="AP13" s="740">
        <f t="shared" ca="1" si="6"/>
        <v>14805.886221208799</v>
      </c>
      <c r="AQ13" s="894">
        <f>IF($A13&lt;='Options and results'!$W$20,AQ12+AL13,0)</f>
        <v>104289.58435685182</v>
      </c>
      <c r="AR13" s="740">
        <f>IF($A13&lt;='Options and results'!$W$20,AR12+AM13,0)</f>
        <v>-26777.314888537792</v>
      </c>
      <c r="AS13" s="740">
        <f ca="1">IF($A13&lt;='Options and results'!$W$20,AS12+AN13,0)</f>
        <v>57676.516998640815</v>
      </c>
      <c r="AT13" s="740">
        <f>IF($A13&lt;='Options and results'!$W$20,AT12+AO13,0)</f>
        <v>-18492.283556754996</v>
      </c>
      <c r="AU13" s="740">
        <f ca="1">IF($A13&lt;='Options and results'!$W$20,AU12+AP13,0)</f>
        <v>39184.233441885823</v>
      </c>
      <c r="AV13" s="894">
        <f>AL13/(1+'Options and results'!$W$33)^($A13-1)</f>
        <v>24425.392875404024</v>
      </c>
      <c r="AW13" s="740">
        <f>AM13/(1+'Options and results'!$W$33)^($A13-1)</f>
        <v>-85.471871061062274</v>
      </c>
      <c r="AX13" s="740">
        <f ca="1">AN13/(1+'Options and results'!$W$33)^($A13-1)</f>
        <v>12741.605464859611</v>
      </c>
      <c r="AY13" s="740">
        <f>AO13/(1+'Options and results'!$W$33)^($A13-1)</f>
        <v>-85.471871061062274</v>
      </c>
      <c r="AZ13" s="740">
        <f t="shared" ca="1" si="7"/>
        <v>12656.13359379855</v>
      </c>
      <c r="BA13" s="894">
        <f>IF($A13&lt;='Options and results'!$W$20,AV13+BA12,0)</f>
        <v>96830.878913236636</v>
      </c>
      <c r="BB13" s="740">
        <f>IF($A13&lt;='Options and results'!$W$20,AW13+BB12,0)</f>
        <v>-26601.242943793142</v>
      </c>
      <c r="BC13" s="740">
        <f ca="1">IF($A13&lt;='Options and results'!$W$20,AX13+BC12,0)</f>
        <v>54252.212877511673</v>
      </c>
      <c r="BD13" s="740">
        <f>IF($A13&lt;='Options and results'!$W$20,AY13+BD12,0)</f>
        <v>-18364.160252277983</v>
      </c>
      <c r="BE13" s="740">
        <f ca="1">IF($A13&lt;='Options and results'!$W$20,AZ13+BE12,0)</f>
        <v>35888.052625233693</v>
      </c>
      <c r="BF13" s="346"/>
    </row>
    <row r="14" spans="1:58" x14ac:dyDescent="0.25">
      <c r="A14" s="895">
        <f t="shared" si="8"/>
        <v>6</v>
      </c>
      <c r="B14" s="878">
        <f>IF('Options and results'!$C$54="none",0,IF(HLOOKUP('Options and results'!$C$54,Agroforestrysystem!$2:$9,8,FALSE)="No",LOOKUP(A14,Plot!$CK$8:$CN$67),LOOKUP(A14,Plot!$CK$8:$CN$67)+LOOKUP(A14,Plot!#REF!)))</f>
        <v>0.99</v>
      </c>
      <c r="C14" s="879">
        <f>IF(VLOOKUP(A14,Plot!$DF$8:$DL$67,7,FALSE)&gt;0,1-B14,0)</f>
        <v>1.0000000000000009E-2</v>
      </c>
      <c r="D14" s="896">
        <f t="shared" si="9"/>
        <v>55</v>
      </c>
      <c r="E14" s="897">
        <f>IF(VLOOKUP(D14,Plot!$V$8:$AB$67,Plot!$AB$2,FALSE)&gt;0,1,0)</f>
        <v>0</v>
      </c>
      <c r="F14" s="898">
        <f t="shared" si="2"/>
        <v>0</v>
      </c>
      <c r="G14" s="898">
        <f t="shared" si="3"/>
        <v>0</v>
      </c>
      <c r="H14" s="883">
        <f>VLOOKUP(D14,Plot!$V$8:$AH$67,Plot!$AH$2,FALSE)</f>
        <v>0</v>
      </c>
      <c r="I14" s="884">
        <f>VLOOKUP(D14,Plot!$V$8:$AJ$67,Plot!$AJ$2,FALSE)</f>
        <v>0</v>
      </c>
      <c r="J14" s="885">
        <f ca="1">VLOOKUP(D14,Plot!$CK$8:$CP$67,Plot!$CO$2,FALSE)*VLOOKUP(D14,Plot!$CK$8:$CP$67,Plot!$CN$2,FALSE)</f>
        <v>0</v>
      </c>
      <c r="K14" s="884">
        <f>VLOOKUP(D14,Plot!$DF$8:$DS$67,Plot!$DS$2,FALSE)</f>
        <v>0</v>
      </c>
      <c r="L14" s="884">
        <f>VLOOKUP(D14,Plot!$DF$8:$DU$67,Plot!$DU$2,FALSE)</f>
        <v>0</v>
      </c>
      <c r="M14" s="883">
        <f>VLOOKUP(D14,Plot!$V$8:$BW$67,Plot!$BW$2,FALSE)</f>
        <v>0</v>
      </c>
      <c r="N14" s="884">
        <f>VLOOKUP(D14,Plot!$CK$8:$CX$67,Plot!$CX$2,FALSE)</f>
        <v>0</v>
      </c>
      <c r="O14" s="884">
        <f>VLOOKUP(D14,Plot!$DF$8:$FH$67,Plot!$FH$2,FALSE)</f>
        <v>0</v>
      </c>
      <c r="P14" s="883">
        <f>VLOOKUP(D14,Plot!$V$8:$CA$67,Plot!$CA$2,FALSE)</f>
        <v>0</v>
      </c>
      <c r="Q14" s="884">
        <f>VLOOKUP($D14,Plot!$CK$8:$CZ$67,Plot!$CZ$2,FALSE)</f>
        <v>0</v>
      </c>
      <c r="R14" s="899">
        <f>VLOOKUP($D14,Plot!$DF$8:$FL$67,Plot!$FL$2,FALSE)</f>
        <v>0</v>
      </c>
      <c r="S14" s="895">
        <f t="shared" si="10"/>
        <v>33.340000000000003</v>
      </c>
      <c r="T14" s="900">
        <f>IF($A14='Options and results'!$I$33,'Options and results'!$I$34)+IF($A14='Options and results'!$I$35,'Options and results'!$I$36)+IF($A14='Options and results'!$I$37,'Options and results'!$I$38)+IF($A14='Options and results'!$I$39,'Options and results'!$I$40)+IF($A14='Options and results'!$I$41,'Options and results'!$I$42)+IF(AND($A14&gt;='Options and results'!$I$44,$A14&lt;='Options and results'!$I$45),IF(MOD($A14+'Options and results'!$I$46-'Options and results'!$I$44,'Options and results'!$I$46)=0,'Options and results'!$I$47,0))</f>
        <v>0</v>
      </c>
      <c r="U14" s="901">
        <f>IF($A14='Options and results'!$I$59,'Options and results'!$I$60)+IF($A14='Options and results'!$I$61,'Options and results'!$I$62)+IF($A14='Options and results'!$I$63,'Options and results'!$I$64)+IF($A14='Options and results'!$I$65,'Options and results'!$I$66)+IF($A14='Options and results'!$I$67,'Options and results'!$I$68)+IF(AND($A14&gt;='Options and results'!$I$70,$A14&lt;='Options and results'!$I$71),IF(MOD($A14+'Options and results'!$I$72-'Options and results'!$I$70,'Options and results'!$I$72)=0,'Options and results'!$I$73,0))</f>
        <v>0</v>
      </c>
      <c r="V14" s="889">
        <f>'Options and results'!$W$18-W14-X14-Y14</f>
        <v>33.340000000000003</v>
      </c>
      <c r="W14" s="889">
        <f>SUMPRODUCT(T9:T14,E63:E68)</f>
        <v>33.33</v>
      </c>
      <c r="X14" s="889">
        <f>SUMPRODUCT(U9:U14,F63:F68)</f>
        <v>32.996699999999997</v>
      </c>
      <c r="Y14" s="889">
        <f>SUMPRODUCT(U9:U14,G63:G68)</f>
        <v>0.33330000000000026</v>
      </c>
      <c r="Z14" s="889">
        <f t="shared" si="4"/>
        <v>33.33</v>
      </c>
      <c r="AA14" s="894">
        <f>(V14*Plot!E13*Plot!D13)</f>
        <v>304.52369307551942</v>
      </c>
      <c r="AB14" s="740">
        <f>SUMPRODUCT(T9:T14,H63:H68)</f>
        <v>31.6651980822244</v>
      </c>
      <c r="AC14" s="740">
        <f>SUMPRODUCT(T9:T14,I63:I68)</f>
        <v>0</v>
      </c>
      <c r="AD14" s="740">
        <f ca="1">SUMPRODUCT(U9:U14,J63:J68)</f>
        <v>266.28336899999999</v>
      </c>
      <c r="AE14" s="740">
        <f>SUMPRODUCT(U9:U14,K63:K68)</f>
        <v>20.339201489189314</v>
      </c>
      <c r="AF14" s="740">
        <f>SUMPRODUCT(U9:U14,L63:L68)</f>
        <v>0</v>
      </c>
      <c r="AG14" s="894">
        <f>Plot!N13*S14</f>
        <v>387.83870545896116</v>
      </c>
      <c r="AH14" s="740">
        <f>IF($A14&lt;='Options and results'!$W$20,SUMPRODUCT(T9:T14,M63:M68),0)</f>
        <v>211.99740183290999</v>
      </c>
      <c r="AI14" s="740">
        <f>IF($A14&lt;='Options and results'!$W$20,SUMPRODUCT(U9:U14,N63:N68),0)</f>
        <v>383.84515334186267</v>
      </c>
      <c r="AJ14" s="740">
        <f>IF($A14&lt;='Options and results'!$W$20,SUMPRODUCT(U9:U14,O63:O68),0)</f>
        <v>135.89577040571152</v>
      </c>
      <c r="AK14" s="740">
        <f t="shared" si="5"/>
        <v>519.74092374757424</v>
      </c>
      <c r="AL14" s="740">
        <f>Plot!P13*S14</f>
        <v>23022.709733154083</v>
      </c>
      <c r="AM14" s="740">
        <f>IF($A14&lt;='Options and results'!$W$20,SUMPRODUCT(T9:T14,P63:P68),0)</f>
        <v>-3195.1520667604855</v>
      </c>
      <c r="AN14" s="740">
        <f ca="1">IF($A14&lt;='Options and results'!$W$20,SUMPRODUCT(U9:U14,Q63:Q68),0)</f>
        <v>8398.743666208813</v>
      </c>
      <c r="AO14" s="740">
        <f>IF($A14&lt;='Options and results'!$W$20,SUMPRODUCT(U9:U14,R63:R68),0)</f>
        <v>-2084.0682479233883</v>
      </c>
      <c r="AP14" s="740">
        <f t="shared" ca="1" si="6"/>
        <v>6314.6754182854247</v>
      </c>
      <c r="AQ14" s="894">
        <f>IF($A14&lt;='Options and results'!$W$20,AQ13+AL14,0)</f>
        <v>127312.2940900059</v>
      </c>
      <c r="AR14" s="740">
        <f>IF($A14&lt;='Options and results'!$W$20,AR13+AM14,0)</f>
        <v>-29972.466955298278</v>
      </c>
      <c r="AS14" s="740">
        <f ca="1">IF($A14&lt;='Options and results'!$W$20,AS13+AN14,0)</f>
        <v>66075.260664849629</v>
      </c>
      <c r="AT14" s="740">
        <f>IF($A14&lt;='Options and results'!$W$20,AT13+AO14,0)</f>
        <v>-20576.351804678383</v>
      </c>
      <c r="AU14" s="740">
        <f ca="1">IF($A14&lt;='Options and results'!$W$20,AU13+AP14,0)</f>
        <v>45498.90886017125</v>
      </c>
      <c r="AV14" s="894">
        <f>AL14/(1+'Options and results'!$W$33)^($A14-1)</f>
        <v>18922.989200731699</v>
      </c>
      <c r="AW14" s="740">
        <f>AM14/(1+'Options and results'!$W$33)^($A14-1)</f>
        <v>-2626.1820938886081</v>
      </c>
      <c r="AX14" s="740">
        <f ca="1">AN14/(1+'Options and results'!$W$33)^($A14-1)</f>
        <v>6903.1550819804388</v>
      </c>
      <c r="AY14" s="740">
        <f>AO14/(1+'Options and results'!$W$33)^($A14-1)</f>
        <v>-1712.9521853047015</v>
      </c>
      <c r="AZ14" s="740">
        <f t="shared" ca="1" si="7"/>
        <v>5190.2028966757371</v>
      </c>
      <c r="BA14" s="894">
        <f>IF($A14&lt;='Options and results'!$W$20,AV14+BA13,0)</f>
        <v>115753.86811396833</v>
      </c>
      <c r="BB14" s="740">
        <f>IF($A14&lt;='Options and results'!$W$20,AW14+BB13,0)</f>
        <v>-29227.425037681751</v>
      </c>
      <c r="BC14" s="740">
        <f ca="1">IF($A14&lt;='Options and results'!$W$20,AX14+BC13,0)</f>
        <v>61155.367959492112</v>
      </c>
      <c r="BD14" s="740">
        <f>IF($A14&lt;='Options and results'!$W$20,AY14+BD13,0)</f>
        <v>-20077.112437582684</v>
      </c>
      <c r="BE14" s="740">
        <f ca="1">IF($A14&lt;='Options and results'!$W$20,AZ14+BE13,0)</f>
        <v>41078.255521909428</v>
      </c>
      <c r="BF14" s="346"/>
    </row>
    <row r="15" spans="1:58" x14ac:dyDescent="0.25">
      <c r="A15" s="895">
        <f t="shared" si="8"/>
        <v>7</v>
      </c>
      <c r="B15" s="878">
        <f>IF('Options and results'!$C$54="none",0,IF(HLOOKUP('Options and results'!$C$54,Agroforestrysystem!$2:$9,8,FALSE)="No",LOOKUP(A15,Plot!$CK$8:$CN$67),LOOKUP(A15,Plot!$CK$8:$CN$67)+LOOKUP(A15,Plot!#REF!)))</f>
        <v>0.99</v>
      </c>
      <c r="C15" s="879">
        <f>IF(VLOOKUP(A15,Plot!$DF$8:$DL$67,7,FALSE)&gt;0,1-B15,0)</f>
        <v>1.0000000000000009E-2</v>
      </c>
      <c r="D15" s="896">
        <f t="shared" si="9"/>
        <v>54</v>
      </c>
      <c r="E15" s="897">
        <f>IF(VLOOKUP(D15,Plot!$V$8:$AB$67,Plot!$AB$2,FALSE)&gt;0,1,0)</f>
        <v>0</v>
      </c>
      <c r="F15" s="898">
        <f t="shared" si="2"/>
        <v>0</v>
      </c>
      <c r="G15" s="898">
        <f t="shared" si="3"/>
        <v>0</v>
      </c>
      <c r="H15" s="883">
        <f>VLOOKUP(D15,Plot!$V$8:$AH$67,Plot!$AH$2,FALSE)</f>
        <v>0</v>
      </c>
      <c r="I15" s="884">
        <f>VLOOKUP(D15,Plot!$V$8:$AJ$67,Plot!$AJ$2,FALSE)</f>
        <v>0</v>
      </c>
      <c r="J15" s="885">
        <f ca="1">VLOOKUP(D15,Plot!$CK$8:$CP$67,Plot!$CO$2,FALSE)*VLOOKUP(D15,Plot!$CK$8:$CP$67,Plot!$CN$2,FALSE)</f>
        <v>0</v>
      </c>
      <c r="K15" s="884">
        <f>VLOOKUP(D15,Plot!$DF$8:$DS$67,Plot!$DS$2,FALSE)</f>
        <v>0</v>
      </c>
      <c r="L15" s="884">
        <f>VLOOKUP(D15,Plot!$DF$8:$DU$67,Plot!$DU$2,FALSE)</f>
        <v>0</v>
      </c>
      <c r="M15" s="883">
        <f>VLOOKUP(D15,Plot!$V$8:$BW$67,Plot!$BW$2,FALSE)</f>
        <v>0</v>
      </c>
      <c r="N15" s="884">
        <f>VLOOKUP(D15,Plot!$CK$8:$CX$67,Plot!$CX$2,FALSE)</f>
        <v>0</v>
      </c>
      <c r="O15" s="884">
        <f>VLOOKUP(D15,Plot!$DF$8:$FH$67,Plot!$FH$2,FALSE)</f>
        <v>0</v>
      </c>
      <c r="P15" s="883">
        <f>VLOOKUP(D15,Plot!$V$8:$CA$67,Plot!$CA$2,FALSE)</f>
        <v>0</v>
      </c>
      <c r="Q15" s="884">
        <f>VLOOKUP($D15,Plot!$CK$8:$CZ$67,Plot!$CZ$2,FALSE)</f>
        <v>0</v>
      </c>
      <c r="R15" s="899">
        <f>VLOOKUP($D15,Plot!$DF$8:$FL$67,Plot!$FL$2,FALSE)</f>
        <v>0</v>
      </c>
      <c r="S15" s="895">
        <f t="shared" si="10"/>
        <v>33.340000000000003</v>
      </c>
      <c r="T15" s="900">
        <f>IF($A15='Options and results'!$I$33,'Options and results'!$I$34)+IF($A15='Options and results'!$I$35,'Options and results'!$I$36)+IF($A15='Options and results'!$I$37,'Options and results'!$I$38)+IF($A15='Options and results'!$I$39,'Options and results'!$I$40)+IF($A15='Options and results'!$I$41,'Options and results'!$I$42)+IF(AND($A15&gt;='Options and results'!$I$44,$A15&lt;='Options and results'!$I$45),IF(MOD($A15+'Options and results'!$I$46-'Options and results'!$I$44,'Options and results'!$I$46)=0,'Options and results'!$I$47,0))</f>
        <v>0</v>
      </c>
      <c r="U15" s="901">
        <f>IF($A15='Options and results'!$I$59,'Options and results'!$I$60)+IF($A15='Options and results'!$I$61,'Options and results'!$I$62)+IF($A15='Options and results'!$I$63,'Options and results'!$I$64)+IF($A15='Options and results'!$I$65,'Options and results'!$I$66)+IF($A15='Options and results'!$I$67,'Options and results'!$I$68)+IF(AND($A15&gt;='Options and results'!$I$70,$A15&lt;='Options and results'!$I$71),IF(MOD($A15+'Options and results'!$I$72-'Options and results'!$I$70,'Options and results'!$I$72)=0,'Options and results'!$I$73,0))</f>
        <v>0</v>
      </c>
      <c r="V15" s="889">
        <f>'Options and results'!$W$18-W15-X15-Y15</f>
        <v>33.340000000000003</v>
      </c>
      <c r="W15" s="889">
        <f>SUMPRODUCT(T9:T15,E62:E68)</f>
        <v>33.33</v>
      </c>
      <c r="X15" s="889">
        <f>SUMPRODUCT(U9:U15,F62:F68)</f>
        <v>32.996699999999997</v>
      </c>
      <c r="Y15" s="889">
        <f>SUMPRODUCT(U9:U15,G62:G68)</f>
        <v>0.33330000000000026</v>
      </c>
      <c r="Z15" s="889">
        <f t="shared" si="4"/>
        <v>33.33</v>
      </c>
      <c r="AA15" s="894">
        <f>(V15*Plot!E14*Plot!D14)</f>
        <v>247.72918525687481</v>
      </c>
      <c r="AB15" s="740">
        <f>SUMPRODUCT(T9:T15,H62:H68)</f>
        <v>60.019001899464627</v>
      </c>
      <c r="AC15" s="740">
        <f>SUMPRODUCT(T9:T15,I62:I68)</f>
        <v>0</v>
      </c>
      <c r="AD15" s="740">
        <f ca="1">SUMPRODUCT(U9:U15,J62:J68)</f>
        <v>176.20237799999998</v>
      </c>
      <c r="AE15" s="740">
        <f>SUMPRODUCT(U9:U15,K62:K68)</f>
        <v>38.616920525620316</v>
      </c>
      <c r="AF15" s="740">
        <f>SUMPRODUCT(U9:U15,L62:L68)</f>
        <v>0</v>
      </c>
      <c r="AG15" s="894">
        <f>Plot!N14*S15</f>
        <v>361.19521025749333</v>
      </c>
      <c r="AH15" s="740">
        <f>IF($A15&lt;='Options and results'!$W$20,SUMPRODUCT(T9:T15,M62:M68),0)</f>
        <v>0</v>
      </c>
      <c r="AI15" s="740">
        <f>IF($A15&lt;='Options and results'!$W$20,SUMPRODUCT(U9:U15,N62:N68),0)</f>
        <v>357.47600462817718</v>
      </c>
      <c r="AJ15" s="740">
        <f>IF($A15&lt;='Options and results'!$W$20,SUMPRODUCT(U9:U15,O62:O68),0)</f>
        <v>0</v>
      </c>
      <c r="AK15" s="740">
        <f t="shared" si="5"/>
        <v>357.47600462817718</v>
      </c>
      <c r="AL15" s="740">
        <f>Plot!P14*S15</f>
        <v>17649.413411134967</v>
      </c>
      <c r="AM15" s="740">
        <f>IF($A15&lt;='Options and results'!$W$20,SUMPRODUCT(T9:T15,P62:P68),0)</f>
        <v>-99.99</v>
      </c>
      <c r="AN15" s="740">
        <f ca="1">IF($A15&lt;='Options and results'!$W$20,SUMPRODUCT(U9:U15,Q62:Q68),0)</f>
        <v>-3586.3446310713939</v>
      </c>
      <c r="AO15" s="740">
        <f>IF($A15&lt;='Options and results'!$W$20,SUMPRODUCT(U9:U15,R62:R68),0)</f>
        <v>-99.99</v>
      </c>
      <c r="AP15" s="740">
        <f t="shared" ca="1" si="6"/>
        <v>-3686.3346310713937</v>
      </c>
      <c r="AQ15" s="894">
        <f>IF($A15&lt;='Options and results'!$W$20,AQ14+AL15,0)</f>
        <v>144961.70750114086</v>
      </c>
      <c r="AR15" s="740">
        <f>IF($A15&lt;='Options and results'!$W$20,AR14+AM15,0)</f>
        <v>-30072.456955298279</v>
      </c>
      <c r="AS15" s="740">
        <f ca="1">IF($A15&lt;='Options and results'!$W$20,AS14+AN15,0)</f>
        <v>62488.916033778238</v>
      </c>
      <c r="AT15" s="740">
        <f>IF($A15&lt;='Options and results'!$W$20,AT14+AO15,0)</f>
        <v>-20676.341804678385</v>
      </c>
      <c r="AU15" s="740">
        <f ca="1">IF($A15&lt;='Options and results'!$W$20,AU14+AP15,0)</f>
        <v>41812.574229099853</v>
      </c>
      <c r="AV15" s="894">
        <f>AL15/(1+'Options and results'!$W$33)^($A15-1)</f>
        <v>13948.587789436404</v>
      </c>
      <c r="AW15" s="740">
        <f>AM15/(1+'Options and results'!$W$33)^($A15-1)</f>
        <v>-79.02354942775726</v>
      </c>
      <c r="AX15" s="740">
        <f ca="1">AN15/(1+'Options and results'!$W$33)^($A15-1)</f>
        <v>-2834.3402562100432</v>
      </c>
      <c r="AY15" s="740">
        <f>AO15/(1+'Options and results'!$W$33)^($A15-1)</f>
        <v>-79.02354942775726</v>
      </c>
      <c r="AZ15" s="740">
        <f t="shared" ca="1" si="7"/>
        <v>-2913.3638056378004</v>
      </c>
      <c r="BA15" s="894">
        <f>IF($A15&lt;='Options and results'!$W$20,AV15+BA14,0)</f>
        <v>129702.45590340474</v>
      </c>
      <c r="BB15" s="740">
        <f>IF($A15&lt;='Options and results'!$W$20,AW15+BB14,0)</f>
        <v>-29306.448587109509</v>
      </c>
      <c r="BC15" s="740">
        <f ca="1">IF($A15&lt;='Options and results'!$W$20,AX15+BC14,0)</f>
        <v>58321.027703282067</v>
      </c>
      <c r="BD15" s="740">
        <f>IF($A15&lt;='Options and results'!$W$20,AY15+BD14,0)</f>
        <v>-20156.135987010442</v>
      </c>
      <c r="BE15" s="740">
        <f ca="1">IF($A15&lt;='Options and results'!$W$20,AZ15+BE14,0)</f>
        <v>38164.891716271624</v>
      </c>
      <c r="BF15" s="346"/>
    </row>
    <row r="16" spans="1:58" x14ac:dyDescent="0.25">
      <c r="A16" s="895">
        <f t="shared" si="8"/>
        <v>8</v>
      </c>
      <c r="B16" s="878">
        <f>IF('Options and results'!$C$54="none",0,IF(HLOOKUP('Options and results'!$C$54,Agroforestrysystem!$2:$9,8,FALSE)="No",LOOKUP(A16,Plot!$CK$8:$CN$67),LOOKUP(A16,Plot!$CK$8:$CN$67)+LOOKUP(A16,Plot!#REF!)))</f>
        <v>0.99</v>
      </c>
      <c r="C16" s="879">
        <f>IF(VLOOKUP(A16,Plot!$DF$8:$DL$67,7,FALSE)&gt;0,1-B16,0)</f>
        <v>1.0000000000000009E-2</v>
      </c>
      <c r="D16" s="896">
        <f t="shared" si="9"/>
        <v>53</v>
      </c>
      <c r="E16" s="897">
        <f>IF(VLOOKUP(D16,Plot!$V$8:$AB$67,Plot!$AB$2,FALSE)&gt;0,1,0)</f>
        <v>0</v>
      </c>
      <c r="F16" s="898">
        <f t="shared" si="2"/>
        <v>0</v>
      </c>
      <c r="G16" s="898">
        <f t="shared" si="3"/>
        <v>0</v>
      </c>
      <c r="H16" s="883">
        <f>VLOOKUP(D16,Plot!$V$8:$AH$67,Plot!$AH$2,FALSE)</f>
        <v>0</v>
      </c>
      <c r="I16" s="884">
        <f>VLOOKUP(D16,Plot!$V$8:$AJ$67,Plot!$AJ$2,FALSE)</f>
        <v>0</v>
      </c>
      <c r="J16" s="885">
        <f ca="1">VLOOKUP(D16,Plot!$CK$8:$CP$67,Plot!$CO$2,FALSE)*VLOOKUP(D16,Plot!$CK$8:$CP$67,Plot!$CN$2,FALSE)</f>
        <v>0</v>
      </c>
      <c r="K16" s="884">
        <f>VLOOKUP(D16,Plot!$DF$8:$DS$67,Plot!$DS$2,FALSE)</f>
        <v>0</v>
      </c>
      <c r="L16" s="884">
        <f>VLOOKUP(D16,Plot!$DF$8:$DU$67,Plot!$DU$2,FALSE)</f>
        <v>0</v>
      </c>
      <c r="M16" s="883">
        <f>VLOOKUP(D16,Plot!$V$8:$BW$67,Plot!$BW$2,FALSE)</f>
        <v>0</v>
      </c>
      <c r="N16" s="884">
        <f>VLOOKUP(D16,Plot!$CK$8:$CX$67,Plot!$CX$2,FALSE)</f>
        <v>0</v>
      </c>
      <c r="O16" s="884">
        <f>VLOOKUP(D16,Plot!$DF$8:$FH$67,Plot!$FH$2,FALSE)</f>
        <v>0</v>
      </c>
      <c r="P16" s="883">
        <f>VLOOKUP(D16,Plot!$V$8:$CA$67,Plot!$CA$2,FALSE)</f>
        <v>0</v>
      </c>
      <c r="Q16" s="884">
        <f>VLOOKUP($D16,Plot!$CK$8:$CZ$67,Plot!$CZ$2,FALSE)</f>
        <v>0</v>
      </c>
      <c r="R16" s="899">
        <f>VLOOKUP($D16,Plot!$DF$8:$FL$67,Plot!$FL$2,FALSE)</f>
        <v>0</v>
      </c>
      <c r="S16" s="895">
        <f t="shared" si="10"/>
        <v>33.340000000000003</v>
      </c>
      <c r="T16" s="900">
        <f>IF($A16='Options and results'!$I$33,'Options and results'!$I$34)+IF($A16='Options and results'!$I$35,'Options and results'!$I$36)+IF($A16='Options and results'!$I$37,'Options and results'!$I$38)+IF($A16='Options and results'!$I$39,'Options and results'!$I$40)+IF($A16='Options and results'!$I$41,'Options and results'!$I$42)+IF(AND($A16&gt;='Options and results'!$I$44,$A16&lt;='Options and results'!$I$45),IF(MOD($A16+'Options and results'!$I$46-'Options and results'!$I$44,'Options and results'!$I$46)=0,'Options and results'!$I$47,0))</f>
        <v>0</v>
      </c>
      <c r="U16" s="901">
        <f>IF($A16='Options and results'!$I$59,'Options and results'!$I$60)+IF($A16='Options and results'!$I$61,'Options and results'!$I$62)+IF($A16='Options and results'!$I$63,'Options and results'!$I$64)+IF($A16='Options and results'!$I$65,'Options and results'!$I$66)+IF($A16='Options and results'!$I$67,'Options and results'!$I$68)+IF(AND($A16&gt;='Options and results'!$I$70,$A16&lt;='Options and results'!$I$71),IF(MOD($A16+'Options and results'!$I$72-'Options and results'!$I$70,'Options and results'!$I$72)=0,'Options and results'!$I$73,0))</f>
        <v>0</v>
      </c>
      <c r="V16" s="889">
        <f>'Options and results'!$W$18-W16-X16-Y16</f>
        <v>33.340000000000003</v>
      </c>
      <c r="W16" s="889">
        <f>SUMPRODUCT(T9:T16,E61:E68)</f>
        <v>33.33</v>
      </c>
      <c r="X16" s="889">
        <f>SUMPRODUCT(U9:U16,F61:F68)</f>
        <v>32.996699999999997</v>
      </c>
      <c r="Y16" s="889">
        <f>SUMPRODUCT(U9:U16,G61:G68)</f>
        <v>0.33330000000000026</v>
      </c>
      <c r="Z16" s="889">
        <f t="shared" si="4"/>
        <v>33.33</v>
      </c>
      <c r="AA16" s="894">
        <f>(V16*Plot!E15*Plot!D15)</f>
        <v>106.56933613854659</v>
      </c>
      <c r="AB16" s="740">
        <f>SUMPRODUCT(T9:T16,H61:H68)</f>
        <v>99.006506799004868</v>
      </c>
      <c r="AC16" s="740">
        <f>SUMPRODUCT(T9:T16,I61:I68)</f>
        <v>0</v>
      </c>
      <c r="AD16" s="740">
        <f ca="1">SUMPRODUCT(U9:U16,J61:J68)</f>
        <v>96.350363999999999</v>
      </c>
      <c r="AE16" s="740">
        <f>SUMPRODUCT(U9:U16,K61:K68)</f>
        <v>63.87765075387761</v>
      </c>
      <c r="AF16" s="740">
        <f>SUMPRODUCT(U9:U16,L61:L68)</f>
        <v>0</v>
      </c>
      <c r="AG16" s="894">
        <f>Plot!N15*S16</f>
        <v>248.68682984763632</v>
      </c>
      <c r="AH16" s="740">
        <f>IF($A16&lt;='Options and results'!$W$20,SUMPRODUCT(T9:T16,M61:M68),0)</f>
        <v>367.57087979336853</v>
      </c>
      <c r="AI16" s="740">
        <f>IF($A16&lt;='Options and results'!$W$20,SUMPRODUCT(U9:U16,N61:N68),0)</f>
        <v>246.12611632973906</v>
      </c>
      <c r="AJ16" s="740">
        <f>IF($A16&lt;='Options and results'!$W$20,SUMPRODUCT(U9:U16,O61:O68),0)</f>
        <v>235.62235884190287</v>
      </c>
      <c r="AK16" s="740">
        <f t="shared" si="5"/>
        <v>481.74847517164193</v>
      </c>
      <c r="AL16" s="740">
        <f>Plot!P15*S16</f>
        <v>6742.4783342552137</v>
      </c>
      <c r="AM16" s="740">
        <f>IF($A16&lt;='Options and results'!$W$20,SUMPRODUCT(T9:T16,P61:P68),0)</f>
        <v>-5466.5248449831797</v>
      </c>
      <c r="AN16" s="740">
        <f ca="1">IF($A16&lt;='Options and results'!$W$20,SUMPRODUCT(U9:U16,Q61:Q68),0)</f>
        <v>-4381.6957984142045</v>
      </c>
      <c r="AO16" s="740">
        <f>IF($A16&lt;='Options and results'!$W$20,SUMPRODUCT(U9:U16,R61:R68),0)</f>
        <v>-3540.076439091782</v>
      </c>
      <c r="AP16" s="740">
        <f t="shared" ca="1" si="6"/>
        <v>-7921.7722375059866</v>
      </c>
      <c r="AQ16" s="894">
        <f>IF($A16&lt;='Options and results'!$W$20,AQ15+AL16,0)</f>
        <v>151704.18583539609</v>
      </c>
      <c r="AR16" s="740">
        <f>IF($A16&lt;='Options and results'!$W$20,AR15+AM16,0)</f>
        <v>-35538.981800281457</v>
      </c>
      <c r="AS16" s="740">
        <f ca="1">IF($A16&lt;='Options and results'!$W$20,AS15+AN16,0)</f>
        <v>58107.220235364031</v>
      </c>
      <c r="AT16" s="740">
        <f>IF($A16&lt;='Options and results'!$W$20,AT15+AO16,0)</f>
        <v>-24216.418243770167</v>
      </c>
      <c r="AU16" s="740">
        <f ca="1">IF($A16&lt;='Options and results'!$W$20,AU15+AP16,0)</f>
        <v>33890.801991593864</v>
      </c>
      <c r="AV16" s="894">
        <f>AL16/(1+'Options and results'!$W$33)^($A16-1)</f>
        <v>5123.7293913295125</v>
      </c>
      <c r="AW16" s="740">
        <f>AM16/(1+'Options and results'!$W$33)^($A16-1)</f>
        <v>-4154.1096060143655</v>
      </c>
      <c r="AX16" s="740">
        <f ca="1">AN16/(1+'Options and results'!$W$33)^($A16-1)</f>
        <v>-3329.7286892475909</v>
      </c>
      <c r="AY16" s="740">
        <f>AO16/(1+'Options and results'!$W$33)^($A16-1)</f>
        <v>-2690.1671461627743</v>
      </c>
      <c r="AZ16" s="740">
        <f t="shared" ca="1" si="7"/>
        <v>-6019.8958354103652</v>
      </c>
      <c r="BA16" s="894">
        <f>IF($A16&lt;='Options and results'!$W$20,AV16+BA15,0)</f>
        <v>134826.18529473426</v>
      </c>
      <c r="BB16" s="740">
        <f>IF($A16&lt;='Options and results'!$W$20,AW16+BB15,0)</f>
        <v>-33460.558193123878</v>
      </c>
      <c r="BC16" s="740">
        <f ca="1">IF($A16&lt;='Options and results'!$W$20,AX16+BC15,0)</f>
        <v>54991.299014034477</v>
      </c>
      <c r="BD16" s="740">
        <f>IF($A16&lt;='Options and results'!$W$20,AY16+BD15,0)</f>
        <v>-22846.303133173216</v>
      </c>
      <c r="BE16" s="740">
        <f ca="1">IF($A16&lt;='Options and results'!$W$20,AZ16+BE15,0)</f>
        <v>32144.995880861257</v>
      </c>
      <c r="BF16" s="346"/>
    </row>
    <row r="17" spans="1:58" x14ac:dyDescent="0.25">
      <c r="A17" s="895">
        <f t="shared" si="8"/>
        <v>9</v>
      </c>
      <c r="B17" s="878">
        <f>IF('Options and results'!$C$54="none",0,IF(HLOOKUP('Options and results'!$C$54,Agroforestrysystem!$2:$9,8,FALSE)="No",LOOKUP(A17,Plot!$CK$8:$CN$67),LOOKUP(A17,Plot!$CK$8:$CN$67)+LOOKUP(A17,Plot!#REF!)))</f>
        <v>0.99</v>
      </c>
      <c r="C17" s="879">
        <f>IF(VLOOKUP(A17,Plot!$DF$8:$DL$67,7,FALSE)&gt;0,1-B17,0)</f>
        <v>1.0000000000000009E-2</v>
      </c>
      <c r="D17" s="896">
        <f t="shared" si="9"/>
        <v>52</v>
      </c>
      <c r="E17" s="897">
        <f>IF(VLOOKUP(D17,Plot!$V$8:$AB$67,Plot!$AB$2,FALSE)&gt;0,1,0)</f>
        <v>0</v>
      </c>
      <c r="F17" s="898">
        <f t="shared" si="2"/>
        <v>0</v>
      </c>
      <c r="G17" s="898">
        <f t="shared" si="3"/>
        <v>0</v>
      </c>
      <c r="H17" s="883">
        <f>VLOOKUP(D17,Plot!$V$8:$AH$67,Plot!$AH$2,FALSE)</f>
        <v>0</v>
      </c>
      <c r="I17" s="884">
        <f>VLOOKUP(D17,Plot!$V$8:$AJ$67,Plot!$AJ$2,FALSE)</f>
        <v>0</v>
      </c>
      <c r="J17" s="885">
        <f ca="1">VLOOKUP(D17,Plot!$CK$8:$CP$67,Plot!$CO$2,FALSE)*VLOOKUP(D17,Plot!$CK$8:$CP$67,Plot!$CN$2,FALSE)</f>
        <v>0</v>
      </c>
      <c r="K17" s="884">
        <f>VLOOKUP(D17,Plot!$DF$8:$DS$67,Plot!$DS$2,FALSE)</f>
        <v>0</v>
      </c>
      <c r="L17" s="884">
        <f>VLOOKUP(D17,Plot!$DF$8:$DU$67,Plot!$DU$2,FALSE)</f>
        <v>0</v>
      </c>
      <c r="M17" s="883">
        <f>VLOOKUP(D17,Plot!$V$8:$BW$67,Plot!$BW$2,FALSE)</f>
        <v>0</v>
      </c>
      <c r="N17" s="884">
        <f>VLOOKUP(D17,Plot!$CK$8:$CX$67,Plot!$CX$2,FALSE)</f>
        <v>0</v>
      </c>
      <c r="O17" s="884">
        <f>VLOOKUP(D17,Plot!$DF$8:$FH$67,Plot!$FH$2,FALSE)</f>
        <v>0</v>
      </c>
      <c r="P17" s="883">
        <f>VLOOKUP(D17,Plot!$V$8:$CA$67,Plot!$CA$2,FALSE)</f>
        <v>0</v>
      </c>
      <c r="Q17" s="884">
        <f>VLOOKUP($D17,Plot!$CK$8:$CZ$67,Plot!$CZ$2,FALSE)</f>
        <v>0</v>
      </c>
      <c r="R17" s="899">
        <f>VLOOKUP($D17,Plot!$DF$8:$FL$67,Plot!$FL$2,FALSE)</f>
        <v>0</v>
      </c>
      <c r="S17" s="895">
        <f t="shared" si="10"/>
        <v>33.340000000000003</v>
      </c>
      <c r="T17" s="900">
        <f>IF($A17='Options and results'!$I$33,'Options and results'!$I$34)+IF($A17='Options and results'!$I$35,'Options and results'!$I$36)+IF($A17='Options and results'!$I$37,'Options and results'!$I$38)+IF($A17='Options and results'!$I$39,'Options and results'!$I$40)+IF($A17='Options and results'!$I$41,'Options and results'!$I$42)+IF(AND($A17&gt;='Options and results'!$I$44,$A17&lt;='Options and results'!$I$45),IF(MOD($A17+'Options and results'!$I$46-'Options and results'!$I$44,'Options and results'!$I$46)=0,'Options and results'!$I$47,0))</f>
        <v>0</v>
      </c>
      <c r="U17" s="901">
        <f>IF($A17='Options and results'!$I$59,'Options and results'!$I$60)+IF($A17='Options and results'!$I$61,'Options and results'!$I$62)+IF($A17='Options and results'!$I$63,'Options and results'!$I$64)+IF($A17='Options and results'!$I$65,'Options and results'!$I$66)+IF($A17='Options and results'!$I$67,'Options and results'!$I$68)+IF(AND($A17&gt;='Options and results'!$I$70,$A17&lt;='Options and results'!$I$71),IF(MOD($A17+'Options and results'!$I$72-'Options and results'!$I$70,'Options and results'!$I$72)=0,'Options and results'!$I$73,0))</f>
        <v>0</v>
      </c>
      <c r="V17" s="889">
        <f>'Options and results'!$W$18-W17-X17-Y17</f>
        <v>33.340000000000003</v>
      </c>
      <c r="W17" s="889">
        <f>SUMPRODUCT(T9:T17,E60:E68)</f>
        <v>33.33</v>
      </c>
      <c r="X17" s="889">
        <f>SUMPRODUCT(U9:U17,F60:F68)</f>
        <v>32.996699999999997</v>
      </c>
      <c r="Y17" s="889">
        <f>SUMPRODUCT(U9:U17,G60:G68)</f>
        <v>0.33330000000000026</v>
      </c>
      <c r="Z17" s="889">
        <f t="shared" si="4"/>
        <v>33.33</v>
      </c>
      <c r="AA17" s="894">
        <f>(V17*Plot!E16*Plot!D16)</f>
        <v>328.37790455241611</v>
      </c>
      <c r="AB17" s="740">
        <f>SUMPRODUCT(T9:T17,H60:H68)</f>
        <v>171.41953501075631</v>
      </c>
      <c r="AC17" s="740">
        <f>SUMPRODUCT(T9:T17,I60:I68)</f>
        <v>0</v>
      </c>
      <c r="AD17" s="740">
        <f ca="1">SUMPRODUCT(U9:U17,J60:J68)</f>
        <v>252.09478799999997</v>
      </c>
      <c r="AE17" s="740">
        <f>SUMPRODUCT(U9:U17,K60:K68)</f>
        <v>110.9737939562352</v>
      </c>
      <c r="AF17" s="740">
        <f>SUMPRODUCT(U9:U17,L60:L68)</f>
        <v>0</v>
      </c>
      <c r="AG17" s="894">
        <f>Plot!N16*S17</f>
        <v>387.83870545896116</v>
      </c>
      <c r="AH17" s="740">
        <f>IF($A17&lt;='Options and results'!$W$20,SUMPRODUCT(T9:T17,M60:M68),0)</f>
        <v>523.14435775382708</v>
      </c>
      <c r="AI17" s="740">
        <f>IF($A17&lt;='Options and results'!$W$20,SUMPRODUCT(U9:U17,N60:N68),0)</f>
        <v>383.84515334186267</v>
      </c>
      <c r="AJ17" s="740">
        <f>IF($A17&lt;='Options and results'!$W$20,SUMPRODUCT(U9:U17,O60:O68),0)</f>
        <v>335.34894727809433</v>
      </c>
      <c r="AK17" s="740">
        <f t="shared" si="5"/>
        <v>719.194100619957</v>
      </c>
      <c r="AL17" s="740">
        <f>Plot!P16*S17</f>
        <v>27521.879064490993</v>
      </c>
      <c r="AM17" s="740">
        <f>IF($A17&lt;='Options and results'!$W$20,SUMPRODUCT(T9:T17,P60:P68),0)</f>
        <v>-7737.8976232058749</v>
      </c>
      <c r="AN17" s="740">
        <f ca="1">IF($A17&lt;='Options and results'!$W$20,SUMPRODUCT(U9:U17,Q60:Q68),0)</f>
        <v>5727.5691437088026</v>
      </c>
      <c r="AO17" s="740">
        <f>IF($A17&lt;='Options and results'!$W$20,SUMPRODUCT(U9:U17,R60:R68),0)</f>
        <v>-4996.0846302601767</v>
      </c>
      <c r="AP17" s="740">
        <f t="shared" ca="1" si="6"/>
        <v>731.48451344862588</v>
      </c>
      <c r="AQ17" s="894">
        <f>IF($A17&lt;='Options and results'!$W$20,AQ16+AL17,0)</f>
        <v>179226.06489988707</v>
      </c>
      <c r="AR17" s="740">
        <f>IF($A17&lt;='Options and results'!$W$20,AR16+AM17,0)</f>
        <v>-43276.879423487335</v>
      </c>
      <c r="AS17" s="740">
        <f ca="1">IF($A17&lt;='Options and results'!$W$20,AS16+AN17,0)</f>
        <v>63834.789379072834</v>
      </c>
      <c r="AT17" s="740">
        <f>IF($A17&lt;='Options and results'!$W$20,AT16+AO17,0)</f>
        <v>-29212.502874030346</v>
      </c>
      <c r="AU17" s="740">
        <f ca="1">IF($A17&lt;='Options and results'!$W$20,AU16+AP17,0)</f>
        <v>34622.286505042488</v>
      </c>
      <c r="AV17" s="894">
        <f>AL17/(1+'Options and results'!$W$33)^($A17-1)</f>
        <v>20109.96745567273</v>
      </c>
      <c r="AW17" s="740">
        <f>AM17/(1+'Options and results'!$W$33)^($A17-1)</f>
        <v>-5654.0060005846635</v>
      </c>
      <c r="AX17" s="740">
        <f ca="1">AN17/(1+'Options and results'!$W$33)^($A17-1)</f>
        <v>4185.0786717796218</v>
      </c>
      <c r="AY17" s="740">
        <f>AO17/(1+'Options and results'!$W$33)^($A17-1)</f>
        <v>-3650.5901026920687</v>
      </c>
      <c r="AZ17" s="740">
        <f t="shared" ca="1" si="7"/>
        <v>534.48856908755306</v>
      </c>
      <c r="BA17" s="894">
        <f>IF($A17&lt;='Options and results'!$W$20,AV17+BA16,0)</f>
        <v>154936.152750407</v>
      </c>
      <c r="BB17" s="740">
        <f>IF($A17&lt;='Options and results'!$W$20,AW17+BB16,0)</f>
        <v>-39114.564193708538</v>
      </c>
      <c r="BC17" s="740">
        <f ca="1">IF($A17&lt;='Options and results'!$W$20,AX17+BC16,0)</f>
        <v>59176.377685814099</v>
      </c>
      <c r="BD17" s="740">
        <f>IF($A17&lt;='Options and results'!$W$20,AY17+BD16,0)</f>
        <v>-26496.893235865286</v>
      </c>
      <c r="BE17" s="740">
        <f ca="1">IF($A17&lt;='Options and results'!$W$20,AZ17+BE16,0)</f>
        <v>32679.48444994881</v>
      </c>
      <c r="BF17" s="346"/>
    </row>
    <row r="18" spans="1:58" x14ac:dyDescent="0.25">
      <c r="A18" s="895">
        <f t="shared" si="8"/>
        <v>10</v>
      </c>
      <c r="B18" s="878">
        <f>IF('Options and results'!$C$54="none",0,IF(HLOOKUP('Options and results'!$C$54,Agroforestrysystem!$2:$9,8,FALSE)="No",LOOKUP(A18,Plot!$CK$8:$CN$67),LOOKUP(A18,Plot!$CK$8:$CN$67)+LOOKUP(A18,Plot!#REF!)))</f>
        <v>0.99</v>
      </c>
      <c r="C18" s="879">
        <f>IF(VLOOKUP(A18,Plot!$DF$8:$DL$67,7,FALSE)&gt;0,1-B18,0)</f>
        <v>1.0000000000000009E-2</v>
      </c>
      <c r="D18" s="896">
        <f t="shared" si="9"/>
        <v>51</v>
      </c>
      <c r="E18" s="897">
        <f>IF(VLOOKUP(D18,Plot!$V$8:$AB$67,Plot!$AB$2,FALSE)&gt;0,1,0)</f>
        <v>0</v>
      </c>
      <c r="F18" s="898">
        <f t="shared" si="2"/>
        <v>0</v>
      </c>
      <c r="G18" s="898">
        <f t="shared" si="3"/>
        <v>0</v>
      </c>
      <c r="H18" s="883">
        <f>VLOOKUP(D18,Plot!$V$8:$AH$67,Plot!$AH$2,FALSE)</f>
        <v>0</v>
      </c>
      <c r="I18" s="884">
        <f>VLOOKUP(D18,Plot!$V$8:$AJ$67,Plot!$AJ$2,FALSE)</f>
        <v>0</v>
      </c>
      <c r="J18" s="885">
        <f ca="1">VLOOKUP(D18,Plot!$CK$8:$CP$67,Plot!$CO$2,FALSE)*VLOOKUP(D18,Plot!$CK$8:$CP$67,Plot!$CN$2,FALSE)</f>
        <v>0</v>
      </c>
      <c r="K18" s="884">
        <f>VLOOKUP(D18,Plot!$DF$8:$DS$67,Plot!$DS$2,FALSE)</f>
        <v>0</v>
      </c>
      <c r="L18" s="884">
        <f>VLOOKUP(D18,Plot!$DF$8:$DU$67,Plot!$DU$2,FALSE)</f>
        <v>0</v>
      </c>
      <c r="M18" s="883">
        <f>VLOOKUP(D18,Plot!$V$8:$BW$67,Plot!$BW$2,FALSE)</f>
        <v>0</v>
      </c>
      <c r="N18" s="884">
        <f>VLOOKUP(D18,Plot!$CK$8:$CX$67,Plot!$CX$2,FALSE)</f>
        <v>0</v>
      </c>
      <c r="O18" s="884">
        <f>VLOOKUP(D18,Plot!$DF$8:$FH$67,Plot!$FH$2,FALSE)</f>
        <v>0</v>
      </c>
      <c r="P18" s="883">
        <f>VLOOKUP(D18,Plot!$V$8:$CA$67,Plot!$CA$2,FALSE)</f>
        <v>0</v>
      </c>
      <c r="Q18" s="884">
        <f>VLOOKUP($D18,Plot!$CK$8:$CZ$67,Plot!$CZ$2,FALSE)</f>
        <v>0</v>
      </c>
      <c r="R18" s="899">
        <f>VLOOKUP($D18,Plot!$DF$8:$FL$67,Plot!$FL$2,FALSE)</f>
        <v>0</v>
      </c>
      <c r="S18" s="895">
        <f t="shared" si="10"/>
        <v>33.340000000000003</v>
      </c>
      <c r="T18" s="900">
        <f>IF($A18='Options and results'!$I$33,'Options and results'!$I$34)+IF($A18='Options and results'!$I$35,'Options and results'!$I$36)+IF($A18='Options and results'!$I$37,'Options and results'!$I$38)+IF($A18='Options and results'!$I$39,'Options and results'!$I$40)+IF($A18='Options and results'!$I$41,'Options and results'!$I$42)+IF(AND($A18&gt;='Options and results'!$I$44,$A18&lt;='Options and results'!$I$45),IF(MOD($A18+'Options and results'!$I$46-'Options and results'!$I$44,'Options and results'!$I$46)=0,'Options and results'!$I$47,0))</f>
        <v>0</v>
      </c>
      <c r="U18" s="901">
        <f>IF($A18='Options and results'!$I$59,'Options and results'!$I$60)+IF($A18='Options and results'!$I$61,'Options and results'!$I$62)+IF($A18='Options and results'!$I$63,'Options and results'!$I$64)+IF($A18='Options and results'!$I$65,'Options and results'!$I$66)+IF($A18='Options and results'!$I$67,'Options and results'!$I$68)+IF(AND($A18&gt;='Options and results'!$I$70,$A18&lt;='Options and results'!$I$71),IF(MOD($A18+'Options and results'!$I$72-'Options and results'!$I$70,'Options and results'!$I$72)=0,'Options and results'!$I$73,0))</f>
        <v>0</v>
      </c>
      <c r="V18" s="889">
        <f>'Options and results'!$W$18-W18-X18-Y18</f>
        <v>33.340000000000003</v>
      </c>
      <c r="W18" s="889">
        <f>SUMPRODUCT(T9:T18,E59:E68)</f>
        <v>33.33</v>
      </c>
      <c r="X18" s="889">
        <f>SUMPRODUCT(U9:U18,F59:F68)</f>
        <v>32.996699999999997</v>
      </c>
      <c r="Y18" s="889">
        <f>SUMPRODUCT(U9:U18,G59:G68)</f>
        <v>0.33330000000000026</v>
      </c>
      <c r="Z18" s="889">
        <f t="shared" si="4"/>
        <v>33.33</v>
      </c>
      <c r="AA18" s="894">
        <f>(V18*Plot!E17*Plot!D17)</f>
        <v>293.06878640966528</v>
      </c>
      <c r="AB18" s="740">
        <f>SUMPRODUCT(T9:T18,H59:H68)</f>
        <v>274.42691571967845</v>
      </c>
      <c r="AC18" s="740">
        <f>SUMPRODUCT(T9:T18,I59:I68)</f>
        <v>0</v>
      </c>
      <c r="AD18" s="740">
        <f ca="1">SUMPRODUCT(U9:U18,J59:J68)</f>
        <v>216.45835199999999</v>
      </c>
      <c r="AE18" s="740">
        <f>SUMPRODUCT(U9:U18,K59:K68)</f>
        <v>178.67275913985787</v>
      </c>
      <c r="AF18" s="740">
        <f>SUMPRODUCT(U9:U18,L59:L68)</f>
        <v>0</v>
      </c>
      <c r="AG18" s="894">
        <f>Plot!N17*S18</f>
        <v>387.83870545896116</v>
      </c>
      <c r="AH18" s="740">
        <f>IF($A18&lt;='Options and results'!$W$20,SUMPRODUCT(T9:T18,M59:M68),0)</f>
        <v>0</v>
      </c>
      <c r="AI18" s="740">
        <f>IF($A18&lt;='Options and results'!$W$20,SUMPRODUCT(U9:U18,N59:N68),0)</f>
        <v>383.84515334186267</v>
      </c>
      <c r="AJ18" s="740">
        <f>IF($A18&lt;='Options and results'!$W$20,SUMPRODUCT(U9:U18,O59:O68),0)</f>
        <v>0</v>
      </c>
      <c r="AK18" s="740">
        <f t="shared" si="5"/>
        <v>383.84515334186267</v>
      </c>
      <c r="AL18" s="740">
        <f>Plot!P17*S18</f>
        <v>20862.187059233267</v>
      </c>
      <c r="AM18" s="740">
        <f>IF($A18&lt;='Options and results'!$W$20,SUMPRODUCT(T9:T18,P59:P68),0)</f>
        <v>-99.99</v>
      </c>
      <c r="AN18" s="740">
        <f ca="1">IF($A18&lt;='Options and results'!$W$20,SUMPRODUCT(U9:U18,Q59:Q68),0)</f>
        <v>-993.85864629118964</v>
      </c>
      <c r="AO18" s="740">
        <f>IF($A18&lt;='Options and results'!$W$20,SUMPRODUCT(U9:U18,R59:R68),0)</f>
        <v>-99.99</v>
      </c>
      <c r="AP18" s="740">
        <f t="shared" ca="1" si="6"/>
        <v>-1093.8486462911897</v>
      </c>
      <c r="AQ18" s="894">
        <f>IF($A18&lt;='Options and results'!$W$20,AQ17+AL18,0)</f>
        <v>200088.25195912033</v>
      </c>
      <c r="AR18" s="740">
        <f>IF($A18&lt;='Options and results'!$W$20,AR17+AM18,0)</f>
        <v>-43376.869423487333</v>
      </c>
      <c r="AS18" s="740">
        <f ca="1">IF($A18&lt;='Options and results'!$W$20,AS17+AN18,0)</f>
        <v>62840.930732781642</v>
      </c>
      <c r="AT18" s="740">
        <f>IF($A18&lt;='Options and results'!$W$20,AT17+AO18,0)</f>
        <v>-29312.492874030348</v>
      </c>
      <c r="AU18" s="740">
        <f ca="1">IF($A18&lt;='Options and results'!$W$20,AU17+AP18,0)</f>
        <v>33528.437858751298</v>
      </c>
      <c r="AV18" s="894">
        <f>AL18/(1+'Options and results'!$W$33)^($A18-1)</f>
        <v>14657.495902981622</v>
      </c>
      <c r="AW18" s="740">
        <f>AM18/(1+'Options and results'!$W$33)^($A18-1)</f>
        <v>-70.251647690527264</v>
      </c>
      <c r="AX18" s="740">
        <f ca="1">AN18/(1+'Options and results'!$W$33)^($A18-1)</f>
        <v>-698.27190192452247</v>
      </c>
      <c r="AY18" s="740">
        <f>AO18/(1+'Options and results'!$W$33)^($A18-1)</f>
        <v>-70.251647690527264</v>
      </c>
      <c r="AZ18" s="740">
        <f t="shared" ca="1" si="7"/>
        <v>-768.52354961504977</v>
      </c>
      <c r="BA18" s="894">
        <f>IF($A18&lt;='Options and results'!$W$20,AV18+BA17,0)</f>
        <v>169593.64865338861</v>
      </c>
      <c r="BB18" s="740">
        <f>IF($A18&lt;='Options and results'!$W$20,AW18+BB17,0)</f>
        <v>-39184.815841399068</v>
      </c>
      <c r="BC18" s="740">
        <f ca="1">IF($A18&lt;='Options and results'!$W$20,AX18+BC17,0)</f>
        <v>58478.105783889579</v>
      </c>
      <c r="BD18" s="740">
        <f>IF($A18&lt;='Options and results'!$W$20,AY18+BD17,0)</f>
        <v>-26567.144883555811</v>
      </c>
      <c r="BE18" s="740">
        <f ca="1">IF($A18&lt;='Options and results'!$W$20,AZ18+BE17,0)</f>
        <v>31910.960900333761</v>
      </c>
      <c r="BF18" s="346"/>
    </row>
    <row r="19" spans="1:58" x14ac:dyDescent="0.25">
      <c r="A19" s="895">
        <f t="shared" si="8"/>
        <v>11</v>
      </c>
      <c r="B19" s="878">
        <f>IF('Options and results'!$C$54="none",0,IF(HLOOKUP('Options and results'!$C$54,Agroforestrysystem!$2:$9,8,FALSE)="No",LOOKUP(A19,Plot!$CK$8:$CN$67),LOOKUP(A19,Plot!$CK$8:$CN$67)+LOOKUP(A19,Plot!#REF!)))</f>
        <v>0.99</v>
      </c>
      <c r="C19" s="879">
        <f>IF(VLOOKUP(A19,Plot!$DF$8:$DL$67,7,FALSE)&gt;0,1-B19,0)</f>
        <v>1.0000000000000009E-2</v>
      </c>
      <c r="D19" s="896">
        <f t="shared" si="9"/>
        <v>50</v>
      </c>
      <c r="E19" s="897">
        <f>IF(VLOOKUP(D19,Plot!$V$8:$AB$67,Plot!$AB$2,FALSE)&gt;0,1,0)</f>
        <v>0</v>
      </c>
      <c r="F19" s="898">
        <f t="shared" si="2"/>
        <v>0</v>
      </c>
      <c r="G19" s="898">
        <f t="shared" si="3"/>
        <v>0</v>
      </c>
      <c r="H19" s="883">
        <f>VLOOKUP(D19,Plot!$V$8:$AH$67,Plot!$AH$2,FALSE)</f>
        <v>0</v>
      </c>
      <c r="I19" s="884">
        <f>VLOOKUP(D19,Plot!$V$8:$AJ$67,Plot!$AJ$2,FALSE)</f>
        <v>0</v>
      </c>
      <c r="J19" s="885">
        <f ca="1">VLOOKUP(D19,Plot!$CK$8:$CP$67,Plot!$CO$2,FALSE)*VLOOKUP(D19,Plot!$CK$8:$CP$67,Plot!$CN$2,FALSE)</f>
        <v>0</v>
      </c>
      <c r="K19" s="884">
        <f>VLOOKUP(D19,Plot!$DF$8:$DS$67,Plot!$DS$2,FALSE)</f>
        <v>0</v>
      </c>
      <c r="L19" s="884">
        <f>VLOOKUP(D19,Plot!$DF$8:$DU$67,Plot!$DU$2,FALSE)</f>
        <v>0</v>
      </c>
      <c r="M19" s="883">
        <f>VLOOKUP(D19,Plot!$V$8:$BW$67,Plot!$BW$2,FALSE)</f>
        <v>0</v>
      </c>
      <c r="N19" s="884">
        <f>VLOOKUP(D19,Plot!$CK$8:$CX$67,Plot!$CX$2,FALSE)</f>
        <v>0</v>
      </c>
      <c r="O19" s="884">
        <f>VLOOKUP(D19,Plot!$DF$8:$FH$67,Plot!$FH$2,FALSE)</f>
        <v>0</v>
      </c>
      <c r="P19" s="883">
        <f>VLOOKUP(D19,Plot!$V$8:$CA$67,Plot!$CA$2,FALSE)</f>
        <v>0</v>
      </c>
      <c r="Q19" s="884">
        <f>VLOOKUP($D19,Plot!$CK$8:$CZ$67,Plot!$CZ$2,FALSE)</f>
        <v>0</v>
      </c>
      <c r="R19" s="899">
        <f>VLOOKUP($D19,Plot!$DF$8:$FL$67,Plot!$FL$2,FALSE)</f>
        <v>0</v>
      </c>
      <c r="S19" s="895">
        <f t="shared" si="10"/>
        <v>33.340000000000003</v>
      </c>
      <c r="T19" s="900">
        <f>IF($A19='Options and results'!$I$33,'Options and results'!$I$34)+IF($A19='Options and results'!$I$35,'Options and results'!$I$36)+IF($A19='Options and results'!$I$37,'Options and results'!$I$38)+IF($A19='Options and results'!$I$39,'Options and results'!$I$40)+IF($A19='Options and results'!$I$41,'Options and results'!$I$42)+IF(AND($A19&gt;='Options and results'!$I$44,$A19&lt;='Options and results'!$I$45),IF(MOD($A19+'Options and results'!$I$46-'Options and results'!$I$44,'Options and results'!$I$46)=0,'Options and results'!$I$47,0))</f>
        <v>0</v>
      </c>
      <c r="U19" s="901">
        <f>IF($A19='Options and results'!$I$59,'Options and results'!$I$60)+IF($A19='Options and results'!$I$61,'Options and results'!$I$62)+IF($A19='Options and results'!$I$63,'Options and results'!$I$64)+IF($A19='Options and results'!$I$65,'Options and results'!$I$66)+IF($A19='Options and results'!$I$67,'Options and results'!$I$68)+IF(AND($A19&gt;='Options and results'!$I$70,$A19&lt;='Options and results'!$I$71),IF(MOD($A19+'Options and results'!$I$72-'Options and results'!$I$70,'Options and results'!$I$72)=0,'Options and results'!$I$73,0))</f>
        <v>0</v>
      </c>
      <c r="V19" s="889">
        <f>'Options and results'!$W$18-W19-X19-Y19</f>
        <v>33.340000000000003</v>
      </c>
      <c r="W19" s="889">
        <f>SUMPRODUCT(T9:T19,E58:E68)</f>
        <v>33.33</v>
      </c>
      <c r="X19" s="889">
        <f>SUMPRODUCT(U9:U19,F58:F68)</f>
        <v>32.996699999999997</v>
      </c>
      <c r="Y19" s="889">
        <f>SUMPRODUCT(U9:U19,G58:G68)</f>
        <v>0.33330000000000026</v>
      </c>
      <c r="Z19" s="889">
        <f t="shared" si="4"/>
        <v>33.33</v>
      </c>
      <c r="AA19" s="894">
        <f>(V19*Plot!E18*Plot!D18)</f>
        <v>310.38677697819924</v>
      </c>
      <c r="AB19" s="740">
        <f>SUMPRODUCT(T9:T19,H58:H68)</f>
        <v>416.44761247516738</v>
      </c>
      <c r="AC19" s="740">
        <f>SUMPRODUCT(T9:T19,I58:I68)</f>
        <v>0</v>
      </c>
      <c r="AD19" s="740">
        <f ca="1">SUMPRODUCT(U9:U19,J58:J68)</f>
        <v>169.27307099999999</v>
      </c>
      <c r="AE19" s="740">
        <f>SUMPRODUCT(U9:U19,K58:K68)</f>
        <v>272.55943742133229</v>
      </c>
      <c r="AF19" s="740">
        <f>SUMPRODUCT(U9:U19,L58:L68)</f>
        <v>0</v>
      </c>
      <c r="AG19" s="894">
        <f>Plot!N18*S19</f>
        <v>361.19521025749333</v>
      </c>
      <c r="AH19" s="740">
        <f>IF($A19&lt;='Options and results'!$W$20,SUMPRODUCT(T9:T19,M58:M68),0)</f>
        <v>678.71783571428557</v>
      </c>
      <c r="AI19" s="740">
        <f>IF($A19&lt;='Options and results'!$W$20,SUMPRODUCT(U9:U19,N58:N68),0)</f>
        <v>357.47600462817718</v>
      </c>
      <c r="AJ19" s="740">
        <f>IF($A19&lt;='Options and results'!$W$20,SUMPRODUCT(U9:U19,O58:O68),0)</f>
        <v>0</v>
      </c>
      <c r="AK19" s="740">
        <f t="shared" si="5"/>
        <v>357.47600462817718</v>
      </c>
      <c r="AL19" s="740">
        <f>Plot!P18*S19</f>
        <v>29724.923726761335</v>
      </c>
      <c r="AM19" s="740">
        <f>IF($A19&lt;='Options and results'!$W$20,SUMPRODUCT(T9:T19,P58:P68),0)</f>
        <v>-10009.27040142857</v>
      </c>
      <c r="AN19" s="740">
        <f ca="1">IF($A19&lt;='Options and results'!$W$20,SUMPRODUCT(U9:U19,Q58:Q68),0)</f>
        <v>-4921.7760745713904</v>
      </c>
      <c r="AO19" s="740">
        <f>IF($A19&lt;='Options and results'!$W$20,SUMPRODUCT(U9:U19,R58:R68),0)</f>
        <v>-99.99</v>
      </c>
      <c r="AP19" s="740">
        <f t="shared" ca="1" si="6"/>
        <v>-5021.7660745713902</v>
      </c>
      <c r="AQ19" s="894">
        <f>IF($A19&lt;='Options and results'!$W$20,AQ18+AL19,0)</f>
        <v>229813.17568588167</v>
      </c>
      <c r="AR19" s="740">
        <f>IF($A19&lt;='Options and results'!$W$20,AR18+AM19,0)</f>
        <v>-53386.139824915903</v>
      </c>
      <c r="AS19" s="740">
        <f ca="1">IF($A19&lt;='Options and results'!$W$20,AS18+AN19,0)</f>
        <v>57919.154658210253</v>
      </c>
      <c r="AT19" s="740">
        <f>IF($A19&lt;='Options and results'!$W$20,AT18+AO19,0)</f>
        <v>-29412.482874030349</v>
      </c>
      <c r="AU19" s="740">
        <f ca="1">IF($A19&lt;='Options and results'!$W$20,AU18+AP19,0)</f>
        <v>28506.671784179907</v>
      </c>
      <c r="AV19" s="894">
        <f>AL19/(1+'Options and results'!$W$33)^($A19-1)</f>
        <v>20081.093390879782</v>
      </c>
      <c r="AW19" s="740">
        <f>AM19/(1+'Options and results'!$W$33)^($A19-1)</f>
        <v>-6761.9044392937585</v>
      </c>
      <c r="AX19" s="740">
        <f ca="1">AN19/(1+'Options and results'!$W$33)^($A19-1)</f>
        <v>-3324.9755629645229</v>
      </c>
      <c r="AY19" s="740">
        <f>AO19/(1+'Options and results'!$W$33)^($A19-1)</f>
        <v>-67.549661240891595</v>
      </c>
      <c r="AZ19" s="740">
        <f t="shared" ca="1" si="7"/>
        <v>-3392.5252242054144</v>
      </c>
      <c r="BA19" s="894">
        <f>IF($A19&lt;='Options and results'!$W$20,AV19+BA18,0)</f>
        <v>189674.74204426838</v>
      </c>
      <c r="BB19" s="740">
        <f>IF($A19&lt;='Options and results'!$W$20,AW19+BB18,0)</f>
        <v>-45946.720280692825</v>
      </c>
      <c r="BC19" s="740">
        <f ca="1">IF($A19&lt;='Options and results'!$W$20,AX19+BC18,0)</f>
        <v>55153.130220925057</v>
      </c>
      <c r="BD19" s="740">
        <f>IF($A19&lt;='Options and results'!$W$20,AY19+BD18,0)</f>
        <v>-26634.694544796705</v>
      </c>
      <c r="BE19" s="740">
        <f ca="1">IF($A19&lt;='Options and results'!$W$20,AZ19+BE18,0)</f>
        <v>28518.435676128345</v>
      </c>
      <c r="BF19" s="346"/>
    </row>
    <row r="20" spans="1:58" x14ac:dyDescent="0.25">
      <c r="A20" s="895">
        <f t="shared" si="8"/>
        <v>12</v>
      </c>
      <c r="B20" s="878">
        <f>IF('Options and results'!$C$54="none",0,IF(HLOOKUP('Options and results'!$C$54,Agroforestrysystem!$2:$9,8,FALSE)="No",LOOKUP(A20,Plot!$CK$8:$CN$67),LOOKUP(A20,Plot!$CK$8:$CN$67)+LOOKUP(A20,Plot!#REF!)))</f>
        <v>0.99</v>
      </c>
      <c r="C20" s="879">
        <f>IF(VLOOKUP(A20,Plot!$DF$8:$DL$67,7,FALSE)&gt;0,1-B20,0)</f>
        <v>1.0000000000000009E-2</v>
      </c>
      <c r="D20" s="896">
        <f t="shared" si="9"/>
        <v>49</v>
      </c>
      <c r="E20" s="897">
        <f>IF(VLOOKUP(D20,Plot!$V$8:$AB$67,Plot!$AB$2,FALSE)&gt;0,1,0)</f>
        <v>0</v>
      </c>
      <c r="F20" s="898">
        <f t="shared" si="2"/>
        <v>0</v>
      </c>
      <c r="G20" s="898">
        <f t="shared" si="3"/>
        <v>0</v>
      </c>
      <c r="H20" s="883">
        <f>VLOOKUP(D20,Plot!$V$8:$AH$67,Plot!$AH$2,FALSE)</f>
        <v>0</v>
      </c>
      <c r="I20" s="884">
        <f>VLOOKUP(D20,Plot!$V$8:$AJ$67,Plot!$AJ$2,FALSE)</f>
        <v>0</v>
      </c>
      <c r="J20" s="885">
        <f ca="1">VLOOKUP(D20,Plot!$CK$8:$CP$67,Plot!$CO$2,FALSE)*VLOOKUP(D20,Plot!$CK$8:$CP$67,Plot!$CN$2,FALSE)</f>
        <v>0</v>
      </c>
      <c r="K20" s="884">
        <f>VLOOKUP(D20,Plot!$DF$8:$DS$67,Plot!$DS$2,FALSE)</f>
        <v>0</v>
      </c>
      <c r="L20" s="884">
        <f>VLOOKUP(D20,Plot!$DF$8:$DU$67,Plot!$DU$2,FALSE)</f>
        <v>0</v>
      </c>
      <c r="M20" s="883">
        <f>VLOOKUP(D20,Plot!$V$8:$BW$67,Plot!$BW$2,FALSE)</f>
        <v>0</v>
      </c>
      <c r="N20" s="884">
        <f>VLOOKUP(D20,Plot!$CK$8:$CX$67,Plot!$CX$2,FALSE)</f>
        <v>0</v>
      </c>
      <c r="O20" s="884">
        <f>VLOOKUP(D20,Plot!$DF$8:$FH$67,Plot!$FH$2,FALSE)</f>
        <v>0</v>
      </c>
      <c r="P20" s="883">
        <f>VLOOKUP(D20,Plot!$V$8:$CA$67,Plot!$CA$2,FALSE)</f>
        <v>0</v>
      </c>
      <c r="Q20" s="884">
        <f>VLOOKUP($D20,Plot!$CK$8:$CZ$67,Plot!$CZ$2,FALSE)</f>
        <v>0</v>
      </c>
      <c r="R20" s="899">
        <f>VLOOKUP($D20,Plot!$DF$8:$FL$67,Plot!$FL$2,FALSE)</f>
        <v>0</v>
      </c>
      <c r="S20" s="895">
        <f t="shared" si="10"/>
        <v>33.340000000000003</v>
      </c>
      <c r="T20" s="900">
        <f>IF($A20='Options and results'!$I$33,'Options and results'!$I$34)+IF($A20='Options and results'!$I$35,'Options and results'!$I$36)+IF($A20='Options and results'!$I$37,'Options and results'!$I$38)+IF($A20='Options and results'!$I$39,'Options and results'!$I$40)+IF($A20='Options and results'!$I$41,'Options and results'!$I$42)+IF(AND($A20&gt;='Options and results'!$I$44,$A20&lt;='Options and results'!$I$45),IF(MOD($A20+'Options and results'!$I$46-'Options and results'!$I$44,'Options and results'!$I$46)=0,'Options and results'!$I$47,0))</f>
        <v>0</v>
      </c>
      <c r="U20" s="901">
        <f>IF($A20='Options and results'!$I$59,'Options and results'!$I$60)+IF($A20='Options and results'!$I$61,'Options and results'!$I$62)+IF($A20='Options and results'!$I$63,'Options and results'!$I$64)+IF($A20='Options and results'!$I$65,'Options and results'!$I$66)+IF($A20='Options and results'!$I$67,'Options and results'!$I$68)+IF(AND($A20&gt;='Options and results'!$I$70,$A20&lt;='Options and results'!$I$71),IF(MOD($A20+'Options and results'!$I$72-'Options and results'!$I$70,'Options and results'!$I$72)=0,'Options and results'!$I$73,0))</f>
        <v>0</v>
      </c>
      <c r="V20" s="889">
        <f>'Options and results'!$W$18-W20-X20-Y20</f>
        <v>33.340000000000003</v>
      </c>
      <c r="W20" s="889">
        <f>SUMPRODUCT(T9:T20,E57:E68)</f>
        <v>33.33</v>
      </c>
      <c r="X20" s="889">
        <f>SUMPRODUCT(U9:U20,F57:F68)</f>
        <v>32.996699999999997</v>
      </c>
      <c r="Y20" s="889">
        <f>SUMPRODUCT(U9:U20,G57:G68)</f>
        <v>0.33330000000000026</v>
      </c>
      <c r="Z20" s="889">
        <f t="shared" si="4"/>
        <v>33.33</v>
      </c>
      <c r="AA20" s="894">
        <f>(V20*Plot!E19*Plot!D19)</f>
        <v>118.24786175466822</v>
      </c>
      <c r="AB20" s="740">
        <f>SUMPRODUCT(T9:T20,H57:H68)</f>
        <v>590.46002021310926</v>
      </c>
      <c r="AC20" s="740">
        <f>SUMPRODUCT(T9:T20,I57:I68)</f>
        <v>0</v>
      </c>
      <c r="AD20" s="740">
        <f ca="1">SUMPRODUCT(U9:U20,J57:J68)</f>
        <v>106.249374</v>
      </c>
      <c r="AE20" s="740">
        <f>SUMPRODUCT(U9:U20,K57:K68)</f>
        <v>390.21598296145851</v>
      </c>
      <c r="AF20" s="740">
        <f>SUMPRODUCT(U9:U20,L57:L68)</f>
        <v>0</v>
      </c>
      <c r="AG20" s="894">
        <f>Plot!N19*S20</f>
        <v>248.68682984763632</v>
      </c>
      <c r="AH20" s="740">
        <f>IF($A20&lt;='Options and results'!$W$20,SUMPRODUCT(T9:T20,M57:M68),0)</f>
        <v>0</v>
      </c>
      <c r="AI20" s="740">
        <f>IF($A20&lt;='Options and results'!$W$20,SUMPRODUCT(U9:U20,N57:N68),0)</f>
        <v>246.12611632973906</v>
      </c>
      <c r="AJ20" s="740">
        <f>IF($A20&lt;='Options and results'!$W$20,SUMPRODUCT(U9:U20,O57:O68),0)</f>
        <v>435.07553571428565</v>
      </c>
      <c r="AK20" s="740">
        <f t="shared" si="5"/>
        <v>681.20165204402474</v>
      </c>
      <c r="AL20" s="740">
        <f>Plot!P19*S20</f>
        <v>10959.723695632474</v>
      </c>
      <c r="AM20" s="740">
        <f>IF($A20&lt;='Options and results'!$W$20,SUMPRODUCT(T9:T20,P57:P68),0)</f>
        <v>-99.99</v>
      </c>
      <c r="AN20" s="740">
        <f ca="1">IF($A20&lt;='Options and results'!$W$20,SUMPRODUCT(U9:U20,Q57:Q68),0)</f>
        <v>-807.05329841419689</v>
      </c>
      <c r="AO20" s="740">
        <f>IF($A20&lt;='Options and results'!$W$20,SUMPRODUCT(U9:U20,R57:R68),0)</f>
        <v>-6452.0928214285714</v>
      </c>
      <c r="AP20" s="740">
        <f t="shared" ca="1" si="6"/>
        <v>-7259.1461198427678</v>
      </c>
      <c r="AQ20" s="894">
        <f>IF($A20&lt;='Options and results'!$W$20,AQ19+AL20,0)</f>
        <v>240772.89938151414</v>
      </c>
      <c r="AR20" s="740">
        <f>IF($A20&lt;='Options and results'!$W$20,AR19+AM20,0)</f>
        <v>-53486.129824915901</v>
      </c>
      <c r="AS20" s="740">
        <f ca="1">IF($A20&lt;='Options and results'!$W$20,AS19+AN20,0)</f>
        <v>57112.101359796055</v>
      </c>
      <c r="AT20" s="740">
        <f>IF($A20&lt;='Options and results'!$W$20,AT19+AO20,0)</f>
        <v>-35864.575695458923</v>
      </c>
      <c r="AU20" s="740">
        <f ca="1">IF($A20&lt;='Options and results'!$W$20,AU19+AP20,0)</f>
        <v>21247.525664337139</v>
      </c>
      <c r="AV20" s="894">
        <f>AL20/(1+'Options and results'!$W$33)^($A20-1)</f>
        <v>7119.2275278849638</v>
      </c>
      <c r="AW20" s="740">
        <f>AM20/(1+'Options and results'!$W$33)^($A20-1)</f>
        <v>-64.951597347011159</v>
      </c>
      <c r="AX20" s="740">
        <f ca="1">AN20/(1+'Options and results'!$W$33)^($A20-1)</f>
        <v>-524.24643340510204</v>
      </c>
      <c r="AY20" s="740">
        <f>AO20/(1+'Options and results'!$W$33)^($A20-1)</f>
        <v>-4191.1564654762451</v>
      </c>
      <c r="AZ20" s="740">
        <f t="shared" ca="1" si="7"/>
        <v>-4715.402898881347</v>
      </c>
      <c r="BA20" s="894">
        <f>IF($A20&lt;='Options and results'!$W$20,AV20+BA19,0)</f>
        <v>196793.96957215335</v>
      </c>
      <c r="BB20" s="740">
        <f>IF($A20&lt;='Options and results'!$W$20,AW20+BB19,0)</f>
        <v>-46011.671878039837</v>
      </c>
      <c r="BC20" s="740">
        <f ca="1">IF($A20&lt;='Options and results'!$W$20,AX20+BC19,0)</f>
        <v>54628.883787519953</v>
      </c>
      <c r="BD20" s="740">
        <f>IF($A20&lt;='Options and results'!$W$20,AY20+BD19,0)</f>
        <v>-30825.851010272949</v>
      </c>
      <c r="BE20" s="740">
        <f ca="1">IF($A20&lt;='Options and results'!$W$20,AZ20+BE19,0)</f>
        <v>23803.032777246997</v>
      </c>
      <c r="BF20" s="346"/>
    </row>
    <row r="21" spans="1:58" x14ac:dyDescent="0.25">
      <c r="A21" s="895">
        <f t="shared" si="8"/>
        <v>13</v>
      </c>
      <c r="B21" s="878">
        <f>IF('Options and results'!$C$54="none",0,IF(HLOOKUP('Options and results'!$C$54,Agroforestrysystem!$2:$9,8,FALSE)="No",LOOKUP(A21,Plot!$CK$8:$CN$67),LOOKUP(A21,Plot!$CK$8:$CN$67)+LOOKUP(A21,Plot!#REF!)))</f>
        <v>0.99</v>
      </c>
      <c r="C21" s="879">
        <f>IF(VLOOKUP(A21,Plot!$DF$8:$DL$67,7,FALSE)&gt;0,1-B21,0)</f>
        <v>1.0000000000000009E-2</v>
      </c>
      <c r="D21" s="896">
        <f t="shared" si="9"/>
        <v>48</v>
      </c>
      <c r="E21" s="897">
        <f>IF(VLOOKUP(D21,Plot!$V$8:$AB$67,Plot!$AB$2,FALSE)&gt;0,1,0)</f>
        <v>0</v>
      </c>
      <c r="F21" s="898">
        <f t="shared" si="2"/>
        <v>0</v>
      </c>
      <c r="G21" s="898">
        <f t="shared" si="3"/>
        <v>0</v>
      </c>
      <c r="H21" s="883">
        <f>VLOOKUP(D21,Plot!$V$8:$AH$67,Plot!$AH$2,FALSE)</f>
        <v>0</v>
      </c>
      <c r="I21" s="884">
        <f>VLOOKUP(D21,Plot!$V$8:$AJ$67,Plot!$AJ$2,FALSE)</f>
        <v>0</v>
      </c>
      <c r="J21" s="885">
        <f ca="1">VLOOKUP(D21,Plot!$CK$8:$CP$67,Plot!$CO$2,FALSE)*VLOOKUP(D21,Plot!$CK$8:$CP$67,Plot!$CN$2,FALSE)</f>
        <v>0</v>
      </c>
      <c r="K21" s="884">
        <f>VLOOKUP(D21,Plot!$DF$8:$DS$67,Plot!$DS$2,FALSE)</f>
        <v>0</v>
      </c>
      <c r="L21" s="884">
        <f>VLOOKUP(D21,Plot!$DF$8:$DU$67,Plot!$DU$2,FALSE)</f>
        <v>0</v>
      </c>
      <c r="M21" s="883">
        <f>VLOOKUP(D21,Plot!$V$8:$BW$67,Plot!$BW$2,FALSE)</f>
        <v>0</v>
      </c>
      <c r="N21" s="884">
        <f>VLOOKUP(D21,Plot!$CK$8:$CX$67,Plot!$CX$2,FALSE)</f>
        <v>0</v>
      </c>
      <c r="O21" s="884">
        <f>VLOOKUP(D21,Plot!$DF$8:$FH$67,Plot!$FH$2,FALSE)</f>
        <v>0</v>
      </c>
      <c r="P21" s="883">
        <f>VLOOKUP(D21,Plot!$V$8:$CA$67,Plot!$CA$2,FALSE)</f>
        <v>0</v>
      </c>
      <c r="Q21" s="884">
        <f>VLOOKUP($D21,Plot!$CK$8:$CZ$67,Plot!$CZ$2,FALSE)</f>
        <v>0</v>
      </c>
      <c r="R21" s="899">
        <f>VLOOKUP($D21,Plot!$DF$8:$FL$67,Plot!$FL$2,FALSE)</f>
        <v>0</v>
      </c>
      <c r="S21" s="895">
        <f t="shared" si="10"/>
        <v>33.340000000000003</v>
      </c>
      <c r="T21" s="900">
        <f>IF($A21='Options and results'!$I$33,'Options and results'!$I$34)+IF($A21='Options and results'!$I$35,'Options and results'!$I$36)+IF($A21='Options and results'!$I$37,'Options and results'!$I$38)+IF($A21='Options and results'!$I$39,'Options and results'!$I$40)+IF($A21='Options and results'!$I$41,'Options and results'!$I$42)+IF(AND($A21&gt;='Options and results'!$I$44,$A21&lt;='Options and results'!$I$45),IF(MOD($A21+'Options and results'!$I$46-'Options and results'!$I$44,'Options and results'!$I$46)=0,'Options and results'!$I$47,0))</f>
        <v>0</v>
      </c>
      <c r="U21" s="901">
        <f>IF($A21='Options and results'!$I$59,'Options and results'!$I$60)+IF($A21='Options and results'!$I$61,'Options and results'!$I$62)+IF($A21='Options and results'!$I$63,'Options and results'!$I$64)+IF($A21='Options and results'!$I$65,'Options and results'!$I$66)+IF($A21='Options and results'!$I$67,'Options and results'!$I$68)+IF(AND($A21&gt;='Options and results'!$I$70,$A21&lt;='Options and results'!$I$71),IF(MOD($A21+'Options and results'!$I$72-'Options and results'!$I$70,'Options and results'!$I$72)=0,'Options and results'!$I$73,0))</f>
        <v>0</v>
      </c>
      <c r="V21" s="889">
        <f>'Options and results'!$W$18-W21-X21-Y21</f>
        <v>33.340000000000003</v>
      </c>
      <c r="W21" s="889">
        <f>SUMPRODUCT(T9:T21,E56:E68)</f>
        <v>33.33</v>
      </c>
      <c r="X21" s="889">
        <f>SUMPRODUCT(U9:U21,F56:F68)</f>
        <v>32.996699999999997</v>
      </c>
      <c r="Y21" s="889">
        <f>SUMPRODUCT(U9:U21,G56:G68)</f>
        <v>0.33330000000000026</v>
      </c>
      <c r="Z21" s="889">
        <f t="shared" si="4"/>
        <v>33.33</v>
      </c>
      <c r="AA21" s="894">
        <f>(V21*Plot!E20*Plot!D20)</f>
        <v>265.92622116334553</v>
      </c>
      <c r="AB21" s="740">
        <f>SUMPRODUCT(T9:T21,H56:H68)</f>
        <v>838.00341548339986</v>
      </c>
      <c r="AC21" s="740">
        <f>SUMPRODUCT(T9:T21,I56:I68)</f>
        <v>0</v>
      </c>
      <c r="AD21" s="740">
        <f ca="1">SUMPRODUCT(U9:U21,J56:J68)</f>
        <v>197.65023300000001</v>
      </c>
      <c r="AE21" s="740">
        <f>SUMPRODUCT(U9:U21,K56:K68)</f>
        <v>557.79847190029068</v>
      </c>
      <c r="AF21" s="740">
        <f>SUMPRODUCT(U9:U21,L56:L68)</f>
        <v>0</v>
      </c>
      <c r="AG21" s="894">
        <f>Plot!N20*S21</f>
        <v>387.83870545896116</v>
      </c>
      <c r="AH21" s="740">
        <f>IF($A21&lt;='Options and results'!$W$20,SUMPRODUCT(T9:T21,M56:M68),0)</f>
        <v>0</v>
      </c>
      <c r="AI21" s="740">
        <f>IF($A21&lt;='Options and results'!$W$20,SUMPRODUCT(U9:U21,N56:N68),0)</f>
        <v>383.84515334186267</v>
      </c>
      <c r="AJ21" s="740">
        <f>IF($A21&lt;='Options and results'!$W$20,SUMPRODUCT(U9:U21,O56:O68),0)</f>
        <v>0</v>
      </c>
      <c r="AK21" s="740">
        <f t="shared" si="5"/>
        <v>383.84515334186267</v>
      </c>
      <c r="AL21" s="740">
        <f>Plot!P20*S21</f>
        <v>15742.797669719066</v>
      </c>
      <c r="AM21" s="740">
        <f>IF($A21&lt;='Options and results'!$W$20,SUMPRODUCT(T9:T21,P56:P68),0)</f>
        <v>-99.99</v>
      </c>
      <c r="AN21" s="740">
        <f ca="1">IF($A21&lt;='Options and results'!$W$20,SUMPRODUCT(U9:U21,Q56:Q68),0)</f>
        <v>-4541.2788687911989</v>
      </c>
      <c r="AO21" s="740">
        <f>IF($A21&lt;='Options and results'!$W$20,SUMPRODUCT(U9:U21,R56:R68),0)</f>
        <v>-99.99</v>
      </c>
      <c r="AP21" s="740">
        <f t="shared" ca="1" si="6"/>
        <v>-4641.2688687911987</v>
      </c>
      <c r="AQ21" s="894">
        <f>IF($A21&lt;='Options and results'!$W$20,AQ20+AL21,0)</f>
        <v>256515.6970512332</v>
      </c>
      <c r="AR21" s="740">
        <f>IF($A21&lt;='Options and results'!$W$20,AR20+AM21,0)</f>
        <v>-53586.119824915899</v>
      </c>
      <c r="AS21" s="740">
        <f ca="1">IF($A21&lt;='Options and results'!$W$20,AS20+AN21,0)</f>
        <v>52570.822491004859</v>
      </c>
      <c r="AT21" s="740">
        <f>IF($A21&lt;='Options and results'!$W$20,AT20+AO21,0)</f>
        <v>-35964.565695458921</v>
      </c>
      <c r="AU21" s="740">
        <f ca="1">IF($A21&lt;='Options and results'!$W$20,AU20+AP21,0)</f>
        <v>16606.256795545942</v>
      </c>
      <c r="AV21" s="894">
        <f>AL21/(1+'Options and results'!$W$33)^($A21-1)</f>
        <v>9832.9049766424541</v>
      </c>
      <c r="AW21" s="740">
        <f>AM21/(1+'Options and results'!$W$33)^($A21-1)</f>
        <v>-62.453458987510707</v>
      </c>
      <c r="AX21" s="740">
        <f ca="1">AN21/(1+'Options and results'!$W$33)^($A21-1)</f>
        <v>-2836.4693827672786</v>
      </c>
      <c r="AY21" s="740">
        <f>AO21/(1+'Options and results'!$W$33)^($A21-1)</f>
        <v>-62.453458987510707</v>
      </c>
      <c r="AZ21" s="740">
        <f t="shared" ca="1" si="7"/>
        <v>-2898.9228417547893</v>
      </c>
      <c r="BA21" s="894">
        <f>IF($A21&lt;='Options and results'!$W$20,AV21+BA20,0)</f>
        <v>206626.87454879581</v>
      </c>
      <c r="BB21" s="740">
        <f>IF($A21&lt;='Options and results'!$W$20,AW21+BB20,0)</f>
        <v>-46074.125337027348</v>
      </c>
      <c r="BC21" s="740">
        <f ca="1">IF($A21&lt;='Options and results'!$W$20,AX21+BC20,0)</f>
        <v>51792.414404752672</v>
      </c>
      <c r="BD21" s="740">
        <f>IF($A21&lt;='Options and results'!$W$20,AY21+BD20,0)</f>
        <v>-30888.30446926046</v>
      </c>
      <c r="BE21" s="740">
        <f ca="1">IF($A21&lt;='Options and results'!$W$20,AZ21+BE20,0)</f>
        <v>20904.109935492208</v>
      </c>
      <c r="BF21" s="346"/>
    </row>
    <row r="22" spans="1:58" x14ac:dyDescent="0.25">
      <c r="A22" s="895">
        <f t="shared" si="8"/>
        <v>14</v>
      </c>
      <c r="B22" s="878">
        <f>IF('Options and results'!$C$54="none",0,IF(HLOOKUP('Options and results'!$C$54,Agroforestrysystem!$2:$9,8,FALSE)="No",LOOKUP(A22,Plot!$CK$8:$CN$67),LOOKUP(A22,Plot!$CK$8:$CN$67)+LOOKUP(A22,Plot!#REF!)))</f>
        <v>0.99</v>
      </c>
      <c r="C22" s="879">
        <f>IF(VLOOKUP(A22,Plot!$DF$8:$DL$67,7,FALSE)&gt;0,1-B22,0)</f>
        <v>1.0000000000000009E-2</v>
      </c>
      <c r="D22" s="896">
        <f t="shared" si="9"/>
        <v>47</v>
      </c>
      <c r="E22" s="897">
        <f>IF(VLOOKUP(D22,Plot!$V$8:$AB$67,Plot!$AB$2,FALSE)&gt;0,1,0)</f>
        <v>0</v>
      </c>
      <c r="F22" s="898">
        <f t="shared" si="2"/>
        <v>0</v>
      </c>
      <c r="G22" s="898">
        <f t="shared" si="3"/>
        <v>0</v>
      </c>
      <c r="H22" s="883">
        <f>VLOOKUP(D22,Plot!$V$8:$AH$67,Plot!$AH$2,FALSE)</f>
        <v>0</v>
      </c>
      <c r="I22" s="884">
        <f>VLOOKUP(D22,Plot!$V$8:$AJ$67,Plot!$AJ$2,FALSE)</f>
        <v>0</v>
      </c>
      <c r="J22" s="885">
        <f ca="1">VLOOKUP(D22,Plot!$CK$8:$CP$67,Plot!$CO$2,FALSE)*VLOOKUP(D22,Plot!$CK$8:$CP$67,Plot!$CN$2,FALSE)</f>
        <v>0</v>
      </c>
      <c r="K22" s="884">
        <f>VLOOKUP(D22,Plot!$DF$8:$DS$67,Plot!$DS$2,FALSE)</f>
        <v>0</v>
      </c>
      <c r="L22" s="884">
        <f>VLOOKUP(D22,Plot!$DF$8:$DU$67,Plot!$DU$2,FALSE)</f>
        <v>0</v>
      </c>
      <c r="M22" s="883">
        <f>VLOOKUP(D22,Plot!$V$8:$BW$67,Plot!$BW$2,FALSE)</f>
        <v>0</v>
      </c>
      <c r="N22" s="884">
        <f>VLOOKUP(D22,Plot!$CK$8:$CX$67,Plot!$CX$2,FALSE)</f>
        <v>0</v>
      </c>
      <c r="O22" s="884">
        <f>VLOOKUP(D22,Plot!$DF$8:$FH$67,Plot!$FH$2,FALSE)</f>
        <v>0</v>
      </c>
      <c r="P22" s="883">
        <f>VLOOKUP(D22,Plot!$V$8:$CA$67,Plot!$CA$2,FALSE)</f>
        <v>0</v>
      </c>
      <c r="Q22" s="884">
        <f>VLOOKUP($D22,Plot!$CK$8:$CZ$67,Plot!$CZ$2,FALSE)</f>
        <v>0</v>
      </c>
      <c r="R22" s="899">
        <f>VLOOKUP($D22,Plot!$DF$8:$FL$67,Plot!$FL$2,FALSE)</f>
        <v>0</v>
      </c>
      <c r="S22" s="895">
        <f t="shared" si="10"/>
        <v>33.340000000000003</v>
      </c>
      <c r="T22" s="900">
        <f>IF($A22='Options and results'!$I$33,'Options and results'!$I$34)+IF($A22='Options and results'!$I$35,'Options and results'!$I$36)+IF($A22='Options and results'!$I$37,'Options and results'!$I$38)+IF($A22='Options and results'!$I$39,'Options and results'!$I$40)+IF($A22='Options and results'!$I$41,'Options and results'!$I$42)+IF(AND($A22&gt;='Options and results'!$I$44,$A22&lt;='Options and results'!$I$45),IF(MOD($A22+'Options and results'!$I$46-'Options and results'!$I$44,'Options and results'!$I$46)=0,'Options and results'!$I$47,0))</f>
        <v>0</v>
      </c>
      <c r="U22" s="901">
        <f>IF($A22='Options and results'!$I$59,'Options and results'!$I$60)+IF($A22='Options and results'!$I$61,'Options and results'!$I$62)+IF($A22='Options and results'!$I$63,'Options and results'!$I$64)+IF($A22='Options and results'!$I$65,'Options and results'!$I$66)+IF($A22='Options and results'!$I$67,'Options and results'!$I$68)+IF(AND($A22&gt;='Options and results'!$I$70,$A22&lt;='Options and results'!$I$71),IF(MOD($A22+'Options and results'!$I$72-'Options and results'!$I$70,'Options and results'!$I$72)=0,'Options and results'!$I$73,0))</f>
        <v>0</v>
      </c>
      <c r="V22" s="889">
        <f>'Options and results'!$W$18-W22-X22-Y22</f>
        <v>33.340000000000003</v>
      </c>
      <c r="W22" s="889">
        <f>SUMPRODUCT(T9:T22,E55:E68)</f>
        <v>33.33</v>
      </c>
      <c r="X22" s="889">
        <f>SUMPRODUCT(U9:U22,F55:F68)</f>
        <v>32.996699999999997</v>
      </c>
      <c r="Y22" s="889">
        <f>SUMPRODUCT(U9:U22,G55:G68)</f>
        <v>0.33330000000000026</v>
      </c>
      <c r="Z22" s="889">
        <f t="shared" si="4"/>
        <v>33.33</v>
      </c>
      <c r="AA22" s="894">
        <f>(V22*Plot!E21*Plot!D21)</f>
        <v>309.66630734168592</v>
      </c>
      <c r="AB22" s="740">
        <f>SUMPRODUCT(T9:T22,H55:H68)</f>
        <v>1014.8438155386398</v>
      </c>
      <c r="AC22" s="740">
        <f>SUMPRODUCT(T9:T22,I55:I68)</f>
        <v>0</v>
      </c>
      <c r="AD22" s="740">
        <f ca="1">SUMPRODUCT(U9:U22,J55:J68)</f>
        <v>203.58963899999998</v>
      </c>
      <c r="AE22" s="740">
        <f>SUMPRODUCT(U9:U22,K55:K68)</f>
        <v>722.99753327026735</v>
      </c>
      <c r="AF22" s="740">
        <f>SUMPRODUCT(U9:U22,L55:L68)</f>
        <v>0</v>
      </c>
      <c r="AG22" s="894">
        <f>Plot!N21*S22</f>
        <v>387.83870545896116</v>
      </c>
      <c r="AH22" s="740">
        <f>IF($A22&lt;='Options and results'!$W$20,SUMPRODUCT(T9:T22,M55:M68),0)</f>
        <v>0</v>
      </c>
      <c r="AI22" s="740">
        <f>IF($A22&lt;='Options and results'!$W$20,SUMPRODUCT(U9:U22,N55:N68),0)</f>
        <v>383.84515334186267</v>
      </c>
      <c r="AJ22" s="740">
        <f>IF($A22&lt;='Options and results'!$W$20,SUMPRODUCT(U9:U22,O55:O68),0)</f>
        <v>0</v>
      </c>
      <c r="AK22" s="740">
        <f t="shared" si="5"/>
        <v>383.84515334186267</v>
      </c>
      <c r="AL22" s="740">
        <f>Plot!P21*S22</f>
        <v>23992.66392391159</v>
      </c>
      <c r="AM22" s="740">
        <f>IF($A22&lt;='Options and results'!$W$20,SUMPRODUCT(T9:T22,P55:P68),0)</f>
        <v>-99.99</v>
      </c>
      <c r="AN22" s="740">
        <f ca="1">IF($A22&lt;='Options and results'!$W$20,SUMPRODUCT(U9:U22,Q55:Q68),0)</f>
        <v>-3421.0409037911909</v>
      </c>
      <c r="AO22" s="740">
        <f>IF($A22&lt;='Options and results'!$W$20,SUMPRODUCT(U9:U22,R55:R68),0)</f>
        <v>-99.99</v>
      </c>
      <c r="AP22" s="740">
        <f t="shared" ca="1" si="6"/>
        <v>-3521.0309037911907</v>
      </c>
      <c r="AQ22" s="894">
        <f>IF($A22&lt;='Options and results'!$W$20,AQ21+AL22,0)</f>
        <v>280508.36097514478</v>
      </c>
      <c r="AR22" s="740">
        <f>IF($A22&lt;='Options and results'!$W$20,AR21+AM22,0)</f>
        <v>-53686.109824915897</v>
      </c>
      <c r="AS22" s="740">
        <f ca="1">IF($A22&lt;='Options and results'!$W$20,AS21+AN22,0)</f>
        <v>49149.781587213671</v>
      </c>
      <c r="AT22" s="740">
        <f>IF($A22&lt;='Options and results'!$W$20,AT21+AO22,0)</f>
        <v>-36064.555695458919</v>
      </c>
      <c r="AU22" s="740">
        <f ca="1">IF($A22&lt;='Options and results'!$W$20,AU21+AP22,0)</f>
        <v>13085.225891754752</v>
      </c>
      <c r="AV22" s="894">
        <f>AL22/(1+'Options and results'!$W$33)^($A22-1)</f>
        <v>14409.372210039661</v>
      </c>
      <c r="AW22" s="740">
        <f>AM22/(1+'Options and results'!$W$33)^($A22-1)</f>
        <v>-60.051402872606452</v>
      </c>
      <c r="AX22" s="740">
        <f ca="1">AN22/(1+'Options and results'!$W$33)^($A22-1)</f>
        <v>-2054.5885144237473</v>
      </c>
      <c r="AY22" s="740">
        <f>AO22/(1+'Options and results'!$W$33)^($A22-1)</f>
        <v>-60.051402872606452</v>
      </c>
      <c r="AZ22" s="740">
        <f t="shared" ca="1" si="7"/>
        <v>-2114.6399172963538</v>
      </c>
      <c r="BA22" s="894">
        <f>IF($A22&lt;='Options and results'!$W$20,AV22+BA21,0)</f>
        <v>221036.24675883548</v>
      </c>
      <c r="BB22" s="740">
        <f>IF($A22&lt;='Options and results'!$W$20,AW22+BB21,0)</f>
        <v>-46134.176739899951</v>
      </c>
      <c r="BC22" s="740">
        <f ca="1">IF($A22&lt;='Options and results'!$W$20,AX22+BC21,0)</f>
        <v>49737.825890328924</v>
      </c>
      <c r="BD22" s="740">
        <f>IF($A22&lt;='Options and results'!$W$20,AY22+BD21,0)</f>
        <v>-30948.355872133066</v>
      </c>
      <c r="BE22" s="740">
        <f ca="1">IF($A22&lt;='Options and results'!$W$20,AZ22+BE21,0)</f>
        <v>18789.470018195854</v>
      </c>
      <c r="BF22" s="346"/>
    </row>
    <row r="23" spans="1:58" x14ac:dyDescent="0.25">
      <c r="A23" s="895">
        <f t="shared" si="8"/>
        <v>15</v>
      </c>
      <c r="B23" s="878">
        <f>IF('Options and results'!$C$54="none",0,IF(HLOOKUP('Options and results'!$C$54,Agroforestrysystem!$2:$9,8,FALSE)="No",LOOKUP(A23,Plot!$CK$8:$CN$67),LOOKUP(A23,Plot!$CK$8:$CN$67)+LOOKUP(A23,Plot!#REF!)))</f>
        <v>0.99</v>
      </c>
      <c r="C23" s="879">
        <f>IF(VLOOKUP(A23,Plot!$DF$8:$DL$67,7,FALSE)&gt;0,1-B23,0)</f>
        <v>1.0000000000000009E-2</v>
      </c>
      <c r="D23" s="896">
        <f t="shared" si="9"/>
        <v>46</v>
      </c>
      <c r="E23" s="897">
        <f>IF(VLOOKUP(D23,Plot!$V$8:$AB$67,Plot!$AB$2,FALSE)&gt;0,1,0)</f>
        <v>0</v>
      </c>
      <c r="F23" s="898">
        <f t="shared" si="2"/>
        <v>0</v>
      </c>
      <c r="G23" s="898">
        <f t="shared" si="3"/>
        <v>0</v>
      </c>
      <c r="H23" s="883">
        <f>VLOOKUP(D23,Plot!$V$8:$AH$67,Plot!$AH$2,FALSE)</f>
        <v>0</v>
      </c>
      <c r="I23" s="884">
        <f>VLOOKUP(D23,Plot!$V$8:$AJ$67,Plot!$AJ$2,FALSE)</f>
        <v>0</v>
      </c>
      <c r="J23" s="885">
        <f ca="1">VLOOKUP(D23,Plot!$CK$8:$CP$67,Plot!$CO$2,FALSE)*VLOOKUP(D23,Plot!$CK$8:$CP$67,Plot!$CN$2,FALSE)</f>
        <v>0</v>
      </c>
      <c r="K23" s="884">
        <f>VLOOKUP(D23,Plot!$DF$8:$DS$67,Plot!$DS$2,FALSE)</f>
        <v>0</v>
      </c>
      <c r="L23" s="884">
        <f>VLOOKUP(D23,Plot!$DF$8:$DU$67,Plot!$DU$2,FALSE)</f>
        <v>0</v>
      </c>
      <c r="M23" s="883">
        <f>VLOOKUP(D23,Plot!$V$8:$BW$67,Plot!$BW$2,FALSE)</f>
        <v>0</v>
      </c>
      <c r="N23" s="884">
        <f>VLOOKUP(D23,Plot!$CK$8:$CX$67,Plot!$CX$2,FALSE)</f>
        <v>0</v>
      </c>
      <c r="O23" s="884">
        <f>VLOOKUP(D23,Plot!$DF$8:$FH$67,Plot!$FH$2,FALSE)</f>
        <v>0</v>
      </c>
      <c r="P23" s="883">
        <f>VLOOKUP(D23,Plot!$V$8:$CA$67,Plot!$CA$2,FALSE)</f>
        <v>0</v>
      </c>
      <c r="Q23" s="884">
        <f>VLOOKUP($D23,Plot!$CK$8:$CZ$67,Plot!$CZ$2,FALSE)</f>
        <v>0</v>
      </c>
      <c r="R23" s="899">
        <f>VLOOKUP($D23,Plot!$DF$8:$FL$67,Plot!$FL$2,FALSE)</f>
        <v>0</v>
      </c>
      <c r="S23" s="895">
        <f t="shared" si="10"/>
        <v>33.340000000000003</v>
      </c>
      <c r="T23" s="900">
        <f>IF($A23='Options and results'!$I$33,'Options and results'!$I$34)+IF($A23='Options and results'!$I$35,'Options and results'!$I$36)+IF($A23='Options and results'!$I$37,'Options and results'!$I$38)+IF($A23='Options and results'!$I$39,'Options and results'!$I$40)+IF($A23='Options and results'!$I$41,'Options and results'!$I$42)+IF(AND($A23&gt;='Options and results'!$I$44,$A23&lt;='Options and results'!$I$45),IF(MOD($A23+'Options and results'!$I$46-'Options and results'!$I$44,'Options and results'!$I$46)=0,'Options and results'!$I$47,0))</f>
        <v>0</v>
      </c>
      <c r="U23" s="901">
        <f>IF($A23='Options and results'!$I$59,'Options and results'!$I$60)+IF($A23='Options and results'!$I$61,'Options and results'!$I$62)+IF($A23='Options and results'!$I$63,'Options and results'!$I$64)+IF($A23='Options and results'!$I$65,'Options and results'!$I$66)+IF($A23='Options and results'!$I$67,'Options and results'!$I$68)+IF(AND($A23&gt;='Options and results'!$I$70,$A23&lt;='Options and results'!$I$71),IF(MOD($A23+'Options and results'!$I$72-'Options and results'!$I$70,'Options and results'!$I$72)=0,'Options and results'!$I$73,0))</f>
        <v>0</v>
      </c>
      <c r="V23" s="889">
        <f>'Options and results'!$W$18-W23-X23-Y23</f>
        <v>33.340000000000003</v>
      </c>
      <c r="W23" s="889">
        <f>SUMPRODUCT(T9:T23,E54:E68)</f>
        <v>33.33</v>
      </c>
      <c r="X23" s="889">
        <f>SUMPRODUCT(U9:U23,F54:F68)</f>
        <v>32.996699999999997</v>
      </c>
      <c r="Y23" s="889">
        <f>SUMPRODUCT(U9:U23,G54:G68)</f>
        <v>0.33330000000000026</v>
      </c>
      <c r="Z23" s="889">
        <f t="shared" si="4"/>
        <v>33.33</v>
      </c>
      <c r="AA23" s="894">
        <f>(V23*Plot!E22*Plot!D22)</f>
        <v>273.63435565380144</v>
      </c>
      <c r="AB23" s="740">
        <f>SUMPRODUCT(T9:T23,H54:H68)</f>
        <v>1367.3732095032053</v>
      </c>
      <c r="AC23" s="740">
        <f>SUMPRODUCT(T9:T23,I54:I68)</f>
        <v>0</v>
      </c>
      <c r="AD23" s="740">
        <f ca="1">SUMPRODUCT(U9:U23,J54:J68)</f>
        <v>0</v>
      </c>
      <c r="AE23" s="740">
        <f>SUMPRODUCT(U9:U23,K54:K68)</f>
        <v>1007.6655997278147</v>
      </c>
      <c r="AF23" s="740">
        <f>SUMPRODUCT(U9:U23,L54:L68)</f>
        <v>0</v>
      </c>
      <c r="AG23" s="894">
        <f>Plot!N22*S23</f>
        <v>361.19521025749333</v>
      </c>
      <c r="AH23" s="740">
        <f>IF($A23&lt;='Options and results'!$W$20,SUMPRODUCT(T9:T23,M54:M68),0)</f>
        <v>0</v>
      </c>
      <c r="AI23" s="740">
        <f>IF($A23&lt;='Options and results'!$W$20,SUMPRODUCT(U9:U23,N54:N68),0)</f>
        <v>0</v>
      </c>
      <c r="AJ23" s="740">
        <f>IF($A23&lt;='Options and results'!$W$20,SUMPRODUCT(U9:U23,O54:O68),0)</f>
        <v>0</v>
      </c>
      <c r="AK23" s="740">
        <f t="shared" si="5"/>
        <v>0</v>
      </c>
      <c r="AL23" s="740">
        <f>Plot!P22*S23</f>
        <v>22641.915417076001</v>
      </c>
      <c r="AM23" s="740">
        <f>IF($A23&lt;='Options and results'!$W$20,SUMPRODUCT(T9:T23,P54:P68),0)</f>
        <v>-99.99</v>
      </c>
      <c r="AN23" s="740">
        <f ca="1">IF($A23&lt;='Options and results'!$W$20,SUMPRODUCT(U9:U23,Q54:Q68),0)</f>
        <v>0</v>
      </c>
      <c r="AO23" s="740">
        <f>IF($A23&lt;='Options and results'!$W$20,SUMPRODUCT(U9:U23,R54:R68),0)</f>
        <v>-99.99</v>
      </c>
      <c r="AP23" s="740">
        <f t="shared" ca="1" si="6"/>
        <v>-99.99</v>
      </c>
      <c r="AQ23" s="894">
        <f>IF($A23&lt;='Options and results'!$W$20,AQ22+AL23,0)</f>
        <v>303150.27639222075</v>
      </c>
      <c r="AR23" s="740">
        <f>IF($A23&lt;='Options and results'!$W$20,AR22+AM23,0)</f>
        <v>-53786.099824915895</v>
      </c>
      <c r="AS23" s="740">
        <f ca="1">IF($A23&lt;='Options and results'!$W$20,AS22+AN23,0)</f>
        <v>49149.781587213671</v>
      </c>
      <c r="AT23" s="740">
        <f>IF($A23&lt;='Options and results'!$W$20,AT22+AO23,0)</f>
        <v>-36164.545695458917</v>
      </c>
      <c r="AU23" s="740">
        <f ca="1">IF($A23&lt;='Options and results'!$W$20,AU22+AP23,0)</f>
        <v>12985.235891754752</v>
      </c>
      <c r="AV23" s="894">
        <f>AL23/(1+'Options and results'!$W$33)^($A23-1)</f>
        <v>13075.141980720286</v>
      </c>
      <c r="AW23" s="740">
        <f>AM23/(1+'Options and results'!$W$33)^($A23-1)</f>
        <v>-57.741733531352359</v>
      </c>
      <c r="AX23" s="740">
        <f ca="1">AN23/(1+'Options and results'!$W$33)^($A23-1)</f>
        <v>0</v>
      </c>
      <c r="AY23" s="740">
        <f>AO23/(1+'Options and results'!$W$33)^($A23-1)</f>
        <v>-57.741733531352359</v>
      </c>
      <c r="AZ23" s="740">
        <f t="shared" ca="1" si="7"/>
        <v>-57.741733531352359</v>
      </c>
      <c r="BA23" s="894">
        <f>IF($A23&lt;='Options and results'!$W$20,AV23+BA22,0)</f>
        <v>234111.38873955575</v>
      </c>
      <c r="BB23" s="740">
        <f>IF($A23&lt;='Options and results'!$W$20,AW23+BB22,0)</f>
        <v>-46191.918473431302</v>
      </c>
      <c r="BC23" s="740">
        <f ca="1">IF($A23&lt;='Options and results'!$W$20,AX23+BC22,0)</f>
        <v>49737.825890328924</v>
      </c>
      <c r="BD23" s="740">
        <f>IF($A23&lt;='Options and results'!$W$20,AY23+BD22,0)</f>
        <v>-31006.097605664418</v>
      </c>
      <c r="BE23" s="740">
        <f ca="1">IF($A23&lt;='Options and results'!$W$20,AZ23+BE22,0)</f>
        <v>18731.728284664503</v>
      </c>
      <c r="BF23" s="346"/>
    </row>
    <row r="24" spans="1:58" x14ac:dyDescent="0.25">
      <c r="A24" s="895">
        <f t="shared" si="8"/>
        <v>16</v>
      </c>
      <c r="B24" s="878">
        <f>IF('Options and results'!$C$54="none",0,IF(HLOOKUP('Options and results'!$C$54,Agroforestrysystem!$2:$9,8,FALSE)="No",LOOKUP(A24,Plot!$CK$8:$CN$67),LOOKUP(A24,Plot!$CK$8:$CN$67)+LOOKUP(A24,Plot!#REF!)))</f>
        <v>0.99</v>
      </c>
      <c r="C24" s="879">
        <f>IF(VLOOKUP(A24,Plot!$DF$8:$DL$67,7,FALSE)&gt;0,1-B24,0)</f>
        <v>1.0000000000000009E-2</v>
      </c>
      <c r="D24" s="896">
        <f t="shared" si="9"/>
        <v>45</v>
      </c>
      <c r="E24" s="897">
        <f>IF(VLOOKUP(D24,Plot!$V$8:$AB$67,Plot!$AB$2,FALSE)&gt;0,1,0)</f>
        <v>0</v>
      </c>
      <c r="F24" s="898">
        <f t="shared" si="2"/>
        <v>0</v>
      </c>
      <c r="G24" s="898">
        <f t="shared" si="3"/>
        <v>0</v>
      </c>
      <c r="H24" s="883">
        <f>VLOOKUP(D24,Plot!$V$8:$AH$67,Plot!$AH$2,FALSE)</f>
        <v>0</v>
      </c>
      <c r="I24" s="884">
        <f>VLOOKUP(D24,Plot!$V$8:$AJ$67,Plot!$AJ$2,FALSE)</f>
        <v>0</v>
      </c>
      <c r="J24" s="885">
        <f ca="1">VLOOKUP(D24,Plot!$CK$8:$CP$67,Plot!$CO$2,FALSE)*VLOOKUP(D24,Plot!$CK$8:$CP$67,Plot!$CN$2,FALSE)</f>
        <v>0</v>
      </c>
      <c r="K24" s="884">
        <f>VLOOKUP(D24,Plot!$DF$8:$DS$67,Plot!$DS$2,FALSE)</f>
        <v>0</v>
      </c>
      <c r="L24" s="884">
        <f>VLOOKUP(D24,Plot!$DF$8:$DU$67,Plot!$DU$2,FALSE)</f>
        <v>0</v>
      </c>
      <c r="M24" s="883">
        <f>VLOOKUP(D24,Plot!$V$8:$BW$67,Plot!$BW$2,FALSE)</f>
        <v>0</v>
      </c>
      <c r="N24" s="884">
        <f>VLOOKUP(D24,Plot!$CK$8:$CX$67,Plot!$CX$2,FALSE)</f>
        <v>0</v>
      </c>
      <c r="O24" s="884">
        <f>VLOOKUP(D24,Plot!$DF$8:$FH$67,Plot!$FH$2,FALSE)</f>
        <v>0</v>
      </c>
      <c r="P24" s="883">
        <f>VLOOKUP(D24,Plot!$V$8:$CA$67,Plot!$CA$2,FALSE)</f>
        <v>0</v>
      </c>
      <c r="Q24" s="884">
        <f>VLOOKUP($D24,Plot!$CK$8:$CZ$67,Plot!$CZ$2,FALSE)</f>
        <v>0</v>
      </c>
      <c r="R24" s="899">
        <f>VLOOKUP($D24,Plot!$DF$8:$FL$67,Plot!$FL$2,FALSE)</f>
        <v>0</v>
      </c>
      <c r="S24" s="895">
        <f t="shared" si="10"/>
        <v>33.340000000000003</v>
      </c>
      <c r="T24" s="900">
        <f>IF($A24='Options and results'!$I$33,'Options and results'!$I$34)+IF($A24='Options and results'!$I$35,'Options and results'!$I$36)+IF($A24='Options and results'!$I$37,'Options and results'!$I$38)+IF($A24='Options and results'!$I$39,'Options and results'!$I$40)+IF($A24='Options and results'!$I$41,'Options and results'!$I$42)+IF(AND($A24&gt;='Options and results'!$I$44,$A24&lt;='Options and results'!$I$45),IF(MOD($A24+'Options and results'!$I$46-'Options and results'!$I$44,'Options and results'!$I$46)=0,'Options and results'!$I$47,0))</f>
        <v>0</v>
      </c>
      <c r="U24" s="901">
        <f>IF($A24='Options and results'!$I$59,'Options and results'!$I$60)+IF($A24='Options and results'!$I$61,'Options and results'!$I$62)+IF($A24='Options and results'!$I$63,'Options and results'!$I$64)+IF($A24='Options and results'!$I$65,'Options and results'!$I$66)+IF($A24='Options and results'!$I$67,'Options and results'!$I$68)+IF(AND($A24&gt;='Options and results'!$I$70,$A24&lt;='Options and results'!$I$71),IF(MOD($A24+'Options and results'!$I$72-'Options and results'!$I$70,'Options and results'!$I$72)=0,'Options and results'!$I$73,0))</f>
        <v>0</v>
      </c>
      <c r="V24" s="889">
        <f>'Options and results'!$W$18-W24-X24-Y24</f>
        <v>33.340000000000003</v>
      </c>
      <c r="W24" s="889">
        <f>SUMPRODUCT(T9:T24,E53:E68)</f>
        <v>33.33</v>
      </c>
      <c r="X24" s="889">
        <f>SUMPRODUCT(U9:U24,F53:F68)</f>
        <v>32.996699999999997</v>
      </c>
      <c r="Y24" s="889">
        <f>SUMPRODUCT(U9:U24,G53:G68)</f>
        <v>0.33330000000000026</v>
      </c>
      <c r="Z24" s="889">
        <f t="shared" si="4"/>
        <v>33.33</v>
      </c>
      <c r="AA24" s="894">
        <f>(V24*Plot!E23*Plot!D23)</f>
        <v>120.59501766650671</v>
      </c>
      <c r="AB24" s="740">
        <f>SUMPRODUCT(T9:T24,H53:H68)</f>
        <v>1730.0268722966291</v>
      </c>
      <c r="AC24" s="740">
        <f>SUMPRODUCT(T9:T24,I53:I68)</f>
        <v>0</v>
      </c>
      <c r="AD24" s="740">
        <f ca="1">SUMPRODUCT(U9:U24,J53:J68)</f>
        <v>0</v>
      </c>
      <c r="AE24" s="740">
        <f>SUMPRODUCT(U9:U24,K53:K68)</f>
        <v>1354.1789654644845</v>
      </c>
      <c r="AF24" s="740">
        <f>SUMPRODUCT(U9:U24,L53:L68)</f>
        <v>0</v>
      </c>
      <c r="AG24" s="894">
        <f>Plot!N23*S24</f>
        <v>248.68682984763632</v>
      </c>
      <c r="AH24" s="740">
        <f>IF($A24&lt;='Options and results'!$W$20,SUMPRODUCT(T9:T24,M53:M68),0)</f>
        <v>0</v>
      </c>
      <c r="AI24" s="740">
        <f>IF($A24&lt;='Options and results'!$W$20,SUMPRODUCT(U9:U24,N53:N68),0)</f>
        <v>0</v>
      </c>
      <c r="AJ24" s="740">
        <f>IF($A24&lt;='Options and results'!$W$20,SUMPRODUCT(U9:U24,O53:O68),0)</f>
        <v>0</v>
      </c>
      <c r="AK24" s="740">
        <f t="shared" si="5"/>
        <v>0</v>
      </c>
      <c r="AL24" s="740">
        <f>Plot!P23*S24</f>
        <v>11807.307774907486</v>
      </c>
      <c r="AM24" s="740">
        <f>IF($A24&lt;='Options and results'!$W$20,SUMPRODUCT(T9:T24,P53:P68),0)</f>
        <v>-99.99</v>
      </c>
      <c r="AN24" s="740">
        <f ca="1">IF($A24&lt;='Options and results'!$W$20,SUMPRODUCT(U9:U24,Q53:Q68),0)</f>
        <v>0</v>
      </c>
      <c r="AO24" s="740">
        <f>IF($A24&lt;='Options and results'!$W$20,SUMPRODUCT(U9:U24,R53:R68),0)</f>
        <v>-99.99</v>
      </c>
      <c r="AP24" s="740">
        <f t="shared" ca="1" si="6"/>
        <v>-99.99</v>
      </c>
      <c r="AQ24" s="894">
        <f>IF($A24&lt;='Options and results'!$W$20,AQ23+AL24,0)</f>
        <v>314957.58416712825</v>
      </c>
      <c r="AR24" s="740">
        <f>IF($A24&lt;='Options and results'!$W$20,AR23+AM24,0)</f>
        <v>-53886.089824915893</v>
      </c>
      <c r="AS24" s="740">
        <f ca="1">IF($A24&lt;='Options and results'!$W$20,AS23+AN24,0)</f>
        <v>49149.781587213671</v>
      </c>
      <c r="AT24" s="740">
        <f>IF($A24&lt;='Options and results'!$W$20,AT23+AO24,0)</f>
        <v>-36264.535695458915</v>
      </c>
      <c r="AU24" s="740">
        <f ca="1">IF($A24&lt;='Options and results'!$W$20,AU23+AP24,0)</f>
        <v>12885.245891754752</v>
      </c>
      <c r="AV24" s="894">
        <f>AL24/(1+'Options and results'!$W$33)^($A24-1)</f>
        <v>6556.1788800165878</v>
      </c>
      <c r="AW24" s="740">
        <f>AM24/(1+'Options and results'!$W$33)^($A24-1)</f>
        <v>-55.520897626300346</v>
      </c>
      <c r="AX24" s="740">
        <f ca="1">AN24/(1+'Options and results'!$W$33)^($A24-1)</f>
        <v>0</v>
      </c>
      <c r="AY24" s="740">
        <f>AO24/(1+'Options and results'!$W$33)^($A24-1)</f>
        <v>-55.520897626300346</v>
      </c>
      <c r="AZ24" s="740">
        <f t="shared" ca="1" si="7"/>
        <v>-55.520897626300346</v>
      </c>
      <c r="BA24" s="894">
        <f>IF($A24&lt;='Options and results'!$W$20,AV24+BA23,0)</f>
        <v>240667.56761957234</v>
      </c>
      <c r="BB24" s="740">
        <f>IF($A24&lt;='Options and results'!$W$20,AW24+BB23,0)</f>
        <v>-46247.439371057604</v>
      </c>
      <c r="BC24" s="740">
        <f ca="1">IF($A24&lt;='Options and results'!$W$20,AX24+BC23,0)</f>
        <v>49737.825890328924</v>
      </c>
      <c r="BD24" s="740">
        <f>IF($A24&lt;='Options and results'!$W$20,AY24+BD23,0)</f>
        <v>-31061.61850329072</v>
      </c>
      <c r="BE24" s="740">
        <f ca="1">IF($A24&lt;='Options and results'!$W$20,AZ24+BE23,0)</f>
        <v>18676.207387038201</v>
      </c>
      <c r="BF24" s="346"/>
    </row>
    <row r="25" spans="1:58" x14ac:dyDescent="0.25">
      <c r="A25" s="895">
        <f t="shared" si="8"/>
        <v>17</v>
      </c>
      <c r="B25" s="878">
        <f>IF('Options and results'!$C$54="none",0,IF(HLOOKUP('Options and results'!$C$54,Agroforestrysystem!$2:$9,8,FALSE)="No",LOOKUP(A25,Plot!$CK$8:$CN$67),LOOKUP(A25,Plot!$CK$8:$CN$67)+LOOKUP(A25,Plot!#REF!)))</f>
        <v>0.99</v>
      </c>
      <c r="C25" s="879">
        <f>IF(VLOOKUP(A25,Plot!$DF$8:$DL$67,7,FALSE)&gt;0,1-B25,0)</f>
        <v>1.0000000000000009E-2</v>
      </c>
      <c r="D25" s="896">
        <f t="shared" si="9"/>
        <v>44</v>
      </c>
      <c r="E25" s="897">
        <f>IF(VLOOKUP(D25,Plot!$V$8:$AB$67,Plot!$AB$2,FALSE)&gt;0,1,0)</f>
        <v>0</v>
      </c>
      <c r="F25" s="898">
        <f t="shared" si="2"/>
        <v>0</v>
      </c>
      <c r="G25" s="898">
        <f t="shared" si="3"/>
        <v>0</v>
      </c>
      <c r="H25" s="883">
        <f>VLOOKUP(D25,Plot!$V$8:$AH$67,Plot!$AH$2,FALSE)</f>
        <v>0</v>
      </c>
      <c r="I25" s="884">
        <f>VLOOKUP(D25,Plot!$V$8:$AJ$67,Plot!$AJ$2,FALSE)</f>
        <v>0</v>
      </c>
      <c r="J25" s="885">
        <f ca="1">VLOOKUP(D25,Plot!$CK$8:$CP$67,Plot!$CO$2,FALSE)*VLOOKUP(D25,Plot!$CK$8:$CP$67,Plot!$CN$2,FALSE)</f>
        <v>0</v>
      </c>
      <c r="K25" s="884">
        <f>VLOOKUP(D25,Plot!$DF$8:$DS$67,Plot!$DS$2,FALSE)</f>
        <v>0</v>
      </c>
      <c r="L25" s="884">
        <f>VLOOKUP(D25,Plot!$DF$8:$DU$67,Plot!$DU$2,FALSE)</f>
        <v>0</v>
      </c>
      <c r="M25" s="883">
        <f>VLOOKUP(D25,Plot!$V$8:$BW$67,Plot!$BW$2,FALSE)</f>
        <v>0</v>
      </c>
      <c r="N25" s="884">
        <f>VLOOKUP(D25,Plot!$CK$8:$CX$67,Plot!$CX$2,FALSE)</f>
        <v>0</v>
      </c>
      <c r="O25" s="884">
        <f>VLOOKUP(D25,Plot!$DF$8:$FH$67,Plot!$FH$2,FALSE)</f>
        <v>0</v>
      </c>
      <c r="P25" s="883">
        <f>VLOOKUP(D25,Plot!$V$8:$CA$67,Plot!$CA$2,FALSE)</f>
        <v>0</v>
      </c>
      <c r="Q25" s="884">
        <f>VLOOKUP($D25,Plot!$CK$8:$CZ$67,Plot!$CZ$2,FALSE)</f>
        <v>0</v>
      </c>
      <c r="R25" s="899">
        <f>VLOOKUP($D25,Plot!$DF$8:$FL$67,Plot!$FL$2,FALSE)</f>
        <v>0</v>
      </c>
      <c r="S25" s="895">
        <f t="shared" si="10"/>
        <v>33.340000000000003</v>
      </c>
      <c r="T25" s="900">
        <f>IF($A25='Options and results'!$I$33,'Options and results'!$I$34)+IF($A25='Options and results'!$I$35,'Options and results'!$I$36)+IF($A25='Options and results'!$I$37,'Options and results'!$I$38)+IF($A25='Options and results'!$I$39,'Options and results'!$I$40)+IF($A25='Options and results'!$I$41,'Options and results'!$I$42)+IF(AND($A25&gt;='Options and results'!$I$44,$A25&lt;='Options and results'!$I$45),IF(MOD($A25+'Options and results'!$I$46-'Options and results'!$I$44,'Options and results'!$I$46)=0,'Options and results'!$I$47,0))</f>
        <v>0</v>
      </c>
      <c r="U25" s="901">
        <f>IF($A25='Options and results'!$I$59,'Options and results'!$I$60)+IF($A25='Options and results'!$I$61,'Options and results'!$I$62)+IF($A25='Options and results'!$I$63,'Options and results'!$I$64)+IF($A25='Options and results'!$I$65,'Options and results'!$I$66)+IF($A25='Options and results'!$I$67,'Options and results'!$I$68)+IF(AND($A25&gt;='Options and results'!$I$70,$A25&lt;='Options and results'!$I$71),IF(MOD($A25+'Options and results'!$I$72-'Options and results'!$I$70,'Options and results'!$I$72)=0,'Options and results'!$I$73,0))</f>
        <v>0</v>
      </c>
      <c r="V25" s="889">
        <f>'Options and results'!$W$18-W25-X25-Y25</f>
        <v>33.340000000000003</v>
      </c>
      <c r="W25" s="889">
        <f>SUMPRODUCT(T9:T25,E52:E68)</f>
        <v>33.33</v>
      </c>
      <c r="X25" s="889">
        <f>SUMPRODUCT(U9:U25,F52:F68)</f>
        <v>32.996699999999997</v>
      </c>
      <c r="Y25" s="889">
        <f>SUMPRODUCT(U9:U25,G52:G68)</f>
        <v>0.33330000000000026</v>
      </c>
      <c r="Z25" s="889">
        <f t="shared" si="4"/>
        <v>33.33</v>
      </c>
      <c r="AA25" s="894">
        <f>(V25*Plot!E24*Plot!D24)</f>
        <v>306.88209167164109</v>
      </c>
      <c r="AB25" s="740">
        <f>SUMPRODUCT(T9:T25,H52:H68)</f>
        <v>2185.1430470808086</v>
      </c>
      <c r="AC25" s="740">
        <f>SUMPRODUCT(T9:T25,I52:I68)</f>
        <v>0</v>
      </c>
      <c r="AD25" s="740">
        <f ca="1">SUMPRODUCT(U9:U25,J52:J68)</f>
        <v>0</v>
      </c>
      <c r="AE25" s="740">
        <f>SUMPRODUCT(U9:U25,K52:K68)</f>
        <v>1773.0241067940392</v>
      </c>
      <c r="AF25" s="740">
        <f>SUMPRODUCT(U9:U25,L52:L68)</f>
        <v>0</v>
      </c>
      <c r="AG25" s="894">
        <f>Plot!N24*S25</f>
        <v>387.83870545896116</v>
      </c>
      <c r="AH25" s="740">
        <f>IF($A25&lt;='Options and results'!$W$20,SUMPRODUCT(T9:T25,M52:M68),0)</f>
        <v>0</v>
      </c>
      <c r="AI25" s="740">
        <f>IF($A25&lt;='Options and results'!$W$20,SUMPRODUCT(U9:U25,N52:N68),0)</f>
        <v>0</v>
      </c>
      <c r="AJ25" s="740">
        <f>IF($A25&lt;='Options and results'!$W$20,SUMPRODUCT(U9:U25,O52:O68),0)</f>
        <v>0</v>
      </c>
      <c r="AK25" s="740">
        <f t="shared" si="5"/>
        <v>0</v>
      </c>
      <c r="AL25" s="740">
        <f>Plot!P24*S25</f>
        <v>23467.529912811471</v>
      </c>
      <c r="AM25" s="740">
        <f>IF($A25&lt;='Options and results'!$W$20,SUMPRODUCT(T9:T25,P52:P68),0)</f>
        <v>-99.99</v>
      </c>
      <c r="AN25" s="740">
        <f ca="1">IF($A25&lt;='Options and results'!$W$20,SUMPRODUCT(U9:U25,Q52:Q68),0)</f>
        <v>0</v>
      </c>
      <c r="AO25" s="740">
        <f>IF($A25&lt;='Options and results'!$W$20,SUMPRODUCT(U9:U25,R52:R68),0)</f>
        <v>-99.99</v>
      </c>
      <c r="AP25" s="740">
        <f t="shared" ca="1" si="6"/>
        <v>-99.99</v>
      </c>
      <c r="AQ25" s="894">
        <f>IF($A25&lt;='Options and results'!$W$20,AQ24+AL25,0)</f>
        <v>338425.11407993973</v>
      </c>
      <c r="AR25" s="740">
        <f>IF($A25&lt;='Options and results'!$W$20,AR24+AM25,0)</f>
        <v>-53986.079824915891</v>
      </c>
      <c r="AS25" s="740">
        <f ca="1">IF($A25&lt;='Options and results'!$W$20,AS24+AN25,0)</f>
        <v>49149.781587213671</v>
      </c>
      <c r="AT25" s="740">
        <f>IF($A25&lt;='Options and results'!$W$20,AT24+AO25,0)</f>
        <v>-36364.525695458913</v>
      </c>
      <c r="AU25" s="740">
        <f ca="1">IF($A25&lt;='Options and results'!$W$20,AU24+AP25,0)</f>
        <v>12785.255891754752</v>
      </c>
      <c r="AV25" s="894">
        <f>AL25/(1+'Options and results'!$W$33)^($A25-1)</f>
        <v>12529.506083602077</v>
      </c>
      <c r="AW25" s="740">
        <f>AM25/(1+'Options and results'!$W$33)^($A25-1)</f>
        <v>-53.385478486827246</v>
      </c>
      <c r="AX25" s="740">
        <f ca="1">AN25/(1+'Options and results'!$W$33)^($A25-1)</f>
        <v>0</v>
      </c>
      <c r="AY25" s="740">
        <f>AO25/(1+'Options and results'!$W$33)^($A25-1)</f>
        <v>-53.385478486827246</v>
      </c>
      <c r="AZ25" s="740">
        <f t="shared" ca="1" si="7"/>
        <v>-53.385478486827246</v>
      </c>
      <c r="BA25" s="894">
        <f>IF($A25&lt;='Options and results'!$W$20,AV25+BA24,0)</f>
        <v>253197.07370317442</v>
      </c>
      <c r="BB25" s="740">
        <f>IF($A25&lt;='Options and results'!$W$20,AW25+BB24,0)</f>
        <v>-46300.824849544435</v>
      </c>
      <c r="BC25" s="740">
        <f ca="1">IF($A25&lt;='Options and results'!$W$20,AX25+BC24,0)</f>
        <v>49737.825890328924</v>
      </c>
      <c r="BD25" s="740">
        <f>IF($A25&lt;='Options and results'!$W$20,AY25+BD24,0)</f>
        <v>-31115.003981777547</v>
      </c>
      <c r="BE25" s="740">
        <f ca="1">IF($A25&lt;='Options and results'!$W$20,AZ25+BE24,0)</f>
        <v>18622.821908551374</v>
      </c>
      <c r="BF25" s="346"/>
    </row>
    <row r="26" spans="1:58" x14ac:dyDescent="0.25">
      <c r="A26" s="895">
        <f t="shared" si="8"/>
        <v>18</v>
      </c>
      <c r="B26" s="878">
        <f>IF('Options and results'!$C$54="none",0,IF(HLOOKUP('Options and results'!$C$54,Agroforestrysystem!$2:$9,8,FALSE)="No",LOOKUP(A26,Plot!$CK$8:$CN$67),LOOKUP(A26,Plot!$CK$8:$CN$67)+LOOKUP(A26,Plot!#REF!)))</f>
        <v>0.99</v>
      </c>
      <c r="C26" s="879">
        <f>IF(VLOOKUP(A26,Plot!$DF$8:$DL$67,7,FALSE)&gt;0,1-B26,0)</f>
        <v>1.0000000000000009E-2</v>
      </c>
      <c r="D26" s="896">
        <f t="shared" si="9"/>
        <v>43</v>
      </c>
      <c r="E26" s="897">
        <f>IF(VLOOKUP(D26,Plot!$V$8:$AB$67,Plot!$AB$2,FALSE)&gt;0,1,0)</f>
        <v>0</v>
      </c>
      <c r="F26" s="898">
        <f t="shared" si="2"/>
        <v>0</v>
      </c>
      <c r="G26" s="898">
        <f t="shared" si="3"/>
        <v>0</v>
      </c>
      <c r="H26" s="883">
        <f>VLOOKUP(D26,Plot!$V$8:$AH$67,Plot!$AH$2,FALSE)</f>
        <v>0</v>
      </c>
      <c r="I26" s="884">
        <f>VLOOKUP(D26,Plot!$V$8:$AJ$67,Plot!$AJ$2,FALSE)</f>
        <v>0</v>
      </c>
      <c r="J26" s="885">
        <f ca="1">VLOOKUP(D26,Plot!$CK$8:$CP$67,Plot!$CO$2,FALSE)*VLOOKUP(D26,Plot!$CK$8:$CP$67,Plot!$CN$2,FALSE)</f>
        <v>0</v>
      </c>
      <c r="K26" s="884">
        <f>VLOOKUP(D26,Plot!$DF$8:$DS$67,Plot!$DS$2,FALSE)</f>
        <v>0</v>
      </c>
      <c r="L26" s="884">
        <f>VLOOKUP(D26,Plot!$DF$8:$DU$67,Plot!$DU$2,FALSE)</f>
        <v>0</v>
      </c>
      <c r="M26" s="883">
        <f>VLOOKUP(D26,Plot!$V$8:$BW$67,Plot!$BW$2,FALSE)</f>
        <v>0</v>
      </c>
      <c r="N26" s="884">
        <f>VLOOKUP(D26,Plot!$CK$8:$CX$67,Plot!$CX$2,FALSE)</f>
        <v>0</v>
      </c>
      <c r="O26" s="884">
        <f>VLOOKUP(D26,Plot!$DF$8:$FH$67,Plot!$FH$2,FALSE)</f>
        <v>0</v>
      </c>
      <c r="P26" s="883">
        <f>VLOOKUP(D26,Plot!$V$8:$CA$67,Plot!$CA$2,FALSE)</f>
        <v>0</v>
      </c>
      <c r="Q26" s="884">
        <f>VLOOKUP($D26,Plot!$CK$8:$CZ$67,Plot!$CZ$2,FALSE)</f>
        <v>0</v>
      </c>
      <c r="R26" s="899">
        <f>VLOOKUP($D26,Plot!$DF$8:$FL$67,Plot!$FL$2,FALSE)</f>
        <v>0</v>
      </c>
      <c r="S26" s="895">
        <f t="shared" si="10"/>
        <v>33.340000000000003</v>
      </c>
      <c r="T26" s="900">
        <f>IF($A26='Options and results'!$I$33,'Options and results'!$I$34)+IF($A26='Options and results'!$I$35,'Options and results'!$I$36)+IF($A26='Options and results'!$I$37,'Options and results'!$I$38)+IF($A26='Options and results'!$I$39,'Options and results'!$I$40)+IF($A26='Options and results'!$I$41,'Options and results'!$I$42)+IF(AND($A26&gt;='Options and results'!$I$44,$A26&lt;='Options and results'!$I$45),IF(MOD($A26+'Options and results'!$I$46-'Options and results'!$I$44,'Options and results'!$I$46)=0,'Options and results'!$I$47,0))</f>
        <v>0</v>
      </c>
      <c r="U26" s="901">
        <f>IF($A26='Options and results'!$I$59,'Options and results'!$I$60)+IF($A26='Options and results'!$I$61,'Options and results'!$I$62)+IF($A26='Options and results'!$I$63,'Options and results'!$I$64)+IF($A26='Options and results'!$I$65,'Options and results'!$I$66)+IF($A26='Options and results'!$I$67,'Options and results'!$I$68)+IF(AND($A26&gt;='Options and results'!$I$70,$A26&lt;='Options and results'!$I$71),IF(MOD($A26+'Options and results'!$I$72-'Options and results'!$I$70,'Options and results'!$I$72)=0,'Options and results'!$I$73,0))</f>
        <v>0</v>
      </c>
      <c r="V26" s="889">
        <f>'Options and results'!$W$18-W26-X26-Y26</f>
        <v>33.340000000000003</v>
      </c>
      <c r="W26" s="889">
        <f>SUMPRODUCT(T9:T26,E51:E68)</f>
        <v>33.33</v>
      </c>
      <c r="X26" s="889">
        <f>SUMPRODUCT(U9:U26,F51:F68)</f>
        <v>32.996699999999997</v>
      </c>
      <c r="Y26" s="889">
        <f>SUMPRODUCT(U9:U26,G51:G68)</f>
        <v>0.33330000000000026</v>
      </c>
      <c r="Z26" s="889">
        <f t="shared" si="4"/>
        <v>33.33</v>
      </c>
      <c r="AA26" s="894">
        <f>(V26*Plot!E25*Plot!D25)</f>
        <v>232.67243533568171</v>
      </c>
      <c r="AB26" s="740">
        <f>SUMPRODUCT(T9:T26,H51:H68)</f>
        <v>2596.1988629058651</v>
      </c>
      <c r="AC26" s="740">
        <f>SUMPRODUCT(T9:T26,I51:I68)</f>
        <v>0</v>
      </c>
      <c r="AD26" s="740">
        <f ca="1">SUMPRODUCT(U9:U26,J51:J68)</f>
        <v>0</v>
      </c>
      <c r="AE26" s="740">
        <f>SUMPRODUCT(U9:U26,K51:K68)</f>
        <v>2163.0797143815007</v>
      </c>
      <c r="AF26" s="740">
        <f>SUMPRODUCT(U9:U26,L51:L68)</f>
        <v>0</v>
      </c>
      <c r="AG26" s="894">
        <f>Plot!N25*S26</f>
        <v>387.83870545896116</v>
      </c>
      <c r="AH26" s="740">
        <f>IF($A26&lt;='Options and results'!$W$20,SUMPRODUCT(T9:T26,M51:M68),0)</f>
        <v>0</v>
      </c>
      <c r="AI26" s="740">
        <f>IF($A26&lt;='Options and results'!$W$20,SUMPRODUCT(U9:U26,N51:N68),0)</f>
        <v>0</v>
      </c>
      <c r="AJ26" s="740">
        <f>IF($A26&lt;='Options and results'!$W$20,SUMPRODUCT(U9:U26,O51:O68),0)</f>
        <v>0</v>
      </c>
      <c r="AK26" s="740">
        <f t="shared" si="5"/>
        <v>0</v>
      </c>
      <c r="AL26" s="740">
        <f>Plot!P25*S26</f>
        <v>9470.7641761124687</v>
      </c>
      <c r="AM26" s="740">
        <f>IF($A26&lt;='Options and results'!$W$20,SUMPRODUCT(T9:T26,P51:P68),0)</f>
        <v>-99.99</v>
      </c>
      <c r="AN26" s="740">
        <f ca="1">IF($A26&lt;='Options and results'!$W$20,SUMPRODUCT(U9:U26,Q51:Q68),0)</f>
        <v>0</v>
      </c>
      <c r="AO26" s="740">
        <f>IF($A26&lt;='Options and results'!$W$20,SUMPRODUCT(U9:U26,R51:R68),0)</f>
        <v>-99.99</v>
      </c>
      <c r="AP26" s="740">
        <f t="shared" ca="1" si="6"/>
        <v>-99.99</v>
      </c>
      <c r="AQ26" s="894">
        <f>IF($A26&lt;='Options and results'!$W$20,AQ25+AL26,0)</f>
        <v>347895.87825605221</v>
      </c>
      <c r="AR26" s="740">
        <f>IF($A26&lt;='Options and results'!$W$20,AR25+AM26,0)</f>
        <v>-54086.069824915889</v>
      </c>
      <c r="AS26" s="740">
        <f ca="1">IF($A26&lt;='Options and results'!$W$20,AS25+AN26,0)</f>
        <v>49149.781587213671</v>
      </c>
      <c r="AT26" s="740">
        <f>IF($A26&lt;='Options and results'!$W$20,AT25+AO26,0)</f>
        <v>-36464.515695458911</v>
      </c>
      <c r="AU26" s="740">
        <f ca="1">IF($A26&lt;='Options and results'!$W$20,AU25+AP26,0)</f>
        <v>12685.265891754752</v>
      </c>
      <c r="AV26" s="894">
        <f>AL26/(1+'Options and results'!$W$33)^($A26-1)</f>
        <v>4862.0369457875249</v>
      </c>
      <c r="AW26" s="740">
        <f>AM26/(1+'Options and results'!$W$33)^($A26-1)</f>
        <v>-51.332190852718504</v>
      </c>
      <c r="AX26" s="740">
        <f ca="1">AN26/(1+'Options and results'!$W$33)^($A26-1)</f>
        <v>0</v>
      </c>
      <c r="AY26" s="740">
        <f>AO26/(1+'Options and results'!$W$33)^($A26-1)</f>
        <v>-51.332190852718504</v>
      </c>
      <c r="AZ26" s="740">
        <f t="shared" ca="1" si="7"/>
        <v>-51.332190852718504</v>
      </c>
      <c r="BA26" s="894">
        <f>IF($A26&lt;='Options and results'!$W$20,AV26+BA25,0)</f>
        <v>258059.11064896194</v>
      </c>
      <c r="BB26" s="740">
        <f>IF($A26&lt;='Options and results'!$W$20,AW26+BB25,0)</f>
        <v>-46352.157040397156</v>
      </c>
      <c r="BC26" s="740">
        <f ca="1">IF($A26&lt;='Options and results'!$W$20,AX26+BC25,0)</f>
        <v>49737.825890328924</v>
      </c>
      <c r="BD26" s="740">
        <f>IF($A26&lt;='Options and results'!$W$20,AY26+BD25,0)</f>
        <v>-31166.336172630265</v>
      </c>
      <c r="BE26" s="740">
        <f ca="1">IF($A26&lt;='Options and results'!$W$20,AZ26+BE25,0)</f>
        <v>18571.489717698656</v>
      </c>
      <c r="BF26" s="346"/>
    </row>
    <row r="27" spans="1:58" x14ac:dyDescent="0.25">
      <c r="A27" s="895">
        <f t="shared" si="8"/>
        <v>19</v>
      </c>
      <c r="B27" s="878">
        <f>IF('Options and results'!$C$54="none",0,IF(HLOOKUP('Options and results'!$C$54,Agroforestrysystem!$2:$9,8,FALSE)="No",LOOKUP(A27,Plot!$CK$8:$CN$67),LOOKUP(A27,Plot!$CK$8:$CN$67)+LOOKUP(A27,Plot!#REF!)))</f>
        <v>0.99</v>
      </c>
      <c r="C27" s="879">
        <f>IF(VLOOKUP(A27,Plot!$DF$8:$DL$67,7,FALSE)&gt;0,1-B27,0)</f>
        <v>1.0000000000000009E-2</v>
      </c>
      <c r="D27" s="896">
        <f t="shared" si="9"/>
        <v>42</v>
      </c>
      <c r="E27" s="897">
        <f>IF(VLOOKUP(D27,Plot!$V$8:$AB$67,Plot!$AB$2,FALSE)&gt;0,1,0)</f>
        <v>0</v>
      </c>
      <c r="F27" s="898">
        <f t="shared" si="2"/>
        <v>0</v>
      </c>
      <c r="G27" s="898">
        <f t="shared" si="3"/>
        <v>0</v>
      </c>
      <c r="H27" s="883">
        <f>VLOOKUP(D27,Plot!$V$8:$AH$67,Plot!$AH$2,FALSE)</f>
        <v>0</v>
      </c>
      <c r="I27" s="884">
        <f>VLOOKUP(D27,Plot!$V$8:$AJ$67,Plot!$AJ$2,FALSE)</f>
        <v>0</v>
      </c>
      <c r="J27" s="885">
        <f ca="1">VLOOKUP(D27,Plot!$CK$8:$CP$67,Plot!$CO$2,FALSE)*VLOOKUP(D27,Plot!$CK$8:$CP$67,Plot!$CN$2,FALSE)</f>
        <v>0</v>
      </c>
      <c r="K27" s="884">
        <f>VLOOKUP(D27,Plot!$DF$8:$DS$67,Plot!$DS$2,FALSE)</f>
        <v>0</v>
      </c>
      <c r="L27" s="884">
        <f>VLOOKUP(D27,Plot!$DF$8:$DU$67,Plot!$DU$2,FALSE)</f>
        <v>0</v>
      </c>
      <c r="M27" s="883">
        <f>VLOOKUP(D27,Plot!$V$8:$BW$67,Plot!$BW$2,FALSE)</f>
        <v>0</v>
      </c>
      <c r="N27" s="884">
        <f>VLOOKUP(D27,Plot!$CK$8:$CX$67,Plot!$CX$2,FALSE)</f>
        <v>0</v>
      </c>
      <c r="O27" s="884">
        <f>VLOOKUP(D27,Plot!$DF$8:$FH$67,Plot!$FH$2,FALSE)</f>
        <v>0</v>
      </c>
      <c r="P27" s="883">
        <f>VLOOKUP(D27,Plot!$V$8:$CA$67,Plot!$CA$2,FALSE)</f>
        <v>0</v>
      </c>
      <c r="Q27" s="884">
        <f>VLOOKUP($D27,Plot!$CK$8:$CZ$67,Plot!$CZ$2,FALSE)</f>
        <v>0</v>
      </c>
      <c r="R27" s="899">
        <f>VLOOKUP($D27,Plot!$DF$8:$FL$67,Plot!$FL$2,FALSE)</f>
        <v>0</v>
      </c>
      <c r="S27" s="895">
        <f t="shared" si="10"/>
        <v>33.340000000000003</v>
      </c>
      <c r="T27" s="900">
        <f>IF($A27='Options and results'!$I$33,'Options and results'!$I$34)+IF($A27='Options and results'!$I$35,'Options and results'!$I$36)+IF($A27='Options and results'!$I$37,'Options and results'!$I$38)+IF($A27='Options and results'!$I$39,'Options and results'!$I$40)+IF($A27='Options and results'!$I$41,'Options and results'!$I$42)+IF(AND($A27&gt;='Options and results'!$I$44,$A27&lt;='Options and results'!$I$45),IF(MOD($A27+'Options and results'!$I$46-'Options and results'!$I$44,'Options and results'!$I$46)=0,'Options and results'!$I$47,0))</f>
        <v>0</v>
      </c>
      <c r="U27" s="901">
        <f>IF($A27='Options and results'!$I$59,'Options and results'!$I$60)+IF($A27='Options and results'!$I$61,'Options and results'!$I$62)+IF($A27='Options and results'!$I$63,'Options and results'!$I$64)+IF($A27='Options and results'!$I$65,'Options and results'!$I$66)+IF($A27='Options and results'!$I$67,'Options and results'!$I$68)+IF(AND($A27&gt;='Options and results'!$I$70,$A27&lt;='Options and results'!$I$71),IF(MOD($A27+'Options and results'!$I$72-'Options and results'!$I$70,'Options and results'!$I$72)=0,'Options and results'!$I$73,0))</f>
        <v>0</v>
      </c>
      <c r="V27" s="889">
        <f>'Options and results'!$W$18-W27-X27-Y27</f>
        <v>33.340000000000003</v>
      </c>
      <c r="W27" s="889">
        <f>SUMPRODUCT(T9:T27,E50:E68)</f>
        <v>33.33</v>
      </c>
      <c r="X27" s="889">
        <f>SUMPRODUCT(U9:U27,F50:F68)</f>
        <v>32.996699999999997</v>
      </c>
      <c r="Y27" s="889">
        <f>SUMPRODUCT(U9:U27,G50:G68)</f>
        <v>0.33330000000000026</v>
      </c>
      <c r="Z27" s="889">
        <f t="shared" si="4"/>
        <v>33.33</v>
      </c>
      <c r="AA27" s="894">
        <f>(V27*Plot!E26*Plot!D26)</f>
        <v>297.3857806359307</v>
      </c>
      <c r="AB27" s="740">
        <f>SUMPRODUCT(T9:T27,H50:H68)</f>
        <v>2978.236454672227</v>
      </c>
      <c r="AC27" s="740">
        <f>SUMPRODUCT(T9:T27,I50:I68)</f>
        <v>0</v>
      </c>
      <c r="AD27" s="740">
        <f ca="1">SUMPRODUCT(U9:U27,J50:J68)</f>
        <v>0</v>
      </c>
      <c r="AE27" s="740">
        <f>SUMPRODUCT(U9:U27,K50:K68)</f>
        <v>2559.3483502464828</v>
      </c>
      <c r="AF27" s="740">
        <f>SUMPRODUCT(U9:U27,L50:L68)</f>
        <v>0</v>
      </c>
      <c r="AG27" s="894">
        <f>Plot!N26*S27</f>
        <v>361.19521025749333</v>
      </c>
      <c r="AH27" s="740">
        <f>IF($A27&lt;='Options and results'!$W$20,SUMPRODUCT(T9:T27,M50:M68),0)</f>
        <v>0</v>
      </c>
      <c r="AI27" s="740">
        <f>IF($A27&lt;='Options and results'!$W$20,SUMPRODUCT(U9:U27,N50:N68),0)</f>
        <v>0</v>
      </c>
      <c r="AJ27" s="740">
        <f>IF($A27&lt;='Options and results'!$W$20,SUMPRODUCT(U9:U27,O50:O68),0)</f>
        <v>0</v>
      </c>
      <c r="AK27" s="740">
        <f t="shared" si="5"/>
        <v>0</v>
      </c>
      <c r="AL27" s="740">
        <f>Plot!P26*S27</f>
        <v>27219.342820576356</v>
      </c>
      <c r="AM27" s="740">
        <f>IF($A27&lt;='Options and results'!$W$20,SUMPRODUCT(T9:T27,P50:P68),0)</f>
        <v>-99.99</v>
      </c>
      <c r="AN27" s="740">
        <f ca="1">IF($A27&lt;='Options and results'!$W$20,SUMPRODUCT(U9:U27,Q50:Q68),0)</f>
        <v>0</v>
      </c>
      <c r="AO27" s="740">
        <f>IF($A27&lt;='Options and results'!$W$20,SUMPRODUCT(U9:U27,R50:R68),0)</f>
        <v>-99.99</v>
      </c>
      <c r="AP27" s="740">
        <f t="shared" ca="1" si="6"/>
        <v>-99.99</v>
      </c>
      <c r="AQ27" s="894">
        <f>IF($A27&lt;='Options and results'!$W$20,AQ26+AL27,0)</f>
        <v>375115.22107662854</v>
      </c>
      <c r="AR27" s="740">
        <f>IF($A27&lt;='Options and results'!$W$20,AR26+AM27,0)</f>
        <v>-54186.059824915887</v>
      </c>
      <c r="AS27" s="740">
        <f ca="1">IF($A27&lt;='Options and results'!$W$20,AS26+AN27,0)</f>
        <v>49149.781587213671</v>
      </c>
      <c r="AT27" s="740">
        <f>IF($A27&lt;='Options and results'!$W$20,AT26+AO27,0)</f>
        <v>-36564.505695458909</v>
      </c>
      <c r="AU27" s="740">
        <f ca="1">IF($A27&lt;='Options and results'!$W$20,AU26+AP27,0)</f>
        <v>12585.275891754753</v>
      </c>
      <c r="AV27" s="894">
        <f>AL27/(1+'Options and results'!$W$33)^($A27-1)</f>
        <v>13436.233051684001</v>
      </c>
      <c r="AW27" s="740">
        <f>AM27/(1+'Options and results'!$W$33)^($A27-1)</f>
        <v>-49.357875819921631</v>
      </c>
      <c r="AX27" s="740">
        <f ca="1">AN27/(1+'Options and results'!$W$33)^($A27-1)</f>
        <v>0</v>
      </c>
      <c r="AY27" s="740">
        <f>AO27/(1+'Options and results'!$W$33)^($A27-1)</f>
        <v>-49.357875819921631</v>
      </c>
      <c r="AZ27" s="740">
        <f t="shared" ca="1" si="7"/>
        <v>-49.357875819921631</v>
      </c>
      <c r="BA27" s="894">
        <f>IF($A27&lt;='Options and results'!$W$20,AV27+BA26,0)</f>
        <v>271495.34370064596</v>
      </c>
      <c r="BB27" s="740">
        <f>IF($A27&lt;='Options and results'!$W$20,AW27+BB26,0)</f>
        <v>-46401.514916217078</v>
      </c>
      <c r="BC27" s="740">
        <f ca="1">IF($A27&lt;='Options and results'!$W$20,AX27+BC26,0)</f>
        <v>49737.825890328924</v>
      </c>
      <c r="BD27" s="740">
        <f>IF($A27&lt;='Options and results'!$W$20,AY27+BD26,0)</f>
        <v>-31215.694048450187</v>
      </c>
      <c r="BE27" s="740">
        <f ca="1">IF($A27&lt;='Options and results'!$W$20,AZ27+BE26,0)</f>
        <v>18522.131841878734</v>
      </c>
      <c r="BF27" s="346"/>
    </row>
    <row r="28" spans="1:58" x14ac:dyDescent="0.25">
      <c r="A28" s="895">
        <f t="shared" si="8"/>
        <v>20</v>
      </c>
      <c r="B28" s="878">
        <f>IF('Options and results'!$C$54="none",0,IF(HLOOKUP('Options and results'!$C$54,Agroforestrysystem!$2:$9,8,FALSE)="No",LOOKUP(A28,Plot!$CK$8:$CN$67),LOOKUP(A28,Plot!$CK$8:$CN$67)+LOOKUP(A28,Plot!#REF!)))</f>
        <v>0.99</v>
      </c>
      <c r="C28" s="879">
        <f>IF(VLOOKUP(A28,Plot!$DF$8:$DL$67,7,FALSE)&gt;0,1-B28,0)</f>
        <v>1.0000000000000009E-2</v>
      </c>
      <c r="D28" s="896">
        <f t="shared" si="9"/>
        <v>41</v>
      </c>
      <c r="E28" s="897">
        <f>IF(VLOOKUP(D28,Plot!$V$8:$AB$67,Plot!$AB$2,FALSE)&gt;0,1,0)</f>
        <v>0</v>
      </c>
      <c r="F28" s="898">
        <f t="shared" si="2"/>
        <v>0</v>
      </c>
      <c r="G28" s="898">
        <f t="shared" si="3"/>
        <v>0</v>
      </c>
      <c r="H28" s="883">
        <f>VLOOKUP(D28,Plot!$V$8:$AH$67,Plot!$AH$2,FALSE)</f>
        <v>0</v>
      </c>
      <c r="I28" s="884">
        <f>VLOOKUP(D28,Plot!$V$8:$AJ$67,Plot!$AJ$2,FALSE)</f>
        <v>0</v>
      </c>
      <c r="J28" s="885">
        <f ca="1">VLOOKUP(D28,Plot!$CK$8:$CP$67,Plot!$CO$2,FALSE)*VLOOKUP(D28,Plot!$CK$8:$CP$67,Plot!$CN$2,FALSE)</f>
        <v>0</v>
      </c>
      <c r="K28" s="884">
        <f>VLOOKUP(D28,Plot!$DF$8:$DS$67,Plot!$DS$2,FALSE)</f>
        <v>0</v>
      </c>
      <c r="L28" s="884">
        <f>VLOOKUP(D28,Plot!$DF$8:$DU$67,Plot!$DU$2,FALSE)</f>
        <v>0</v>
      </c>
      <c r="M28" s="883">
        <f>VLOOKUP(D28,Plot!$V$8:$BW$67,Plot!$BW$2,FALSE)</f>
        <v>0</v>
      </c>
      <c r="N28" s="884">
        <f>VLOOKUP(D28,Plot!$CK$8:$CX$67,Plot!$CX$2,FALSE)</f>
        <v>0</v>
      </c>
      <c r="O28" s="884">
        <f>VLOOKUP(D28,Plot!$DF$8:$FH$67,Plot!$FH$2,FALSE)</f>
        <v>0</v>
      </c>
      <c r="P28" s="883">
        <f>VLOOKUP(D28,Plot!$V$8:$CA$67,Plot!$CA$2,FALSE)</f>
        <v>0</v>
      </c>
      <c r="Q28" s="884">
        <f>VLOOKUP($D28,Plot!$CK$8:$CZ$67,Plot!$CZ$2,FALSE)</f>
        <v>0</v>
      </c>
      <c r="R28" s="899">
        <f>VLOOKUP($D28,Plot!$DF$8:$FL$67,Plot!$FL$2,FALSE)</f>
        <v>0</v>
      </c>
      <c r="S28" s="895">
        <f t="shared" si="10"/>
        <v>33.340000000000003</v>
      </c>
      <c r="T28" s="900">
        <f>IF($A28='Options and results'!$I$33,'Options and results'!$I$34)+IF($A28='Options and results'!$I$35,'Options and results'!$I$36)+IF($A28='Options and results'!$I$37,'Options and results'!$I$38)+IF($A28='Options and results'!$I$39,'Options and results'!$I$40)+IF($A28='Options and results'!$I$41,'Options and results'!$I$42)+IF(AND($A28&gt;='Options and results'!$I$44,$A28&lt;='Options and results'!$I$45),IF(MOD($A28+'Options and results'!$I$46-'Options and results'!$I$44,'Options and results'!$I$46)=0,'Options and results'!$I$47,0))</f>
        <v>0</v>
      </c>
      <c r="U28" s="901">
        <f>IF($A28='Options and results'!$I$59,'Options and results'!$I$60)+IF($A28='Options and results'!$I$61,'Options and results'!$I$62)+IF($A28='Options and results'!$I$63,'Options and results'!$I$64)+IF($A28='Options and results'!$I$65,'Options and results'!$I$66)+IF($A28='Options and results'!$I$67,'Options and results'!$I$68)+IF(AND($A28&gt;='Options and results'!$I$70,$A28&lt;='Options and results'!$I$71),IF(MOD($A28+'Options and results'!$I$72-'Options and results'!$I$70,'Options and results'!$I$72)=0,'Options and results'!$I$73,0))</f>
        <v>0</v>
      </c>
      <c r="V28" s="889">
        <f>'Options and results'!$W$18-W28-X28-Y28</f>
        <v>33.340000000000003</v>
      </c>
      <c r="W28" s="889">
        <f>SUMPRODUCT(T9:T28,E49:E68)</f>
        <v>33.33</v>
      </c>
      <c r="X28" s="889">
        <f>SUMPRODUCT(U9:U28,F49:F68)</f>
        <v>32.996699999999997</v>
      </c>
      <c r="Y28" s="889">
        <f>SUMPRODUCT(U9:U28,G49:G68)</f>
        <v>0.33330000000000026</v>
      </c>
      <c r="Z28" s="889">
        <f t="shared" si="4"/>
        <v>33.33</v>
      </c>
      <c r="AA28" s="894">
        <f>(V28*Plot!E27*Plot!D27)</f>
        <v>121.37030607955302</v>
      </c>
      <c r="AB28" s="740">
        <f>SUMPRODUCT(T9:T28,H49:H68)</f>
        <v>3346.9104156871786</v>
      </c>
      <c r="AC28" s="740">
        <f>SUMPRODUCT(T9:T28,I49:I68)</f>
        <v>0</v>
      </c>
      <c r="AD28" s="740">
        <f ca="1">SUMPRODUCT(U9:U28,J49:J68)</f>
        <v>0</v>
      </c>
      <c r="AE28" s="740">
        <f>SUMPRODUCT(U9:U28,K49:K68)</f>
        <v>2996.842376872381</v>
      </c>
      <c r="AF28" s="740">
        <f>SUMPRODUCT(U9:U28,L49:L68)</f>
        <v>0</v>
      </c>
      <c r="AG28" s="894">
        <f>Plot!N27*S28</f>
        <v>248.68682984763632</v>
      </c>
      <c r="AH28" s="740">
        <f>IF($A28&lt;='Options and results'!$W$20,SUMPRODUCT(T9:T28,M49:M68),0)</f>
        <v>0</v>
      </c>
      <c r="AI28" s="740">
        <f>IF($A28&lt;='Options and results'!$W$20,SUMPRODUCT(U9:U28,N49:N68),0)</f>
        <v>0</v>
      </c>
      <c r="AJ28" s="740">
        <f>IF($A28&lt;='Options and results'!$W$20,SUMPRODUCT(U9:U28,O49:O68),0)</f>
        <v>0</v>
      </c>
      <c r="AK28" s="740">
        <f t="shared" si="5"/>
        <v>0</v>
      </c>
      <c r="AL28" s="740">
        <f>Plot!P27*S28</f>
        <v>12087.273035174205</v>
      </c>
      <c r="AM28" s="740">
        <f>IF($A28&lt;='Options and results'!$W$20,SUMPRODUCT(T9:T28,P49:P68),0)</f>
        <v>-99.99</v>
      </c>
      <c r="AN28" s="740">
        <f ca="1">IF($A28&lt;='Options and results'!$W$20,SUMPRODUCT(U9:U28,Q49:Q68),0)</f>
        <v>0</v>
      </c>
      <c r="AO28" s="740">
        <f>IF($A28&lt;='Options and results'!$W$20,SUMPRODUCT(U9:U28,R49:R68),0)</f>
        <v>-99.99</v>
      </c>
      <c r="AP28" s="740">
        <f t="shared" ca="1" si="6"/>
        <v>-99.99</v>
      </c>
      <c r="AQ28" s="894">
        <f>IF($A28&lt;='Options and results'!$W$20,AQ27+AL28,0)</f>
        <v>387202.49411180272</v>
      </c>
      <c r="AR28" s="740">
        <f>IF($A28&lt;='Options and results'!$W$20,AR27+AM28,0)</f>
        <v>-54286.049824915885</v>
      </c>
      <c r="AS28" s="740">
        <f ca="1">IF($A28&lt;='Options and results'!$W$20,AS27+AN28,0)</f>
        <v>49149.781587213671</v>
      </c>
      <c r="AT28" s="740">
        <f>IF($A28&lt;='Options and results'!$W$20,AT27+AO28,0)</f>
        <v>-36664.495695458907</v>
      </c>
      <c r="AU28" s="740">
        <f ca="1">IF($A28&lt;='Options and results'!$W$20,AU27+AP28,0)</f>
        <v>12485.285891754753</v>
      </c>
      <c r="AV28" s="894">
        <f>AL28/(1+'Options and results'!$W$33)^($A28-1)</f>
        <v>5737.1325735613527</v>
      </c>
      <c r="AW28" s="740">
        <f>AM28/(1+'Options and results'!$W$33)^($A28-1)</f>
        <v>-47.45949598069388</v>
      </c>
      <c r="AX28" s="740">
        <f ca="1">AN28/(1+'Options and results'!$W$33)^($A28-1)</f>
        <v>0</v>
      </c>
      <c r="AY28" s="740">
        <f>AO28/(1+'Options and results'!$W$33)^($A28-1)</f>
        <v>-47.45949598069388</v>
      </c>
      <c r="AZ28" s="740">
        <f t="shared" ca="1" si="7"/>
        <v>-47.45949598069388</v>
      </c>
      <c r="BA28" s="894">
        <f>IF($A28&lt;='Options and results'!$W$20,AV28+BA27,0)</f>
        <v>277232.47627420729</v>
      </c>
      <c r="BB28" s="740">
        <f>IF($A28&lt;='Options and results'!$W$20,AW28+BB27,0)</f>
        <v>-46448.974412197771</v>
      </c>
      <c r="BC28" s="740">
        <f ca="1">IF($A28&lt;='Options and results'!$W$20,AX28+BC27,0)</f>
        <v>49737.825890328924</v>
      </c>
      <c r="BD28" s="740">
        <f>IF($A28&lt;='Options and results'!$W$20,AY28+BD27,0)</f>
        <v>-31263.153544430879</v>
      </c>
      <c r="BE28" s="740">
        <f ca="1">IF($A28&lt;='Options and results'!$W$20,AZ28+BE27,0)</f>
        <v>18474.672345898041</v>
      </c>
      <c r="BF28" s="346"/>
    </row>
    <row r="29" spans="1:58" x14ac:dyDescent="0.25">
      <c r="A29" s="895">
        <f t="shared" si="8"/>
        <v>21</v>
      </c>
      <c r="B29" s="878">
        <f>IF('Options and results'!$C$54="none",0,IF(HLOOKUP('Options and results'!$C$54,Agroforestrysystem!$2:$9,8,FALSE)="No",LOOKUP(A29,Plot!$CK$8:$CN$67),LOOKUP(A29,Plot!$CK$8:$CN$67)+LOOKUP(A29,Plot!#REF!)))</f>
        <v>0.99</v>
      </c>
      <c r="C29" s="879">
        <f>IF(VLOOKUP(A29,Plot!$DF$8:$DL$67,7,FALSE)&gt;0,1-B29,0)</f>
        <v>1.0000000000000009E-2</v>
      </c>
      <c r="D29" s="896">
        <f t="shared" si="9"/>
        <v>40</v>
      </c>
      <c r="E29" s="897">
        <f>IF(VLOOKUP(D29,Plot!$V$8:$AB$67,Plot!$AB$2,FALSE)&gt;0,1,0)</f>
        <v>0</v>
      </c>
      <c r="F29" s="898">
        <f t="shared" si="2"/>
        <v>0</v>
      </c>
      <c r="G29" s="898">
        <f t="shared" si="3"/>
        <v>0</v>
      </c>
      <c r="H29" s="883">
        <f>VLOOKUP(D29,Plot!$V$8:$AH$67,Plot!$AH$2,FALSE)</f>
        <v>0</v>
      </c>
      <c r="I29" s="884">
        <f>VLOOKUP(D29,Plot!$V$8:$AJ$67,Plot!$AJ$2,FALSE)</f>
        <v>0</v>
      </c>
      <c r="J29" s="885">
        <f ca="1">VLOOKUP(D29,Plot!$CK$8:$CP$67,Plot!$CO$2,FALSE)*VLOOKUP(D29,Plot!$CK$8:$CP$67,Plot!$CN$2,FALSE)</f>
        <v>0</v>
      </c>
      <c r="K29" s="884">
        <f>VLOOKUP(D29,Plot!$DF$8:$DS$67,Plot!$DS$2,FALSE)</f>
        <v>0</v>
      </c>
      <c r="L29" s="884">
        <f>VLOOKUP(D29,Plot!$DF$8:$DU$67,Plot!$DU$2,FALSE)</f>
        <v>0</v>
      </c>
      <c r="M29" s="883">
        <f>VLOOKUP(D29,Plot!$V$8:$BW$67,Plot!$BW$2,FALSE)</f>
        <v>0</v>
      </c>
      <c r="N29" s="884">
        <f>VLOOKUP(D29,Plot!$CK$8:$CX$67,Plot!$CX$2,FALSE)</f>
        <v>0</v>
      </c>
      <c r="O29" s="884">
        <f>VLOOKUP(D29,Plot!$DF$8:$FH$67,Plot!$FH$2,FALSE)</f>
        <v>0</v>
      </c>
      <c r="P29" s="883">
        <f>VLOOKUP(D29,Plot!$V$8:$CA$67,Plot!$CA$2,FALSE)</f>
        <v>0</v>
      </c>
      <c r="Q29" s="884">
        <f>VLOOKUP($D29,Plot!$CK$8:$CZ$67,Plot!$CZ$2,FALSE)</f>
        <v>0</v>
      </c>
      <c r="R29" s="899">
        <f>VLOOKUP($D29,Plot!$DF$8:$FL$67,Plot!$FL$2,FALSE)</f>
        <v>0</v>
      </c>
      <c r="S29" s="895">
        <f t="shared" si="10"/>
        <v>33.340000000000003</v>
      </c>
      <c r="T29" s="900">
        <f>IF($A29='Options and results'!$I$33,'Options and results'!$I$34)+IF($A29='Options and results'!$I$35,'Options and results'!$I$36)+IF($A29='Options and results'!$I$37,'Options and results'!$I$38)+IF($A29='Options and results'!$I$39,'Options and results'!$I$40)+IF($A29='Options and results'!$I$41,'Options and results'!$I$42)+IF(AND($A29&gt;='Options and results'!$I$44,$A29&lt;='Options and results'!$I$45),IF(MOD($A29+'Options and results'!$I$46-'Options and results'!$I$44,'Options and results'!$I$46)=0,'Options and results'!$I$47,0))</f>
        <v>0</v>
      </c>
      <c r="U29" s="901">
        <f>IF($A29='Options and results'!$I$59,'Options and results'!$I$60)+IF($A29='Options and results'!$I$61,'Options and results'!$I$62)+IF($A29='Options and results'!$I$63,'Options and results'!$I$64)+IF($A29='Options and results'!$I$65,'Options and results'!$I$66)+IF($A29='Options and results'!$I$67,'Options and results'!$I$68)+IF(AND($A29&gt;='Options and results'!$I$70,$A29&lt;='Options and results'!$I$71),IF(MOD($A29+'Options and results'!$I$72-'Options and results'!$I$70,'Options and results'!$I$72)=0,'Options and results'!$I$73,0))</f>
        <v>0</v>
      </c>
      <c r="V29" s="889">
        <f>'Options and results'!$W$18-W29-X29-Y29</f>
        <v>33.340000000000003</v>
      </c>
      <c r="W29" s="889">
        <f>SUMPRODUCT(T9:T29,E48:E68)</f>
        <v>33.33</v>
      </c>
      <c r="X29" s="889">
        <f>SUMPRODUCT(U9:U29,F48:F68)</f>
        <v>32.996699999999997</v>
      </c>
      <c r="Y29" s="889">
        <f>SUMPRODUCT(U9:U29,G48:G68)</f>
        <v>0.33330000000000026</v>
      </c>
      <c r="Z29" s="889">
        <f t="shared" si="4"/>
        <v>33.33</v>
      </c>
      <c r="AA29" s="894">
        <f>(V29*Plot!E28*Plot!D28)</f>
        <v>261.54750463288008</v>
      </c>
      <c r="AB29" s="740">
        <f>SUMPRODUCT(T9:T29,H48:H68)</f>
        <v>3772.4332085802894</v>
      </c>
      <c r="AC29" s="740">
        <f>SUMPRODUCT(T9:T29,I48:I68)</f>
        <v>0</v>
      </c>
      <c r="AD29" s="740">
        <f ca="1">SUMPRODUCT(U9:U29,J48:J68)</f>
        <v>0</v>
      </c>
      <c r="AE29" s="740">
        <f>SUMPRODUCT(U9:U29,K48:K68)</f>
        <v>3416.0876047908055</v>
      </c>
      <c r="AF29" s="740">
        <f>SUMPRODUCT(U9:U29,L48:L68)</f>
        <v>0</v>
      </c>
      <c r="AG29" s="894">
        <f>Plot!N28*S29</f>
        <v>387.83870545896116</v>
      </c>
      <c r="AH29" s="740">
        <f>IF($A29&lt;='Options and results'!$W$20,SUMPRODUCT(T9:T29,M48:M68),0)</f>
        <v>0</v>
      </c>
      <c r="AI29" s="740">
        <f>IF($A29&lt;='Options and results'!$W$20,SUMPRODUCT(U9:U29,N48:N68),0)</f>
        <v>0</v>
      </c>
      <c r="AJ29" s="740">
        <f>IF($A29&lt;='Options and results'!$W$20,SUMPRODUCT(U9:U29,O48:O68),0)</f>
        <v>0</v>
      </c>
      <c r="AK29" s="740">
        <f t="shared" si="5"/>
        <v>0</v>
      </c>
      <c r="AL29" s="740">
        <f>Plot!P28*S29</f>
        <v>14916.92307966738</v>
      </c>
      <c r="AM29" s="740">
        <f>IF($A29&lt;='Options and results'!$W$20,SUMPRODUCT(T9:T29,P48:P68),0)</f>
        <v>-99.99</v>
      </c>
      <c r="AN29" s="740">
        <f ca="1">IF($A29&lt;='Options and results'!$W$20,SUMPRODUCT(U9:U29,Q48:Q68),0)</f>
        <v>0</v>
      </c>
      <c r="AO29" s="740">
        <f>IF($A29&lt;='Options and results'!$W$20,SUMPRODUCT(U9:U29,R48:R68),0)</f>
        <v>-99.99</v>
      </c>
      <c r="AP29" s="740">
        <f t="shared" ca="1" si="6"/>
        <v>-99.99</v>
      </c>
      <c r="AQ29" s="894">
        <f>IF($A29&lt;='Options and results'!$W$20,AQ28+AL29,0)</f>
        <v>402119.4171914701</v>
      </c>
      <c r="AR29" s="740">
        <f>IF($A29&lt;='Options and results'!$W$20,AR28+AM29,0)</f>
        <v>-54386.039824915882</v>
      </c>
      <c r="AS29" s="740">
        <f ca="1">IF($A29&lt;='Options and results'!$W$20,AS28+AN29,0)</f>
        <v>49149.781587213671</v>
      </c>
      <c r="AT29" s="740">
        <f>IF($A29&lt;='Options and results'!$W$20,AT28+AO29,0)</f>
        <v>-36764.485695458905</v>
      </c>
      <c r="AU29" s="740">
        <f ca="1">IF($A29&lt;='Options and results'!$W$20,AU28+AP29,0)</f>
        <v>12385.295891754753</v>
      </c>
      <c r="AV29" s="894">
        <f>AL29/(1+'Options and results'!$W$33)^($A29-1)</f>
        <v>6807.8889710489684</v>
      </c>
      <c r="AW29" s="740">
        <f>AM29/(1+'Options and results'!$W$33)^($A29-1)</f>
        <v>-45.63413075066719</v>
      </c>
      <c r="AX29" s="740">
        <f ca="1">AN29/(1+'Options and results'!$W$33)^($A29-1)</f>
        <v>0</v>
      </c>
      <c r="AY29" s="740">
        <f>AO29/(1+'Options and results'!$W$33)^($A29-1)</f>
        <v>-45.63413075066719</v>
      </c>
      <c r="AZ29" s="740">
        <f t="shared" ca="1" si="7"/>
        <v>-45.63413075066719</v>
      </c>
      <c r="BA29" s="894">
        <f>IF($A29&lt;='Options and results'!$W$20,AV29+BA28,0)</f>
        <v>284040.36524525628</v>
      </c>
      <c r="BB29" s="740">
        <f>IF($A29&lt;='Options and results'!$W$20,AW29+BB28,0)</f>
        <v>-46494.608542948437</v>
      </c>
      <c r="BC29" s="740">
        <f ca="1">IF($A29&lt;='Options and results'!$W$20,AX29+BC28,0)</f>
        <v>49737.825890328924</v>
      </c>
      <c r="BD29" s="740">
        <f>IF($A29&lt;='Options and results'!$W$20,AY29+BD28,0)</f>
        <v>-31308.787675181546</v>
      </c>
      <c r="BE29" s="740">
        <f ca="1">IF($A29&lt;='Options and results'!$W$20,AZ29+BE28,0)</f>
        <v>18429.038215147375</v>
      </c>
      <c r="BF29" s="346"/>
    </row>
    <row r="30" spans="1:58" x14ac:dyDescent="0.25">
      <c r="A30" s="895">
        <f t="shared" si="8"/>
        <v>22</v>
      </c>
      <c r="B30" s="878">
        <f>IF('Options and results'!$C$54="none",0,IF(HLOOKUP('Options and results'!$C$54,Agroforestrysystem!$2:$9,8,FALSE)="No",LOOKUP(A30,Plot!$CK$8:$CN$67),LOOKUP(A30,Plot!$CK$8:$CN$67)+LOOKUP(A30,Plot!#REF!)))</f>
        <v>0.99</v>
      </c>
      <c r="C30" s="879">
        <f>IF(VLOOKUP(A30,Plot!$DF$8:$DL$67,7,FALSE)&gt;0,1-B30,0)</f>
        <v>1.0000000000000009E-2</v>
      </c>
      <c r="D30" s="896">
        <f t="shared" si="9"/>
        <v>39</v>
      </c>
      <c r="E30" s="897">
        <f>IF(VLOOKUP(D30,Plot!$V$8:$AB$67,Plot!$AB$2,FALSE)&gt;0,1,0)</f>
        <v>0</v>
      </c>
      <c r="F30" s="898">
        <f t="shared" si="2"/>
        <v>0</v>
      </c>
      <c r="G30" s="898">
        <f t="shared" si="3"/>
        <v>0</v>
      </c>
      <c r="H30" s="883">
        <f>VLOOKUP(D30,Plot!$V$8:$AH$67,Plot!$AH$2,FALSE)</f>
        <v>0</v>
      </c>
      <c r="I30" s="884">
        <f>VLOOKUP(D30,Plot!$V$8:$AJ$67,Plot!$AJ$2,FALSE)</f>
        <v>0</v>
      </c>
      <c r="J30" s="885">
        <f ca="1">VLOOKUP(D30,Plot!$CK$8:$CP$67,Plot!$CO$2,FALSE)*VLOOKUP(D30,Plot!$CK$8:$CP$67,Plot!$CN$2,FALSE)</f>
        <v>0</v>
      </c>
      <c r="K30" s="884">
        <f>VLOOKUP(D30,Plot!$DF$8:$DS$67,Plot!$DS$2,FALSE)</f>
        <v>0</v>
      </c>
      <c r="L30" s="884">
        <f>VLOOKUP(D30,Plot!$DF$8:$DU$67,Plot!$DU$2,FALSE)</f>
        <v>0</v>
      </c>
      <c r="M30" s="883">
        <f>VLOOKUP(D30,Plot!$V$8:$BW$67,Plot!$BW$2,FALSE)</f>
        <v>0</v>
      </c>
      <c r="N30" s="884">
        <f>VLOOKUP(D30,Plot!$CK$8:$CX$67,Plot!$CX$2,FALSE)</f>
        <v>0</v>
      </c>
      <c r="O30" s="884">
        <f>VLOOKUP(D30,Plot!$DF$8:$FH$67,Plot!$FH$2,FALSE)</f>
        <v>0</v>
      </c>
      <c r="P30" s="883">
        <f>VLOOKUP(D30,Plot!$V$8:$CA$67,Plot!$CA$2,FALSE)</f>
        <v>0</v>
      </c>
      <c r="Q30" s="884">
        <f>VLOOKUP($D30,Plot!$CK$8:$CZ$67,Plot!$CZ$2,FALSE)</f>
        <v>0</v>
      </c>
      <c r="R30" s="899">
        <f>VLOOKUP($D30,Plot!$DF$8:$FL$67,Plot!$FL$2,FALSE)</f>
        <v>0</v>
      </c>
      <c r="S30" s="895">
        <f t="shared" si="10"/>
        <v>33.340000000000003</v>
      </c>
      <c r="T30" s="900">
        <f>IF($A30='Options and results'!$I$33,'Options and results'!$I$34)+IF($A30='Options and results'!$I$35,'Options and results'!$I$36)+IF($A30='Options and results'!$I$37,'Options and results'!$I$38)+IF($A30='Options and results'!$I$39,'Options and results'!$I$40)+IF($A30='Options and results'!$I$41,'Options and results'!$I$42)+IF(AND($A30&gt;='Options and results'!$I$44,$A30&lt;='Options and results'!$I$45),IF(MOD($A30+'Options and results'!$I$46-'Options and results'!$I$44,'Options and results'!$I$46)=0,'Options and results'!$I$47,0))</f>
        <v>0</v>
      </c>
      <c r="U30" s="901">
        <f>IF($A30='Options and results'!$I$59,'Options and results'!$I$60)+IF($A30='Options and results'!$I$61,'Options and results'!$I$62)+IF($A30='Options and results'!$I$63,'Options and results'!$I$64)+IF($A30='Options and results'!$I$65,'Options and results'!$I$66)+IF($A30='Options and results'!$I$67,'Options and results'!$I$68)+IF(AND($A30&gt;='Options and results'!$I$70,$A30&lt;='Options and results'!$I$71),IF(MOD($A30+'Options and results'!$I$72-'Options and results'!$I$70,'Options and results'!$I$72)=0,'Options and results'!$I$73,0))</f>
        <v>0</v>
      </c>
      <c r="V30" s="889">
        <f>'Options and results'!$W$18-W30-X30-Y30</f>
        <v>33.340000000000003</v>
      </c>
      <c r="W30" s="889">
        <f>SUMPRODUCT(T9:T30,E47:E68)</f>
        <v>33.33</v>
      </c>
      <c r="X30" s="889">
        <f>SUMPRODUCT(U9:U30,F47:F68)</f>
        <v>32.996699999999997</v>
      </c>
      <c r="Y30" s="889">
        <f>SUMPRODUCT(U9:U30,G47:G68)</f>
        <v>0.33330000000000026</v>
      </c>
      <c r="Z30" s="889">
        <f t="shared" si="4"/>
        <v>33.33</v>
      </c>
      <c r="AA30" s="894">
        <f>(V30*Plot!E29*Plot!D29)</f>
        <v>292.75877971313969</v>
      </c>
      <c r="AB30" s="740">
        <f>SUMPRODUCT(T9:T30,H47:H68)</f>
        <v>4168.5882308667278</v>
      </c>
      <c r="AC30" s="740">
        <f>SUMPRODUCT(T9:T30,I47:I68)</f>
        <v>0</v>
      </c>
      <c r="AD30" s="740">
        <f ca="1">SUMPRODUCT(U9:U30,J47:J68)</f>
        <v>0</v>
      </c>
      <c r="AE30" s="740">
        <f>SUMPRODUCT(U9:U30,K47:K68)</f>
        <v>3830.0149189522331</v>
      </c>
      <c r="AF30" s="740">
        <f>SUMPRODUCT(U9:U30,L47:L68)</f>
        <v>0</v>
      </c>
      <c r="AG30" s="894">
        <f>Plot!N29*S30</f>
        <v>387.83870545896116</v>
      </c>
      <c r="AH30" s="740">
        <f>IF($A30&lt;='Options and results'!$W$20,SUMPRODUCT(T9:T30,M47:M68),0)</f>
        <v>0</v>
      </c>
      <c r="AI30" s="740">
        <f>IF($A30&lt;='Options and results'!$W$20,SUMPRODUCT(U9:U30,N47:N68),0)</f>
        <v>0</v>
      </c>
      <c r="AJ30" s="740">
        <f>IF($A30&lt;='Options and results'!$W$20,SUMPRODUCT(U9:U30,O47:O68),0)</f>
        <v>0</v>
      </c>
      <c r="AK30" s="740">
        <f t="shared" si="5"/>
        <v>0</v>
      </c>
      <c r="AL30" s="740">
        <f>Plot!P29*S30</f>
        <v>20803.716351749688</v>
      </c>
      <c r="AM30" s="740">
        <f>IF($A30&lt;='Options and results'!$W$20,SUMPRODUCT(T9:T30,P47:P68),0)</f>
        <v>-99.99</v>
      </c>
      <c r="AN30" s="740">
        <f ca="1">IF($A30&lt;='Options and results'!$W$20,SUMPRODUCT(U9:U30,Q47:Q68),0)</f>
        <v>0</v>
      </c>
      <c r="AO30" s="740">
        <f>IF($A30&lt;='Options and results'!$W$20,SUMPRODUCT(U9:U30,R47:R68),0)</f>
        <v>-99.99</v>
      </c>
      <c r="AP30" s="740">
        <f t="shared" ca="1" si="6"/>
        <v>-99.99</v>
      </c>
      <c r="AQ30" s="894">
        <f>IF($A30&lt;='Options and results'!$W$20,AQ29+AL30,0)</f>
        <v>422923.13354321977</v>
      </c>
      <c r="AR30" s="740">
        <f>IF($A30&lt;='Options and results'!$W$20,AR29+AM30,0)</f>
        <v>-54486.02982491588</v>
      </c>
      <c r="AS30" s="740">
        <f ca="1">IF($A30&lt;='Options and results'!$W$20,AS29+AN30,0)</f>
        <v>49149.781587213671</v>
      </c>
      <c r="AT30" s="740">
        <f>IF($A30&lt;='Options and results'!$W$20,AT29+AO30,0)</f>
        <v>-36864.475695458903</v>
      </c>
      <c r="AU30" s="740">
        <f ca="1">IF($A30&lt;='Options and results'!$W$20,AU29+AP30,0)</f>
        <v>12285.305891754753</v>
      </c>
      <c r="AV30" s="894">
        <f>AL30/(1+'Options and results'!$W$33)^($A30-1)</f>
        <v>9129.3697840508867</v>
      </c>
      <c r="AW30" s="740">
        <f>AM30/(1+'Options and results'!$W$33)^($A30-1)</f>
        <v>-43.878971875641518</v>
      </c>
      <c r="AX30" s="740">
        <f ca="1">AN30/(1+'Options and results'!$W$33)^($A30-1)</f>
        <v>0</v>
      </c>
      <c r="AY30" s="740">
        <f>AO30/(1+'Options and results'!$W$33)^($A30-1)</f>
        <v>-43.878971875641518</v>
      </c>
      <c r="AZ30" s="740">
        <f t="shared" ca="1" si="7"/>
        <v>-43.878971875641518</v>
      </c>
      <c r="BA30" s="894">
        <f>IF($A30&lt;='Options and results'!$W$20,AV30+BA29,0)</f>
        <v>293169.73502930719</v>
      </c>
      <c r="BB30" s="740">
        <f>IF($A30&lt;='Options and results'!$W$20,AW30+BB29,0)</f>
        <v>-46538.487514824075</v>
      </c>
      <c r="BC30" s="740">
        <f ca="1">IF($A30&lt;='Options and results'!$W$20,AX30+BC29,0)</f>
        <v>49737.825890328924</v>
      </c>
      <c r="BD30" s="740">
        <f>IF($A30&lt;='Options and results'!$W$20,AY30+BD29,0)</f>
        <v>-31352.666647057187</v>
      </c>
      <c r="BE30" s="740">
        <f ca="1">IF($A30&lt;='Options and results'!$W$20,AZ30+BE29,0)</f>
        <v>18385.159243271733</v>
      </c>
      <c r="BF30" s="346"/>
    </row>
    <row r="31" spans="1:58" x14ac:dyDescent="0.25">
      <c r="A31" s="895">
        <f t="shared" si="8"/>
        <v>23</v>
      </c>
      <c r="B31" s="878">
        <f>IF('Options and results'!$C$54="none",0,IF(HLOOKUP('Options and results'!$C$54,Agroforestrysystem!$2:$9,8,FALSE)="No",LOOKUP(A31,Plot!$CK$8:$CN$67),LOOKUP(A31,Plot!$CK$8:$CN$67)+LOOKUP(A31,Plot!#REF!)))</f>
        <v>0.99</v>
      </c>
      <c r="C31" s="879">
        <f>IF(VLOOKUP(A31,Plot!$DF$8:$DL$67,7,FALSE)&gt;0,1-B31,0)</f>
        <v>1.0000000000000009E-2</v>
      </c>
      <c r="D31" s="896">
        <f t="shared" si="9"/>
        <v>38</v>
      </c>
      <c r="E31" s="897">
        <f>IF(VLOOKUP(D31,Plot!$V$8:$AB$67,Plot!$AB$2,FALSE)&gt;0,1,0)</f>
        <v>0</v>
      </c>
      <c r="F31" s="898">
        <f t="shared" si="2"/>
        <v>0</v>
      </c>
      <c r="G31" s="898">
        <f t="shared" si="3"/>
        <v>0</v>
      </c>
      <c r="H31" s="883">
        <f>VLOOKUP(D31,Plot!$V$8:$AH$67,Plot!$AH$2,FALSE)</f>
        <v>0</v>
      </c>
      <c r="I31" s="884">
        <f>VLOOKUP(D31,Plot!$V$8:$AJ$67,Plot!$AJ$2,FALSE)</f>
        <v>0</v>
      </c>
      <c r="J31" s="885">
        <f ca="1">VLOOKUP(D31,Plot!$CK$8:$CP$67,Plot!$CO$2,FALSE)*VLOOKUP(D31,Plot!$CK$8:$CP$67,Plot!$CN$2,FALSE)</f>
        <v>0</v>
      </c>
      <c r="K31" s="884">
        <f>VLOOKUP(D31,Plot!$DF$8:$DS$67,Plot!$DS$2,FALSE)</f>
        <v>0</v>
      </c>
      <c r="L31" s="884">
        <f>VLOOKUP(D31,Plot!$DF$8:$DU$67,Plot!$DU$2,FALSE)</f>
        <v>0</v>
      </c>
      <c r="M31" s="883">
        <f>VLOOKUP(D31,Plot!$V$8:$BW$67,Plot!$BW$2,FALSE)</f>
        <v>0</v>
      </c>
      <c r="N31" s="884">
        <f>VLOOKUP(D31,Plot!$CK$8:$CX$67,Plot!$CX$2,FALSE)</f>
        <v>0</v>
      </c>
      <c r="O31" s="884">
        <f>VLOOKUP(D31,Plot!$DF$8:$FH$67,Plot!$FH$2,FALSE)</f>
        <v>0</v>
      </c>
      <c r="P31" s="883">
        <f>VLOOKUP(D31,Plot!$V$8:$CA$67,Plot!$CA$2,FALSE)</f>
        <v>0</v>
      </c>
      <c r="Q31" s="884">
        <f>VLOOKUP($D31,Plot!$CK$8:$CZ$67,Plot!$CZ$2,FALSE)</f>
        <v>0</v>
      </c>
      <c r="R31" s="899">
        <f>VLOOKUP($D31,Plot!$DF$8:$FL$67,Plot!$FL$2,FALSE)</f>
        <v>0</v>
      </c>
      <c r="S31" s="895">
        <f t="shared" si="10"/>
        <v>33.340000000000003</v>
      </c>
      <c r="T31" s="900">
        <f>IF($A31='Options and results'!$I$33,'Options and results'!$I$34)+IF($A31='Options and results'!$I$35,'Options and results'!$I$36)+IF($A31='Options and results'!$I$37,'Options and results'!$I$38)+IF($A31='Options and results'!$I$39,'Options and results'!$I$40)+IF($A31='Options and results'!$I$41,'Options and results'!$I$42)+IF(AND($A31&gt;='Options and results'!$I$44,$A31&lt;='Options and results'!$I$45),IF(MOD($A31+'Options and results'!$I$46-'Options and results'!$I$44,'Options and results'!$I$46)=0,'Options and results'!$I$47,0))</f>
        <v>0</v>
      </c>
      <c r="U31" s="901">
        <f>IF($A31='Options and results'!$I$59,'Options and results'!$I$60)+IF($A31='Options and results'!$I$61,'Options and results'!$I$62)+IF($A31='Options and results'!$I$63,'Options and results'!$I$64)+IF($A31='Options and results'!$I$65,'Options and results'!$I$66)+IF($A31='Options and results'!$I$67,'Options and results'!$I$68)+IF(AND($A31&gt;='Options and results'!$I$70,$A31&lt;='Options and results'!$I$71),IF(MOD($A31+'Options and results'!$I$72-'Options and results'!$I$70,'Options and results'!$I$72)=0,'Options and results'!$I$73,0))</f>
        <v>0</v>
      </c>
      <c r="V31" s="889">
        <f>'Options and results'!$W$18-W31-X31-Y31</f>
        <v>33.340000000000003</v>
      </c>
      <c r="W31" s="889">
        <f>SUMPRODUCT(T9:T31,E46:E68)</f>
        <v>33.33</v>
      </c>
      <c r="X31" s="889">
        <f>SUMPRODUCT(U9:U31,F46:F68)</f>
        <v>32.996699999999997</v>
      </c>
      <c r="Y31" s="889">
        <f>SUMPRODUCT(U9:U31,G46:G68)</f>
        <v>0.33330000000000026</v>
      </c>
      <c r="Z31" s="889">
        <f t="shared" si="4"/>
        <v>33.33</v>
      </c>
      <c r="AA31" s="894">
        <f>(V31*Plot!E30*Plot!D30)</f>
        <v>99.655800015424461</v>
      </c>
      <c r="AB31" s="740">
        <f>SUMPRODUCT(T9:T31,H46:H68)</f>
        <v>4543.1161632557514</v>
      </c>
      <c r="AC31" s="740">
        <f>SUMPRODUCT(T9:T31,I46:I68)</f>
        <v>0</v>
      </c>
      <c r="AD31" s="740">
        <f ca="1">SUMPRODUCT(U9:U31,J46:J68)</f>
        <v>0</v>
      </c>
      <c r="AE31" s="740">
        <f>SUMPRODUCT(U9:U31,K46:K68)</f>
        <v>4252.101999092919</v>
      </c>
      <c r="AF31" s="740">
        <f>SUMPRODUCT(U9:U31,L46:L68)</f>
        <v>0</v>
      </c>
      <c r="AG31" s="894">
        <f>Plot!N30*S31</f>
        <v>361.19521025749333</v>
      </c>
      <c r="AH31" s="740">
        <f>IF($A31&lt;='Options and results'!$W$20,SUMPRODUCT(T9:T31,M46:M68),0)</f>
        <v>0</v>
      </c>
      <c r="AI31" s="740">
        <f>IF($A31&lt;='Options and results'!$W$20,SUMPRODUCT(U9:U31,N46:N68),0)</f>
        <v>0</v>
      </c>
      <c r="AJ31" s="740">
        <f>IF($A31&lt;='Options and results'!$W$20,SUMPRODUCT(U9:U31,O46:O68),0)</f>
        <v>0</v>
      </c>
      <c r="AK31" s="740">
        <f t="shared" si="5"/>
        <v>0</v>
      </c>
      <c r="AL31" s="740">
        <f>Plot!P30*S31</f>
        <v>-10887.618444564547</v>
      </c>
      <c r="AM31" s="740">
        <f>IF($A31&lt;='Options and results'!$W$20,SUMPRODUCT(T9:T31,P46:P68),0)</f>
        <v>-99.99</v>
      </c>
      <c r="AN31" s="740">
        <f ca="1">IF($A31&lt;='Options and results'!$W$20,SUMPRODUCT(U9:U31,Q46:Q68),0)</f>
        <v>0</v>
      </c>
      <c r="AO31" s="740">
        <f>IF($A31&lt;='Options and results'!$W$20,SUMPRODUCT(U9:U31,R46:R68),0)</f>
        <v>-99.99</v>
      </c>
      <c r="AP31" s="740">
        <f t="shared" ca="1" si="6"/>
        <v>-99.99</v>
      </c>
      <c r="AQ31" s="894">
        <f>IF($A31&lt;='Options and results'!$W$20,AQ30+AL31,0)</f>
        <v>412035.51509865525</v>
      </c>
      <c r="AR31" s="740">
        <f>IF($A31&lt;='Options and results'!$W$20,AR30+AM31,0)</f>
        <v>-54586.019824915878</v>
      </c>
      <c r="AS31" s="740">
        <f ca="1">IF($A31&lt;='Options and results'!$W$20,AS30+AN31,0)</f>
        <v>49149.781587213671</v>
      </c>
      <c r="AT31" s="740">
        <f>IF($A31&lt;='Options and results'!$W$20,AT30+AO31,0)</f>
        <v>-36964.465695458901</v>
      </c>
      <c r="AU31" s="740">
        <f ca="1">IF($A31&lt;='Options and results'!$W$20,AU30+AP31,0)</f>
        <v>12185.315891754753</v>
      </c>
      <c r="AV31" s="894">
        <f>AL31/(1+'Options and results'!$W$33)^($A31-1)</f>
        <v>-4594.0892504804679</v>
      </c>
      <c r="AW31" s="740">
        <f>AM31/(1+'Options and results'!$W$33)^($A31-1)</f>
        <v>-42.191319111193771</v>
      </c>
      <c r="AX31" s="740">
        <f ca="1">AN31/(1+'Options and results'!$W$33)^($A31-1)</f>
        <v>0</v>
      </c>
      <c r="AY31" s="740">
        <f>AO31/(1+'Options and results'!$W$33)^($A31-1)</f>
        <v>-42.191319111193771</v>
      </c>
      <c r="AZ31" s="740">
        <f t="shared" ca="1" si="7"/>
        <v>-42.191319111193771</v>
      </c>
      <c r="BA31" s="894">
        <f>IF($A31&lt;='Options and results'!$W$20,AV31+BA30,0)</f>
        <v>288575.64577882673</v>
      </c>
      <c r="BB31" s="740">
        <f>IF($A31&lt;='Options and results'!$W$20,AW31+BB30,0)</f>
        <v>-46580.678833935272</v>
      </c>
      <c r="BC31" s="740">
        <f ca="1">IF($A31&lt;='Options and results'!$W$20,AX31+BC30,0)</f>
        <v>49737.825890328924</v>
      </c>
      <c r="BD31" s="740">
        <f>IF($A31&lt;='Options and results'!$W$20,AY31+BD30,0)</f>
        <v>-31394.85796616838</v>
      </c>
      <c r="BE31" s="740">
        <f ca="1">IF($A31&lt;='Options and results'!$W$20,AZ31+BE30,0)</f>
        <v>18342.967924160541</v>
      </c>
      <c r="BF31" s="346"/>
    </row>
    <row r="32" spans="1:58" x14ac:dyDescent="0.25">
      <c r="A32" s="895">
        <f t="shared" si="8"/>
        <v>24</v>
      </c>
      <c r="B32" s="878">
        <f>IF('Options and results'!$C$54="none",0,IF(HLOOKUP('Options and results'!$C$54,Agroforestrysystem!$2:$9,8,FALSE)="No",LOOKUP(A32,Plot!$CK$8:$CN$67),LOOKUP(A32,Plot!$CK$8:$CN$67)+LOOKUP(A32,Plot!#REF!)))</f>
        <v>0.99</v>
      </c>
      <c r="C32" s="879">
        <f>IF(VLOOKUP(A32,Plot!$DF$8:$DL$67,7,FALSE)&gt;0,1-B32,0)</f>
        <v>1.0000000000000009E-2</v>
      </c>
      <c r="D32" s="896">
        <f t="shared" si="9"/>
        <v>37</v>
      </c>
      <c r="E32" s="897">
        <f>IF(VLOOKUP(D32,Plot!$V$8:$AB$67,Plot!$AB$2,FALSE)&gt;0,1,0)</f>
        <v>0</v>
      </c>
      <c r="F32" s="898">
        <f t="shared" si="2"/>
        <v>0</v>
      </c>
      <c r="G32" s="898">
        <f t="shared" si="3"/>
        <v>0</v>
      </c>
      <c r="H32" s="883">
        <f>VLOOKUP(D32,Plot!$V$8:$AH$67,Plot!$AH$2,FALSE)</f>
        <v>0</v>
      </c>
      <c r="I32" s="884">
        <f>VLOOKUP(D32,Plot!$V$8:$AJ$67,Plot!$AJ$2,FALSE)</f>
        <v>0</v>
      </c>
      <c r="J32" s="885">
        <f ca="1">VLOOKUP(D32,Plot!$CK$8:$CP$67,Plot!$CO$2,FALSE)*VLOOKUP(D32,Plot!$CK$8:$CP$67,Plot!$CN$2,FALSE)</f>
        <v>0</v>
      </c>
      <c r="K32" s="884">
        <f>VLOOKUP(D32,Plot!$DF$8:$DS$67,Plot!$DS$2,FALSE)</f>
        <v>0</v>
      </c>
      <c r="L32" s="884">
        <f>VLOOKUP(D32,Plot!$DF$8:$DU$67,Plot!$DU$2,FALSE)</f>
        <v>0</v>
      </c>
      <c r="M32" s="883">
        <f>VLOOKUP(D32,Plot!$V$8:$BW$67,Plot!$BW$2,FALSE)</f>
        <v>0</v>
      </c>
      <c r="N32" s="884">
        <f>VLOOKUP(D32,Plot!$CK$8:$CX$67,Plot!$CX$2,FALSE)</f>
        <v>0</v>
      </c>
      <c r="O32" s="884">
        <f>VLOOKUP(D32,Plot!$DF$8:$FH$67,Plot!$FH$2,FALSE)</f>
        <v>0</v>
      </c>
      <c r="P32" s="883">
        <f>VLOOKUP(D32,Plot!$V$8:$CA$67,Plot!$CA$2,FALSE)</f>
        <v>0</v>
      </c>
      <c r="Q32" s="884">
        <f>VLOOKUP($D32,Plot!$CK$8:$CZ$67,Plot!$CZ$2,FALSE)</f>
        <v>0</v>
      </c>
      <c r="R32" s="899">
        <f>VLOOKUP($D32,Plot!$DF$8:$FL$67,Plot!$FL$2,FALSE)</f>
        <v>0</v>
      </c>
      <c r="S32" s="895">
        <f t="shared" si="10"/>
        <v>33.340000000000003</v>
      </c>
      <c r="T32" s="900">
        <f>IF($A32='Options and results'!$I$33,'Options and results'!$I$34)+IF($A32='Options and results'!$I$35,'Options and results'!$I$36)+IF($A32='Options and results'!$I$37,'Options and results'!$I$38)+IF($A32='Options and results'!$I$39,'Options and results'!$I$40)+IF($A32='Options and results'!$I$41,'Options and results'!$I$42)+IF(AND($A32&gt;='Options and results'!$I$44,$A32&lt;='Options and results'!$I$45),IF(MOD($A32+'Options and results'!$I$46-'Options and results'!$I$44,'Options and results'!$I$46)=0,'Options and results'!$I$47,0))</f>
        <v>0</v>
      </c>
      <c r="U32" s="901">
        <f>IF($A32='Options and results'!$I$59,'Options and results'!$I$60)+IF($A32='Options and results'!$I$61,'Options and results'!$I$62)+IF($A32='Options and results'!$I$63,'Options and results'!$I$64)+IF($A32='Options and results'!$I$65,'Options and results'!$I$66)+IF($A32='Options and results'!$I$67,'Options and results'!$I$68)+IF(AND($A32&gt;='Options and results'!$I$70,$A32&lt;='Options and results'!$I$71),IF(MOD($A32+'Options and results'!$I$72-'Options and results'!$I$70,'Options and results'!$I$72)=0,'Options and results'!$I$73,0))</f>
        <v>0</v>
      </c>
      <c r="V32" s="889">
        <f>'Options and results'!$W$18-W32-X32-Y32</f>
        <v>33.340000000000003</v>
      </c>
      <c r="W32" s="889">
        <f>SUMPRODUCT(T9:T32,E45:E68)</f>
        <v>33.33</v>
      </c>
      <c r="X32" s="889">
        <f>SUMPRODUCT(U9:U32,F45:F68)</f>
        <v>32.996699999999997</v>
      </c>
      <c r="Y32" s="889">
        <f>SUMPRODUCT(U9:U32,G45:G68)</f>
        <v>0.33330000000000026</v>
      </c>
      <c r="Z32" s="889">
        <f t="shared" si="4"/>
        <v>33.33</v>
      </c>
      <c r="AA32" s="894">
        <f>(V32*Plot!E31*Plot!D31)</f>
        <v>109.62287582218973</v>
      </c>
      <c r="AB32" s="740">
        <f>SUMPRODUCT(T9:T32,H45:H68)</f>
        <v>4936.9126828016115</v>
      </c>
      <c r="AC32" s="740">
        <f>SUMPRODUCT(T9:T32,I45:I68)</f>
        <v>0</v>
      </c>
      <c r="AD32" s="740">
        <f ca="1">SUMPRODUCT(U9:U32,J45:J68)</f>
        <v>0</v>
      </c>
      <c r="AE32" s="740">
        <f>SUMPRODUCT(U9:U32,K45:K68)</f>
        <v>4725.1736226601342</v>
      </c>
      <c r="AF32" s="740">
        <f>SUMPRODUCT(U9:U32,L45:L68)</f>
        <v>0</v>
      </c>
      <c r="AG32" s="894">
        <f>Plot!N31*S32</f>
        <v>248.68682984763632</v>
      </c>
      <c r="AH32" s="740">
        <f>IF($A32&lt;='Options and results'!$W$20,SUMPRODUCT(T9:T32,M45:M68),0)</f>
        <v>0</v>
      </c>
      <c r="AI32" s="740">
        <f>IF($A32&lt;='Options and results'!$W$20,SUMPRODUCT(U9:U32,N45:N68),0)</f>
        <v>0</v>
      </c>
      <c r="AJ32" s="740">
        <f>IF($A32&lt;='Options and results'!$W$20,SUMPRODUCT(U9:U32,O45:O68),0)</f>
        <v>0</v>
      </c>
      <c r="AK32" s="740">
        <f t="shared" si="5"/>
        <v>0</v>
      </c>
      <c r="AL32" s="740">
        <f>Plot!P31*S32</f>
        <v>7845.1454422374645</v>
      </c>
      <c r="AM32" s="740">
        <f>IF($A32&lt;='Options and results'!$W$20,SUMPRODUCT(T9:T32,P45:P68),0)</f>
        <v>-99.99</v>
      </c>
      <c r="AN32" s="740">
        <f ca="1">IF($A32&lt;='Options and results'!$W$20,SUMPRODUCT(U9:U32,Q45:Q68),0)</f>
        <v>0</v>
      </c>
      <c r="AO32" s="740">
        <f>IF($A32&lt;='Options and results'!$W$20,SUMPRODUCT(U9:U32,R45:R68),0)</f>
        <v>-99.99</v>
      </c>
      <c r="AP32" s="740">
        <f t="shared" ca="1" si="6"/>
        <v>-99.99</v>
      </c>
      <c r="AQ32" s="894">
        <f>IF($A32&lt;='Options and results'!$W$20,AQ31+AL32,0)</f>
        <v>419880.66054089268</v>
      </c>
      <c r="AR32" s="740">
        <f>IF($A32&lt;='Options and results'!$W$20,AR31+AM32,0)</f>
        <v>-54686.009824915876</v>
      </c>
      <c r="AS32" s="740">
        <f ca="1">IF($A32&lt;='Options and results'!$W$20,AS31+AN32,0)</f>
        <v>49149.781587213671</v>
      </c>
      <c r="AT32" s="740">
        <f>IF($A32&lt;='Options and results'!$W$20,AT31+AO32,0)</f>
        <v>-37064.455695458899</v>
      </c>
      <c r="AU32" s="740">
        <f ca="1">IF($A32&lt;='Options and results'!$W$20,AU31+AP32,0)</f>
        <v>12085.325891754754</v>
      </c>
      <c r="AV32" s="894">
        <f>AL32/(1+'Options and results'!$W$33)^($A32-1)</f>
        <v>3182.9820946245422</v>
      </c>
      <c r="AW32" s="740">
        <f>AM32/(1+'Options and results'!$W$33)^($A32-1)</f>
        <v>-40.568576068455549</v>
      </c>
      <c r="AX32" s="740">
        <f ca="1">AN32/(1+'Options and results'!$W$33)^($A32-1)</f>
        <v>0</v>
      </c>
      <c r="AY32" s="740">
        <f>AO32/(1+'Options and results'!$W$33)^($A32-1)</f>
        <v>-40.568576068455549</v>
      </c>
      <c r="AZ32" s="740">
        <f t="shared" ca="1" si="7"/>
        <v>-40.568576068455549</v>
      </c>
      <c r="BA32" s="894">
        <f>IF($A32&lt;='Options and results'!$W$20,AV32+BA31,0)</f>
        <v>291758.62787345127</v>
      </c>
      <c r="BB32" s="740">
        <f>IF($A32&lt;='Options and results'!$W$20,AW32+BB31,0)</f>
        <v>-46621.247410003729</v>
      </c>
      <c r="BC32" s="740">
        <f ca="1">IF($A32&lt;='Options and results'!$W$20,AX32+BC31,0)</f>
        <v>49737.825890328924</v>
      </c>
      <c r="BD32" s="740">
        <f>IF($A32&lt;='Options and results'!$W$20,AY32+BD31,0)</f>
        <v>-31435.426542236837</v>
      </c>
      <c r="BE32" s="740">
        <f ca="1">IF($A32&lt;='Options and results'!$W$20,AZ32+BE31,0)</f>
        <v>18302.399348092084</v>
      </c>
      <c r="BF32" s="346"/>
    </row>
    <row r="33" spans="1:58" x14ac:dyDescent="0.25">
      <c r="A33" s="895">
        <f t="shared" si="8"/>
        <v>25</v>
      </c>
      <c r="B33" s="878">
        <f>IF('Options and results'!$C$54="none",0,IF(HLOOKUP('Options and results'!$C$54,Agroforestrysystem!$2:$9,8,FALSE)="No",LOOKUP(A33,Plot!$CK$8:$CN$67),LOOKUP(A33,Plot!$CK$8:$CN$67)+LOOKUP(A33,Plot!#REF!)))</f>
        <v>0.99</v>
      </c>
      <c r="C33" s="879">
        <f>IF(VLOOKUP(A33,Plot!$DF$8:$DL$67,7,FALSE)&gt;0,1-B33,0)</f>
        <v>1.0000000000000009E-2</v>
      </c>
      <c r="D33" s="896">
        <f t="shared" si="9"/>
        <v>36</v>
      </c>
      <c r="E33" s="897">
        <f>IF(VLOOKUP(D33,Plot!$V$8:$AB$67,Plot!$AB$2,FALSE)&gt;0,1,0)</f>
        <v>0</v>
      </c>
      <c r="F33" s="898">
        <f t="shared" si="2"/>
        <v>0</v>
      </c>
      <c r="G33" s="898">
        <f t="shared" si="3"/>
        <v>0</v>
      </c>
      <c r="H33" s="883">
        <f>VLOOKUP(D33,Plot!$V$8:$AH$67,Plot!$AH$2,FALSE)</f>
        <v>0</v>
      </c>
      <c r="I33" s="884">
        <f>VLOOKUP(D33,Plot!$V$8:$AJ$67,Plot!$AJ$2,FALSE)</f>
        <v>0</v>
      </c>
      <c r="J33" s="885">
        <f ca="1">VLOOKUP(D33,Plot!$CK$8:$CP$67,Plot!$CO$2,FALSE)*VLOOKUP(D33,Plot!$CK$8:$CP$67,Plot!$CN$2,FALSE)</f>
        <v>0</v>
      </c>
      <c r="K33" s="884">
        <f>VLOOKUP(D33,Plot!$DF$8:$DS$67,Plot!$DS$2,FALSE)</f>
        <v>0</v>
      </c>
      <c r="L33" s="884">
        <f>VLOOKUP(D33,Plot!$DF$8:$DU$67,Plot!$DU$2,FALSE)</f>
        <v>0</v>
      </c>
      <c r="M33" s="883">
        <f>VLOOKUP(D33,Plot!$V$8:$BW$67,Plot!$BW$2,FALSE)</f>
        <v>0</v>
      </c>
      <c r="N33" s="884">
        <f>VLOOKUP(D33,Plot!$CK$8:$CX$67,Plot!$CX$2,FALSE)</f>
        <v>0</v>
      </c>
      <c r="O33" s="884">
        <f>VLOOKUP(D33,Plot!$DF$8:$FH$67,Plot!$FH$2,FALSE)</f>
        <v>0</v>
      </c>
      <c r="P33" s="883">
        <f>VLOOKUP(D33,Plot!$V$8:$CA$67,Plot!$CA$2,FALSE)</f>
        <v>0</v>
      </c>
      <c r="Q33" s="884">
        <f>VLOOKUP($D33,Plot!$CK$8:$CZ$67,Plot!$CZ$2,FALSE)</f>
        <v>0</v>
      </c>
      <c r="R33" s="899">
        <f>VLOOKUP($D33,Plot!$DF$8:$FL$67,Plot!$FL$2,FALSE)</f>
        <v>0</v>
      </c>
      <c r="S33" s="895">
        <f t="shared" si="10"/>
        <v>33.340000000000003</v>
      </c>
      <c r="T33" s="900">
        <f>IF($A33='Options and results'!$I$33,'Options and results'!$I$34)+IF($A33='Options and results'!$I$35,'Options and results'!$I$36)+IF($A33='Options and results'!$I$37,'Options and results'!$I$38)+IF($A33='Options and results'!$I$39,'Options and results'!$I$40)+IF($A33='Options and results'!$I$41,'Options and results'!$I$42)+IF(AND($A33&gt;='Options and results'!$I$44,$A33&lt;='Options and results'!$I$45),IF(MOD($A33+'Options and results'!$I$46-'Options and results'!$I$44,'Options and results'!$I$46)=0,'Options and results'!$I$47,0))</f>
        <v>0</v>
      </c>
      <c r="U33" s="901">
        <f>IF($A33='Options and results'!$I$59,'Options and results'!$I$60)+IF($A33='Options and results'!$I$61,'Options and results'!$I$62)+IF($A33='Options and results'!$I$63,'Options and results'!$I$64)+IF($A33='Options and results'!$I$65,'Options and results'!$I$66)+IF($A33='Options and results'!$I$67,'Options and results'!$I$68)+IF(AND($A33&gt;='Options and results'!$I$70,$A33&lt;='Options and results'!$I$71),IF(MOD($A33+'Options and results'!$I$72-'Options and results'!$I$70,'Options and results'!$I$72)=0,'Options and results'!$I$73,0))</f>
        <v>0</v>
      </c>
      <c r="V33" s="889">
        <f>'Options and results'!$W$18-W33-X33-Y33</f>
        <v>33.340000000000003</v>
      </c>
      <c r="W33" s="889">
        <f>SUMPRODUCT(T9:T33,E44:E68)</f>
        <v>33.33</v>
      </c>
      <c r="X33" s="889">
        <f>SUMPRODUCT(U9:U33,F44:F68)</f>
        <v>32.996699999999997</v>
      </c>
      <c r="Y33" s="889">
        <f>SUMPRODUCT(U9:U33,G44:G68)</f>
        <v>0.33330000000000026</v>
      </c>
      <c r="Z33" s="889">
        <f t="shared" si="4"/>
        <v>33.33</v>
      </c>
      <c r="AA33" s="894">
        <f>(V33*Plot!E32*Plot!D32)</f>
        <v>323.39674772515718</v>
      </c>
      <c r="AB33" s="740">
        <f>SUMPRODUCT(T9:T33,H44:H68)</f>
        <v>5367.7893348448642</v>
      </c>
      <c r="AC33" s="740">
        <f>SUMPRODUCT(T9:T33,I44:I68)</f>
        <v>0</v>
      </c>
      <c r="AD33" s="740">
        <f ca="1">SUMPRODUCT(U9:U33,J44:J68)</f>
        <v>0</v>
      </c>
      <c r="AE33" s="740">
        <f>SUMPRODUCT(U9:U33,K44:K68)</f>
        <v>5179.9937198321304</v>
      </c>
      <c r="AF33" s="740">
        <f>SUMPRODUCT(U9:U33,L44:L68)</f>
        <v>0</v>
      </c>
      <c r="AG33" s="894">
        <f>Plot!N32*S33</f>
        <v>387.83870545896116</v>
      </c>
      <c r="AH33" s="740">
        <f>IF($A33&lt;='Options and results'!$W$20,SUMPRODUCT(T9:T33,M44:M68),0)</f>
        <v>0</v>
      </c>
      <c r="AI33" s="740">
        <f>IF($A33&lt;='Options and results'!$W$20,SUMPRODUCT(U9:U33,N44:N68),0)</f>
        <v>0</v>
      </c>
      <c r="AJ33" s="740">
        <f>IF($A33&lt;='Options and results'!$W$20,SUMPRODUCT(U9:U33,O44:O68),0)</f>
        <v>0</v>
      </c>
      <c r="AK33" s="740">
        <f t="shared" si="5"/>
        <v>0</v>
      </c>
      <c r="AL33" s="740">
        <f>Plot!P32*S33</f>
        <v>26582.377540682966</v>
      </c>
      <c r="AM33" s="740">
        <f>IF($A33&lt;='Options and results'!$W$20,SUMPRODUCT(T9:T33,P44:P68),0)</f>
        <v>-99.99</v>
      </c>
      <c r="AN33" s="740">
        <f ca="1">IF($A33&lt;='Options and results'!$W$20,SUMPRODUCT(U9:U33,Q44:Q68),0)</f>
        <v>0</v>
      </c>
      <c r="AO33" s="740">
        <f>IF($A33&lt;='Options and results'!$W$20,SUMPRODUCT(U9:U33,R44:R68),0)</f>
        <v>-99.99</v>
      </c>
      <c r="AP33" s="740">
        <f t="shared" ca="1" si="6"/>
        <v>-99.99</v>
      </c>
      <c r="AQ33" s="894">
        <f>IF($A33&lt;='Options and results'!$W$20,AQ32+AL33,0)</f>
        <v>446463.03808157565</v>
      </c>
      <c r="AR33" s="740">
        <f>IF($A33&lt;='Options and results'!$W$20,AR32+AM33,0)</f>
        <v>-54785.999824915874</v>
      </c>
      <c r="AS33" s="740">
        <f ca="1">IF($A33&lt;='Options and results'!$W$20,AS32+AN33,0)</f>
        <v>49149.781587213671</v>
      </c>
      <c r="AT33" s="740">
        <f>IF($A33&lt;='Options and results'!$W$20,AT32+AO33,0)</f>
        <v>-37164.445695458897</v>
      </c>
      <c r="AU33" s="740">
        <f ca="1">IF($A33&lt;='Options and results'!$W$20,AU32+AP33,0)</f>
        <v>11985.335891754754</v>
      </c>
      <c r="AV33" s="894">
        <f>AL33/(1+'Options and results'!$W$33)^($A33-1)</f>
        <v>10370.356317743326</v>
      </c>
      <c r="AW33" s="740">
        <f>AM33/(1+'Options and results'!$W$33)^($A33-1)</f>
        <v>-39.008246219668798</v>
      </c>
      <c r="AX33" s="740">
        <f ca="1">AN33/(1+'Options and results'!$W$33)^($A33-1)</f>
        <v>0</v>
      </c>
      <c r="AY33" s="740">
        <f>AO33/(1+'Options and results'!$W$33)^($A33-1)</f>
        <v>-39.008246219668798</v>
      </c>
      <c r="AZ33" s="740">
        <f t="shared" ca="1" si="7"/>
        <v>-39.008246219668798</v>
      </c>
      <c r="BA33" s="894">
        <f>IF($A33&lt;='Options and results'!$W$20,AV33+BA32,0)</f>
        <v>302128.98419119458</v>
      </c>
      <c r="BB33" s="740">
        <f>IF($A33&lt;='Options and results'!$W$20,AW33+BB32,0)</f>
        <v>-46660.255656223395</v>
      </c>
      <c r="BC33" s="740">
        <f ca="1">IF($A33&lt;='Options and results'!$W$20,AX33+BC32,0)</f>
        <v>49737.825890328924</v>
      </c>
      <c r="BD33" s="740">
        <f>IF($A33&lt;='Options and results'!$W$20,AY33+BD32,0)</f>
        <v>-31474.434788456507</v>
      </c>
      <c r="BE33" s="740">
        <f ca="1">IF($A33&lt;='Options and results'!$W$20,AZ33+BE32,0)</f>
        <v>18263.391101872414</v>
      </c>
      <c r="BF33" s="346"/>
    </row>
    <row r="34" spans="1:58" x14ac:dyDescent="0.25">
      <c r="A34" s="895">
        <f t="shared" si="8"/>
        <v>26</v>
      </c>
      <c r="B34" s="878">
        <f>IF('Options and results'!$C$54="none",0,IF(HLOOKUP('Options and results'!$C$54,Agroforestrysystem!$2:$9,8,FALSE)="No",LOOKUP(A34,Plot!$CK$8:$CN$67),LOOKUP(A34,Plot!$CK$8:$CN$67)+LOOKUP(A34,Plot!#REF!)))</f>
        <v>0.99</v>
      </c>
      <c r="C34" s="879">
        <f>IF(VLOOKUP(A34,Plot!$DF$8:$DL$67,7,FALSE)&gt;0,1-B34,0)</f>
        <v>1.0000000000000009E-2</v>
      </c>
      <c r="D34" s="896">
        <f t="shared" si="9"/>
        <v>35</v>
      </c>
      <c r="E34" s="897">
        <f>IF(VLOOKUP(D34,Plot!$V$8:$AB$67,Plot!$AB$2,FALSE)&gt;0,1,0)</f>
        <v>0</v>
      </c>
      <c r="F34" s="898">
        <f t="shared" si="2"/>
        <v>0</v>
      </c>
      <c r="G34" s="898">
        <f t="shared" si="3"/>
        <v>0</v>
      </c>
      <c r="H34" s="883">
        <f>VLOOKUP(D34,Plot!$V$8:$AH$67,Plot!$AH$2,FALSE)</f>
        <v>0</v>
      </c>
      <c r="I34" s="884">
        <f>VLOOKUP(D34,Plot!$V$8:$AJ$67,Plot!$AJ$2,FALSE)</f>
        <v>0</v>
      </c>
      <c r="J34" s="885">
        <f ca="1">VLOOKUP(D34,Plot!$CK$8:$CP$67,Plot!$CO$2,FALSE)*VLOOKUP(D34,Plot!$CK$8:$CP$67,Plot!$CN$2,FALSE)</f>
        <v>0</v>
      </c>
      <c r="K34" s="884">
        <f>VLOOKUP(D34,Plot!$DF$8:$DS$67,Plot!$DS$2,FALSE)</f>
        <v>0</v>
      </c>
      <c r="L34" s="884">
        <f>VLOOKUP(D34,Plot!$DF$8:$DU$67,Plot!$DU$2,FALSE)</f>
        <v>0</v>
      </c>
      <c r="M34" s="883">
        <f>VLOOKUP(D34,Plot!$V$8:$BW$67,Plot!$BW$2,FALSE)</f>
        <v>0</v>
      </c>
      <c r="N34" s="884">
        <f>VLOOKUP(D34,Plot!$CK$8:$CX$67,Plot!$CX$2,FALSE)</f>
        <v>0</v>
      </c>
      <c r="O34" s="884">
        <f>VLOOKUP(D34,Plot!$DF$8:$FH$67,Plot!$FH$2,FALSE)</f>
        <v>0</v>
      </c>
      <c r="P34" s="883">
        <f>VLOOKUP(D34,Plot!$V$8:$CA$67,Plot!$CA$2,FALSE)</f>
        <v>0</v>
      </c>
      <c r="Q34" s="884">
        <f>VLOOKUP($D34,Plot!$CK$8:$CZ$67,Plot!$CZ$2,FALSE)</f>
        <v>0</v>
      </c>
      <c r="R34" s="899">
        <f>VLOOKUP($D34,Plot!$DF$8:$FL$67,Plot!$FL$2,FALSE)</f>
        <v>0</v>
      </c>
      <c r="S34" s="895">
        <f t="shared" si="10"/>
        <v>33.340000000000003</v>
      </c>
      <c r="T34" s="900">
        <f>IF($A34='Options and results'!$I$33,'Options and results'!$I$34)+IF($A34='Options and results'!$I$35,'Options and results'!$I$36)+IF($A34='Options and results'!$I$37,'Options and results'!$I$38)+IF($A34='Options and results'!$I$39,'Options and results'!$I$40)+IF($A34='Options and results'!$I$41,'Options and results'!$I$42)+IF(AND($A34&gt;='Options and results'!$I$44,$A34&lt;='Options and results'!$I$45),IF(MOD($A34+'Options and results'!$I$46-'Options and results'!$I$44,'Options and results'!$I$46)=0,'Options and results'!$I$47,0))</f>
        <v>0</v>
      </c>
      <c r="U34" s="901">
        <f>IF($A34='Options and results'!$I$59,'Options and results'!$I$60)+IF($A34='Options and results'!$I$61,'Options and results'!$I$62)+IF($A34='Options and results'!$I$63,'Options and results'!$I$64)+IF($A34='Options and results'!$I$65,'Options and results'!$I$66)+IF($A34='Options and results'!$I$67,'Options and results'!$I$68)+IF(AND($A34&gt;='Options and results'!$I$70,$A34&lt;='Options and results'!$I$71),IF(MOD($A34+'Options and results'!$I$72-'Options and results'!$I$70,'Options and results'!$I$72)=0,'Options and results'!$I$73,0))</f>
        <v>0</v>
      </c>
      <c r="V34" s="889">
        <f>'Options and results'!$W$18-W34-X34-Y34</f>
        <v>33.340000000000003</v>
      </c>
      <c r="W34" s="889">
        <f>SUMPRODUCT(T9:T34,E43:E68)</f>
        <v>33.33</v>
      </c>
      <c r="X34" s="889">
        <f>SUMPRODUCT(U9:U34,F43:F68)</f>
        <v>32.996699999999997</v>
      </c>
      <c r="Y34" s="889">
        <f>SUMPRODUCT(U9:U34,G43:G68)</f>
        <v>0.33330000000000026</v>
      </c>
      <c r="Z34" s="889">
        <f t="shared" si="4"/>
        <v>33.33</v>
      </c>
      <c r="AA34" s="894">
        <f>(V34*Plot!E33*Plot!D33)</f>
        <v>239.99611387312723</v>
      </c>
      <c r="AB34" s="740">
        <f>SUMPRODUCT(T9:T34,H43:H68)</f>
        <v>5798.7939926533654</v>
      </c>
      <c r="AC34" s="740">
        <f>SUMPRODUCT(T9:T34,I43:I68)</f>
        <v>0</v>
      </c>
      <c r="AD34" s="740">
        <f ca="1">SUMPRODUCT(U9:U34,J43:J68)</f>
        <v>0</v>
      </c>
      <c r="AE34" s="740">
        <f>SUMPRODUCT(U9:U34,K43:K68)</f>
        <v>5625.0460058445478</v>
      </c>
      <c r="AF34" s="740">
        <f>SUMPRODUCT(U9:U34,L43:L68)</f>
        <v>0</v>
      </c>
      <c r="AG34" s="894">
        <f>Plot!N33*S34</f>
        <v>387.83870545896116</v>
      </c>
      <c r="AH34" s="740">
        <f>IF($A34&lt;='Options and results'!$W$20,SUMPRODUCT(T9:T34,M43:M68),0)</f>
        <v>0</v>
      </c>
      <c r="AI34" s="740">
        <f>IF($A34&lt;='Options and results'!$W$20,SUMPRODUCT(U9:U34,N43:N68),0)</f>
        <v>0</v>
      </c>
      <c r="AJ34" s="740">
        <f>IF($A34&lt;='Options and results'!$W$20,SUMPRODUCT(U9:U34,O43:O68),0)</f>
        <v>0</v>
      </c>
      <c r="AK34" s="740">
        <f t="shared" si="5"/>
        <v>0</v>
      </c>
      <c r="AL34" s="740">
        <f>Plot!P33*S34</f>
        <v>10852.091322480668</v>
      </c>
      <c r="AM34" s="740">
        <f>IF($A34&lt;='Options and results'!$W$20,SUMPRODUCT(T9:T34,P43:P68),0)</f>
        <v>-99.99</v>
      </c>
      <c r="AN34" s="740">
        <f ca="1">IF($A34&lt;='Options and results'!$W$20,SUMPRODUCT(U9:U34,Q43:Q68),0)</f>
        <v>0</v>
      </c>
      <c r="AO34" s="740">
        <f>IF($A34&lt;='Options and results'!$W$20,SUMPRODUCT(U9:U34,R43:R68),0)</f>
        <v>-99.99</v>
      </c>
      <c r="AP34" s="740">
        <f t="shared" ca="1" si="6"/>
        <v>-99.99</v>
      </c>
      <c r="AQ34" s="894">
        <f>IF($A34&lt;='Options and results'!$W$20,AQ33+AL34,0)</f>
        <v>457315.12940405629</v>
      </c>
      <c r="AR34" s="740">
        <f>IF($A34&lt;='Options and results'!$W$20,AR33+AM34,0)</f>
        <v>-54885.989824915872</v>
      </c>
      <c r="AS34" s="740">
        <f ca="1">IF($A34&lt;='Options and results'!$W$20,AS33+AN34,0)</f>
        <v>49149.781587213671</v>
      </c>
      <c r="AT34" s="740">
        <f>IF($A34&lt;='Options and results'!$W$20,AT33+AO34,0)</f>
        <v>-37264.435695458895</v>
      </c>
      <c r="AU34" s="740">
        <f ca="1">IF($A34&lt;='Options and results'!$W$20,AU33+AP34,0)</f>
        <v>11885.345891754754</v>
      </c>
      <c r="AV34" s="894">
        <f>AL34/(1+'Options and results'!$W$33)^($A34-1)</f>
        <v>4070.8017946569371</v>
      </c>
      <c r="AW34" s="740">
        <f>AM34/(1+'Options and results'!$W$33)^($A34-1)</f>
        <v>-37.507929057373836</v>
      </c>
      <c r="AX34" s="740">
        <f ca="1">AN34/(1+'Options and results'!$W$33)^($A34-1)</f>
        <v>0</v>
      </c>
      <c r="AY34" s="740">
        <f>AO34/(1+'Options and results'!$W$33)^($A34-1)</f>
        <v>-37.507929057373836</v>
      </c>
      <c r="AZ34" s="740">
        <f t="shared" ca="1" si="7"/>
        <v>-37.507929057373836</v>
      </c>
      <c r="BA34" s="894">
        <f>IF($A34&lt;='Options and results'!$W$20,AV34+BA33,0)</f>
        <v>306199.78598585154</v>
      </c>
      <c r="BB34" s="740">
        <f>IF($A34&lt;='Options and results'!$W$20,AW34+BB33,0)</f>
        <v>-46697.763585280765</v>
      </c>
      <c r="BC34" s="740">
        <f ca="1">IF($A34&lt;='Options and results'!$W$20,AX34+BC33,0)</f>
        <v>49737.825890328924</v>
      </c>
      <c r="BD34" s="740">
        <f>IF($A34&lt;='Options and results'!$W$20,AY34+BD33,0)</f>
        <v>-31511.942717513881</v>
      </c>
      <c r="BE34" s="740">
        <f ca="1">IF($A34&lt;='Options and results'!$W$20,AZ34+BE33,0)</f>
        <v>18225.88317281504</v>
      </c>
      <c r="BF34" s="346"/>
    </row>
    <row r="35" spans="1:58" x14ac:dyDescent="0.25">
      <c r="A35" s="895">
        <f t="shared" si="8"/>
        <v>27</v>
      </c>
      <c r="B35" s="878">
        <f>IF('Options and results'!$C$54="none",0,IF(HLOOKUP('Options and results'!$C$54,Agroforestrysystem!$2:$9,8,FALSE)="No",LOOKUP(A35,Plot!$CK$8:$CN$67),LOOKUP(A35,Plot!$CK$8:$CN$67)+LOOKUP(A35,Plot!#REF!)))</f>
        <v>0.99</v>
      </c>
      <c r="C35" s="879">
        <f>IF(VLOOKUP(A35,Plot!$DF$8:$DL$67,7,FALSE)&gt;0,1-B35,0)</f>
        <v>1.0000000000000009E-2</v>
      </c>
      <c r="D35" s="896">
        <f t="shared" si="9"/>
        <v>34</v>
      </c>
      <c r="E35" s="897">
        <f>IF(VLOOKUP(D35,Plot!$V$8:$AB$67,Plot!$AB$2,FALSE)&gt;0,1,0)</f>
        <v>0</v>
      </c>
      <c r="F35" s="898">
        <f t="shared" si="2"/>
        <v>0</v>
      </c>
      <c r="G35" s="898">
        <f t="shared" si="3"/>
        <v>0</v>
      </c>
      <c r="H35" s="883">
        <f>VLOOKUP(D35,Plot!$V$8:$AH$67,Plot!$AH$2,FALSE)</f>
        <v>0</v>
      </c>
      <c r="I35" s="884">
        <f>VLOOKUP(D35,Plot!$V$8:$AJ$67,Plot!$AJ$2,FALSE)</f>
        <v>0</v>
      </c>
      <c r="J35" s="885">
        <f ca="1">VLOOKUP(D35,Plot!$CK$8:$CP$67,Plot!$CO$2,FALSE)*VLOOKUP(D35,Plot!$CK$8:$CP$67,Plot!$CN$2,FALSE)</f>
        <v>0</v>
      </c>
      <c r="K35" s="884">
        <f>VLOOKUP(D35,Plot!$DF$8:$DS$67,Plot!$DS$2,FALSE)</f>
        <v>0</v>
      </c>
      <c r="L35" s="884">
        <f>VLOOKUP(D35,Plot!$DF$8:$DU$67,Plot!$DU$2,FALSE)</f>
        <v>0</v>
      </c>
      <c r="M35" s="883">
        <f>VLOOKUP(D35,Plot!$V$8:$BW$67,Plot!$BW$2,FALSE)</f>
        <v>0</v>
      </c>
      <c r="N35" s="884">
        <f>VLOOKUP(D35,Plot!$CK$8:$CX$67,Plot!$CX$2,FALSE)</f>
        <v>0</v>
      </c>
      <c r="O35" s="884">
        <f>VLOOKUP(D35,Plot!$DF$8:$FH$67,Plot!$FH$2,FALSE)</f>
        <v>0</v>
      </c>
      <c r="P35" s="883">
        <f>VLOOKUP(D35,Plot!$V$8:$CA$67,Plot!$CA$2,FALSE)</f>
        <v>0</v>
      </c>
      <c r="Q35" s="884">
        <f>VLOOKUP($D35,Plot!$CK$8:$CZ$67,Plot!$CZ$2,FALSE)</f>
        <v>0</v>
      </c>
      <c r="R35" s="899">
        <f>VLOOKUP($D35,Plot!$DF$8:$FL$67,Plot!$FL$2,FALSE)</f>
        <v>0</v>
      </c>
      <c r="S35" s="895">
        <f t="shared" si="10"/>
        <v>33.340000000000003</v>
      </c>
      <c r="T35" s="900">
        <f>IF($A35='Options and results'!$I$33,'Options and results'!$I$34)+IF($A35='Options and results'!$I$35,'Options and results'!$I$36)+IF($A35='Options and results'!$I$37,'Options and results'!$I$38)+IF($A35='Options and results'!$I$39,'Options and results'!$I$40)+IF($A35='Options and results'!$I$41,'Options and results'!$I$42)+IF(AND($A35&gt;='Options and results'!$I$44,$A35&lt;='Options and results'!$I$45),IF(MOD($A35+'Options and results'!$I$46-'Options and results'!$I$44,'Options and results'!$I$46)=0,'Options and results'!$I$47,0))</f>
        <v>0</v>
      </c>
      <c r="U35" s="901">
        <f>IF($A35='Options and results'!$I$59,'Options and results'!$I$60)+IF($A35='Options and results'!$I$61,'Options and results'!$I$62)+IF($A35='Options and results'!$I$63,'Options and results'!$I$64)+IF($A35='Options and results'!$I$65,'Options and results'!$I$66)+IF($A35='Options and results'!$I$67,'Options and results'!$I$68)+IF(AND($A35&gt;='Options and results'!$I$70,$A35&lt;='Options and results'!$I$71),IF(MOD($A35+'Options and results'!$I$72-'Options and results'!$I$70,'Options and results'!$I$72)=0,'Options and results'!$I$73,0))</f>
        <v>0</v>
      </c>
      <c r="V35" s="889">
        <f>'Options and results'!$W$18-W35-X35-Y35</f>
        <v>33.340000000000003</v>
      </c>
      <c r="W35" s="889">
        <f>SUMPRODUCT(T9:T35,E42:E68)</f>
        <v>33.33</v>
      </c>
      <c r="X35" s="889">
        <f>SUMPRODUCT(U9:U35,F42:F68)</f>
        <v>32.996699999999997</v>
      </c>
      <c r="Y35" s="889">
        <f>SUMPRODUCT(U9:U35,G42:G68)</f>
        <v>0.33330000000000026</v>
      </c>
      <c r="Z35" s="889">
        <f t="shared" si="4"/>
        <v>33.33</v>
      </c>
      <c r="AA35" s="894">
        <f>(V35*Plot!E34*Plot!D34)</f>
        <v>61.341073361033047</v>
      </c>
      <c r="AB35" s="740">
        <f>SUMPRODUCT(T9:T35,H42:H68)</f>
        <v>6237.8826959070748</v>
      </c>
      <c r="AC35" s="740">
        <f>SUMPRODUCT(T9:T35,I42:I68)</f>
        <v>0</v>
      </c>
      <c r="AD35" s="740">
        <f ca="1">SUMPRODUCT(U9:U35,J42:J68)</f>
        <v>0</v>
      </c>
      <c r="AE35" s="740">
        <f>SUMPRODUCT(U9:U35,K42:K68)</f>
        <v>6105.6936283623645</v>
      </c>
      <c r="AF35" s="740">
        <f>SUMPRODUCT(U9:U35,L42:L68)</f>
        <v>0</v>
      </c>
      <c r="AG35" s="894">
        <f>Plot!N34*S35</f>
        <v>361.19521025749333</v>
      </c>
      <c r="AH35" s="740">
        <f>IF($A35&lt;='Options and results'!$W$20,SUMPRODUCT(T9:T35,M42:M68),0)</f>
        <v>0</v>
      </c>
      <c r="AI35" s="740">
        <f>IF($A35&lt;='Options and results'!$W$20,SUMPRODUCT(U9:U35,N42:N68),0)</f>
        <v>0</v>
      </c>
      <c r="AJ35" s="740">
        <f>IF($A35&lt;='Options and results'!$W$20,SUMPRODUCT(U9:U35,O42:O68),0)</f>
        <v>0</v>
      </c>
      <c r="AK35" s="740">
        <f t="shared" si="5"/>
        <v>0</v>
      </c>
      <c r="AL35" s="740">
        <f>Plot!P34*S35</f>
        <v>-18271.717709235865</v>
      </c>
      <c r="AM35" s="740">
        <f>IF($A35&lt;='Options and results'!$W$20,SUMPRODUCT(T9:T35,P42:P68),0)</f>
        <v>-99.99</v>
      </c>
      <c r="AN35" s="740">
        <f ca="1">IF($A35&lt;='Options and results'!$W$20,SUMPRODUCT(U9:U35,Q42:Q68),0)</f>
        <v>0</v>
      </c>
      <c r="AO35" s="740">
        <f>IF($A35&lt;='Options and results'!$W$20,SUMPRODUCT(U9:U35,R42:R68),0)</f>
        <v>-99.99</v>
      </c>
      <c r="AP35" s="740">
        <f t="shared" ca="1" si="6"/>
        <v>-99.99</v>
      </c>
      <c r="AQ35" s="894">
        <f>IF($A35&lt;='Options and results'!$W$20,AQ34+AL35,0)</f>
        <v>439043.41169482045</v>
      </c>
      <c r="AR35" s="740">
        <f>IF($A35&lt;='Options and results'!$W$20,AR34+AM35,0)</f>
        <v>-54985.97982491587</v>
      </c>
      <c r="AS35" s="740">
        <f ca="1">IF($A35&lt;='Options and results'!$W$20,AS34+AN35,0)</f>
        <v>49149.781587213671</v>
      </c>
      <c r="AT35" s="740">
        <f>IF($A35&lt;='Options and results'!$W$20,AT34+AO35,0)</f>
        <v>-37364.425695458893</v>
      </c>
      <c r="AU35" s="740">
        <f ca="1">IF($A35&lt;='Options and results'!$W$20,AU34+AP35,0)</f>
        <v>11785.355891754754</v>
      </c>
      <c r="AV35" s="894">
        <f>AL35/(1+'Options and results'!$W$33)^($A35-1)</f>
        <v>-6590.4118449766138</v>
      </c>
      <c r="AW35" s="740">
        <f>AM35/(1+'Options and results'!$W$33)^($A35-1)</f>
        <v>-36.065316401320999</v>
      </c>
      <c r="AX35" s="740">
        <f ca="1">AN35/(1+'Options and results'!$W$33)^($A35-1)</f>
        <v>0</v>
      </c>
      <c r="AY35" s="740">
        <f>AO35/(1+'Options and results'!$W$33)^($A35-1)</f>
        <v>-36.065316401320999</v>
      </c>
      <c r="AZ35" s="740">
        <f t="shared" ca="1" si="7"/>
        <v>-36.065316401320999</v>
      </c>
      <c r="BA35" s="894">
        <f>IF($A35&lt;='Options and results'!$W$20,AV35+BA34,0)</f>
        <v>299609.37414087495</v>
      </c>
      <c r="BB35" s="740">
        <f>IF($A35&lt;='Options and results'!$W$20,AW35+BB34,0)</f>
        <v>-46733.828901682085</v>
      </c>
      <c r="BC35" s="740">
        <f ca="1">IF($A35&lt;='Options and results'!$W$20,AX35+BC34,0)</f>
        <v>49737.825890328924</v>
      </c>
      <c r="BD35" s="740">
        <f>IF($A35&lt;='Options and results'!$W$20,AY35+BD34,0)</f>
        <v>-31548.008033915201</v>
      </c>
      <c r="BE35" s="740">
        <f ca="1">IF($A35&lt;='Options and results'!$W$20,AZ35+BE34,0)</f>
        <v>18189.81785641372</v>
      </c>
      <c r="BF35" s="346"/>
    </row>
    <row r="36" spans="1:58" x14ac:dyDescent="0.25">
      <c r="A36" s="895">
        <f t="shared" si="8"/>
        <v>28</v>
      </c>
      <c r="B36" s="878">
        <f>IF('Options and results'!$C$54="none",0,IF(HLOOKUP('Options and results'!$C$54,Agroforestrysystem!$2:$9,8,FALSE)="No",LOOKUP(A36,Plot!$CK$8:$CN$67),LOOKUP(A36,Plot!$CK$8:$CN$67)+LOOKUP(A36,Plot!#REF!)))</f>
        <v>0.99</v>
      </c>
      <c r="C36" s="879">
        <f>IF(VLOOKUP(A36,Plot!$DF$8:$DL$67,7,FALSE)&gt;0,1-B36,0)</f>
        <v>1.0000000000000009E-2</v>
      </c>
      <c r="D36" s="896">
        <f t="shared" si="9"/>
        <v>33</v>
      </c>
      <c r="E36" s="897">
        <f>IF(VLOOKUP(D36,Plot!$V$8:$AB$67,Plot!$AB$2,FALSE)&gt;0,1,0)</f>
        <v>0</v>
      </c>
      <c r="F36" s="898">
        <f t="shared" si="2"/>
        <v>0</v>
      </c>
      <c r="G36" s="898">
        <f t="shared" si="3"/>
        <v>0</v>
      </c>
      <c r="H36" s="883">
        <f>VLOOKUP(D36,Plot!$V$8:$AH$67,Plot!$AH$2,FALSE)</f>
        <v>0</v>
      </c>
      <c r="I36" s="884">
        <f>VLOOKUP(D36,Plot!$V$8:$AJ$67,Plot!$AJ$2,FALSE)</f>
        <v>0</v>
      </c>
      <c r="J36" s="885">
        <f ca="1">VLOOKUP(D36,Plot!$CK$8:$CP$67,Plot!$CO$2,FALSE)*VLOOKUP(D36,Plot!$CK$8:$CP$67,Plot!$CN$2,FALSE)</f>
        <v>0</v>
      </c>
      <c r="K36" s="884">
        <f>VLOOKUP(D36,Plot!$DF$8:$DS$67,Plot!$DS$2,FALSE)</f>
        <v>0</v>
      </c>
      <c r="L36" s="884">
        <f>VLOOKUP(D36,Plot!$DF$8:$DU$67,Plot!$DU$2,FALSE)</f>
        <v>0</v>
      </c>
      <c r="M36" s="883">
        <f>VLOOKUP(D36,Plot!$V$8:$BW$67,Plot!$BW$2,FALSE)</f>
        <v>0</v>
      </c>
      <c r="N36" s="884">
        <f>VLOOKUP(D36,Plot!$CK$8:$CX$67,Plot!$CX$2,FALSE)</f>
        <v>0</v>
      </c>
      <c r="O36" s="884">
        <f>VLOOKUP(D36,Plot!$DF$8:$FH$67,Plot!$FH$2,FALSE)</f>
        <v>0</v>
      </c>
      <c r="P36" s="883">
        <f>VLOOKUP(D36,Plot!$V$8:$CA$67,Plot!$CA$2,FALSE)</f>
        <v>0</v>
      </c>
      <c r="Q36" s="884">
        <f>VLOOKUP($D36,Plot!$CK$8:$CZ$67,Plot!$CZ$2,FALSE)</f>
        <v>0</v>
      </c>
      <c r="R36" s="899">
        <f>VLOOKUP($D36,Plot!$DF$8:$FL$67,Plot!$FL$2,FALSE)</f>
        <v>0</v>
      </c>
      <c r="S36" s="895">
        <f t="shared" si="10"/>
        <v>33.340000000000003</v>
      </c>
      <c r="T36" s="900">
        <f>IF($A36='Options and results'!$I$33,'Options and results'!$I$34)+IF($A36='Options and results'!$I$35,'Options and results'!$I$36)+IF($A36='Options and results'!$I$37,'Options and results'!$I$38)+IF($A36='Options and results'!$I$39,'Options and results'!$I$40)+IF($A36='Options and results'!$I$41,'Options and results'!$I$42)+IF(AND($A36&gt;='Options and results'!$I$44,$A36&lt;='Options and results'!$I$45),IF(MOD($A36+'Options and results'!$I$46-'Options and results'!$I$44,'Options and results'!$I$46)=0,'Options and results'!$I$47,0))</f>
        <v>0</v>
      </c>
      <c r="U36" s="901">
        <f>IF($A36='Options and results'!$I$59,'Options and results'!$I$60)+IF($A36='Options and results'!$I$61,'Options and results'!$I$62)+IF($A36='Options and results'!$I$63,'Options and results'!$I$64)+IF($A36='Options and results'!$I$65,'Options and results'!$I$66)+IF($A36='Options and results'!$I$67,'Options and results'!$I$68)+IF(AND($A36&gt;='Options and results'!$I$70,$A36&lt;='Options and results'!$I$71),IF(MOD($A36+'Options and results'!$I$72-'Options and results'!$I$70,'Options and results'!$I$72)=0,'Options and results'!$I$73,0))</f>
        <v>0</v>
      </c>
      <c r="V36" s="889">
        <f>'Options and results'!$W$18-W36-X36-Y36</f>
        <v>33.340000000000003</v>
      </c>
      <c r="W36" s="889">
        <f>SUMPRODUCT(T9:T36,E41:E68)</f>
        <v>33.33</v>
      </c>
      <c r="X36" s="889">
        <f>SUMPRODUCT(U9:U36,F41:F68)</f>
        <v>32.996699999999997</v>
      </c>
      <c r="Y36" s="889">
        <f>SUMPRODUCT(U9:U36,G41:G68)</f>
        <v>0.33330000000000026</v>
      </c>
      <c r="Z36" s="889">
        <f t="shared" si="4"/>
        <v>33.33</v>
      </c>
      <c r="AA36" s="894">
        <f>(V36*Plot!E35*Plot!D35)</f>
        <v>124.71083456383712</v>
      </c>
      <c r="AB36" s="740">
        <f>SUMPRODUCT(T9:T36,H41:H68)</f>
        <v>6580.8528923531403</v>
      </c>
      <c r="AC36" s="740">
        <f>SUMPRODUCT(T9:T36,I41:I68)</f>
        <v>0</v>
      </c>
      <c r="AD36" s="740">
        <f ca="1">SUMPRODUCT(U9:U36,J41:J68)</f>
        <v>0</v>
      </c>
      <c r="AE36" s="740">
        <f>SUMPRODUCT(U9:U36,K41:K68)</f>
        <v>6487.6220039569589</v>
      </c>
      <c r="AF36" s="740">
        <f>SUMPRODUCT(U9:U36,L41:L68)</f>
        <v>0</v>
      </c>
      <c r="AG36" s="894">
        <f>Plot!N35*S36</f>
        <v>248.68682984763632</v>
      </c>
      <c r="AH36" s="740">
        <f>IF($A36&lt;='Options and results'!$W$20,SUMPRODUCT(T9:T36,M41:M68),0)</f>
        <v>0</v>
      </c>
      <c r="AI36" s="740">
        <f>IF($A36&lt;='Options and results'!$W$20,SUMPRODUCT(U9:U36,N41:N68),0)</f>
        <v>0</v>
      </c>
      <c r="AJ36" s="740">
        <f>IF($A36&lt;='Options and results'!$W$20,SUMPRODUCT(U9:U36,O41:O68),0)</f>
        <v>0</v>
      </c>
      <c r="AK36" s="740">
        <f t="shared" si="5"/>
        <v>0</v>
      </c>
      <c r="AL36" s="740">
        <f>Plot!P35*S36</f>
        <v>13293.574987832357</v>
      </c>
      <c r="AM36" s="740">
        <f>IF($A36&lt;='Options and results'!$W$20,SUMPRODUCT(T9:T36,P41:P68),0)</f>
        <v>-99.99</v>
      </c>
      <c r="AN36" s="740">
        <f ca="1">IF($A36&lt;='Options and results'!$W$20,SUMPRODUCT(U9:U36,Q41:Q68),0)</f>
        <v>0</v>
      </c>
      <c r="AO36" s="740">
        <f>IF($A36&lt;='Options and results'!$W$20,SUMPRODUCT(U9:U36,R41:R68),0)</f>
        <v>-99.99</v>
      </c>
      <c r="AP36" s="740">
        <f t="shared" ca="1" si="6"/>
        <v>-99.99</v>
      </c>
      <c r="AQ36" s="894">
        <f>IF($A36&lt;='Options and results'!$W$20,AQ35+AL36,0)</f>
        <v>452336.98668265279</v>
      </c>
      <c r="AR36" s="740">
        <f>IF($A36&lt;='Options and results'!$W$20,AR35+AM36,0)</f>
        <v>-55085.969824915868</v>
      </c>
      <c r="AS36" s="740">
        <f ca="1">IF($A36&lt;='Options and results'!$W$20,AS35+AN36,0)</f>
        <v>49149.781587213671</v>
      </c>
      <c r="AT36" s="740">
        <f>IF($A36&lt;='Options and results'!$W$20,AT35+AO36,0)</f>
        <v>-37464.415695458891</v>
      </c>
      <c r="AU36" s="740">
        <f ca="1">IF($A36&lt;='Options and results'!$W$20,AU35+AP36,0)</f>
        <v>11685.365891754755</v>
      </c>
      <c r="AV36" s="894">
        <f>AL36/(1+'Options and results'!$W$33)^($A36-1)</f>
        <v>4610.4320820626381</v>
      </c>
      <c r="AW36" s="740">
        <f>AM36/(1+'Options and results'!$W$33)^($A36-1)</f>
        <v>-34.678188847424039</v>
      </c>
      <c r="AX36" s="740">
        <f ca="1">AN36/(1+'Options and results'!$W$33)^($A36-1)</f>
        <v>0</v>
      </c>
      <c r="AY36" s="740">
        <f>AO36/(1+'Options and results'!$W$33)^($A36-1)</f>
        <v>-34.678188847424039</v>
      </c>
      <c r="AZ36" s="740">
        <f t="shared" ca="1" si="7"/>
        <v>-34.678188847424039</v>
      </c>
      <c r="BA36" s="894">
        <f>IF($A36&lt;='Options and results'!$W$20,AV36+BA35,0)</f>
        <v>304219.80622293759</v>
      </c>
      <c r="BB36" s="740">
        <f>IF($A36&lt;='Options and results'!$W$20,AW36+BB35,0)</f>
        <v>-46768.507090529507</v>
      </c>
      <c r="BC36" s="740">
        <f ca="1">IF($A36&lt;='Options and results'!$W$20,AX36+BC35,0)</f>
        <v>49737.825890328924</v>
      </c>
      <c r="BD36" s="740">
        <f>IF($A36&lt;='Options and results'!$W$20,AY36+BD35,0)</f>
        <v>-31582.686222762626</v>
      </c>
      <c r="BE36" s="740">
        <f ca="1">IF($A36&lt;='Options and results'!$W$20,AZ36+BE35,0)</f>
        <v>18155.139667566295</v>
      </c>
      <c r="BF36" s="346"/>
    </row>
    <row r="37" spans="1:58" x14ac:dyDescent="0.25">
      <c r="A37" s="895">
        <f t="shared" si="8"/>
        <v>29</v>
      </c>
      <c r="B37" s="878">
        <f>IF('Options and results'!$C$54="none",0,IF(HLOOKUP('Options and results'!$C$54,Agroforestrysystem!$2:$9,8,FALSE)="No",LOOKUP(A37,Plot!$CK$8:$CN$67),LOOKUP(A37,Plot!$CK$8:$CN$67)+LOOKUP(A37,Plot!#REF!)))</f>
        <v>0.99</v>
      </c>
      <c r="C37" s="879">
        <f>IF(VLOOKUP(A37,Plot!$DF$8:$DL$67,7,FALSE)&gt;0,1-B37,0)</f>
        <v>1.0000000000000009E-2</v>
      </c>
      <c r="D37" s="896">
        <f t="shared" si="9"/>
        <v>32</v>
      </c>
      <c r="E37" s="897">
        <f>IF(VLOOKUP(D37,Plot!$V$8:$AB$67,Plot!$AB$2,FALSE)&gt;0,1,0)</f>
        <v>0</v>
      </c>
      <c r="F37" s="898">
        <f t="shared" si="2"/>
        <v>0</v>
      </c>
      <c r="G37" s="898">
        <f t="shared" si="3"/>
        <v>0</v>
      </c>
      <c r="H37" s="883">
        <f>VLOOKUP(D37,Plot!$V$8:$AH$67,Plot!$AH$2,FALSE)</f>
        <v>0</v>
      </c>
      <c r="I37" s="884">
        <f>VLOOKUP(D37,Plot!$V$8:$AJ$67,Plot!$AJ$2,FALSE)</f>
        <v>0</v>
      </c>
      <c r="J37" s="885">
        <f ca="1">VLOOKUP(D37,Plot!$CK$8:$CP$67,Plot!$CO$2,FALSE)*VLOOKUP(D37,Plot!$CK$8:$CP$67,Plot!$CN$2,FALSE)</f>
        <v>0</v>
      </c>
      <c r="K37" s="884">
        <f>VLOOKUP(D37,Plot!$DF$8:$DS$67,Plot!$DS$2,FALSE)</f>
        <v>0</v>
      </c>
      <c r="L37" s="884">
        <f>VLOOKUP(D37,Plot!$DF$8:$DU$67,Plot!$DU$2,FALSE)</f>
        <v>0</v>
      </c>
      <c r="M37" s="883">
        <f>VLOOKUP(D37,Plot!$V$8:$BW$67,Plot!$BW$2,FALSE)</f>
        <v>0</v>
      </c>
      <c r="N37" s="884">
        <f>VLOOKUP(D37,Plot!$CK$8:$CX$67,Plot!$CX$2,FALSE)</f>
        <v>0</v>
      </c>
      <c r="O37" s="884">
        <f>VLOOKUP(D37,Plot!$DF$8:$FH$67,Plot!$FH$2,FALSE)</f>
        <v>0</v>
      </c>
      <c r="P37" s="883">
        <f>VLOOKUP(D37,Plot!$V$8:$CA$67,Plot!$CA$2,FALSE)</f>
        <v>0</v>
      </c>
      <c r="Q37" s="884">
        <f>VLOOKUP($D37,Plot!$CK$8:$CZ$67,Plot!$CZ$2,FALSE)</f>
        <v>0</v>
      </c>
      <c r="R37" s="899">
        <f>VLOOKUP($D37,Plot!$DF$8:$FL$67,Plot!$FL$2,FALSE)</f>
        <v>0</v>
      </c>
      <c r="S37" s="895">
        <f t="shared" si="10"/>
        <v>33.340000000000003</v>
      </c>
      <c r="T37" s="900">
        <f>IF($A37='Options and results'!$I$33,'Options and results'!$I$34)+IF($A37='Options and results'!$I$35,'Options and results'!$I$36)+IF($A37='Options and results'!$I$37,'Options and results'!$I$38)+IF($A37='Options and results'!$I$39,'Options and results'!$I$40)+IF($A37='Options and results'!$I$41,'Options and results'!$I$42)+IF(AND($A37&gt;='Options and results'!$I$44,$A37&lt;='Options and results'!$I$45),IF(MOD($A37+'Options and results'!$I$46-'Options and results'!$I$44,'Options and results'!$I$46)=0,'Options and results'!$I$47,0))</f>
        <v>0</v>
      </c>
      <c r="U37" s="901">
        <f>IF($A37='Options and results'!$I$59,'Options and results'!$I$60)+IF($A37='Options and results'!$I$61,'Options and results'!$I$62)+IF($A37='Options and results'!$I$63,'Options and results'!$I$64)+IF($A37='Options and results'!$I$65,'Options and results'!$I$66)+IF($A37='Options and results'!$I$67,'Options and results'!$I$68)+IF(AND($A37&gt;='Options and results'!$I$70,$A37&lt;='Options and results'!$I$71),IF(MOD($A37+'Options and results'!$I$72-'Options and results'!$I$70,'Options and results'!$I$72)=0,'Options and results'!$I$73,0))</f>
        <v>0</v>
      </c>
      <c r="V37" s="889">
        <f>'Options and results'!$W$18-W37-X37-Y37</f>
        <v>33.340000000000003</v>
      </c>
      <c r="W37" s="889">
        <f>SUMPRODUCT(T9:T37,E40:E68)</f>
        <v>33.33</v>
      </c>
      <c r="X37" s="889">
        <f>SUMPRODUCT(U9:U37,F40:F68)</f>
        <v>32.996699999999997</v>
      </c>
      <c r="Y37" s="889">
        <f>SUMPRODUCT(U9:U37,G40:G68)</f>
        <v>0.33330000000000026</v>
      </c>
      <c r="Z37" s="889">
        <f t="shared" si="4"/>
        <v>33.33</v>
      </c>
      <c r="AA37" s="894">
        <f>(V37*Plot!E36*Plot!D36)</f>
        <v>266.09277730555635</v>
      </c>
      <c r="AB37" s="740">
        <f>SUMPRODUCT(T9:T37,H40:H68)</f>
        <v>6922.0436813423585</v>
      </c>
      <c r="AC37" s="740">
        <f>SUMPRODUCT(T9:T37,I40:I68)</f>
        <v>0</v>
      </c>
      <c r="AD37" s="740">
        <f ca="1">SUMPRODUCT(U9:U37,J40:J68)</f>
        <v>0</v>
      </c>
      <c r="AE37" s="740">
        <f>SUMPRODUCT(U9:U37,K40:K68)</f>
        <v>6834.2382309447958</v>
      </c>
      <c r="AF37" s="740">
        <f>SUMPRODUCT(U9:U37,L40:L68)</f>
        <v>0</v>
      </c>
      <c r="AG37" s="894">
        <f>Plot!N36*S37</f>
        <v>387.83870545896116</v>
      </c>
      <c r="AH37" s="740">
        <f>IF($A37&lt;='Options and results'!$W$20,SUMPRODUCT(T9:T37,M40:M68),0)</f>
        <v>0</v>
      </c>
      <c r="AI37" s="740">
        <f>IF($A37&lt;='Options and results'!$W$20,SUMPRODUCT(U9:U37,N40:N68),0)</f>
        <v>0</v>
      </c>
      <c r="AJ37" s="740">
        <f>IF($A37&lt;='Options and results'!$W$20,SUMPRODUCT(U9:U37,O40:O68),0)</f>
        <v>0</v>
      </c>
      <c r="AK37" s="740">
        <f t="shared" si="5"/>
        <v>0</v>
      </c>
      <c r="AL37" s="740">
        <f>Plot!P36*S37</f>
        <v>15774.212008763836</v>
      </c>
      <c r="AM37" s="740">
        <f>IF($A37&lt;='Options and results'!$W$20,SUMPRODUCT(T9:T37,P40:P68),0)</f>
        <v>-99.99</v>
      </c>
      <c r="AN37" s="740">
        <f ca="1">IF($A37&lt;='Options and results'!$W$20,SUMPRODUCT(U9:U37,Q40:Q68),0)</f>
        <v>0</v>
      </c>
      <c r="AO37" s="740">
        <f>IF($A37&lt;='Options and results'!$W$20,SUMPRODUCT(U9:U37,R40:R68),0)</f>
        <v>-99.99</v>
      </c>
      <c r="AP37" s="740">
        <f t="shared" ca="1" si="6"/>
        <v>-99.99</v>
      </c>
      <c r="AQ37" s="894">
        <f>IF($A37&lt;='Options and results'!$W$20,AQ36+AL37,0)</f>
        <v>468111.19869141665</v>
      </c>
      <c r="AR37" s="740">
        <f>IF($A37&lt;='Options and results'!$W$20,AR36+AM37,0)</f>
        <v>-55185.959824915866</v>
      </c>
      <c r="AS37" s="740">
        <f ca="1">IF($A37&lt;='Options and results'!$W$20,AS36+AN37,0)</f>
        <v>49149.781587213671</v>
      </c>
      <c r="AT37" s="740">
        <f>IF($A37&lt;='Options and results'!$W$20,AT36+AO37,0)</f>
        <v>-37564.405695458889</v>
      </c>
      <c r="AU37" s="740">
        <f ca="1">IF($A37&lt;='Options and results'!$W$20,AU36+AP37,0)</f>
        <v>11585.375891754755</v>
      </c>
      <c r="AV37" s="894">
        <f>AL37/(1+'Options and results'!$W$33)^($A37-1)</f>
        <v>5260.3443321179839</v>
      </c>
      <c r="AW37" s="740">
        <f>AM37/(1+'Options and results'!$W$33)^($A37-1)</f>
        <v>-33.344412353292334</v>
      </c>
      <c r="AX37" s="740">
        <f ca="1">AN37/(1+'Options and results'!$W$33)^($A37-1)</f>
        <v>0</v>
      </c>
      <c r="AY37" s="740">
        <f>AO37/(1+'Options and results'!$W$33)^($A37-1)</f>
        <v>-33.344412353292334</v>
      </c>
      <c r="AZ37" s="740">
        <f t="shared" ca="1" si="7"/>
        <v>-33.344412353292334</v>
      </c>
      <c r="BA37" s="894">
        <f>IF($A37&lt;='Options and results'!$W$20,AV37+BA36,0)</f>
        <v>309480.15055505559</v>
      </c>
      <c r="BB37" s="740">
        <f>IF($A37&lt;='Options and results'!$W$20,AW37+BB36,0)</f>
        <v>-46801.851502882797</v>
      </c>
      <c r="BC37" s="740">
        <f ca="1">IF($A37&lt;='Options and results'!$W$20,AX37+BC36,0)</f>
        <v>49737.825890328924</v>
      </c>
      <c r="BD37" s="740">
        <f>IF($A37&lt;='Options and results'!$W$20,AY37+BD36,0)</f>
        <v>-31616.03063511592</v>
      </c>
      <c r="BE37" s="740">
        <f ca="1">IF($A37&lt;='Options and results'!$W$20,AZ37+BE36,0)</f>
        <v>18121.795255213001</v>
      </c>
      <c r="BF37" s="346"/>
    </row>
    <row r="38" spans="1:58" x14ac:dyDescent="0.25">
      <c r="A38" s="895">
        <f t="shared" si="8"/>
        <v>30</v>
      </c>
      <c r="B38" s="878">
        <f>IF('Options and results'!$C$54="none",0,IF(HLOOKUP('Options and results'!$C$54,Agroforestrysystem!$2:$9,8,FALSE)="No",LOOKUP(A38,Plot!$CK$8:$CN$67),LOOKUP(A38,Plot!$CK$8:$CN$67)+LOOKUP(A38,Plot!#REF!)))</f>
        <v>0.99</v>
      </c>
      <c r="C38" s="879">
        <f>IF(VLOOKUP(A38,Plot!$DF$8:$DL$67,7,FALSE)&gt;0,1-B38,0)</f>
        <v>1.0000000000000009E-2</v>
      </c>
      <c r="D38" s="896">
        <f t="shared" si="9"/>
        <v>31</v>
      </c>
      <c r="E38" s="897">
        <f>IF(VLOOKUP(D38,Plot!$V$8:$AB$67,Plot!$AB$2,FALSE)&gt;0,1,0)</f>
        <v>0</v>
      </c>
      <c r="F38" s="898">
        <f t="shared" si="2"/>
        <v>0</v>
      </c>
      <c r="G38" s="898">
        <f t="shared" si="3"/>
        <v>0</v>
      </c>
      <c r="H38" s="883">
        <f>VLOOKUP(D38,Plot!$V$8:$AH$67,Plot!$AH$2,FALSE)</f>
        <v>0</v>
      </c>
      <c r="I38" s="884">
        <f>VLOOKUP(D38,Plot!$V$8:$AJ$67,Plot!$AJ$2,FALSE)</f>
        <v>0</v>
      </c>
      <c r="J38" s="885">
        <f ca="1">VLOOKUP(D38,Plot!$CK$8:$CP$67,Plot!$CO$2,FALSE)*VLOOKUP(D38,Plot!$CK$8:$CP$67,Plot!$CN$2,FALSE)</f>
        <v>0</v>
      </c>
      <c r="K38" s="884">
        <f>VLOOKUP(D38,Plot!$DF$8:$DS$67,Plot!$DS$2,FALSE)</f>
        <v>0</v>
      </c>
      <c r="L38" s="884">
        <f>VLOOKUP(D38,Plot!$DF$8:$DU$67,Plot!$DU$2,FALSE)</f>
        <v>0</v>
      </c>
      <c r="M38" s="883">
        <f>VLOOKUP(D38,Plot!$V$8:$BW$67,Plot!$BW$2,FALSE)</f>
        <v>0</v>
      </c>
      <c r="N38" s="884">
        <f>VLOOKUP(D38,Plot!$CK$8:$CX$67,Plot!$CX$2,FALSE)</f>
        <v>0</v>
      </c>
      <c r="O38" s="884">
        <f>VLOOKUP(D38,Plot!$DF$8:$FH$67,Plot!$FH$2,FALSE)</f>
        <v>0</v>
      </c>
      <c r="P38" s="883">
        <f>VLOOKUP(D38,Plot!$V$8:$CA$67,Plot!$CA$2,FALSE)</f>
        <v>0</v>
      </c>
      <c r="Q38" s="884">
        <f>VLOOKUP($D38,Plot!$CK$8:$CZ$67,Plot!$CZ$2,FALSE)</f>
        <v>0</v>
      </c>
      <c r="R38" s="899">
        <f>VLOOKUP($D38,Plot!$DF$8:$FL$67,Plot!$FL$2,FALSE)</f>
        <v>0</v>
      </c>
      <c r="S38" s="895">
        <f t="shared" si="10"/>
        <v>33.340000000000003</v>
      </c>
      <c r="T38" s="900">
        <f>IF($A38='Options and results'!$I$33,'Options and results'!$I$34)+IF($A38='Options and results'!$I$35,'Options and results'!$I$36)+IF($A38='Options and results'!$I$37,'Options and results'!$I$38)+IF($A38='Options and results'!$I$39,'Options and results'!$I$40)+IF($A38='Options and results'!$I$41,'Options and results'!$I$42)+IF(AND($A38&gt;='Options and results'!$I$44,$A38&lt;='Options and results'!$I$45),IF(MOD($A38+'Options and results'!$I$46-'Options and results'!$I$44,'Options and results'!$I$46)=0,'Options and results'!$I$47,0))</f>
        <v>0</v>
      </c>
      <c r="U38" s="901">
        <f>IF($A38='Options and results'!$I$59,'Options and results'!$I$60)+IF($A38='Options and results'!$I$61,'Options and results'!$I$62)+IF($A38='Options and results'!$I$63,'Options and results'!$I$64)+IF($A38='Options and results'!$I$65,'Options and results'!$I$66)+IF($A38='Options and results'!$I$67,'Options and results'!$I$68)+IF(AND($A38&gt;='Options and results'!$I$70,$A38&lt;='Options and results'!$I$71),IF(MOD($A38+'Options and results'!$I$72-'Options and results'!$I$70,'Options and results'!$I$72)=0,'Options and results'!$I$73,0))</f>
        <v>0</v>
      </c>
      <c r="V38" s="889">
        <f>'Options and results'!$W$18-W38-X38-Y38</f>
        <v>33.340000000000003</v>
      </c>
      <c r="W38" s="889">
        <f>SUMPRODUCT(T9:T38,E39:E68)</f>
        <v>33.33</v>
      </c>
      <c r="X38" s="889">
        <f>SUMPRODUCT(U9:U38,F39:F68)</f>
        <v>32.996699999999997</v>
      </c>
      <c r="Y38" s="889">
        <f>SUMPRODUCT(U9:U38,G39:G68)</f>
        <v>0.33330000000000026</v>
      </c>
      <c r="Z38" s="889">
        <f t="shared" si="4"/>
        <v>33.33</v>
      </c>
      <c r="AA38" s="894">
        <f>(V38*Plot!E37*Plot!D37)</f>
        <v>326.56958522986014</v>
      </c>
      <c r="AB38" s="740">
        <f>SUMPRODUCT(T9:T38,H39:H68)</f>
        <v>7301.0038199025394</v>
      </c>
      <c r="AC38" s="740">
        <f>SUMPRODUCT(T9:T38,I39:I68)</f>
        <v>7301.0038199025394</v>
      </c>
      <c r="AD38" s="740">
        <f ca="1">SUMPRODUCT(U9:U38,J39:J68)</f>
        <v>0</v>
      </c>
      <c r="AE38" s="740">
        <f>SUMPRODUCT(U9:U38,K39:K68)</f>
        <v>7218.495212639009</v>
      </c>
      <c r="AF38" s="740">
        <f>SUMPRODUCT(U9:U38,L39:L68)</f>
        <v>7218.4952126390099</v>
      </c>
      <c r="AG38" s="894">
        <f>Plot!N37*S38</f>
        <v>387.83870545896116</v>
      </c>
      <c r="AH38" s="740">
        <f>IF($A38&lt;='Options and results'!$W$20,SUMPRODUCT(T9:T38,M39:M68),0)</f>
        <v>693.26400000000001</v>
      </c>
      <c r="AI38" s="740">
        <f>IF($A38&lt;='Options and results'!$W$20,SUMPRODUCT(U9:U38,N39:N68),0)</f>
        <v>0</v>
      </c>
      <c r="AJ38" s="740">
        <f>IF($A38&lt;='Options and results'!$W$20,SUMPRODUCT(U9:U38,O39:O68),0)</f>
        <v>444.39999999999992</v>
      </c>
      <c r="AK38" s="740">
        <f t="shared" si="5"/>
        <v>444.39999999999992</v>
      </c>
      <c r="AL38" s="740">
        <f>Plot!P37*S38</f>
        <v>27180.809947820009</v>
      </c>
      <c r="AM38" s="740">
        <f>IF($A38&lt;='Options and results'!$W$20,SUMPRODUCT(T9:T38,P39:P68),0)</f>
        <v>270337.36563980975</v>
      </c>
      <c r="AN38" s="740">
        <f ca="1">IF($A38&lt;='Options and results'!$W$20,SUMPRODUCT(U9:U38,Q39:Q68),0)</f>
        <v>0</v>
      </c>
      <c r="AO38" s="740">
        <f>IF($A38&lt;='Options and results'!$W$20,SUMPRODUCT(U9:U38,R39:R68),0)</f>
        <v>307521.51243875455</v>
      </c>
      <c r="AP38" s="740">
        <f t="shared" ca="1" si="6"/>
        <v>307521.51243875455</v>
      </c>
      <c r="AQ38" s="894">
        <f>IF($A38&lt;='Options and results'!$W$20,AQ37+AL38,0)</f>
        <v>495292.00863923668</v>
      </c>
      <c r="AR38" s="740">
        <f>IF($A38&lt;='Options and results'!$W$20,AR37+AM38,0)</f>
        <v>215151.40581489389</v>
      </c>
      <c r="AS38" s="740">
        <f ca="1">IF($A38&lt;='Options and results'!$W$20,AS37+AN38,0)</f>
        <v>49149.781587213671</v>
      </c>
      <c r="AT38" s="740">
        <f>IF($A38&lt;='Options and results'!$W$20,AT37+AO38,0)</f>
        <v>269957.10674329568</v>
      </c>
      <c r="AU38" s="740">
        <f ca="1">IF($A38&lt;='Options and results'!$W$20,AU37+AP38,0)</f>
        <v>319106.8883305093</v>
      </c>
      <c r="AV38" s="894">
        <f>AL38/(1+'Options and results'!$W$33)^($A38-1)</f>
        <v>8715.5651622525784</v>
      </c>
      <c r="AW38" s="740">
        <f>AM38/(1+'Options and results'!$W$33)^($A38-1)</f>
        <v>86684.058736610008</v>
      </c>
      <c r="AX38" s="740">
        <f ca="1">AN38/(1+'Options and results'!$W$33)^($A38-1)</f>
        <v>0</v>
      </c>
      <c r="AY38" s="740">
        <f>AO38/(1+'Options and results'!$W$33)^($A38-1)</f>
        <v>98607.208011819937</v>
      </c>
      <c r="AZ38" s="740">
        <f t="shared" ca="1" si="7"/>
        <v>98607.208011819937</v>
      </c>
      <c r="BA38" s="894">
        <f>IF($A38&lt;='Options and results'!$W$20,AV38+BA37,0)</f>
        <v>318195.71571730817</v>
      </c>
      <c r="BB38" s="740">
        <f>IF($A38&lt;='Options and results'!$W$20,AW38+BB37,0)</f>
        <v>39882.207233727211</v>
      </c>
      <c r="BC38" s="740">
        <f ca="1">IF($A38&lt;='Options and results'!$W$20,AX38+BC37,0)</f>
        <v>49737.825890328924</v>
      </c>
      <c r="BD38" s="740">
        <f>IF($A38&lt;='Options and results'!$W$20,AY38+BD37,0)</f>
        <v>66991.177376704014</v>
      </c>
      <c r="BE38" s="740">
        <f ca="1">IF($A38&lt;='Options and results'!$W$20,AZ38+BE37,0)</f>
        <v>116729.00326703294</v>
      </c>
      <c r="BF38" s="346"/>
    </row>
    <row r="39" spans="1:58" x14ac:dyDescent="0.25">
      <c r="A39" s="895">
        <f t="shared" si="8"/>
        <v>31</v>
      </c>
      <c r="B39" s="878">
        <f>IF('Options and results'!$C$54="none",0,IF(HLOOKUP('Options and results'!$C$54,Agroforestrysystem!$2:$9,8,FALSE)="No",LOOKUP(A39,Plot!$CK$8:$CN$67),LOOKUP(A39,Plot!$CK$8:$CN$67)+LOOKUP(A39,Plot!#REF!)))</f>
        <v>0</v>
      </c>
      <c r="C39" s="879">
        <f>IF(VLOOKUP(A39,Plot!$DF$8:$DL$67,7,FALSE)&gt;0,1-B39,0)</f>
        <v>0</v>
      </c>
      <c r="D39" s="896">
        <f t="shared" si="9"/>
        <v>30</v>
      </c>
      <c r="E39" s="897">
        <f>IF(VLOOKUP(D39,Plot!$V$8:$AB$67,Plot!$AB$2,FALSE)&gt;0,1,0)</f>
        <v>1</v>
      </c>
      <c r="F39" s="898">
        <f t="shared" si="2"/>
        <v>0.99</v>
      </c>
      <c r="G39" s="898">
        <f t="shared" si="3"/>
        <v>1.0000000000000009E-2</v>
      </c>
      <c r="H39" s="883">
        <f>VLOOKUP(D39,Plot!$V$8:$AH$67,Plot!$AH$2,FALSE)</f>
        <v>219.0520197990561</v>
      </c>
      <c r="I39" s="884">
        <f>VLOOKUP(D39,Plot!$V$8:$AJ$67,Plot!$AJ$2,FALSE)</f>
        <v>219.0520197990561</v>
      </c>
      <c r="J39" s="885">
        <f ca="1">VLOOKUP(D39,Plot!$CK$8:$CP$67,Plot!$CO$2,FALSE)*VLOOKUP(D39,Plot!$CK$8:$CP$67,Plot!$CN$2,FALSE)</f>
        <v>0</v>
      </c>
      <c r="K39" s="884">
        <f>VLOOKUP(D39,Plot!$DF$8:$DS$67,Plot!$DS$2,FALSE)</f>
        <v>216.57651403057335</v>
      </c>
      <c r="L39" s="884">
        <f>VLOOKUP(D39,Plot!$DF$8:$DU$67,Plot!$DU$2,FALSE)</f>
        <v>216.57651403057338</v>
      </c>
      <c r="M39" s="883">
        <f>VLOOKUP(D39,Plot!$V$8:$BW$67,Plot!$BW$2,FALSE)</f>
        <v>20.8</v>
      </c>
      <c r="N39" s="884">
        <f>VLOOKUP(D39,Plot!$CK$8:$CX$67,Plot!$CX$2,FALSE)</f>
        <v>0</v>
      </c>
      <c r="O39" s="884">
        <f>VLOOKUP(D39,Plot!$DF$8:$FH$67,Plot!$FH$2,FALSE)</f>
        <v>13.333333333333332</v>
      </c>
      <c r="P39" s="883">
        <f>VLOOKUP(D39,Plot!$V$8:$CA$67,Plot!$CA$2,FALSE)</f>
        <v>8110.9320624005331</v>
      </c>
      <c r="Q39" s="884">
        <f ca="1">VLOOKUP($D39,Plot!$CK$8:$CZ$67,Plot!$CZ$2,FALSE)</f>
        <v>0</v>
      </c>
      <c r="R39" s="899">
        <f>VLOOKUP($D39,Plot!$DF$8:$FL$67,Plot!$FL$2,FALSE)</f>
        <v>9226.5680299656342</v>
      </c>
      <c r="S39" s="895">
        <f t="shared" si="10"/>
        <v>100</v>
      </c>
      <c r="T39" s="900">
        <f>IF($A39='Options and results'!$I$33,'Options and results'!$I$34)+IF($A39='Options and results'!$I$35,'Options and results'!$I$36)+IF($A39='Options and results'!$I$37,'Options and results'!$I$38)+IF($A39='Options and results'!$I$39,'Options and results'!$I$40)+IF($A39='Options and results'!$I$41,'Options and results'!$I$42)+IF(AND($A39&gt;='Options and results'!$I$44,$A39&lt;='Options and results'!$I$45),IF(MOD($A39+'Options and results'!$I$46-'Options and results'!$I$44,'Options and results'!$I$46)=0,'Options and results'!$I$47,0))</f>
        <v>0</v>
      </c>
      <c r="U39" s="901">
        <f>IF($A39='Options and results'!$I$59,'Options and results'!$I$60)+IF($A39='Options and results'!$I$61,'Options and results'!$I$62)+IF($A39='Options and results'!$I$63,'Options and results'!$I$64)+IF($A39='Options and results'!$I$65,'Options and results'!$I$66)+IF($A39='Options and results'!$I$67,'Options and results'!$I$68)+IF(AND($A39&gt;='Options and results'!$I$70,$A39&lt;='Options and results'!$I$71),IF(MOD($A39+'Options and results'!$I$72-'Options and results'!$I$70,'Options and results'!$I$72)=0,'Options and results'!$I$73,0))</f>
        <v>0</v>
      </c>
      <c r="V39" s="889">
        <f>'Options and results'!$W$18-W39-X39-Y39</f>
        <v>100</v>
      </c>
      <c r="W39" s="889">
        <f>SUMPRODUCT(T9:T39,E38:E68)</f>
        <v>0</v>
      </c>
      <c r="X39" s="889">
        <f>SUMPRODUCT(U9:U39,F38:F68)</f>
        <v>0</v>
      </c>
      <c r="Y39" s="889">
        <f>SUMPRODUCT(U9:U39,G38:G68)</f>
        <v>0</v>
      </c>
      <c r="Z39" s="889">
        <f t="shared" si="4"/>
        <v>0</v>
      </c>
      <c r="AA39" s="894">
        <f>(V39*Plot!E38*Plot!D38)</f>
        <v>0</v>
      </c>
      <c r="AB39" s="740">
        <f>SUMPRODUCT(T9:T39,H38:H68)</f>
        <v>0</v>
      </c>
      <c r="AC39" s="740">
        <f>SUMPRODUCT(T9:T39,I38:I68)</f>
        <v>0</v>
      </c>
      <c r="AD39" s="740">
        <f ca="1">SUMPRODUCT(U9:U39,J38:J68)</f>
        <v>0</v>
      </c>
      <c r="AE39" s="740">
        <f>SUMPRODUCT(U9:U39,K38:K68)</f>
        <v>0</v>
      </c>
      <c r="AF39" s="740">
        <f>SUMPRODUCT(U9:U39,L38:L68)</f>
        <v>0</v>
      </c>
      <c r="AG39" s="894">
        <f>Plot!N38*S39</f>
        <v>0</v>
      </c>
      <c r="AH39" s="740">
        <f>IF($A39&lt;='Options and results'!$W$20,SUMPRODUCT(T9:T39,M38:M68),0)</f>
        <v>0</v>
      </c>
      <c r="AI39" s="740">
        <f>IF($A39&lt;='Options and results'!$W$20,SUMPRODUCT(U9:U39,N38:N68),0)</f>
        <v>0</v>
      </c>
      <c r="AJ39" s="740">
        <f>IF($A39&lt;='Options and results'!$W$20,SUMPRODUCT(U9:U39,O38:O68),0)</f>
        <v>0</v>
      </c>
      <c r="AK39" s="740">
        <f t="shared" si="5"/>
        <v>0</v>
      </c>
      <c r="AL39" s="740">
        <f>Plot!P38*S39</f>
        <v>0</v>
      </c>
      <c r="AM39" s="740">
        <f>IF($A39&lt;='Options and results'!$W$20,SUMPRODUCT(T9:T39,P38:P68),0)</f>
        <v>0</v>
      </c>
      <c r="AN39" s="740">
        <f>IF($A39&lt;='Options and results'!$W$20,SUMPRODUCT(U9:U39,Q38:Q68),0)</f>
        <v>0</v>
      </c>
      <c r="AO39" s="740">
        <f>IF($A39&lt;='Options and results'!$W$20,SUMPRODUCT(U9:U39,R38:R68),0)</f>
        <v>0</v>
      </c>
      <c r="AP39" s="740">
        <f t="shared" si="6"/>
        <v>0</v>
      </c>
      <c r="AQ39" s="894">
        <f>IF($A39&lt;='Options and results'!$W$20,AQ38+AL39,0)</f>
        <v>0</v>
      </c>
      <c r="AR39" s="740">
        <f>IF($A39&lt;='Options and results'!$W$20,AR38+AM39,0)</f>
        <v>0</v>
      </c>
      <c r="AS39" s="740">
        <f>IF($A39&lt;='Options and results'!$W$20,AS38+AN39,0)</f>
        <v>0</v>
      </c>
      <c r="AT39" s="740">
        <f>IF($A39&lt;='Options and results'!$W$20,AT38+AO39,0)</f>
        <v>0</v>
      </c>
      <c r="AU39" s="740">
        <f>IF($A39&lt;='Options and results'!$W$20,AU38+AP39,0)</f>
        <v>0</v>
      </c>
      <c r="AV39" s="894">
        <f>AL39/(1+'Options and results'!$W$33)^($A39-1)</f>
        <v>0</v>
      </c>
      <c r="AW39" s="740">
        <f>AM39/(1+'Options and results'!$W$33)^($A39-1)</f>
        <v>0</v>
      </c>
      <c r="AX39" s="740">
        <f>AN39/(1+'Options and results'!$W$33)^($A39-1)</f>
        <v>0</v>
      </c>
      <c r="AY39" s="740">
        <f>AO39/(1+'Options and results'!$W$33)^($A39-1)</f>
        <v>0</v>
      </c>
      <c r="AZ39" s="740">
        <f t="shared" si="7"/>
        <v>0</v>
      </c>
      <c r="BA39" s="894">
        <f>IF($A39&lt;='Options and results'!$W$20,AV39+BA38,0)</f>
        <v>0</v>
      </c>
      <c r="BB39" s="740">
        <f>IF($A39&lt;='Options and results'!$W$20,AW39+BB38,0)</f>
        <v>0</v>
      </c>
      <c r="BC39" s="740">
        <f>IF($A39&lt;='Options and results'!$W$20,AX39+BC38,0)</f>
        <v>0</v>
      </c>
      <c r="BD39" s="740">
        <f>IF($A39&lt;='Options and results'!$W$20,AY39+BD38,0)</f>
        <v>0</v>
      </c>
      <c r="BE39" s="740">
        <f>IF($A39&lt;='Options and results'!$W$20,AZ39+BE38,0)</f>
        <v>0</v>
      </c>
      <c r="BF39" s="346"/>
    </row>
    <row r="40" spans="1:58" x14ac:dyDescent="0.25">
      <c r="A40" s="895">
        <f t="shared" si="8"/>
        <v>32</v>
      </c>
      <c r="B40" s="878">
        <f>IF('Options and results'!$C$54="none",0,IF(HLOOKUP('Options and results'!$C$54,Agroforestrysystem!$2:$9,8,FALSE)="No",LOOKUP(A40,Plot!$CK$8:$CN$67),LOOKUP(A40,Plot!$CK$8:$CN$67)+LOOKUP(A40,Plot!#REF!)))</f>
        <v>0</v>
      </c>
      <c r="C40" s="879">
        <f>IF(VLOOKUP(A40,Plot!$DF$8:$DL$67,7,FALSE)&gt;0,1-B40,0)</f>
        <v>0</v>
      </c>
      <c r="D40" s="896">
        <f t="shared" si="9"/>
        <v>29</v>
      </c>
      <c r="E40" s="897">
        <f>IF(VLOOKUP(D40,Plot!$V$8:$AB$67,Plot!$AB$2,FALSE)&gt;0,1,0)</f>
        <v>1</v>
      </c>
      <c r="F40" s="898">
        <f t="shared" si="2"/>
        <v>0.99</v>
      </c>
      <c r="G40" s="898">
        <f t="shared" si="3"/>
        <v>1.0000000000000009E-2</v>
      </c>
      <c r="H40" s="883">
        <f>VLOOKUP(D40,Plot!$V$8:$AH$67,Plot!$AH$2,FALSE)</f>
        <v>207.68207864813559</v>
      </c>
      <c r="I40" s="884">
        <f>VLOOKUP(D40,Plot!$V$8:$AJ$67,Plot!$AJ$2,FALSE)</f>
        <v>0</v>
      </c>
      <c r="J40" s="885">
        <f ca="1">VLOOKUP(D40,Plot!$CK$8:$CP$67,Plot!$CO$2,FALSE)*VLOOKUP(D40,Plot!$CK$8:$CP$67,Plot!$CN$2,FALSE)</f>
        <v>0</v>
      </c>
      <c r="K40" s="884">
        <f>VLOOKUP(D40,Plot!$DF$8:$DS$67,Plot!$DS$2,FALSE)</f>
        <v>205.04765169351325</v>
      </c>
      <c r="L40" s="884">
        <f>VLOOKUP(D40,Plot!$DF$8:$DU$67,Plot!$DU$2,FALSE)</f>
        <v>0</v>
      </c>
      <c r="M40" s="883">
        <f>VLOOKUP(D40,Plot!$V$8:$BW$67,Plot!$BW$2,FALSE)</f>
        <v>0</v>
      </c>
      <c r="N40" s="884">
        <f>VLOOKUP(D40,Plot!$CK$8:$CX$67,Plot!$CX$2,FALSE)</f>
        <v>0</v>
      </c>
      <c r="O40" s="884">
        <f>VLOOKUP(D40,Plot!$DF$8:$FH$67,Plot!$FH$2,FALSE)</f>
        <v>0</v>
      </c>
      <c r="P40" s="883">
        <f>VLOOKUP(D40,Plot!$V$8:$CA$67,Plot!$CA$2,FALSE)</f>
        <v>-3</v>
      </c>
      <c r="Q40" s="884">
        <f ca="1">VLOOKUP($D40,Plot!$CK$8:$CZ$67,Plot!$CZ$2,FALSE)</f>
        <v>0</v>
      </c>
      <c r="R40" s="899">
        <f>VLOOKUP($D40,Plot!$DF$8:$FL$67,Plot!$FL$2,FALSE)</f>
        <v>-3</v>
      </c>
      <c r="S40" s="895">
        <f t="shared" si="10"/>
        <v>100</v>
      </c>
      <c r="T40" s="900">
        <f>IF($A40='Options and results'!$I$33,'Options and results'!$I$34)+IF($A40='Options and results'!$I$35,'Options and results'!$I$36)+IF($A40='Options and results'!$I$37,'Options and results'!$I$38)+IF($A40='Options and results'!$I$39,'Options and results'!$I$40)+IF($A40='Options and results'!$I$41,'Options and results'!$I$42)+IF(AND($A40&gt;='Options and results'!$I$44,$A40&lt;='Options and results'!$I$45),IF(MOD($A40+'Options and results'!$I$46-'Options and results'!$I$44,'Options and results'!$I$46)=0,'Options and results'!$I$47,0))</f>
        <v>0</v>
      </c>
      <c r="U40" s="901">
        <f>IF($A40='Options and results'!$I$59,'Options and results'!$I$60)+IF($A40='Options and results'!$I$61,'Options and results'!$I$62)+IF($A40='Options and results'!$I$63,'Options and results'!$I$64)+IF($A40='Options and results'!$I$65,'Options and results'!$I$66)+IF($A40='Options and results'!$I$67,'Options and results'!$I$68)+IF(AND($A40&gt;='Options and results'!$I$70,$A40&lt;='Options and results'!$I$71),IF(MOD($A40+'Options and results'!$I$72-'Options and results'!$I$70,'Options and results'!$I$72)=0,'Options and results'!$I$73,0))</f>
        <v>0</v>
      </c>
      <c r="V40" s="889">
        <f>'Options and results'!$W$18-W40-X40-Y40</f>
        <v>100</v>
      </c>
      <c r="W40" s="889">
        <f>SUMPRODUCT(T9:T40,E37:E68)</f>
        <v>0</v>
      </c>
      <c r="X40" s="889">
        <f>SUMPRODUCT(U9:U40,F37:F68)</f>
        <v>0</v>
      </c>
      <c r="Y40" s="889">
        <f>SUMPRODUCT(U9:U40,G37:G68)</f>
        <v>0</v>
      </c>
      <c r="Z40" s="889">
        <f t="shared" si="4"/>
        <v>0</v>
      </c>
      <c r="AA40" s="894">
        <f>(V40*Plot!E39*Plot!D39)</f>
        <v>0</v>
      </c>
      <c r="AB40" s="740">
        <f>SUMPRODUCT(T9:T40,H37:H68)</f>
        <v>0</v>
      </c>
      <c r="AC40" s="740">
        <f>SUMPRODUCT(T9:T40,I37:I68)</f>
        <v>0</v>
      </c>
      <c r="AD40" s="740">
        <f ca="1">SUMPRODUCT(U9:U40,J37:J68)</f>
        <v>0</v>
      </c>
      <c r="AE40" s="740">
        <f>SUMPRODUCT(U9:U40,K37:K68)</f>
        <v>0</v>
      </c>
      <c r="AF40" s="740">
        <f>SUMPRODUCT(U9:U40,L37:L68)</f>
        <v>0</v>
      </c>
      <c r="AG40" s="894">
        <f>Plot!N39*S40</f>
        <v>0</v>
      </c>
      <c r="AH40" s="740">
        <f>IF($A40&lt;='Options and results'!$W$20,SUMPRODUCT(T9:T40,M37:M68),0)</f>
        <v>0</v>
      </c>
      <c r="AI40" s="740">
        <f>IF($A40&lt;='Options and results'!$W$20,SUMPRODUCT(U9:U40,N37:N68),0)</f>
        <v>0</v>
      </c>
      <c r="AJ40" s="740">
        <f>IF($A40&lt;='Options and results'!$W$20,SUMPRODUCT(U9:U40,O37:O68),0)</f>
        <v>0</v>
      </c>
      <c r="AK40" s="740">
        <f t="shared" si="5"/>
        <v>0</v>
      </c>
      <c r="AL40" s="740">
        <f>Plot!P39*S40</f>
        <v>0</v>
      </c>
      <c r="AM40" s="740">
        <f>IF($A40&lt;='Options and results'!$W$20,SUMPRODUCT(T9:T40,P37:P68),0)</f>
        <v>0</v>
      </c>
      <c r="AN40" s="740">
        <f>IF($A40&lt;='Options and results'!$W$20,SUMPRODUCT(U9:U40,Q37:Q68),0)</f>
        <v>0</v>
      </c>
      <c r="AO40" s="740">
        <f>IF($A40&lt;='Options and results'!$W$20,SUMPRODUCT(U9:U40,R37:R68),0)</f>
        <v>0</v>
      </c>
      <c r="AP40" s="740">
        <f t="shared" si="6"/>
        <v>0</v>
      </c>
      <c r="AQ40" s="894">
        <f>IF($A40&lt;='Options and results'!$W$20,AQ39+AL40,0)</f>
        <v>0</v>
      </c>
      <c r="AR40" s="740">
        <f>IF($A40&lt;='Options and results'!$W$20,AR39+AM40,0)</f>
        <v>0</v>
      </c>
      <c r="AS40" s="740">
        <f>IF($A40&lt;='Options and results'!$W$20,AS39+AN40,0)</f>
        <v>0</v>
      </c>
      <c r="AT40" s="740">
        <f>IF($A40&lt;='Options and results'!$W$20,AT39+AO40,0)</f>
        <v>0</v>
      </c>
      <c r="AU40" s="740">
        <f>IF($A40&lt;='Options and results'!$W$20,AU39+AP40,0)</f>
        <v>0</v>
      </c>
      <c r="AV40" s="894">
        <f>AL40/(1+'Options and results'!$W$33)^($A40-1)</f>
        <v>0</v>
      </c>
      <c r="AW40" s="740">
        <f>AM40/(1+'Options and results'!$W$33)^($A40-1)</f>
        <v>0</v>
      </c>
      <c r="AX40" s="740">
        <f>AN40/(1+'Options and results'!$W$33)^($A40-1)</f>
        <v>0</v>
      </c>
      <c r="AY40" s="740">
        <f>AO40/(1+'Options and results'!$W$33)^($A40-1)</f>
        <v>0</v>
      </c>
      <c r="AZ40" s="740">
        <f t="shared" si="7"/>
        <v>0</v>
      </c>
      <c r="BA40" s="894">
        <f>IF($A40&lt;='Options and results'!$W$20,AV40+BA39,0)</f>
        <v>0</v>
      </c>
      <c r="BB40" s="740">
        <f>IF($A40&lt;='Options and results'!$W$20,AW40+BB39,0)</f>
        <v>0</v>
      </c>
      <c r="BC40" s="740">
        <f>IF($A40&lt;='Options and results'!$W$20,AX40+BC39,0)</f>
        <v>0</v>
      </c>
      <c r="BD40" s="740">
        <f>IF($A40&lt;='Options and results'!$W$20,AY40+BD39,0)</f>
        <v>0</v>
      </c>
      <c r="BE40" s="740">
        <f>IF($A40&lt;='Options and results'!$W$20,AZ40+BE39,0)</f>
        <v>0</v>
      </c>
      <c r="BF40" s="346"/>
    </row>
    <row r="41" spans="1:58" x14ac:dyDescent="0.25">
      <c r="A41" s="895">
        <f t="shared" si="8"/>
        <v>33</v>
      </c>
      <c r="B41" s="878">
        <f>IF('Options and results'!$C$54="none",0,IF(HLOOKUP('Options and results'!$C$54,Agroforestrysystem!$2:$9,8,FALSE)="No",LOOKUP(A41,Plot!$CK$8:$CN$67),LOOKUP(A41,Plot!$CK$8:$CN$67)+LOOKUP(A41,Plot!#REF!)))</f>
        <v>0</v>
      </c>
      <c r="C41" s="879">
        <f>IF(VLOOKUP(A41,Plot!$DF$8:$DL$67,7,FALSE)&gt;0,1-B41,0)</f>
        <v>0</v>
      </c>
      <c r="D41" s="896">
        <f t="shared" si="9"/>
        <v>28</v>
      </c>
      <c r="E41" s="897">
        <f>IF(VLOOKUP(D41,Plot!$V$8:$AB$67,Plot!$AB$2,FALSE)&gt;0,1,0)</f>
        <v>1</v>
      </c>
      <c r="F41" s="898">
        <f t="shared" ref="F41:F68" si="11">VLOOKUP(D41,$A$9:$B$68,2,FALSE)</f>
        <v>0.99</v>
      </c>
      <c r="G41" s="898">
        <f t="shared" ref="G41:G68" si="12">VLOOKUP(D41,$A$9:$C$68,3,FALSE)</f>
        <v>1.0000000000000009E-2</v>
      </c>
      <c r="H41" s="883">
        <f>VLOOKUP(D41,Plot!$V$8:$AH$67,Plot!$AH$2,FALSE)</f>
        <v>197.4453313037246</v>
      </c>
      <c r="I41" s="884">
        <f>VLOOKUP(D41,Plot!$V$8:$AJ$67,Plot!$AJ$2,FALSE)</f>
        <v>0</v>
      </c>
      <c r="J41" s="885">
        <f ca="1">VLOOKUP(D41,Plot!$CK$8:$CP$67,Plot!$CO$2,FALSE)*VLOOKUP(D41,Plot!$CK$8:$CP$67,Plot!$CN$2,FALSE)</f>
        <v>0</v>
      </c>
      <c r="K41" s="884">
        <f>VLOOKUP(D41,Plot!$DF$8:$DS$67,Plot!$DS$2,FALSE)</f>
        <v>194.64812493120189</v>
      </c>
      <c r="L41" s="884">
        <f>VLOOKUP(D41,Plot!$DF$8:$DU$67,Plot!$DU$2,FALSE)</f>
        <v>0</v>
      </c>
      <c r="M41" s="883">
        <f>VLOOKUP(D41,Plot!$V$8:$BW$67,Plot!$BW$2,FALSE)</f>
        <v>0</v>
      </c>
      <c r="N41" s="884">
        <f>VLOOKUP(D41,Plot!$CK$8:$CX$67,Plot!$CX$2,FALSE)</f>
        <v>0</v>
      </c>
      <c r="O41" s="884">
        <f>VLOOKUP(D41,Plot!$DF$8:$FH$67,Plot!$FH$2,FALSE)</f>
        <v>0</v>
      </c>
      <c r="P41" s="883">
        <f>VLOOKUP(D41,Plot!$V$8:$CA$67,Plot!$CA$2,FALSE)</f>
        <v>-3</v>
      </c>
      <c r="Q41" s="884">
        <f ca="1">VLOOKUP($D41,Plot!$CK$8:$CZ$67,Plot!$CZ$2,FALSE)</f>
        <v>0</v>
      </c>
      <c r="R41" s="899">
        <f>VLOOKUP($D41,Plot!$DF$8:$FL$67,Plot!$FL$2,FALSE)</f>
        <v>-3</v>
      </c>
      <c r="S41" s="895">
        <f t="shared" si="10"/>
        <v>100</v>
      </c>
      <c r="T41" s="900">
        <f>IF($A41='Options and results'!$I$33,'Options and results'!$I$34)+IF($A41='Options and results'!$I$35,'Options and results'!$I$36)+IF($A41='Options and results'!$I$37,'Options and results'!$I$38)+IF($A41='Options and results'!$I$39,'Options and results'!$I$40)+IF($A41='Options and results'!$I$41,'Options and results'!$I$42)+IF(AND($A41&gt;='Options and results'!$I$44,$A41&lt;='Options and results'!$I$45),IF(MOD($A41+'Options and results'!$I$46-'Options and results'!$I$44,'Options and results'!$I$46)=0,'Options and results'!$I$47,0))</f>
        <v>0</v>
      </c>
      <c r="U41" s="901">
        <f>IF($A41='Options and results'!$I$59,'Options and results'!$I$60)+IF($A41='Options and results'!$I$61,'Options and results'!$I$62)+IF($A41='Options and results'!$I$63,'Options and results'!$I$64)+IF($A41='Options and results'!$I$65,'Options and results'!$I$66)+IF($A41='Options and results'!$I$67,'Options and results'!$I$68)+IF(AND($A41&gt;='Options and results'!$I$70,$A41&lt;='Options and results'!$I$71),IF(MOD($A41+'Options and results'!$I$72-'Options and results'!$I$70,'Options and results'!$I$72)=0,'Options and results'!$I$73,0))</f>
        <v>0</v>
      </c>
      <c r="V41" s="889">
        <f>'Options and results'!$W$18-W41-X41-Y41</f>
        <v>100</v>
      </c>
      <c r="W41" s="889">
        <f>SUMPRODUCT(T9:T41,E36:E68)</f>
        <v>0</v>
      </c>
      <c r="X41" s="889">
        <f>SUMPRODUCT(U9:U41,F36:F68)</f>
        <v>0</v>
      </c>
      <c r="Y41" s="889">
        <f>SUMPRODUCT(U9:U41,G36:G68)</f>
        <v>0</v>
      </c>
      <c r="Z41" s="889">
        <f t="shared" ref="Z41:Z63" si="13">X41+Y41</f>
        <v>0</v>
      </c>
      <c r="AA41" s="894">
        <f>(V41*Plot!E40*Plot!D40)</f>
        <v>0</v>
      </c>
      <c r="AB41" s="740">
        <f>SUMPRODUCT(T9:T41,H36:H68)</f>
        <v>0</v>
      </c>
      <c r="AC41" s="740">
        <f>SUMPRODUCT(T9:T41,I36:I68)</f>
        <v>0</v>
      </c>
      <c r="AD41" s="740">
        <f ca="1">SUMPRODUCT(U9:U41,J36:J68)</f>
        <v>0</v>
      </c>
      <c r="AE41" s="740">
        <f>SUMPRODUCT(U9:U41,K36:K68)</f>
        <v>0</v>
      </c>
      <c r="AF41" s="740">
        <f>SUMPRODUCT(U9:U41,L36:L68)</f>
        <v>0</v>
      </c>
      <c r="AG41" s="894">
        <f>Plot!N40*S41</f>
        <v>0</v>
      </c>
      <c r="AH41" s="740">
        <f>IF($A41&lt;='Options and results'!$W$20,SUMPRODUCT(T9:T41,M36:M68),0)</f>
        <v>0</v>
      </c>
      <c r="AI41" s="740">
        <f>IF($A41&lt;='Options and results'!$W$20,SUMPRODUCT(U9:U41,N36:N68),0)</f>
        <v>0</v>
      </c>
      <c r="AJ41" s="740">
        <f>IF($A41&lt;='Options and results'!$W$20,SUMPRODUCT(U9:U41,O36:O68),0)</f>
        <v>0</v>
      </c>
      <c r="AK41" s="740">
        <f t="shared" ref="AK41:AK63" si="14">AI41+AJ41</f>
        <v>0</v>
      </c>
      <c r="AL41" s="740">
        <f>Plot!P40*S41</f>
        <v>0</v>
      </c>
      <c r="AM41" s="740">
        <f>IF($A41&lt;='Options and results'!$W$20,SUMPRODUCT(T9:T41,P36:P68),0)</f>
        <v>0</v>
      </c>
      <c r="AN41" s="740">
        <f>IF($A41&lt;='Options and results'!$W$20,SUMPRODUCT(U9:U41,Q36:Q68),0)</f>
        <v>0</v>
      </c>
      <c r="AO41" s="740">
        <f>IF($A41&lt;='Options and results'!$W$20,SUMPRODUCT(U9:U41,R36:R68),0)</f>
        <v>0</v>
      </c>
      <c r="AP41" s="740">
        <f t="shared" ref="AP41:AP63" si="15">AN41+AO41</f>
        <v>0</v>
      </c>
      <c r="AQ41" s="894">
        <f>IF($A41&lt;='Options and results'!$W$20,AQ40+AL41,0)</f>
        <v>0</v>
      </c>
      <c r="AR41" s="740">
        <f>IF($A41&lt;='Options and results'!$W$20,AR40+AM41,0)</f>
        <v>0</v>
      </c>
      <c r="AS41" s="740">
        <f>IF($A41&lt;='Options and results'!$W$20,AS40+AN41,0)</f>
        <v>0</v>
      </c>
      <c r="AT41" s="740">
        <f>IF($A41&lt;='Options and results'!$W$20,AT40+AO41,0)</f>
        <v>0</v>
      </c>
      <c r="AU41" s="740">
        <f>IF($A41&lt;='Options and results'!$W$20,AU40+AP41,0)</f>
        <v>0</v>
      </c>
      <c r="AV41" s="894">
        <f>AL41/(1+'Options and results'!$W$33)^($A41-1)</f>
        <v>0</v>
      </c>
      <c r="AW41" s="740">
        <f>AM41/(1+'Options and results'!$W$33)^($A41-1)</f>
        <v>0</v>
      </c>
      <c r="AX41" s="740">
        <f>AN41/(1+'Options and results'!$W$33)^($A41-1)</f>
        <v>0</v>
      </c>
      <c r="AY41" s="740">
        <f>AO41/(1+'Options and results'!$W$33)^($A41-1)</f>
        <v>0</v>
      </c>
      <c r="AZ41" s="740">
        <f t="shared" ref="AZ41:AZ63" si="16">AX41+AY41</f>
        <v>0</v>
      </c>
      <c r="BA41" s="894">
        <f>IF($A41&lt;='Options and results'!$W$20,AV41+BA40,0)</f>
        <v>0</v>
      </c>
      <c r="BB41" s="740">
        <f>IF($A41&lt;='Options and results'!$W$20,AW41+BB40,0)</f>
        <v>0</v>
      </c>
      <c r="BC41" s="740">
        <f>IF($A41&lt;='Options and results'!$W$20,AX41+BC40,0)</f>
        <v>0</v>
      </c>
      <c r="BD41" s="740">
        <f>IF($A41&lt;='Options and results'!$W$20,AY41+BD40,0)</f>
        <v>0</v>
      </c>
      <c r="BE41" s="740">
        <f>IF($A41&lt;='Options and results'!$W$20,AZ41+BE40,0)</f>
        <v>0</v>
      </c>
      <c r="BF41" s="346"/>
    </row>
    <row r="42" spans="1:58" x14ac:dyDescent="0.25">
      <c r="A42" s="895">
        <f t="shared" ref="A42:A68" si="17">A41+1</f>
        <v>34</v>
      </c>
      <c r="B42" s="878">
        <f>IF('Options and results'!$C$54="none",0,IF(HLOOKUP('Options and results'!$C$54,Agroforestrysystem!$2:$9,8,FALSE)="No",LOOKUP(A42,Plot!$CK$8:$CN$67),LOOKUP(A42,Plot!$CK$8:$CN$67)+LOOKUP(A42,Plot!#REF!)))</f>
        <v>0</v>
      </c>
      <c r="C42" s="879">
        <f>IF(VLOOKUP(A42,Plot!$DF$8:$DL$67,7,FALSE)&gt;0,1-B42,0)</f>
        <v>0</v>
      </c>
      <c r="D42" s="896">
        <f t="shared" ref="D42:D63" si="18">D41-1</f>
        <v>27</v>
      </c>
      <c r="E42" s="897">
        <f>IF(VLOOKUP(D42,Plot!$V$8:$AB$67,Plot!$AB$2,FALSE)&gt;0,1,0)</f>
        <v>1</v>
      </c>
      <c r="F42" s="898">
        <f t="shared" si="11"/>
        <v>0.99</v>
      </c>
      <c r="G42" s="898">
        <f t="shared" si="12"/>
        <v>1.0000000000000009E-2</v>
      </c>
      <c r="H42" s="883">
        <f>VLOOKUP(D42,Plot!$V$8:$AH$67,Plot!$AH$2,FALSE)</f>
        <v>187.15519639685195</v>
      </c>
      <c r="I42" s="884">
        <f>VLOOKUP(D42,Plot!$V$8:$AJ$67,Plot!$AJ$2,FALSE)</f>
        <v>0</v>
      </c>
      <c r="J42" s="885">
        <f ca="1">VLOOKUP(D42,Plot!$CK$8:$CP$67,Plot!$CO$2,FALSE)*VLOOKUP(D42,Plot!$CK$8:$CP$67,Plot!$CN$2,FALSE)</f>
        <v>0</v>
      </c>
      <c r="K42" s="884">
        <f>VLOOKUP(D42,Plot!$DF$8:$DS$67,Plot!$DS$2,FALSE)</f>
        <v>183.18912776364732</v>
      </c>
      <c r="L42" s="884">
        <f>VLOOKUP(D42,Plot!$DF$8:$DU$67,Plot!$DU$2,FALSE)</f>
        <v>0</v>
      </c>
      <c r="M42" s="883">
        <f>VLOOKUP(D42,Plot!$V$8:$BW$67,Plot!$BW$2,FALSE)</f>
        <v>0</v>
      </c>
      <c r="N42" s="884">
        <f>VLOOKUP(D42,Plot!$CK$8:$CX$67,Plot!$CX$2,FALSE)</f>
        <v>0</v>
      </c>
      <c r="O42" s="884">
        <f>VLOOKUP(D42,Plot!$DF$8:$FH$67,Plot!$FH$2,FALSE)</f>
        <v>0</v>
      </c>
      <c r="P42" s="883">
        <f>VLOOKUP(D42,Plot!$V$8:$CA$67,Plot!$CA$2,FALSE)</f>
        <v>-3</v>
      </c>
      <c r="Q42" s="884">
        <f ca="1">VLOOKUP($D42,Plot!$CK$8:$CZ$67,Plot!$CZ$2,FALSE)</f>
        <v>0</v>
      </c>
      <c r="R42" s="899">
        <f>VLOOKUP($D42,Plot!$DF$8:$FL$67,Plot!$FL$2,FALSE)</f>
        <v>-3</v>
      </c>
      <c r="S42" s="895">
        <f t="shared" ref="S42:S63" si="19">V42</f>
        <v>100</v>
      </c>
      <c r="T42" s="900">
        <f>IF($A42='Options and results'!$I$33,'Options and results'!$I$34)+IF($A42='Options and results'!$I$35,'Options and results'!$I$36)+IF($A42='Options and results'!$I$37,'Options and results'!$I$38)+IF($A42='Options and results'!$I$39,'Options and results'!$I$40)+IF($A42='Options and results'!$I$41,'Options and results'!$I$42)+IF(AND($A42&gt;='Options and results'!$I$44,$A42&lt;='Options and results'!$I$45),IF(MOD($A42+'Options and results'!$I$46-'Options and results'!$I$44,'Options and results'!$I$46)=0,'Options and results'!$I$47,0))</f>
        <v>0</v>
      </c>
      <c r="U42" s="901">
        <f>IF($A42='Options and results'!$I$59,'Options and results'!$I$60)+IF($A42='Options and results'!$I$61,'Options and results'!$I$62)+IF($A42='Options and results'!$I$63,'Options and results'!$I$64)+IF($A42='Options and results'!$I$65,'Options and results'!$I$66)+IF($A42='Options and results'!$I$67,'Options and results'!$I$68)+IF(AND($A42&gt;='Options and results'!$I$70,$A42&lt;='Options and results'!$I$71),IF(MOD($A42+'Options and results'!$I$72-'Options and results'!$I$70,'Options and results'!$I$72)=0,'Options and results'!$I$73,0))</f>
        <v>0</v>
      </c>
      <c r="V42" s="889">
        <f>'Options and results'!$W$18-W42-X42-Y42</f>
        <v>100</v>
      </c>
      <c r="W42" s="889">
        <f>SUMPRODUCT(T9:T42,E35:E68)</f>
        <v>0</v>
      </c>
      <c r="X42" s="889">
        <f>SUMPRODUCT(U9:U42,F35:F68)</f>
        <v>0</v>
      </c>
      <c r="Y42" s="889">
        <f>SUMPRODUCT(U9:U42,G35:G68)</f>
        <v>0</v>
      </c>
      <c r="Z42" s="889">
        <f t="shared" si="13"/>
        <v>0</v>
      </c>
      <c r="AA42" s="894">
        <f>(V42*Plot!E41*Plot!D41)</f>
        <v>0</v>
      </c>
      <c r="AB42" s="740">
        <f>SUMPRODUCT(T9:T42,H35:H68)</f>
        <v>0</v>
      </c>
      <c r="AC42" s="740">
        <f>SUMPRODUCT(T9:T42,I35:I68)</f>
        <v>0</v>
      </c>
      <c r="AD42" s="740">
        <f ca="1">SUMPRODUCT(U9:U42,J35:J68)</f>
        <v>0</v>
      </c>
      <c r="AE42" s="740">
        <f>SUMPRODUCT(U9:U42,K35:K68)</f>
        <v>0</v>
      </c>
      <c r="AF42" s="740">
        <f>SUMPRODUCT(U9:U42,L35:L68)</f>
        <v>0</v>
      </c>
      <c r="AG42" s="894">
        <f>Plot!N41*S42</f>
        <v>0</v>
      </c>
      <c r="AH42" s="740">
        <f>IF($A42&lt;='Options and results'!$W$20,SUMPRODUCT(T9:T42,M35:M68),0)</f>
        <v>0</v>
      </c>
      <c r="AI42" s="740">
        <f>IF($A42&lt;='Options and results'!$W$20,SUMPRODUCT(U9:U42,N35:N68),0)</f>
        <v>0</v>
      </c>
      <c r="AJ42" s="740">
        <f>IF($A42&lt;='Options and results'!$W$20,SUMPRODUCT(U9:U42,O35:O68),0)</f>
        <v>0</v>
      </c>
      <c r="AK42" s="740">
        <f t="shared" si="14"/>
        <v>0</v>
      </c>
      <c r="AL42" s="740">
        <f>Plot!P41*S42</f>
        <v>0</v>
      </c>
      <c r="AM42" s="740">
        <f>IF($A42&lt;='Options and results'!$W$20,SUMPRODUCT(T9:T42,P35:P68),0)</f>
        <v>0</v>
      </c>
      <c r="AN42" s="740">
        <f>IF($A42&lt;='Options and results'!$W$20,SUMPRODUCT(U9:U42,Q35:Q68),0)</f>
        <v>0</v>
      </c>
      <c r="AO42" s="740">
        <f>IF($A42&lt;='Options and results'!$W$20,SUMPRODUCT(U9:U42,R35:R68),0)</f>
        <v>0</v>
      </c>
      <c r="AP42" s="740">
        <f t="shared" si="15"/>
        <v>0</v>
      </c>
      <c r="AQ42" s="894">
        <f>IF($A42&lt;='Options and results'!$W$20,AQ41+AL42,0)</f>
        <v>0</v>
      </c>
      <c r="AR42" s="740">
        <f>IF($A42&lt;='Options and results'!$W$20,AR41+AM42,0)</f>
        <v>0</v>
      </c>
      <c r="AS42" s="740">
        <f>IF($A42&lt;='Options and results'!$W$20,AS41+AN42,0)</f>
        <v>0</v>
      </c>
      <c r="AT42" s="740">
        <f>IF($A42&lt;='Options and results'!$W$20,AT41+AO42,0)</f>
        <v>0</v>
      </c>
      <c r="AU42" s="740">
        <f>IF($A42&lt;='Options and results'!$W$20,AU41+AP42,0)</f>
        <v>0</v>
      </c>
      <c r="AV42" s="894">
        <f>AL42/(1+'Options and results'!$W$33)^($A42-1)</f>
        <v>0</v>
      </c>
      <c r="AW42" s="740">
        <f>AM42/(1+'Options and results'!$W$33)^($A42-1)</f>
        <v>0</v>
      </c>
      <c r="AX42" s="740">
        <f>AN42/(1+'Options and results'!$W$33)^($A42-1)</f>
        <v>0</v>
      </c>
      <c r="AY42" s="740">
        <f>AO42/(1+'Options and results'!$W$33)^($A42-1)</f>
        <v>0</v>
      </c>
      <c r="AZ42" s="740">
        <f t="shared" si="16"/>
        <v>0</v>
      </c>
      <c r="BA42" s="894">
        <f>IF($A42&lt;='Options and results'!$W$20,AV42+BA41,0)</f>
        <v>0</v>
      </c>
      <c r="BB42" s="740">
        <f>IF($A42&lt;='Options and results'!$W$20,AW42+BB41,0)</f>
        <v>0</v>
      </c>
      <c r="BC42" s="740">
        <f>IF($A42&lt;='Options and results'!$W$20,AX42+BC41,0)</f>
        <v>0</v>
      </c>
      <c r="BD42" s="740">
        <f>IF($A42&lt;='Options and results'!$W$20,AY42+BD41,0)</f>
        <v>0</v>
      </c>
      <c r="BE42" s="740">
        <f>IF($A42&lt;='Options and results'!$W$20,AZ42+BE41,0)</f>
        <v>0</v>
      </c>
      <c r="BF42" s="346"/>
    </row>
    <row r="43" spans="1:58" x14ac:dyDescent="0.25">
      <c r="A43" s="895">
        <f t="shared" si="17"/>
        <v>35</v>
      </c>
      <c r="B43" s="878">
        <f>IF('Options and results'!$C$54="none",0,IF(HLOOKUP('Options and results'!$C$54,Agroforestrysystem!$2:$9,8,FALSE)="No",LOOKUP(A43,Plot!$CK$8:$CN$67),LOOKUP(A43,Plot!$CK$8:$CN$67)+LOOKUP(A43,Plot!#REF!)))</f>
        <v>0</v>
      </c>
      <c r="C43" s="879">
        <f>IF(VLOOKUP(A43,Plot!$DF$8:$DL$67,7,FALSE)&gt;0,1-B43,0)</f>
        <v>0</v>
      </c>
      <c r="D43" s="896">
        <f t="shared" si="18"/>
        <v>26</v>
      </c>
      <c r="E43" s="897">
        <f>IF(VLOOKUP(D43,Plot!$V$8:$AB$67,Plot!$AB$2,FALSE)&gt;0,1,0)</f>
        <v>1</v>
      </c>
      <c r="F43" s="898">
        <f t="shared" si="11"/>
        <v>0.99</v>
      </c>
      <c r="G43" s="898">
        <f t="shared" si="12"/>
        <v>1.0000000000000009E-2</v>
      </c>
      <c r="H43" s="883">
        <f>VLOOKUP(D43,Plot!$V$8:$AH$67,Plot!$AH$2,FALSE)</f>
        <v>173.98121790139112</v>
      </c>
      <c r="I43" s="884">
        <f>VLOOKUP(D43,Plot!$V$8:$AJ$67,Plot!$AJ$2,FALSE)</f>
        <v>0</v>
      </c>
      <c r="J43" s="885">
        <f ca="1">VLOOKUP(D43,Plot!$CK$8:$CP$67,Plot!$CO$2,FALSE)*VLOOKUP(D43,Plot!$CK$8:$CP$67,Plot!$CN$2,FALSE)</f>
        <v>0</v>
      </c>
      <c r="K43" s="884">
        <f>VLOOKUP(D43,Plot!$DF$8:$DS$67,Plot!$DS$2,FALSE)</f>
        <v>168.76825700103655</v>
      </c>
      <c r="L43" s="884">
        <f>VLOOKUP(D43,Plot!$DF$8:$DU$67,Plot!$DU$2,FALSE)</f>
        <v>0</v>
      </c>
      <c r="M43" s="883">
        <f>VLOOKUP(D43,Plot!$V$8:$BW$67,Plot!$BW$2,FALSE)</f>
        <v>0</v>
      </c>
      <c r="N43" s="884">
        <f>VLOOKUP(D43,Plot!$CK$8:$CX$67,Plot!$CX$2,FALSE)</f>
        <v>0</v>
      </c>
      <c r="O43" s="884">
        <f>VLOOKUP(D43,Plot!$DF$8:$FH$67,Plot!$FH$2,FALSE)</f>
        <v>0</v>
      </c>
      <c r="P43" s="883">
        <f>VLOOKUP(D43,Plot!$V$8:$CA$67,Plot!$CA$2,FALSE)</f>
        <v>-3</v>
      </c>
      <c r="Q43" s="884">
        <f ca="1">VLOOKUP($D43,Plot!$CK$8:$CZ$67,Plot!$CZ$2,FALSE)</f>
        <v>0</v>
      </c>
      <c r="R43" s="899">
        <f>VLOOKUP($D43,Plot!$DF$8:$FL$67,Plot!$FL$2,FALSE)</f>
        <v>-3</v>
      </c>
      <c r="S43" s="895">
        <f t="shared" si="19"/>
        <v>100</v>
      </c>
      <c r="T43" s="900">
        <f>IF($A43='Options and results'!$I$33,'Options and results'!$I$34)+IF($A43='Options and results'!$I$35,'Options and results'!$I$36)+IF($A43='Options and results'!$I$37,'Options and results'!$I$38)+IF($A43='Options and results'!$I$39,'Options and results'!$I$40)+IF($A43='Options and results'!$I$41,'Options and results'!$I$42)+IF(AND($A43&gt;='Options and results'!$I$44,$A43&lt;='Options and results'!$I$45),IF(MOD($A43+'Options and results'!$I$46-'Options and results'!$I$44,'Options and results'!$I$46)=0,'Options and results'!$I$47,0))</f>
        <v>0</v>
      </c>
      <c r="U43" s="901">
        <f>IF($A43='Options and results'!$I$59,'Options and results'!$I$60)+IF($A43='Options and results'!$I$61,'Options and results'!$I$62)+IF($A43='Options and results'!$I$63,'Options and results'!$I$64)+IF($A43='Options and results'!$I$65,'Options and results'!$I$66)+IF($A43='Options and results'!$I$67,'Options and results'!$I$68)+IF(AND($A43&gt;='Options and results'!$I$70,$A43&lt;='Options and results'!$I$71),IF(MOD($A43+'Options and results'!$I$72-'Options and results'!$I$70,'Options and results'!$I$72)=0,'Options and results'!$I$73,0))</f>
        <v>0</v>
      </c>
      <c r="V43" s="889">
        <f>'Options and results'!$W$18-W43-X43-Y43</f>
        <v>100</v>
      </c>
      <c r="W43" s="889">
        <f>SUMPRODUCT(T9:T43,E34:E68)</f>
        <v>0</v>
      </c>
      <c r="X43" s="889">
        <f>SUMPRODUCT(U9:U43,F34:F68)</f>
        <v>0</v>
      </c>
      <c r="Y43" s="889">
        <f>SUMPRODUCT(U9:U43,G34:G68)</f>
        <v>0</v>
      </c>
      <c r="Z43" s="889">
        <f t="shared" si="13"/>
        <v>0</v>
      </c>
      <c r="AA43" s="894">
        <f>(V43*Plot!E42*Plot!D42)</f>
        <v>0</v>
      </c>
      <c r="AB43" s="740">
        <f>SUMPRODUCT(T9:T43,H34:H68)</f>
        <v>0</v>
      </c>
      <c r="AC43" s="740">
        <f>SUMPRODUCT(T9:T43,I34:I68)</f>
        <v>0</v>
      </c>
      <c r="AD43" s="740">
        <f ca="1">SUMPRODUCT(U9:U43,J34:J68)</f>
        <v>0</v>
      </c>
      <c r="AE43" s="740">
        <f>SUMPRODUCT(U9:U43,K34:K68)</f>
        <v>0</v>
      </c>
      <c r="AF43" s="740">
        <f>SUMPRODUCT(U9:U43,L34:L68)</f>
        <v>0</v>
      </c>
      <c r="AG43" s="894">
        <f>Plot!N42*S43</f>
        <v>0</v>
      </c>
      <c r="AH43" s="740">
        <f>IF($A43&lt;='Options and results'!$W$20,SUMPRODUCT(T9:T43,M34:M68),0)</f>
        <v>0</v>
      </c>
      <c r="AI43" s="740">
        <f>IF($A43&lt;='Options and results'!$W$20,SUMPRODUCT(U9:U43,N34:N68),0)</f>
        <v>0</v>
      </c>
      <c r="AJ43" s="740">
        <f>IF($A43&lt;='Options and results'!$W$20,SUMPRODUCT(U9:U43,O34:O68),0)</f>
        <v>0</v>
      </c>
      <c r="AK43" s="740">
        <f t="shared" si="14"/>
        <v>0</v>
      </c>
      <c r="AL43" s="740">
        <f>Plot!P42*S43</f>
        <v>0</v>
      </c>
      <c r="AM43" s="740">
        <f>IF($A43&lt;='Options and results'!$W$20,SUMPRODUCT(T9:T43,P34:P68),0)</f>
        <v>0</v>
      </c>
      <c r="AN43" s="740">
        <f>IF($A43&lt;='Options and results'!$W$20,SUMPRODUCT(U9:U43,Q34:Q68),0)</f>
        <v>0</v>
      </c>
      <c r="AO43" s="740">
        <f>IF($A43&lt;='Options and results'!$W$20,SUMPRODUCT(U9:U43,R34:R68),0)</f>
        <v>0</v>
      </c>
      <c r="AP43" s="740">
        <f t="shared" si="15"/>
        <v>0</v>
      </c>
      <c r="AQ43" s="894">
        <f>IF($A43&lt;='Options and results'!$W$20,AQ42+AL43,0)</f>
        <v>0</v>
      </c>
      <c r="AR43" s="740">
        <f>IF($A43&lt;='Options and results'!$W$20,AR42+AM43,0)</f>
        <v>0</v>
      </c>
      <c r="AS43" s="740">
        <f>IF($A43&lt;='Options and results'!$W$20,AS42+AN43,0)</f>
        <v>0</v>
      </c>
      <c r="AT43" s="740">
        <f>IF($A43&lt;='Options and results'!$W$20,AT42+AO43,0)</f>
        <v>0</v>
      </c>
      <c r="AU43" s="740">
        <f>IF($A43&lt;='Options and results'!$W$20,AU42+AP43,0)</f>
        <v>0</v>
      </c>
      <c r="AV43" s="894">
        <f>AL43/(1+'Options and results'!$W$33)^($A43-1)</f>
        <v>0</v>
      </c>
      <c r="AW43" s="740">
        <f>AM43/(1+'Options and results'!$W$33)^($A43-1)</f>
        <v>0</v>
      </c>
      <c r="AX43" s="740">
        <f>AN43/(1+'Options and results'!$W$33)^($A43-1)</f>
        <v>0</v>
      </c>
      <c r="AY43" s="740">
        <f>AO43/(1+'Options and results'!$W$33)^($A43-1)</f>
        <v>0</v>
      </c>
      <c r="AZ43" s="740">
        <f t="shared" si="16"/>
        <v>0</v>
      </c>
      <c r="BA43" s="894">
        <f>IF($A43&lt;='Options and results'!$W$20,AV43+BA42,0)</f>
        <v>0</v>
      </c>
      <c r="BB43" s="740">
        <f>IF($A43&lt;='Options and results'!$W$20,AW43+BB42,0)</f>
        <v>0</v>
      </c>
      <c r="BC43" s="740">
        <f>IF($A43&lt;='Options and results'!$W$20,AX43+BC42,0)</f>
        <v>0</v>
      </c>
      <c r="BD43" s="740">
        <f>IF($A43&lt;='Options and results'!$W$20,AY43+BD42,0)</f>
        <v>0</v>
      </c>
      <c r="BE43" s="740">
        <f>IF($A43&lt;='Options and results'!$W$20,AZ43+BE42,0)</f>
        <v>0</v>
      </c>
      <c r="BF43" s="346"/>
    </row>
    <row r="44" spans="1:58" x14ac:dyDescent="0.25">
      <c r="A44" s="895">
        <f t="shared" si="17"/>
        <v>36</v>
      </c>
      <c r="B44" s="878">
        <f>IF('Options and results'!$C$54="none",0,IF(HLOOKUP('Options and results'!$C$54,Agroforestrysystem!$2:$9,8,FALSE)="No",LOOKUP(A44,Plot!$CK$8:$CN$67),LOOKUP(A44,Plot!$CK$8:$CN$67)+LOOKUP(A44,Plot!#REF!)))</f>
        <v>0</v>
      </c>
      <c r="C44" s="879">
        <f>IF(VLOOKUP(A44,Plot!$DF$8:$DL$67,7,FALSE)&gt;0,1-B44,0)</f>
        <v>0</v>
      </c>
      <c r="D44" s="896">
        <f t="shared" si="18"/>
        <v>25</v>
      </c>
      <c r="E44" s="897">
        <f>IF(VLOOKUP(D44,Plot!$V$8:$AB$67,Plot!$AB$2,FALSE)&gt;0,1,0)</f>
        <v>1</v>
      </c>
      <c r="F44" s="898">
        <f t="shared" si="11"/>
        <v>0.99</v>
      </c>
      <c r="G44" s="898">
        <f t="shared" si="12"/>
        <v>1.0000000000000009E-2</v>
      </c>
      <c r="H44" s="883">
        <f>VLOOKUP(D44,Plot!$V$8:$AH$67,Plot!$AH$2,FALSE)</f>
        <v>161.04978502384833</v>
      </c>
      <c r="I44" s="884">
        <f>VLOOKUP(D44,Plot!$V$8:$AJ$67,Plot!$AJ$2,FALSE)</f>
        <v>0</v>
      </c>
      <c r="J44" s="885">
        <f ca="1">VLOOKUP(D44,Plot!$CK$8:$CP$67,Plot!$CO$2,FALSE)*VLOOKUP(D44,Plot!$CK$8:$CP$67,Plot!$CN$2,FALSE)</f>
        <v>0</v>
      </c>
      <c r="K44" s="884">
        <f>VLOOKUP(D44,Plot!$DF$8:$DS$67,Plot!$DS$2,FALSE)</f>
        <v>155.41535313027694</v>
      </c>
      <c r="L44" s="884">
        <f>VLOOKUP(D44,Plot!$DF$8:$DU$67,Plot!$DU$2,FALSE)</f>
        <v>0</v>
      </c>
      <c r="M44" s="883">
        <f>VLOOKUP(D44,Plot!$V$8:$BW$67,Plot!$BW$2,FALSE)</f>
        <v>0</v>
      </c>
      <c r="N44" s="884">
        <f>VLOOKUP(D44,Plot!$CK$8:$CX$67,Plot!$CX$2,FALSE)</f>
        <v>0</v>
      </c>
      <c r="O44" s="884">
        <f>VLOOKUP(D44,Plot!$DF$8:$FH$67,Plot!$FH$2,FALSE)</f>
        <v>0</v>
      </c>
      <c r="P44" s="883">
        <f>VLOOKUP(D44,Plot!$V$8:$CA$67,Plot!$CA$2,FALSE)</f>
        <v>-3</v>
      </c>
      <c r="Q44" s="884">
        <f ca="1">VLOOKUP($D44,Plot!$CK$8:$CZ$67,Plot!$CZ$2,FALSE)</f>
        <v>0</v>
      </c>
      <c r="R44" s="899">
        <f>VLOOKUP($D44,Plot!$DF$8:$FL$67,Plot!$FL$2,FALSE)</f>
        <v>-3</v>
      </c>
      <c r="S44" s="895">
        <f t="shared" si="19"/>
        <v>100</v>
      </c>
      <c r="T44" s="900">
        <f>IF($A44='Options and results'!$I$33,'Options and results'!$I$34)+IF($A44='Options and results'!$I$35,'Options and results'!$I$36)+IF($A44='Options and results'!$I$37,'Options and results'!$I$38)+IF($A44='Options and results'!$I$39,'Options and results'!$I$40)+IF($A44='Options and results'!$I$41,'Options and results'!$I$42)+IF(AND($A44&gt;='Options and results'!$I$44,$A44&lt;='Options and results'!$I$45),IF(MOD($A44+'Options and results'!$I$46-'Options and results'!$I$44,'Options and results'!$I$46)=0,'Options and results'!$I$47,0))</f>
        <v>0</v>
      </c>
      <c r="U44" s="901">
        <f>IF($A44='Options and results'!$I$59,'Options and results'!$I$60)+IF($A44='Options and results'!$I$61,'Options and results'!$I$62)+IF($A44='Options and results'!$I$63,'Options and results'!$I$64)+IF($A44='Options and results'!$I$65,'Options and results'!$I$66)+IF($A44='Options and results'!$I$67,'Options and results'!$I$68)+IF(AND($A44&gt;='Options and results'!$I$70,$A44&lt;='Options and results'!$I$71),IF(MOD($A44+'Options and results'!$I$72-'Options and results'!$I$70,'Options and results'!$I$72)=0,'Options and results'!$I$73,0))</f>
        <v>0</v>
      </c>
      <c r="V44" s="889">
        <f>'Options and results'!$W$18-W44-X44-Y44</f>
        <v>100</v>
      </c>
      <c r="W44" s="889">
        <f>SUMPRODUCT(T9:T44,E33:E68)</f>
        <v>0</v>
      </c>
      <c r="X44" s="889">
        <f>SUMPRODUCT(U9:U44,F33:F68)</f>
        <v>0</v>
      </c>
      <c r="Y44" s="889">
        <f>SUMPRODUCT(U9:U44,G33:G68)</f>
        <v>0</v>
      </c>
      <c r="Z44" s="889">
        <f t="shared" si="13"/>
        <v>0</v>
      </c>
      <c r="AA44" s="894">
        <f>(V44*Plot!E43*Plot!D43)</f>
        <v>0</v>
      </c>
      <c r="AB44" s="740">
        <f>SUMPRODUCT(T9:T44,H33:H68)</f>
        <v>0</v>
      </c>
      <c r="AC44" s="740">
        <f>SUMPRODUCT(T9:T44,I33:I68)</f>
        <v>0</v>
      </c>
      <c r="AD44" s="740">
        <f ca="1">SUMPRODUCT(U9:U44,J33:J68)</f>
        <v>0</v>
      </c>
      <c r="AE44" s="740">
        <f>SUMPRODUCT(U9:U44,K33:K68)</f>
        <v>0</v>
      </c>
      <c r="AF44" s="740">
        <f>SUMPRODUCT(U9:U44,L33:L68)</f>
        <v>0</v>
      </c>
      <c r="AG44" s="894">
        <f>Plot!N43*S44</f>
        <v>0</v>
      </c>
      <c r="AH44" s="740">
        <f>IF($A44&lt;='Options and results'!$W$20,SUMPRODUCT(T9:T44,M33:M68),0)</f>
        <v>0</v>
      </c>
      <c r="AI44" s="740">
        <f>IF($A44&lt;='Options and results'!$W$20,SUMPRODUCT(U9:U44,N33:N68),0)</f>
        <v>0</v>
      </c>
      <c r="AJ44" s="740">
        <f>IF($A44&lt;='Options and results'!$W$20,SUMPRODUCT(U9:U44,O33:O68),0)</f>
        <v>0</v>
      </c>
      <c r="AK44" s="740">
        <f t="shared" si="14"/>
        <v>0</v>
      </c>
      <c r="AL44" s="740">
        <f>Plot!P43*S44</f>
        <v>0</v>
      </c>
      <c r="AM44" s="740">
        <f>IF($A44&lt;='Options and results'!$W$20,SUMPRODUCT(T9:T44,P33:P68),0)</f>
        <v>0</v>
      </c>
      <c r="AN44" s="740">
        <f>IF($A44&lt;='Options and results'!$W$20,SUMPRODUCT(U9:U44,Q33:Q68),0)</f>
        <v>0</v>
      </c>
      <c r="AO44" s="740">
        <f>IF($A44&lt;='Options and results'!$W$20,SUMPRODUCT(U9:U44,R33:R68),0)</f>
        <v>0</v>
      </c>
      <c r="AP44" s="740">
        <f t="shared" si="15"/>
        <v>0</v>
      </c>
      <c r="AQ44" s="894">
        <f>IF($A44&lt;='Options and results'!$W$20,AQ43+AL44,0)</f>
        <v>0</v>
      </c>
      <c r="AR44" s="740">
        <f>IF($A44&lt;='Options and results'!$W$20,AR43+AM44,0)</f>
        <v>0</v>
      </c>
      <c r="AS44" s="740">
        <f>IF($A44&lt;='Options and results'!$W$20,AS43+AN44,0)</f>
        <v>0</v>
      </c>
      <c r="AT44" s="740">
        <f>IF($A44&lt;='Options and results'!$W$20,AT43+AO44,0)</f>
        <v>0</v>
      </c>
      <c r="AU44" s="740">
        <f>IF($A44&lt;='Options and results'!$W$20,AU43+AP44,0)</f>
        <v>0</v>
      </c>
      <c r="AV44" s="894">
        <f>AL44/(1+'Options and results'!$W$33)^($A44-1)</f>
        <v>0</v>
      </c>
      <c r="AW44" s="740">
        <f>AM44/(1+'Options and results'!$W$33)^($A44-1)</f>
        <v>0</v>
      </c>
      <c r="AX44" s="740">
        <f>AN44/(1+'Options and results'!$W$33)^($A44-1)</f>
        <v>0</v>
      </c>
      <c r="AY44" s="740">
        <f>AO44/(1+'Options and results'!$W$33)^($A44-1)</f>
        <v>0</v>
      </c>
      <c r="AZ44" s="740">
        <f t="shared" si="16"/>
        <v>0</v>
      </c>
      <c r="BA44" s="894">
        <f>IF($A44&lt;='Options and results'!$W$20,AV44+BA43,0)</f>
        <v>0</v>
      </c>
      <c r="BB44" s="740">
        <f>IF($A44&lt;='Options and results'!$W$20,AW44+BB43,0)</f>
        <v>0</v>
      </c>
      <c r="BC44" s="740">
        <f>IF($A44&lt;='Options and results'!$W$20,AX44+BC43,0)</f>
        <v>0</v>
      </c>
      <c r="BD44" s="740">
        <f>IF($A44&lt;='Options and results'!$W$20,AY44+BD43,0)</f>
        <v>0</v>
      </c>
      <c r="BE44" s="740">
        <f>IF($A44&lt;='Options and results'!$W$20,AZ44+BE43,0)</f>
        <v>0</v>
      </c>
      <c r="BF44" s="346"/>
    </row>
    <row r="45" spans="1:58" x14ac:dyDescent="0.25">
      <c r="A45" s="895">
        <f t="shared" si="17"/>
        <v>37</v>
      </c>
      <c r="B45" s="878">
        <f>IF('Options and results'!$C$54="none",0,IF(HLOOKUP('Options and results'!$C$54,Agroforestrysystem!$2:$9,8,FALSE)="No",LOOKUP(A45,Plot!$CK$8:$CN$67),LOOKUP(A45,Plot!$CK$8:$CN$67)+LOOKUP(A45,Plot!#REF!)))</f>
        <v>0</v>
      </c>
      <c r="C45" s="879">
        <f>IF(VLOOKUP(A45,Plot!$DF$8:$DL$67,7,FALSE)&gt;0,1-B45,0)</f>
        <v>0</v>
      </c>
      <c r="D45" s="896">
        <f t="shared" si="18"/>
        <v>24</v>
      </c>
      <c r="E45" s="897">
        <f>IF(VLOOKUP(D45,Plot!$V$8:$AB$67,Plot!$AB$2,FALSE)&gt;0,1,0)</f>
        <v>1</v>
      </c>
      <c r="F45" s="898">
        <f t="shared" si="11"/>
        <v>0.99</v>
      </c>
      <c r="G45" s="898">
        <f t="shared" si="12"/>
        <v>1.0000000000000009E-2</v>
      </c>
      <c r="H45" s="883">
        <f>VLOOKUP(D45,Plot!$V$8:$AH$67,Plot!$AH$2,FALSE)</f>
        <v>148.12219270331869</v>
      </c>
      <c r="I45" s="884">
        <f>VLOOKUP(D45,Plot!$V$8:$AJ$67,Plot!$AJ$2,FALSE)</f>
        <v>0</v>
      </c>
      <c r="J45" s="885">
        <f ca="1">VLOOKUP(D45,Plot!$CK$8:$CP$67,Plot!$CO$2,FALSE)*VLOOKUP(D45,Plot!$CK$8:$CP$67,Plot!$CN$2,FALSE)</f>
        <v>0</v>
      </c>
      <c r="K45" s="884">
        <f>VLOOKUP(D45,Plot!$DF$8:$DS$67,Plot!$DS$2,FALSE)</f>
        <v>141.76938561836587</v>
      </c>
      <c r="L45" s="884">
        <f>VLOOKUP(D45,Plot!$DF$8:$DU$67,Plot!$DU$2,FALSE)</f>
        <v>0</v>
      </c>
      <c r="M45" s="883">
        <f>VLOOKUP(D45,Plot!$V$8:$BW$67,Plot!$BW$2,FALSE)</f>
        <v>0</v>
      </c>
      <c r="N45" s="884">
        <f>VLOOKUP(D45,Plot!$CK$8:$CX$67,Plot!$CX$2,FALSE)</f>
        <v>0</v>
      </c>
      <c r="O45" s="884">
        <f>VLOOKUP(D45,Plot!$DF$8:$FH$67,Plot!$FH$2,FALSE)</f>
        <v>0</v>
      </c>
      <c r="P45" s="883">
        <f>VLOOKUP(D45,Plot!$V$8:$CA$67,Plot!$CA$2,FALSE)</f>
        <v>-3</v>
      </c>
      <c r="Q45" s="884">
        <f ca="1">VLOOKUP($D45,Plot!$CK$8:$CZ$67,Plot!$CZ$2,FALSE)</f>
        <v>0</v>
      </c>
      <c r="R45" s="899">
        <f>VLOOKUP($D45,Plot!$DF$8:$FL$67,Plot!$FL$2,FALSE)</f>
        <v>-3</v>
      </c>
      <c r="S45" s="895">
        <f t="shared" si="19"/>
        <v>100</v>
      </c>
      <c r="T45" s="900">
        <f>IF($A45='Options and results'!$I$33,'Options and results'!$I$34)+IF($A45='Options and results'!$I$35,'Options and results'!$I$36)+IF($A45='Options and results'!$I$37,'Options and results'!$I$38)+IF($A45='Options and results'!$I$39,'Options and results'!$I$40)+IF($A45='Options and results'!$I$41,'Options and results'!$I$42)+IF(AND($A45&gt;='Options and results'!$I$44,$A45&lt;='Options and results'!$I$45),IF(MOD($A45+'Options and results'!$I$46-'Options and results'!$I$44,'Options and results'!$I$46)=0,'Options and results'!$I$47,0))</f>
        <v>0</v>
      </c>
      <c r="U45" s="901">
        <f>IF($A45='Options and results'!$I$59,'Options and results'!$I$60)+IF($A45='Options and results'!$I$61,'Options and results'!$I$62)+IF($A45='Options and results'!$I$63,'Options and results'!$I$64)+IF($A45='Options and results'!$I$65,'Options and results'!$I$66)+IF($A45='Options and results'!$I$67,'Options and results'!$I$68)+IF(AND($A45&gt;='Options and results'!$I$70,$A45&lt;='Options and results'!$I$71),IF(MOD($A45+'Options and results'!$I$72-'Options and results'!$I$70,'Options and results'!$I$72)=0,'Options and results'!$I$73,0))</f>
        <v>0</v>
      </c>
      <c r="V45" s="889">
        <f>'Options and results'!$W$18-W45-X45-Y45</f>
        <v>100</v>
      </c>
      <c r="W45" s="889">
        <f>SUMPRODUCT(T9:T45,E32:E68)</f>
        <v>0</v>
      </c>
      <c r="X45" s="889">
        <f>SUMPRODUCT(U9:U45,F32:F68)</f>
        <v>0</v>
      </c>
      <c r="Y45" s="889">
        <f>SUMPRODUCT(U9:U45,G32:G68)</f>
        <v>0</v>
      </c>
      <c r="Z45" s="889">
        <f t="shared" si="13"/>
        <v>0</v>
      </c>
      <c r="AA45" s="894">
        <f>(V45*Plot!E44*Plot!D44)</f>
        <v>0</v>
      </c>
      <c r="AB45" s="740">
        <f>SUMPRODUCT(T9:T45,H32:H68)</f>
        <v>0</v>
      </c>
      <c r="AC45" s="740">
        <f>SUMPRODUCT(T9:T45,I32:I68)</f>
        <v>0</v>
      </c>
      <c r="AD45" s="740">
        <f ca="1">SUMPRODUCT(U9:U45,J32:J68)</f>
        <v>0</v>
      </c>
      <c r="AE45" s="740">
        <f>SUMPRODUCT(U9:U45,K32:K68)</f>
        <v>0</v>
      </c>
      <c r="AF45" s="740">
        <f>SUMPRODUCT(U9:U45,L32:L68)</f>
        <v>0</v>
      </c>
      <c r="AG45" s="894">
        <f>Plot!N44*S45</f>
        <v>0</v>
      </c>
      <c r="AH45" s="740">
        <f>IF($A45&lt;='Options and results'!$W$20,SUMPRODUCT(T9:T45,M32:M68),0)</f>
        <v>0</v>
      </c>
      <c r="AI45" s="740">
        <f>IF($A45&lt;='Options and results'!$W$20,SUMPRODUCT(U9:U45,N32:N68),0)</f>
        <v>0</v>
      </c>
      <c r="AJ45" s="740">
        <f>IF($A45&lt;='Options and results'!$W$20,SUMPRODUCT(U9:U45,O32:O68),0)</f>
        <v>0</v>
      </c>
      <c r="AK45" s="740">
        <f t="shared" si="14"/>
        <v>0</v>
      </c>
      <c r="AL45" s="740">
        <f>Plot!P44*S45</f>
        <v>0</v>
      </c>
      <c r="AM45" s="740">
        <f>IF($A45&lt;='Options and results'!$W$20,SUMPRODUCT(T9:T45,P32:P68),0)</f>
        <v>0</v>
      </c>
      <c r="AN45" s="740">
        <f>IF($A45&lt;='Options and results'!$W$20,SUMPRODUCT(U9:U45,Q32:Q68),0)</f>
        <v>0</v>
      </c>
      <c r="AO45" s="740">
        <f>IF($A45&lt;='Options and results'!$W$20,SUMPRODUCT(U9:U45,R32:R68),0)</f>
        <v>0</v>
      </c>
      <c r="AP45" s="740">
        <f t="shared" si="15"/>
        <v>0</v>
      </c>
      <c r="AQ45" s="894">
        <f>IF($A45&lt;='Options and results'!$W$20,AQ44+AL45,0)</f>
        <v>0</v>
      </c>
      <c r="AR45" s="740">
        <f>IF($A45&lt;='Options and results'!$W$20,AR44+AM45,0)</f>
        <v>0</v>
      </c>
      <c r="AS45" s="740">
        <f>IF($A45&lt;='Options and results'!$W$20,AS44+AN45,0)</f>
        <v>0</v>
      </c>
      <c r="AT45" s="740">
        <f>IF($A45&lt;='Options and results'!$W$20,AT44+AO45,0)</f>
        <v>0</v>
      </c>
      <c r="AU45" s="740">
        <f>IF($A45&lt;='Options and results'!$W$20,AU44+AP45,0)</f>
        <v>0</v>
      </c>
      <c r="AV45" s="894">
        <f>AL45/(1+'Options and results'!$W$33)^($A45-1)</f>
        <v>0</v>
      </c>
      <c r="AW45" s="740">
        <f>AM45/(1+'Options and results'!$W$33)^($A45-1)</f>
        <v>0</v>
      </c>
      <c r="AX45" s="740">
        <f>AN45/(1+'Options and results'!$W$33)^($A45-1)</f>
        <v>0</v>
      </c>
      <c r="AY45" s="740">
        <f>AO45/(1+'Options and results'!$W$33)^($A45-1)</f>
        <v>0</v>
      </c>
      <c r="AZ45" s="740">
        <f t="shared" si="16"/>
        <v>0</v>
      </c>
      <c r="BA45" s="894">
        <f>IF($A45&lt;='Options and results'!$W$20,AV45+BA44,0)</f>
        <v>0</v>
      </c>
      <c r="BB45" s="740">
        <f>IF($A45&lt;='Options and results'!$W$20,AW45+BB44,0)</f>
        <v>0</v>
      </c>
      <c r="BC45" s="740">
        <f>IF($A45&lt;='Options and results'!$W$20,AX45+BC44,0)</f>
        <v>0</v>
      </c>
      <c r="BD45" s="740">
        <f>IF($A45&lt;='Options and results'!$W$20,AY45+BD44,0)</f>
        <v>0</v>
      </c>
      <c r="BE45" s="740">
        <f>IF($A45&lt;='Options and results'!$W$20,AZ45+BE44,0)</f>
        <v>0</v>
      </c>
      <c r="BF45" s="346"/>
    </row>
    <row r="46" spans="1:58" x14ac:dyDescent="0.25">
      <c r="A46" s="895">
        <f t="shared" si="17"/>
        <v>38</v>
      </c>
      <c r="B46" s="878">
        <f>IF('Options and results'!$C$54="none",0,IF(HLOOKUP('Options and results'!$C$54,Agroforestrysystem!$2:$9,8,FALSE)="No",LOOKUP(A46,Plot!$CK$8:$CN$67),LOOKUP(A46,Plot!$CK$8:$CN$67)+LOOKUP(A46,Plot!#REF!)))</f>
        <v>0</v>
      </c>
      <c r="C46" s="879">
        <f>IF(VLOOKUP(A46,Plot!$DF$8:$DL$67,7,FALSE)&gt;0,1-B46,0)</f>
        <v>0</v>
      </c>
      <c r="D46" s="896">
        <f t="shared" si="18"/>
        <v>23</v>
      </c>
      <c r="E46" s="897">
        <f>IF(VLOOKUP(D46,Plot!$V$8:$AB$67,Plot!$AB$2,FALSE)&gt;0,1,0)</f>
        <v>1</v>
      </c>
      <c r="F46" s="898">
        <f t="shared" si="11"/>
        <v>0.99</v>
      </c>
      <c r="G46" s="898">
        <f t="shared" si="12"/>
        <v>1.0000000000000009E-2</v>
      </c>
      <c r="H46" s="883">
        <f>VLOOKUP(D46,Plot!$V$8:$AH$67,Plot!$AH$2,FALSE)</f>
        <v>136.30711560923348</v>
      </c>
      <c r="I46" s="884">
        <f>VLOOKUP(D46,Plot!$V$8:$AJ$67,Plot!$AJ$2,FALSE)</f>
        <v>0</v>
      </c>
      <c r="J46" s="885">
        <f ca="1">VLOOKUP(D46,Plot!$CK$8:$CP$67,Plot!$CO$2,FALSE)*VLOOKUP(D46,Plot!$CK$8:$CP$67,Plot!$CN$2,FALSE)</f>
        <v>0</v>
      </c>
      <c r="K46" s="884">
        <f>VLOOKUP(D46,Plot!$DF$8:$DS$67,Plot!$DS$2,FALSE)</f>
        <v>127.57581755454304</v>
      </c>
      <c r="L46" s="884">
        <f>VLOOKUP(D46,Plot!$DF$8:$DU$67,Plot!$DU$2,FALSE)</f>
        <v>0</v>
      </c>
      <c r="M46" s="883">
        <f>VLOOKUP(D46,Plot!$V$8:$BW$67,Plot!$BW$2,FALSE)</f>
        <v>0</v>
      </c>
      <c r="N46" s="884">
        <f>VLOOKUP(D46,Plot!$CK$8:$CX$67,Plot!$CX$2,FALSE)</f>
        <v>0</v>
      </c>
      <c r="O46" s="884">
        <f>VLOOKUP(D46,Plot!$DF$8:$FH$67,Plot!$FH$2,FALSE)</f>
        <v>0</v>
      </c>
      <c r="P46" s="883">
        <f>VLOOKUP(D46,Plot!$V$8:$CA$67,Plot!$CA$2,FALSE)</f>
        <v>-3</v>
      </c>
      <c r="Q46" s="884">
        <f ca="1">VLOOKUP($D46,Plot!$CK$8:$CZ$67,Plot!$CZ$2,FALSE)</f>
        <v>0</v>
      </c>
      <c r="R46" s="899">
        <f>VLOOKUP($D46,Plot!$DF$8:$FL$67,Plot!$FL$2,FALSE)</f>
        <v>-3</v>
      </c>
      <c r="S46" s="895">
        <f t="shared" si="19"/>
        <v>100</v>
      </c>
      <c r="T46" s="900">
        <f>IF($A46='Options and results'!$I$33,'Options and results'!$I$34)+IF($A46='Options and results'!$I$35,'Options and results'!$I$36)+IF($A46='Options and results'!$I$37,'Options and results'!$I$38)+IF($A46='Options and results'!$I$39,'Options and results'!$I$40)+IF($A46='Options and results'!$I$41,'Options and results'!$I$42)+IF(AND($A46&gt;='Options and results'!$I$44,$A46&lt;='Options and results'!$I$45),IF(MOD($A46+'Options and results'!$I$46-'Options and results'!$I$44,'Options and results'!$I$46)=0,'Options and results'!$I$47,0))</f>
        <v>0</v>
      </c>
      <c r="U46" s="901">
        <f>IF($A46='Options and results'!$I$59,'Options and results'!$I$60)+IF($A46='Options and results'!$I$61,'Options and results'!$I$62)+IF($A46='Options and results'!$I$63,'Options and results'!$I$64)+IF($A46='Options and results'!$I$65,'Options and results'!$I$66)+IF($A46='Options and results'!$I$67,'Options and results'!$I$68)+IF(AND($A46&gt;='Options and results'!$I$70,$A46&lt;='Options and results'!$I$71),IF(MOD($A46+'Options and results'!$I$72-'Options and results'!$I$70,'Options and results'!$I$72)=0,'Options and results'!$I$73,0))</f>
        <v>0</v>
      </c>
      <c r="V46" s="889">
        <f>'Options and results'!$W$18-W46-X46-Y46</f>
        <v>100</v>
      </c>
      <c r="W46" s="889">
        <f>SUMPRODUCT(T9:T46,E31:E68)</f>
        <v>0</v>
      </c>
      <c r="X46" s="889">
        <f>SUMPRODUCT(U9:U46,F31:F68)</f>
        <v>0</v>
      </c>
      <c r="Y46" s="889">
        <f>SUMPRODUCT(U9:U46,G31:G68)</f>
        <v>0</v>
      </c>
      <c r="Z46" s="889">
        <f t="shared" si="13"/>
        <v>0</v>
      </c>
      <c r="AA46" s="894">
        <f>(V46*Plot!E45*Plot!D45)</f>
        <v>0</v>
      </c>
      <c r="AB46" s="740">
        <f>SUMPRODUCT(T9:T46,H31:H68)</f>
        <v>0</v>
      </c>
      <c r="AC46" s="740">
        <f>SUMPRODUCT(T9:T46,I31:I68)</f>
        <v>0</v>
      </c>
      <c r="AD46" s="740">
        <f ca="1">SUMPRODUCT(U9:U46,J31:J68)</f>
        <v>0</v>
      </c>
      <c r="AE46" s="740">
        <f>SUMPRODUCT(U9:U46,K31:K68)</f>
        <v>0</v>
      </c>
      <c r="AF46" s="740">
        <f>SUMPRODUCT(U9:U46,L31:L68)</f>
        <v>0</v>
      </c>
      <c r="AG46" s="894">
        <f>Plot!N45*S46</f>
        <v>0</v>
      </c>
      <c r="AH46" s="740">
        <f>IF($A46&lt;='Options and results'!$W$20,SUMPRODUCT(T9:T46,M31:M68),0)</f>
        <v>0</v>
      </c>
      <c r="AI46" s="740">
        <f>IF($A46&lt;='Options and results'!$W$20,SUMPRODUCT(U9:U46,N31:N68),0)</f>
        <v>0</v>
      </c>
      <c r="AJ46" s="740">
        <f>IF($A46&lt;='Options and results'!$W$20,SUMPRODUCT(U9:U46,O31:O68),0)</f>
        <v>0</v>
      </c>
      <c r="AK46" s="740">
        <f t="shared" si="14"/>
        <v>0</v>
      </c>
      <c r="AL46" s="740">
        <f>Plot!P45*S46</f>
        <v>0</v>
      </c>
      <c r="AM46" s="740">
        <f>IF($A46&lt;='Options and results'!$W$20,SUMPRODUCT(T9:T46,P31:P68),0)</f>
        <v>0</v>
      </c>
      <c r="AN46" s="740">
        <f>IF($A46&lt;='Options and results'!$W$20,SUMPRODUCT(U9:U46,Q31:Q68),0)</f>
        <v>0</v>
      </c>
      <c r="AO46" s="740">
        <f>IF($A46&lt;='Options and results'!$W$20,SUMPRODUCT(U9:U46,R31:R68),0)</f>
        <v>0</v>
      </c>
      <c r="AP46" s="740">
        <f t="shared" si="15"/>
        <v>0</v>
      </c>
      <c r="AQ46" s="894">
        <f>IF($A46&lt;='Options and results'!$W$20,AQ45+AL46,0)</f>
        <v>0</v>
      </c>
      <c r="AR46" s="740">
        <f>IF($A46&lt;='Options and results'!$W$20,AR45+AM46,0)</f>
        <v>0</v>
      </c>
      <c r="AS46" s="740">
        <f>IF($A46&lt;='Options and results'!$W$20,AS45+AN46,0)</f>
        <v>0</v>
      </c>
      <c r="AT46" s="740">
        <f>IF($A46&lt;='Options and results'!$W$20,AT45+AO46,0)</f>
        <v>0</v>
      </c>
      <c r="AU46" s="740">
        <f>IF($A46&lt;='Options and results'!$W$20,AU45+AP46,0)</f>
        <v>0</v>
      </c>
      <c r="AV46" s="894">
        <f>AL46/(1+'Options and results'!$W$33)^($A46-1)</f>
        <v>0</v>
      </c>
      <c r="AW46" s="740">
        <f>AM46/(1+'Options and results'!$W$33)^($A46-1)</f>
        <v>0</v>
      </c>
      <c r="AX46" s="740">
        <f>AN46/(1+'Options and results'!$W$33)^($A46-1)</f>
        <v>0</v>
      </c>
      <c r="AY46" s="740">
        <f>AO46/(1+'Options and results'!$W$33)^($A46-1)</f>
        <v>0</v>
      </c>
      <c r="AZ46" s="740">
        <f t="shared" si="16"/>
        <v>0</v>
      </c>
      <c r="BA46" s="894">
        <f>IF($A46&lt;='Options and results'!$W$20,AV46+BA45,0)</f>
        <v>0</v>
      </c>
      <c r="BB46" s="740">
        <f>IF($A46&lt;='Options and results'!$W$20,AW46+BB45,0)</f>
        <v>0</v>
      </c>
      <c r="BC46" s="740">
        <f>IF($A46&lt;='Options and results'!$W$20,AX46+BC45,0)</f>
        <v>0</v>
      </c>
      <c r="BD46" s="740">
        <f>IF($A46&lt;='Options and results'!$W$20,AY46+BD45,0)</f>
        <v>0</v>
      </c>
      <c r="BE46" s="740">
        <f>IF($A46&lt;='Options and results'!$W$20,AZ46+BE45,0)</f>
        <v>0</v>
      </c>
      <c r="BF46" s="346"/>
    </row>
    <row r="47" spans="1:58" x14ac:dyDescent="0.25">
      <c r="A47" s="895">
        <f t="shared" si="17"/>
        <v>39</v>
      </c>
      <c r="B47" s="878">
        <f>IF('Options and results'!$C$54="none",0,IF(HLOOKUP('Options and results'!$C$54,Agroforestrysystem!$2:$9,8,FALSE)="No",LOOKUP(A47,Plot!$CK$8:$CN$67),LOOKUP(A47,Plot!$CK$8:$CN$67)+LOOKUP(A47,Plot!#REF!)))</f>
        <v>0</v>
      </c>
      <c r="C47" s="879">
        <f>IF(VLOOKUP(A47,Plot!$DF$8:$DL$67,7,FALSE)&gt;0,1-B47,0)</f>
        <v>0</v>
      </c>
      <c r="D47" s="896">
        <f t="shared" si="18"/>
        <v>22</v>
      </c>
      <c r="E47" s="897">
        <f>IF(VLOOKUP(D47,Plot!$V$8:$AB$67,Plot!$AB$2,FALSE)&gt;0,1,0)</f>
        <v>1</v>
      </c>
      <c r="F47" s="898">
        <f t="shared" si="11"/>
        <v>0.99</v>
      </c>
      <c r="G47" s="898">
        <f t="shared" si="12"/>
        <v>1.0000000000000009E-2</v>
      </c>
      <c r="H47" s="883">
        <f>VLOOKUP(D47,Plot!$V$8:$AH$67,Plot!$AH$2,FALSE)</f>
        <v>125.07015394139599</v>
      </c>
      <c r="I47" s="884">
        <f>VLOOKUP(D47,Plot!$V$8:$AJ$67,Plot!$AJ$2,FALSE)</f>
        <v>0</v>
      </c>
      <c r="J47" s="885">
        <f ca="1">VLOOKUP(D47,Plot!$CK$8:$CP$67,Plot!$CO$2,FALSE)*VLOOKUP(D47,Plot!$CK$8:$CP$67,Plot!$CN$2,FALSE)</f>
        <v>0</v>
      </c>
      <c r="K47" s="884">
        <f>VLOOKUP(D47,Plot!$DF$8:$DS$67,Plot!$DS$2,FALSE)</f>
        <v>114.91193876244324</v>
      </c>
      <c r="L47" s="884">
        <f>VLOOKUP(D47,Plot!$DF$8:$DU$67,Plot!$DU$2,FALSE)</f>
        <v>0</v>
      </c>
      <c r="M47" s="883">
        <f>VLOOKUP(D47,Plot!$V$8:$BW$67,Plot!$BW$2,FALSE)</f>
        <v>0</v>
      </c>
      <c r="N47" s="884">
        <f>VLOOKUP(D47,Plot!$CK$8:$CX$67,Plot!$CX$2,FALSE)</f>
        <v>0</v>
      </c>
      <c r="O47" s="884">
        <f>VLOOKUP(D47,Plot!$DF$8:$FH$67,Plot!$FH$2,FALSE)</f>
        <v>0</v>
      </c>
      <c r="P47" s="883">
        <f>VLOOKUP(D47,Plot!$V$8:$CA$67,Plot!$CA$2,FALSE)</f>
        <v>-3</v>
      </c>
      <c r="Q47" s="884">
        <f ca="1">VLOOKUP($D47,Plot!$CK$8:$CZ$67,Plot!$CZ$2,FALSE)</f>
        <v>0</v>
      </c>
      <c r="R47" s="899">
        <f>VLOOKUP($D47,Plot!$DF$8:$FL$67,Plot!$FL$2,FALSE)</f>
        <v>-3</v>
      </c>
      <c r="S47" s="895">
        <f t="shared" si="19"/>
        <v>100</v>
      </c>
      <c r="T47" s="900">
        <f>IF($A47='Options and results'!$I$33,'Options and results'!$I$34)+IF($A47='Options and results'!$I$35,'Options and results'!$I$36)+IF($A47='Options and results'!$I$37,'Options and results'!$I$38)+IF($A47='Options and results'!$I$39,'Options and results'!$I$40)+IF($A47='Options and results'!$I$41,'Options and results'!$I$42)+IF(AND($A47&gt;='Options and results'!$I$44,$A47&lt;='Options and results'!$I$45),IF(MOD($A47+'Options and results'!$I$46-'Options and results'!$I$44,'Options and results'!$I$46)=0,'Options and results'!$I$47,0))</f>
        <v>0</v>
      </c>
      <c r="U47" s="901">
        <f>IF($A47='Options and results'!$I$59,'Options and results'!$I$60)+IF($A47='Options and results'!$I$61,'Options and results'!$I$62)+IF($A47='Options and results'!$I$63,'Options and results'!$I$64)+IF($A47='Options and results'!$I$65,'Options and results'!$I$66)+IF($A47='Options and results'!$I$67,'Options and results'!$I$68)+IF(AND($A47&gt;='Options and results'!$I$70,$A47&lt;='Options and results'!$I$71),IF(MOD($A47+'Options and results'!$I$72-'Options and results'!$I$70,'Options and results'!$I$72)=0,'Options and results'!$I$73,0))</f>
        <v>0</v>
      </c>
      <c r="V47" s="889">
        <f>'Options and results'!$W$18-W47-X47-Y47</f>
        <v>100</v>
      </c>
      <c r="W47" s="889">
        <f>SUMPRODUCT(T9:T47,E30:E68)</f>
        <v>0</v>
      </c>
      <c r="X47" s="889">
        <f>SUMPRODUCT(U9:U47,F30:F68)</f>
        <v>0</v>
      </c>
      <c r="Y47" s="889">
        <f>SUMPRODUCT(U9:U47,G30:G68)</f>
        <v>0</v>
      </c>
      <c r="Z47" s="889">
        <f t="shared" si="13"/>
        <v>0</v>
      </c>
      <c r="AA47" s="894">
        <f>(V47*Plot!E46*Plot!D46)</f>
        <v>0</v>
      </c>
      <c r="AB47" s="740">
        <f>SUMPRODUCT(T9:T47,H30:H68)</f>
        <v>0</v>
      </c>
      <c r="AC47" s="740">
        <f>SUMPRODUCT(T9:T47,I30:I68)</f>
        <v>0</v>
      </c>
      <c r="AD47" s="740">
        <f ca="1">SUMPRODUCT(U9:U47,J30:J68)</f>
        <v>0</v>
      </c>
      <c r="AE47" s="740">
        <f>SUMPRODUCT(U9:U47,K30:K68)</f>
        <v>0</v>
      </c>
      <c r="AF47" s="740">
        <f>SUMPRODUCT(U9:U47,L30:L68)</f>
        <v>0</v>
      </c>
      <c r="AG47" s="894">
        <f>Plot!N46*S47</f>
        <v>0</v>
      </c>
      <c r="AH47" s="740">
        <f>IF($A47&lt;='Options and results'!$W$20,SUMPRODUCT(T9:T47,M30:M68),0)</f>
        <v>0</v>
      </c>
      <c r="AI47" s="740">
        <f>IF($A47&lt;='Options and results'!$W$20,SUMPRODUCT(U9:U47,N30:N68),0)</f>
        <v>0</v>
      </c>
      <c r="AJ47" s="740">
        <f>IF($A47&lt;='Options and results'!$W$20,SUMPRODUCT(U9:U47,O30:O68),0)</f>
        <v>0</v>
      </c>
      <c r="AK47" s="740">
        <f t="shared" si="14"/>
        <v>0</v>
      </c>
      <c r="AL47" s="740">
        <f>Plot!P46*S47</f>
        <v>0</v>
      </c>
      <c r="AM47" s="740">
        <f>IF($A47&lt;='Options and results'!$W$20,SUMPRODUCT(T9:T47,P30:P68),0)</f>
        <v>0</v>
      </c>
      <c r="AN47" s="740">
        <f>IF($A47&lt;='Options and results'!$W$20,SUMPRODUCT(U9:U47,Q30:Q68),0)</f>
        <v>0</v>
      </c>
      <c r="AO47" s="740">
        <f>IF($A47&lt;='Options and results'!$W$20,SUMPRODUCT(U9:U47,R30:R68),0)</f>
        <v>0</v>
      </c>
      <c r="AP47" s="740">
        <f t="shared" si="15"/>
        <v>0</v>
      </c>
      <c r="AQ47" s="894">
        <f>IF($A47&lt;='Options and results'!$W$20,AQ46+AL47,0)</f>
        <v>0</v>
      </c>
      <c r="AR47" s="740">
        <f>IF($A47&lt;='Options and results'!$W$20,AR46+AM47,0)</f>
        <v>0</v>
      </c>
      <c r="AS47" s="740">
        <f>IF($A47&lt;='Options and results'!$W$20,AS46+AN47,0)</f>
        <v>0</v>
      </c>
      <c r="AT47" s="740">
        <f>IF($A47&lt;='Options and results'!$W$20,AT46+AO47,0)</f>
        <v>0</v>
      </c>
      <c r="AU47" s="740">
        <f>IF($A47&lt;='Options and results'!$W$20,AU46+AP47,0)</f>
        <v>0</v>
      </c>
      <c r="AV47" s="894">
        <f>AL47/(1+'Options and results'!$W$33)^($A47-1)</f>
        <v>0</v>
      </c>
      <c r="AW47" s="740">
        <f>AM47/(1+'Options and results'!$W$33)^($A47-1)</f>
        <v>0</v>
      </c>
      <c r="AX47" s="740">
        <f>AN47/(1+'Options and results'!$W$33)^($A47-1)</f>
        <v>0</v>
      </c>
      <c r="AY47" s="740">
        <f>AO47/(1+'Options and results'!$W$33)^($A47-1)</f>
        <v>0</v>
      </c>
      <c r="AZ47" s="740">
        <f t="shared" si="16"/>
        <v>0</v>
      </c>
      <c r="BA47" s="894">
        <f>IF($A47&lt;='Options and results'!$W$20,AV47+BA46,0)</f>
        <v>0</v>
      </c>
      <c r="BB47" s="740">
        <f>IF($A47&lt;='Options and results'!$W$20,AW47+BB46,0)</f>
        <v>0</v>
      </c>
      <c r="BC47" s="740">
        <f>IF($A47&lt;='Options and results'!$W$20,AX47+BC46,0)</f>
        <v>0</v>
      </c>
      <c r="BD47" s="740">
        <f>IF($A47&lt;='Options and results'!$W$20,AY47+BD46,0)</f>
        <v>0</v>
      </c>
      <c r="BE47" s="740">
        <f>IF($A47&lt;='Options and results'!$W$20,AZ47+BE46,0)</f>
        <v>0</v>
      </c>
      <c r="BF47" s="346"/>
    </row>
    <row r="48" spans="1:58" x14ac:dyDescent="0.25">
      <c r="A48" s="895">
        <f t="shared" si="17"/>
        <v>40</v>
      </c>
      <c r="B48" s="878">
        <f>IF('Options and results'!$C$54="none",0,IF(HLOOKUP('Options and results'!$C$54,Agroforestrysystem!$2:$9,8,FALSE)="No",LOOKUP(A48,Plot!$CK$8:$CN$67),LOOKUP(A48,Plot!$CK$8:$CN$67)+LOOKUP(A48,Plot!#REF!)))</f>
        <v>0</v>
      </c>
      <c r="C48" s="879">
        <f>IF(VLOOKUP(A48,Plot!$DF$8:$DL$67,7,FALSE)&gt;0,1-B48,0)</f>
        <v>0</v>
      </c>
      <c r="D48" s="896">
        <f t="shared" si="18"/>
        <v>21</v>
      </c>
      <c r="E48" s="897">
        <f>IF(VLOOKUP(D48,Plot!$V$8:$AB$67,Plot!$AB$2,FALSE)&gt;0,1,0)</f>
        <v>1</v>
      </c>
      <c r="F48" s="898">
        <f t="shared" si="11"/>
        <v>0.99</v>
      </c>
      <c r="G48" s="898">
        <f t="shared" si="12"/>
        <v>1.0000000000000009E-2</v>
      </c>
      <c r="H48" s="883">
        <f>VLOOKUP(D48,Plot!$V$8:$AH$67,Plot!$AH$2,FALSE)</f>
        <v>113.18431468887758</v>
      </c>
      <c r="I48" s="884">
        <f>VLOOKUP(D48,Plot!$V$8:$AJ$67,Plot!$AJ$2,FALSE)</f>
        <v>0</v>
      </c>
      <c r="J48" s="885">
        <f ca="1">VLOOKUP(D48,Plot!$CK$8:$CP$67,Plot!$CO$2,FALSE)*VLOOKUP(D48,Plot!$CK$8:$CP$67,Plot!$CN$2,FALSE)</f>
        <v>0</v>
      </c>
      <c r="K48" s="884">
        <f>VLOOKUP(D48,Plot!$DF$8:$DS$67,Plot!$DS$2,FALSE)</f>
        <v>102.49287743146732</v>
      </c>
      <c r="L48" s="884">
        <f>VLOOKUP(D48,Plot!$DF$8:$DU$67,Plot!$DU$2,FALSE)</f>
        <v>0</v>
      </c>
      <c r="M48" s="883">
        <f>VLOOKUP(D48,Plot!$V$8:$BW$67,Plot!$BW$2,FALSE)</f>
        <v>0</v>
      </c>
      <c r="N48" s="884">
        <f>VLOOKUP(D48,Plot!$CK$8:$CX$67,Plot!$CX$2,FALSE)</f>
        <v>0</v>
      </c>
      <c r="O48" s="884">
        <f>VLOOKUP(D48,Plot!$DF$8:$FH$67,Plot!$FH$2,FALSE)</f>
        <v>0</v>
      </c>
      <c r="P48" s="883">
        <f>VLOOKUP(D48,Plot!$V$8:$CA$67,Plot!$CA$2,FALSE)</f>
        <v>-3</v>
      </c>
      <c r="Q48" s="884">
        <f ca="1">VLOOKUP($D48,Plot!$CK$8:$CZ$67,Plot!$CZ$2,FALSE)</f>
        <v>0</v>
      </c>
      <c r="R48" s="899">
        <f>VLOOKUP($D48,Plot!$DF$8:$FL$67,Plot!$FL$2,FALSE)</f>
        <v>-3</v>
      </c>
      <c r="S48" s="895">
        <f t="shared" si="19"/>
        <v>100</v>
      </c>
      <c r="T48" s="900">
        <f>IF($A48='Options and results'!$I$33,'Options and results'!$I$34)+IF($A48='Options and results'!$I$35,'Options and results'!$I$36)+IF($A48='Options and results'!$I$37,'Options and results'!$I$38)+IF($A48='Options and results'!$I$39,'Options and results'!$I$40)+IF($A48='Options and results'!$I$41,'Options and results'!$I$42)+IF(AND($A48&gt;='Options and results'!$I$44,$A48&lt;='Options and results'!$I$45),IF(MOD($A48+'Options and results'!$I$46-'Options and results'!$I$44,'Options and results'!$I$46)=0,'Options and results'!$I$47,0))</f>
        <v>0</v>
      </c>
      <c r="U48" s="901">
        <f>IF($A48='Options and results'!$I$59,'Options and results'!$I$60)+IF($A48='Options and results'!$I$61,'Options and results'!$I$62)+IF($A48='Options and results'!$I$63,'Options and results'!$I$64)+IF($A48='Options and results'!$I$65,'Options and results'!$I$66)+IF($A48='Options and results'!$I$67,'Options and results'!$I$68)+IF(AND($A48&gt;='Options and results'!$I$70,$A48&lt;='Options and results'!$I$71),IF(MOD($A48+'Options and results'!$I$72-'Options and results'!$I$70,'Options and results'!$I$72)=0,'Options and results'!$I$73,0))</f>
        <v>0</v>
      </c>
      <c r="V48" s="889">
        <f>'Options and results'!$W$18-W48-X48-Y48</f>
        <v>100</v>
      </c>
      <c r="W48" s="889">
        <f>SUMPRODUCT(T9:T48,E29:E68)</f>
        <v>0</v>
      </c>
      <c r="X48" s="889">
        <f>SUMPRODUCT(U9:U48,F29:F68)</f>
        <v>0</v>
      </c>
      <c r="Y48" s="889">
        <f>SUMPRODUCT(U9:U48,G29:G68)</f>
        <v>0</v>
      </c>
      <c r="Z48" s="889">
        <f t="shared" si="13"/>
        <v>0</v>
      </c>
      <c r="AA48" s="894">
        <f>(V48*Plot!E47*Plot!D47)</f>
        <v>0</v>
      </c>
      <c r="AB48" s="740">
        <f>SUMPRODUCT(T9:T48,H29:H68)</f>
        <v>0</v>
      </c>
      <c r="AC48" s="740">
        <f>SUMPRODUCT(T9:T48,I29:I68)</f>
        <v>0</v>
      </c>
      <c r="AD48" s="740">
        <f ca="1">SUMPRODUCT(U9:U48,J29:J68)</f>
        <v>0</v>
      </c>
      <c r="AE48" s="740">
        <f>SUMPRODUCT(U9:U48,K29:K68)</f>
        <v>0</v>
      </c>
      <c r="AF48" s="740">
        <f>SUMPRODUCT(U9:U48,L29:L68)</f>
        <v>0</v>
      </c>
      <c r="AG48" s="894">
        <f>Plot!N47*S48</f>
        <v>0</v>
      </c>
      <c r="AH48" s="740">
        <f>IF($A48&lt;='Options and results'!$W$20,SUMPRODUCT(T9:T48,M29:M68),0)</f>
        <v>0</v>
      </c>
      <c r="AI48" s="740">
        <f>IF($A48&lt;='Options and results'!$W$20,SUMPRODUCT(U9:U48,N29:N68),0)</f>
        <v>0</v>
      </c>
      <c r="AJ48" s="740">
        <f>IF($A48&lt;='Options and results'!$W$20,SUMPRODUCT(U9:U48,O29:O68),0)</f>
        <v>0</v>
      </c>
      <c r="AK48" s="740">
        <f t="shared" si="14"/>
        <v>0</v>
      </c>
      <c r="AL48" s="740">
        <f>Plot!P47*S48</f>
        <v>0</v>
      </c>
      <c r="AM48" s="740">
        <f>IF($A48&lt;='Options and results'!$W$20,SUMPRODUCT(T9:T48,P29:P68),0)</f>
        <v>0</v>
      </c>
      <c r="AN48" s="740">
        <f>IF($A48&lt;='Options and results'!$W$20,SUMPRODUCT(U9:U48,Q29:Q68),0)</f>
        <v>0</v>
      </c>
      <c r="AO48" s="740">
        <f>IF($A48&lt;='Options and results'!$W$20,SUMPRODUCT(U9:U48,R29:R68),0)</f>
        <v>0</v>
      </c>
      <c r="AP48" s="740">
        <f t="shared" si="15"/>
        <v>0</v>
      </c>
      <c r="AQ48" s="894">
        <f>IF($A48&lt;='Options and results'!$W$20,AQ47+AL48,0)</f>
        <v>0</v>
      </c>
      <c r="AR48" s="740">
        <f>IF($A48&lt;='Options and results'!$W$20,AR47+AM48,0)</f>
        <v>0</v>
      </c>
      <c r="AS48" s="740">
        <f>IF($A48&lt;='Options and results'!$W$20,AS47+AN48,0)</f>
        <v>0</v>
      </c>
      <c r="AT48" s="740">
        <f>IF($A48&lt;='Options and results'!$W$20,AT47+AO48,0)</f>
        <v>0</v>
      </c>
      <c r="AU48" s="740">
        <f>IF($A48&lt;='Options and results'!$W$20,AU47+AP48,0)</f>
        <v>0</v>
      </c>
      <c r="AV48" s="894">
        <f>AL48/(1+'Options and results'!$W$33)^($A48-1)</f>
        <v>0</v>
      </c>
      <c r="AW48" s="740">
        <f>AM48/(1+'Options and results'!$W$33)^($A48-1)</f>
        <v>0</v>
      </c>
      <c r="AX48" s="740">
        <f>AN48/(1+'Options and results'!$W$33)^($A48-1)</f>
        <v>0</v>
      </c>
      <c r="AY48" s="740">
        <f>AO48/(1+'Options and results'!$W$33)^($A48-1)</f>
        <v>0</v>
      </c>
      <c r="AZ48" s="740">
        <f t="shared" si="16"/>
        <v>0</v>
      </c>
      <c r="BA48" s="894">
        <f>IF($A48&lt;='Options and results'!$W$20,AV48+BA47,0)</f>
        <v>0</v>
      </c>
      <c r="BB48" s="740">
        <f>IF($A48&lt;='Options and results'!$W$20,AW48+BB47,0)</f>
        <v>0</v>
      </c>
      <c r="BC48" s="740">
        <f>IF($A48&lt;='Options and results'!$W$20,AX48+BC47,0)</f>
        <v>0</v>
      </c>
      <c r="BD48" s="740">
        <f>IF($A48&lt;='Options and results'!$W$20,AY48+BD47,0)</f>
        <v>0</v>
      </c>
      <c r="BE48" s="740">
        <f>IF($A48&lt;='Options and results'!$W$20,AZ48+BE47,0)</f>
        <v>0</v>
      </c>
      <c r="BF48" s="346"/>
    </row>
    <row r="49" spans="1:58" x14ac:dyDescent="0.25">
      <c r="A49" s="895">
        <f t="shared" si="17"/>
        <v>41</v>
      </c>
      <c r="B49" s="878">
        <f>IF('Options and results'!$C$54="none",0,IF(HLOOKUP('Options and results'!$C$54,Agroforestrysystem!$2:$9,8,FALSE)="No",LOOKUP(A49,Plot!$CK$8:$CN$67),LOOKUP(A49,Plot!$CK$8:$CN$67)+LOOKUP(A49,Plot!#REF!)))</f>
        <v>0</v>
      </c>
      <c r="C49" s="879">
        <f>IF(VLOOKUP(A49,Plot!$DF$8:$DL$67,7,FALSE)&gt;0,1-B49,0)</f>
        <v>0</v>
      </c>
      <c r="D49" s="896">
        <f t="shared" si="18"/>
        <v>20</v>
      </c>
      <c r="E49" s="897">
        <f>IF(VLOOKUP(D49,Plot!$V$8:$AB$67,Plot!$AB$2,FALSE)&gt;0,1,0)</f>
        <v>1</v>
      </c>
      <c r="F49" s="898">
        <f t="shared" si="11"/>
        <v>0.99</v>
      </c>
      <c r="G49" s="898">
        <f t="shared" si="12"/>
        <v>1.0000000000000009E-2</v>
      </c>
      <c r="H49" s="883">
        <f>VLOOKUP(D49,Plot!$V$8:$AH$67,Plot!$AH$2,FALSE)</f>
        <v>100.41735420603597</v>
      </c>
      <c r="I49" s="884">
        <f>VLOOKUP(D49,Plot!$V$8:$AJ$67,Plot!$AJ$2,FALSE)</f>
        <v>0</v>
      </c>
      <c r="J49" s="885">
        <f ca="1">VLOOKUP(D49,Plot!$CK$8:$CP$67,Plot!$CO$2,FALSE)*VLOOKUP(D49,Plot!$CK$8:$CP$67,Plot!$CN$2,FALSE)</f>
        <v>0</v>
      </c>
      <c r="K49" s="884">
        <f>VLOOKUP(D49,Plot!$DF$8:$DS$67,Plot!$DS$2,FALSE)</f>
        <v>89.914262732444683</v>
      </c>
      <c r="L49" s="884">
        <f>VLOOKUP(D49,Plot!$DF$8:$DU$67,Plot!$DU$2,FALSE)</f>
        <v>0</v>
      </c>
      <c r="M49" s="883">
        <f>VLOOKUP(D49,Plot!$V$8:$BW$67,Plot!$BW$2,FALSE)</f>
        <v>0</v>
      </c>
      <c r="N49" s="884">
        <f>VLOOKUP(D49,Plot!$CK$8:$CX$67,Plot!$CX$2,FALSE)</f>
        <v>0</v>
      </c>
      <c r="O49" s="884">
        <f>VLOOKUP(D49,Plot!$DF$8:$FH$67,Plot!$FH$2,FALSE)</f>
        <v>0</v>
      </c>
      <c r="P49" s="883">
        <f>VLOOKUP(D49,Plot!$V$8:$CA$67,Plot!$CA$2,FALSE)</f>
        <v>-3</v>
      </c>
      <c r="Q49" s="884">
        <f ca="1">VLOOKUP($D49,Plot!$CK$8:$CZ$67,Plot!$CZ$2,FALSE)</f>
        <v>0</v>
      </c>
      <c r="R49" s="899">
        <f>VLOOKUP($D49,Plot!$DF$8:$FL$67,Plot!$FL$2,FALSE)</f>
        <v>-3</v>
      </c>
      <c r="S49" s="895">
        <f t="shared" si="19"/>
        <v>100</v>
      </c>
      <c r="T49" s="900">
        <f>IF($A49='Options and results'!$I$33,'Options and results'!$I$34)+IF($A49='Options and results'!$I$35,'Options and results'!$I$36)+IF($A49='Options and results'!$I$37,'Options and results'!$I$38)+IF($A49='Options and results'!$I$39,'Options and results'!$I$40)+IF($A49='Options and results'!$I$41,'Options and results'!$I$42)+IF(AND($A49&gt;='Options and results'!$I$44,$A49&lt;='Options and results'!$I$45),IF(MOD($A49+'Options and results'!$I$46-'Options and results'!$I$44,'Options and results'!$I$46)=0,'Options and results'!$I$47,0))</f>
        <v>0</v>
      </c>
      <c r="U49" s="901">
        <f>IF($A49='Options and results'!$I$59,'Options and results'!$I$60)+IF($A49='Options and results'!$I$61,'Options and results'!$I$62)+IF($A49='Options and results'!$I$63,'Options and results'!$I$64)+IF($A49='Options and results'!$I$65,'Options and results'!$I$66)+IF($A49='Options and results'!$I$67,'Options and results'!$I$68)+IF(AND($A49&gt;='Options and results'!$I$70,$A49&lt;='Options and results'!$I$71),IF(MOD($A49+'Options and results'!$I$72-'Options and results'!$I$70,'Options and results'!$I$72)=0,'Options and results'!$I$73,0))</f>
        <v>0</v>
      </c>
      <c r="V49" s="889">
        <f>'Options and results'!$W$18-W49-X49-Y49</f>
        <v>100</v>
      </c>
      <c r="W49" s="889">
        <f>SUMPRODUCT(T9:T49,E28:E68)</f>
        <v>0</v>
      </c>
      <c r="X49" s="889">
        <f>SUMPRODUCT(U9:U49,F28:F68)</f>
        <v>0</v>
      </c>
      <c r="Y49" s="889">
        <f>SUMPRODUCT(U9:U49,G28:G68)</f>
        <v>0</v>
      </c>
      <c r="Z49" s="889">
        <f t="shared" si="13"/>
        <v>0</v>
      </c>
      <c r="AA49" s="894">
        <f>(V49*Plot!E48*Plot!D48)</f>
        <v>0</v>
      </c>
      <c r="AB49" s="740">
        <f>SUMPRODUCT(T9:T49,H28:H68)</f>
        <v>0</v>
      </c>
      <c r="AC49" s="740">
        <f>SUMPRODUCT(T9:T49,I28:I68)</f>
        <v>0</v>
      </c>
      <c r="AD49" s="740">
        <f ca="1">SUMPRODUCT(U9:U49,J28:J68)</f>
        <v>0</v>
      </c>
      <c r="AE49" s="740">
        <f>SUMPRODUCT(U9:U49,K28:K68)</f>
        <v>0</v>
      </c>
      <c r="AF49" s="740">
        <f>SUMPRODUCT(U9:U49,L28:L68)</f>
        <v>0</v>
      </c>
      <c r="AG49" s="894">
        <f>Plot!N48*S49</f>
        <v>0</v>
      </c>
      <c r="AH49" s="740">
        <f>IF($A49&lt;='Options and results'!$W$20,SUMPRODUCT(T9:T49,M28:M68),0)</f>
        <v>0</v>
      </c>
      <c r="AI49" s="740">
        <f>IF($A49&lt;='Options and results'!$W$20,SUMPRODUCT(U9:U49,N28:N68),0)</f>
        <v>0</v>
      </c>
      <c r="AJ49" s="740">
        <f>IF($A49&lt;='Options and results'!$W$20,SUMPRODUCT(U9:U49,O28:O68),0)</f>
        <v>0</v>
      </c>
      <c r="AK49" s="740">
        <f t="shared" si="14"/>
        <v>0</v>
      </c>
      <c r="AL49" s="740">
        <f>Plot!P48*S49</f>
        <v>0</v>
      </c>
      <c r="AM49" s="740">
        <f>IF($A49&lt;='Options and results'!$W$20,SUMPRODUCT(T9:T49,P28:P68),0)</f>
        <v>0</v>
      </c>
      <c r="AN49" s="740">
        <f>IF($A49&lt;='Options and results'!$W$20,SUMPRODUCT(U9:U49,Q28:Q68),0)</f>
        <v>0</v>
      </c>
      <c r="AO49" s="740">
        <f>IF($A49&lt;='Options and results'!$W$20,SUMPRODUCT(U9:U49,R28:R68),0)</f>
        <v>0</v>
      </c>
      <c r="AP49" s="740">
        <f t="shared" si="15"/>
        <v>0</v>
      </c>
      <c r="AQ49" s="894">
        <f>IF($A49&lt;='Options and results'!$W$20,AQ48+AL49,0)</f>
        <v>0</v>
      </c>
      <c r="AR49" s="740">
        <f>IF($A49&lt;='Options and results'!$W$20,AR48+AM49,0)</f>
        <v>0</v>
      </c>
      <c r="AS49" s="740">
        <f>IF($A49&lt;='Options and results'!$W$20,AS48+AN49,0)</f>
        <v>0</v>
      </c>
      <c r="AT49" s="740">
        <f>IF($A49&lt;='Options and results'!$W$20,AT48+AO49,0)</f>
        <v>0</v>
      </c>
      <c r="AU49" s="740">
        <f>IF($A49&lt;='Options and results'!$W$20,AU48+AP49,0)</f>
        <v>0</v>
      </c>
      <c r="AV49" s="894">
        <f>AL49/(1+'Options and results'!$W$33)^($A49-1)</f>
        <v>0</v>
      </c>
      <c r="AW49" s="740">
        <f>AM49/(1+'Options and results'!$W$33)^($A49-1)</f>
        <v>0</v>
      </c>
      <c r="AX49" s="740">
        <f>AN49/(1+'Options and results'!$W$33)^($A49-1)</f>
        <v>0</v>
      </c>
      <c r="AY49" s="740">
        <f>AO49/(1+'Options and results'!$W$33)^($A49-1)</f>
        <v>0</v>
      </c>
      <c r="AZ49" s="740">
        <f t="shared" si="16"/>
        <v>0</v>
      </c>
      <c r="BA49" s="894">
        <f>IF($A49&lt;='Options and results'!$W$20,AV49+BA48,0)</f>
        <v>0</v>
      </c>
      <c r="BB49" s="740">
        <f>IF($A49&lt;='Options and results'!$W$20,AW49+BB48,0)</f>
        <v>0</v>
      </c>
      <c r="BC49" s="740">
        <f>IF($A49&lt;='Options and results'!$W$20,AX49+BC48,0)</f>
        <v>0</v>
      </c>
      <c r="BD49" s="740">
        <f>IF($A49&lt;='Options and results'!$W$20,AY49+BD48,0)</f>
        <v>0</v>
      </c>
      <c r="BE49" s="740">
        <f>IF($A49&lt;='Options and results'!$W$20,AZ49+BE48,0)</f>
        <v>0</v>
      </c>
      <c r="BF49" s="346"/>
    </row>
    <row r="50" spans="1:58" x14ac:dyDescent="0.25">
      <c r="A50" s="895">
        <f t="shared" si="17"/>
        <v>42</v>
      </c>
      <c r="B50" s="878">
        <f>IF('Options and results'!$C$54="none",0,IF(HLOOKUP('Options and results'!$C$54,Agroforestrysystem!$2:$9,8,FALSE)="No",LOOKUP(A50,Plot!$CK$8:$CN$67),LOOKUP(A50,Plot!$CK$8:$CN$67)+LOOKUP(A50,Plot!#REF!)))</f>
        <v>0</v>
      </c>
      <c r="C50" s="879">
        <f>IF(VLOOKUP(A50,Plot!$DF$8:$DL$67,7,FALSE)&gt;0,1-B50,0)</f>
        <v>0</v>
      </c>
      <c r="D50" s="896">
        <f t="shared" si="18"/>
        <v>19</v>
      </c>
      <c r="E50" s="897">
        <f>IF(VLOOKUP(D50,Plot!$V$8:$AB$67,Plot!$AB$2,FALSE)&gt;0,1,0)</f>
        <v>1</v>
      </c>
      <c r="F50" s="898">
        <f t="shared" si="11"/>
        <v>0.99</v>
      </c>
      <c r="G50" s="898">
        <f t="shared" si="12"/>
        <v>1.0000000000000009E-2</v>
      </c>
      <c r="H50" s="883">
        <f>VLOOKUP(D50,Plot!$V$8:$AH$67,Plot!$AH$2,FALSE)</f>
        <v>89.356029243091129</v>
      </c>
      <c r="I50" s="884">
        <f>VLOOKUP(D50,Plot!$V$8:$AJ$67,Plot!$AJ$2,FALSE)</f>
        <v>0</v>
      </c>
      <c r="J50" s="885">
        <f ca="1">VLOOKUP(D50,Plot!$CK$8:$CP$67,Plot!$CO$2,FALSE)*VLOOKUP(D50,Plot!$CK$8:$CP$67,Plot!$CN$2,FALSE)</f>
        <v>0</v>
      </c>
      <c r="K50" s="884">
        <f>VLOOKUP(D50,Plot!$DF$8:$DS$67,Plot!$DS$2,FALSE)</f>
        <v>76.788129320326519</v>
      </c>
      <c r="L50" s="884">
        <f>VLOOKUP(D50,Plot!$DF$8:$DU$67,Plot!$DU$2,FALSE)</f>
        <v>0</v>
      </c>
      <c r="M50" s="883">
        <f>VLOOKUP(D50,Plot!$V$8:$BW$67,Plot!$BW$2,FALSE)</f>
        <v>0</v>
      </c>
      <c r="N50" s="884">
        <f>VLOOKUP(D50,Plot!$CK$8:$CX$67,Plot!$CX$2,FALSE)</f>
        <v>0</v>
      </c>
      <c r="O50" s="884">
        <f>VLOOKUP(D50,Plot!$DF$8:$FH$67,Plot!$FH$2,FALSE)</f>
        <v>0</v>
      </c>
      <c r="P50" s="883">
        <f>VLOOKUP(D50,Plot!$V$8:$CA$67,Plot!$CA$2,FALSE)</f>
        <v>-3</v>
      </c>
      <c r="Q50" s="884">
        <f ca="1">VLOOKUP($D50,Plot!$CK$8:$CZ$67,Plot!$CZ$2,FALSE)</f>
        <v>0</v>
      </c>
      <c r="R50" s="899">
        <f>VLOOKUP($D50,Plot!$DF$8:$FL$67,Plot!$FL$2,FALSE)</f>
        <v>-3</v>
      </c>
      <c r="S50" s="895">
        <f t="shared" si="19"/>
        <v>100</v>
      </c>
      <c r="T50" s="900">
        <f>IF($A50='Options and results'!$I$33,'Options and results'!$I$34)+IF($A50='Options and results'!$I$35,'Options and results'!$I$36)+IF($A50='Options and results'!$I$37,'Options and results'!$I$38)+IF($A50='Options and results'!$I$39,'Options and results'!$I$40)+IF($A50='Options and results'!$I$41,'Options and results'!$I$42)+IF(AND($A50&gt;='Options and results'!$I$44,$A50&lt;='Options and results'!$I$45),IF(MOD($A50+'Options and results'!$I$46-'Options and results'!$I$44,'Options and results'!$I$46)=0,'Options and results'!$I$47,0))</f>
        <v>0</v>
      </c>
      <c r="U50" s="901">
        <f>IF($A50='Options and results'!$I$59,'Options and results'!$I$60)+IF($A50='Options and results'!$I$61,'Options and results'!$I$62)+IF($A50='Options and results'!$I$63,'Options and results'!$I$64)+IF($A50='Options and results'!$I$65,'Options and results'!$I$66)+IF($A50='Options and results'!$I$67,'Options and results'!$I$68)+IF(AND($A50&gt;='Options and results'!$I$70,$A50&lt;='Options and results'!$I$71),IF(MOD($A50+'Options and results'!$I$72-'Options and results'!$I$70,'Options and results'!$I$72)=0,'Options and results'!$I$73,0))</f>
        <v>0</v>
      </c>
      <c r="V50" s="889">
        <f>'Options and results'!$W$18-W50-X50-Y50</f>
        <v>100</v>
      </c>
      <c r="W50" s="889">
        <f>SUMPRODUCT(T9:T50,E27:E68)</f>
        <v>0</v>
      </c>
      <c r="X50" s="889">
        <f>SUMPRODUCT(U9:U50,F27:F68)</f>
        <v>0</v>
      </c>
      <c r="Y50" s="889">
        <f>SUMPRODUCT(U9:U50,G27:G68)</f>
        <v>0</v>
      </c>
      <c r="Z50" s="889">
        <f t="shared" si="13"/>
        <v>0</v>
      </c>
      <c r="AA50" s="894">
        <f>(V50*Plot!E49*Plot!D49)</f>
        <v>0</v>
      </c>
      <c r="AB50" s="740">
        <f>SUMPRODUCT(T9:T50,H27:H68)</f>
        <v>0</v>
      </c>
      <c r="AC50" s="740">
        <f>SUMPRODUCT(T9:T50,I27:I68)</f>
        <v>0</v>
      </c>
      <c r="AD50" s="740">
        <f ca="1">SUMPRODUCT(U9:U50,J27:J68)</f>
        <v>0</v>
      </c>
      <c r="AE50" s="740">
        <f>SUMPRODUCT(U9:U50,K27:K68)</f>
        <v>0</v>
      </c>
      <c r="AF50" s="740">
        <f>SUMPRODUCT(U9:U50,L27:L68)</f>
        <v>0</v>
      </c>
      <c r="AG50" s="894">
        <f>Plot!N49*S50</f>
        <v>0</v>
      </c>
      <c r="AH50" s="740">
        <f>IF($A50&lt;='Options and results'!$W$20,SUMPRODUCT(T9:T50,M27:M68),0)</f>
        <v>0</v>
      </c>
      <c r="AI50" s="740">
        <f>IF($A50&lt;='Options and results'!$W$20,SUMPRODUCT(U9:U50,N27:N68),0)</f>
        <v>0</v>
      </c>
      <c r="AJ50" s="740">
        <f>IF($A50&lt;='Options and results'!$W$20,SUMPRODUCT(U9:U50,O27:O68),0)</f>
        <v>0</v>
      </c>
      <c r="AK50" s="740">
        <f t="shared" si="14"/>
        <v>0</v>
      </c>
      <c r="AL50" s="740">
        <f>Plot!P49*S50</f>
        <v>0</v>
      </c>
      <c r="AM50" s="740">
        <f>IF($A50&lt;='Options and results'!$W$20,SUMPRODUCT(T9:T50,P27:P68),0)</f>
        <v>0</v>
      </c>
      <c r="AN50" s="740">
        <f>IF($A50&lt;='Options and results'!$W$20,SUMPRODUCT(U9:U50,Q27:Q68),0)</f>
        <v>0</v>
      </c>
      <c r="AO50" s="740">
        <f>IF($A50&lt;='Options and results'!$W$20,SUMPRODUCT(U9:U50,R27:R68),0)</f>
        <v>0</v>
      </c>
      <c r="AP50" s="740">
        <f t="shared" si="15"/>
        <v>0</v>
      </c>
      <c r="AQ50" s="894">
        <f>IF($A50&lt;='Options and results'!$W$20,AQ49+AL50,0)</f>
        <v>0</v>
      </c>
      <c r="AR50" s="740">
        <f>IF($A50&lt;='Options and results'!$W$20,AR49+AM50,0)</f>
        <v>0</v>
      </c>
      <c r="AS50" s="740">
        <f>IF($A50&lt;='Options and results'!$W$20,AS49+AN50,0)</f>
        <v>0</v>
      </c>
      <c r="AT50" s="740">
        <f>IF($A50&lt;='Options and results'!$W$20,AT49+AO50,0)</f>
        <v>0</v>
      </c>
      <c r="AU50" s="740">
        <f>IF($A50&lt;='Options and results'!$W$20,AU49+AP50,0)</f>
        <v>0</v>
      </c>
      <c r="AV50" s="894">
        <f>AL50/(1+'Options and results'!$W$33)^($A50-1)</f>
        <v>0</v>
      </c>
      <c r="AW50" s="740">
        <f>AM50/(1+'Options and results'!$W$33)^($A50-1)</f>
        <v>0</v>
      </c>
      <c r="AX50" s="740">
        <f>AN50/(1+'Options and results'!$W$33)^($A50-1)</f>
        <v>0</v>
      </c>
      <c r="AY50" s="740">
        <f>AO50/(1+'Options and results'!$W$33)^($A50-1)</f>
        <v>0</v>
      </c>
      <c r="AZ50" s="740">
        <f t="shared" si="16"/>
        <v>0</v>
      </c>
      <c r="BA50" s="894">
        <f>IF($A50&lt;='Options and results'!$W$20,AV50+BA49,0)</f>
        <v>0</v>
      </c>
      <c r="BB50" s="740">
        <f>IF($A50&lt;='Options and results'!$W$20,AW50+BB49,0)</f>
        <v>0</v>
      </c>
      <c r="BC50" s="740">
        <f>IF($A50&lt;='Options and results'!$W$20,AX50+BC49,0)</f>
        <v>0</v>
      </c>
      <c r="BD50" s="740">
        <f>IF($A50&lt;='Options and results'!$W$20,AY50+BD49,0)</f>
        <v>0</v>
      </c>
      <c r="BE50" s="740">
        <f>IF($A50&lt;='Options and results'!$W$20,AZ50+BE49,0)</f>
        <v>0</v>
      </c>
      <c r="BF50" s="346"/>
    </row>
    <row r="51" spans="1:58" x14ac:dyDescent="0.25">
      <c r="A51" s="895">
        <f t="shared" si="17"/>
        <v>43</v>
      </c>
      <c r="B51" s="878">
        <f>IF('Options and results'!$C$54="none",0,IF(HLOOKUP('Options and results'!$C$54,Agroforestrysystem!$2:$9,8,FALSE)="No",LOOKUP(A51,Plot!$CK$8:$CN$67),LOOKUP(A51,Plot!$CK$8:$CN$67)+LOOKUP(A51,Plot!#REF!)))</f>
        <v>0</v>
      </c>
      <c r="C51" s="879">
        <f>IF(VLOOKUP(A51,Plot!$DF$8:$DL$67,7,FALSE)&gt;0,1-B51,0)</f>
        <v>0</v>
      </c>
      <c r="D51" s="896">
        <f t="shared" si="18"/>
        <v>18</v>
      </c>
      <c r="E51" s="897">
        <f>IF(VLOOKUP(D51,Plot!$V$8:$AB$67,Plot!$AB$2,FALSE)&gt;0,1,0)</f>
        <v>1</v>
      </c>
      <c r="F51" s="898">
        <f t="shared" si="11"/>
        <v>0.99</v>
      </c>
      <c r="G51" s="898">
        <f t="shared" si="12"/>
        <v>1.0000000000000009E-2</v>
      </c>
      <c r="H51" s="883">
        <f>VLOOKUP(D51,Plot!$V$8:$AH$67,Plot!$AH$2,FALSE)</f>
        <v>77.893755262702228</v>
      </c>
      <c r="I51" s="884">
        <f>VLOOKUP(D51,Plot!$V$8:$AJ$67,Plot!$AJ$2,FALSE)</f>
        <v>0</v>
      </c>
      <c r="J51" s="885">
        <f ca="1">VLOOKUP(D51,Plot!$CK$8:$CP$67,Plot!$CO$2,FALSE)*VLOOKUP(D51,Plot!$CK$8:$CP$67,Plot!$CN$2,FALSE)</f>
        <v>0</v>
      </c>
      <c r="K51" s="884">
        <f>VLOOKUP(D51,Plot!$DF$8:$DS$67,Plot!$DS$2,FALSE)</f>
        <v>64.898881319576986</v>
      </c>
      <c r="L51" s="884">
        <f>VLOOKUP(D51,Plot!$DF$8:$DU$67,Plot!$DU$2,FALSE)</f>
        <v>0</v>
      </c>
      <c r="M51" s="883">
        <f>VLOOKUP(D51,Plot!$V$8:$BW$67,Plot!$BW$2,FALSE)</f>
        <v>0</v>
      </c>
      <c r="N51" s="884">
        <f>VLOOKUP(D51,Plot!$CK$8:$CX$67,Plot!$CX$2,FALSE)</f>
        <v>0</v>
      </c>
      <c r="O51" s="884">
        <f>VLOOKUP(D51,Plot!$DF$8:$FH$67,Plot!$FH$2,FALSE)</f>
        <v>0</v>
      </c>
      <c r="P51" s="883">
        <f>VLOOKUP(D51,Plot!$V$8:$CA$67,Plot!$CA$2,FALSE)</f>
        <v>-3</v>
      </c>
      <c r="Q51" s="884">
        <f ca="1">VLOOKUP($D51,Plot!$CK$8:$CZ$67,Plot!$CZ$2,FALSE)</f>
        <v>0</v>
      </c>
      <c r="R51" s="899">
        <f>VLOOKUP($D51,Plot!$DF$8:$FL$67,Plot!$FL$2,FALSE)</f>
        <v>-3</v>
      </c>
      <c r="S51" s="895">
        <f t="shared" si="19"/>
        <v>100</v>
      </c>
      <c r="T51" s="900">
        <f>IF($A51='Options and results'!$I$33,'Options and results'!$I$34)+IF($A51='Options and results'!$I$35,'Options and results'!$I$36)+IF($A51='Options and results'!$I$37,'Options and results'!$I$38)+IF($A51='Options and results'!$I$39,'Options and results'!$I$40)+IF($A51='Options and results'!$I$41,'Options and results'!$I$42)+IF(AND($A51&gt;='Options and results'!$I$44,$A51&lt;='Options and results'!$I$45),IF(MOD($A51+'Options and results'!$I$46-'Options and results'!$I$44,'Options and results'!$I$46)=0,'Options and results'!$I$47,0))</f>
        <v>0</v>
      </c>
      <c r="U51" s="901">
        <f>IF($A51='Options and results'!$I$59,'Options and results'!$I$60)+IF($A51='Options and results'!$I$61,'Options and results'!$I$62)+IF($A51='Options and results'!$I$63,'Options and results'!$I$64)+IF($A51='Options and results'!$I$65,'Options and results'!$I$66)+IF($A51='Options and results'!$I$67,'Options and results'!$I$68)+IF(AND($A51&gt;='Options and results'!$I$70,$A51&lt;='Options and results'!$I$71),IF(MOD($A51+'Options and results'!$I$72-'Options and results'!$I$70,'Options and results'!$I$72)=0,'Options and results'!$I$73,0))</f>
        <v>0</v>
      </c>
      <c r="V51" s="889">
        <f>'Options and results'!$W$18-W51-X51-Y51</f>
        <v>100</v>
      </c>
      <c r="W51" s="889">
        <f>SUMPRODUCT(T9:T51,E26:E68)</f>
        <v>0</v>
      </c>
      <c r="X51" s="889">
        <f>SUMPRODUCT(U9:U51,F26:F68)</f>
        <v>0</v>
      </c>
      <c r="Y51" s="889">
        <f>SUMPRODUCT(U9:U51,G26:G68)</f>
        <v>0</v>
      </c>
      <c r="Z51" s="889">
        <f t="shared" si="13"/>
        <v>0</v>
      </c>
      <c r="AA51" s="894">
        <f>(V51*Plot!E50*Plot!D50)</f>
        <v>0</v>
      </c>
      <c r="AB51" s="740">
        <f>SUMPRODUCT(T9:T51,H26:H68)</f>
        <v>0</v>
      </c>
      <c r="AC51" s="740">
        <f>SUMPRODUCT(T9:T51,I26:I68)</f>
        <v>0</v>
      </c>
      <c r="AD51" s="740">
        <f ca="1">SUMPRODUCT(U9:U51,J26:J68)</f>
        <v>0</v>
      </c>
      <c r="AE51" s="740">
        <f>SUMPRODUCT(U9:U51,K26:K68)</f>
        <v>0</v>
      </c>
      <c r="AF51" s="740">
        <f>SUMPRODUCT(U9:U51,L26:L68)</f>
        <v>0</v>
      </c>
      <c r="AG51" s="894">
        <f>Plot!N50*S51</f>
        <v>0</v>
      </c>
      <c r="AH51" s="740">
        <f>IF($A51&lt;='Options and results'!$W$20,SUMPRODUCT(T9:T51,M26:M68),0)</f>
        <v>0</v>
      </c>
      <c r="AI51" s="740">
        <f>IF($A51&lt;='Options and results'!$W$20,SUMPRODUCT(U9:U51,N26:N68),0)</f>
        <v>0</v>
      </c>
      <c r="AJ51" s="740">
        <f>IF($A51&lt;='Options and results'!$W$20,SUMPRODUCT(U9:U51,O26:O68),0)</f>
        <v>0</v>
      </c>
      <c r="AK51" s="740">
        <f t="shared" si="14"/>
        <v>0</v>
      </c>
      <c r="AL51" s="740">
        <f>Plot!P50*S51</f>
        <v>0</v>
      </c>
      <c r="AM51" s="740">
        <f>IF($A51&lt;='Options and results'!$W$20,SUMPRODUCT(T9:T51,P26:P68),0)</f>
        <v>0</v>
      </c>
      <c r="AN51" s="740">
        <f>IF($A51&lt;='Options and results'!$W$20,SUMPRODUCT(U9:U51,Q26:Q68),0)</f>
        <v>0</v>
      </c>
      <c r="AO51" s="740">
        <f>IF($A51&lt;='Options and results'!$W$20,SUMPRODUCT(U9:U51,R26:R68),0)</f>
        <v>0</v>
      </c>
      <c r="AP51" s="740">
        <f t="shared" si="15"/>
        <v>0</v>
      </c>
      <c r="AQ51" s="894">
        <f>IF($A51&lt;='Options and results'!$W$20,AQ50+AL51,0)</f>
        <v>0</v>
      </c>
      <c r="AR51" s="740">
        <f>IF($A51&lt;='Options and results'!$W$20,AR50+AM51,0)</f>
        <v>0</v>
      </c>
      <c r="AS51" s="740">
        <f>IF($A51&lt;='Options and results'!$W$20,AS50+AN51,0)</f>
        <v>0</v>
      </c>
      <c r="AT51" s="740">
        <f>IF($A51&lt;='Options and results'!$W$20,AT50+AO51,0)</f>
        <v>0</v>
      </c>
      <c r="AU51" s="740">
        <f>IF($A51&lt;='Options and results'!$W$20,AU50+AP51,0)</f>
        <v>0</v>
      </c>
      <c r="AV51" s="894">
        <f>AL51/(1+'Options and results'!$W$33)^($A51-1)</f>
        <v>0</v>
      </c>
      <c r="AW51" s="740">
        <f>AM51/(1+'Options and results'!$W$33)^($A51-1)</f>
        <v>0</v>
      </c>
      <c r="AX51" s="740">
        <f>AN51/(1+'Options and results'!$W$33)^($A51-1)</f>
        <v>0</v>
      </c>
      <c r="AY51" s="740">
        <f>AO51/(1+'Options and results'!$W$33)^($A51-1)</f>
        <v>0</v>
      </c>
      <c r="AZ51" s="740">
        <f t="shared" si="16"/>
        <v>0</v>
      </c>
      <c r="BA51" s="894">
        <f>IF($A51&lt;='Options and results'!$W$20,AV51+BA50,0)</f>
        <v>0</v>
      </c>
      <c r="BB51" s="740">
        <f>IF($A51&lt;='Options and results'!$W$20,AW51+BB50,0)</f>
        <v>0</v>
      </c>
      <c r="BC51" s="740">
        <f>IF($A51&lt;='Options and results'!$W$20,AX51+BC50,0)</f>
        <v>0</v>
      </c>
      <c r="BD51" s="740">
        <f>IF($A51&lt;='Options and results'!$W$20,AY51+BD50,0)</f>
        <v>0</v>
      </c>
      <c r="BE51" s="740">
        <f>IF($A51&lt;='Options and results'!$W$20,AZ51+BE50,0)</f>
        <v>0</v>
      </c>
      <c r="BF51" s="346"/>
    </row>
    <row r="52" spans="1:58" x14ac:dyDescent="0.25">
      <c r="A52" s="895">
        <f t="shared" si="17"/>
        <v>44</v>
      </c>
      <c r="B52" s="878">
        <f>IF('Options and results'!$C$54="none",0,IF(HLOOKUP('Options and results'!$C$54,Agroforestrysystem!$2:$9,8,FALSE)="No",LOOKUP(A52,Plot!$CK$8:$CN$67),LOOKUP(A52,Plot!$CK$8:$CN$67)+LOOKUP(A52,Plot!#REF!)))</f>
        <v>0</v>
      </c>
      <c r="C52" s="879">
        <f>IF(VLOOKUP(A52,Plot!$DF$8:$DL$67,7,FALSE)&gt;0,1-B52,0)</f>
        <v>0</v>
      </c>
      <c r="D52" s="896">
        <f t="shared" si="18"/>
        <v>17</v>
      </c>
      <c r="E52" s="897">
        <f>IF(VLOOKUP(D52,Plot!$V$8:$AB$67,Plot!$AB$2,FALSE)&gt;0,1,0)</f>
        <v>1</v>
      </c>
      <c r="F52" s="898">
        <f t="shared" si="11"/>
        <v>0.99</v>
      </c>
      <c r="G52" s="898">
        <f t="shared" si="12"/>
        <v>1.0000000000000009E-2</v>
      </c>
      <c r="H52" s="883">
        <f>VLOOKUP(D52,Plot!$V$8:$AH$67,Plot!$AH$2,FALSE)</f>
        <v>65.560847497173981</v>
      </c>
      <c r="I52" s="884">
        <f>VLOOKUP(D52,Plot!$V$8:$AJ$67,Plot!$AJ$2,FALSE)</f>
        <v>0</v>
      </c>
      <c r="J52" s="885">
        <f ca="1">VLOOKUP(D52,Plot!$CK$8:$CP$67,Plot!$CO$2,FALSE)*VLOOKUP(D52,Plot!$CK$8:$CP$67,Plot!$CN$2,FALSE)</f>
        <v>0</v>
      </c>
      <c r="K52" s="884">
        <f>VLOOKUP(D52,Plot!$DF$8:$DS$67,Plot!$DS$2,FALSE)</f>
        <v>53.196042808101986</v>
      </c>
      <c r="L52" s="884">
        <f>VLOOKUP(D52,Plot!$DF$8:$DU$67,Plot!$DU$2,FALSE)</f>
        <v>0</v>
      </c>
      <c r="M52" s="883">
        <f>VLOOKUP(D52,Plot!$V$8:$BW$67,Plot!$BW$2,FALSE)</f>
        <v>0</v>
      </c>
      <c r="N52" s="884">
        <f>VLOOKUP(D52,Plot!$CK$8:$CX$67,Plot!$CX$2,FALSE)</f>
        <v>0</v>
      </c>
      <c r="O52" s="884">
        <f>VLOOKUP(D52,Plot!$DF$8:$FH$67,Plot!$FH$2,FALSE)</f>
        <v>0</v>
      </c>
      <c r="P52" s="883">
        <f>VLOOKUP(D52,Plot!$V$8:$CA$67,Plot!$CA$2,FALSE)</f>
        <v>-3</v>
      </c>
      <c r="Q52" s="884">
        <f ca="1">VLOOKUP($D52,Plot!$CK$8:$CZ$67,Plot!$CZ$2,FALSE)</f>
        <v>0</v>
      </c>
      <c r="R52" s="899">
        <f>VLOOKUP($D52,Plot!$DF$8:$FL$67,Plot!$FL$2,FALSE)</f>
        <v>-3</v>
      </c>
      <c r="S52" s="895">
        <f t="shared" si="19"/>
        <v>100</v>
      </c>
      <c r="T52" s="900">
        <f>IF($A52='Options and results'!$I$33,'Options and results'!$I$34)+IF($A52='Options and results'!$I$35,'Options and results'!$I$36)+IF($A52='Options and results'!$I$37,'Options and results'!$I$38)+IF($A52='Options and results'!$I$39,'Options and results'!$I$40)+IF($A52='Options and results'!$I$41,'Options and results'!$I$42)+IF(AND($A52&gt;='Options and results'!$I$44,$A52&lt;='Options and results'!$I$45),IF(MOD($A52+'Options and results'!$I$46-'Options and results'!$I$44,'Options and results'!$I$46)=0,'Options and results'!$I$47,0))</f>
        <v>0</v>
      </c>
      <c r="U52" s="901">
        <f>IF($A52='Options and results'!$I$59,'Options and results'!$I$60)+IF($A52='Options and results'!$I$61,'Options and results'!$I$62)+IF($A52='Options and results'!$I$63,'Options and results'!$I$64)+IF($A52='Options and results'!$I$65,'Options and results'!$I$66)+IF($A52='Options and results'!$I$67,'Options and results'!$I$68)+IF(AND($A52&gt;='Options and results'!$I$70,$A52&lt;='Options and results'!$I$71),IF(MOD($A52+'Options and results'!$I$72-'Options and results'!$I$70,'Options and results'!$I$72)=0,'Options and results'!$I$73,0))</f>
        <v>0</v>
      </c>
      <c r="V52" s="889">
        <f>'Options and results'!$W$18-W52-X52-Y52</f>
        <v>100</v>
      </c>
      <c r="W52" s="889">
        <f>SUMPRODUCT(T9:T52,E25:E68)</f>
        <v>0</v>
      </c>
      <c r="X52" s="889">
        <f>SUMPRODUCT(U9:U52,F25:F68)</f>
        <v>0</v>
      </c>
      <c r="Y52" s="889">
        <f>SUMPRODUCT(U9:U52,G25:G68)</f>
        <v>0</v>
      </c>
      <c r="Z52" s="889">
        <f t="shared" si="13"/>
        <v>0</v>
      </c>
      <c r="AA52" s="894">
        <f>(V52*Plot!E51*Plot!D51)</f>
        <v>0</v>
      </c>
      <c r="AB52" s="740">
        <f>SUMPRODUCT(T9:T52,H25:H68)</f>
        <v>0</v>
      </c>
      <c r="AC52" s="740">
        <f>SUMPRODUCT(T9:T52,I25:I68)</f>
        <v>0</v>
      </c>
      <c r="AD52" s="740">
        <f ca="1">SUMPRODUCT(U9:U52,J25:J68)</f>
        <v>0</v>
      </c>
      <c r="AE52" s="740">
        <f>SUMPRODUCT(U9:U52,K25:K68)</f>
        <v>0</v>
      </c>
      <c r="AF52" s="740">
        <f>SUMPRODUCT(U9:U52,L25:L68)</f>
        <v>0</v>
      </c>
      <c r="AG52" s="894">
        <f>Plot!N51*S52</f>
        <v>0</v>
      </c>
      <c r="AH52" s="740">
        <f>IF($A52&lt;='Options and results'!$W$20,SUMPRODUCT(T9:T52,M25:M68),0)</f>
        <v>0</v>
      </c>
      <c r="AI52" s="740">
        <f>IF($A52&lt;='Options and results'!$W$20,SUMPRODUCT(U9:U52,N25:N68),0)</f>
        <v>0</v>
      </c>
      <c r="AJ52" s="740">
        <f>IF($A52&lt;='Options and results'!$W$20,SUMPRODUCT(U9:U52,O25:O68),0)</f>
        <v>0</v>
      </c>
      <c r="AK52" s="740">
        <f t="shared" si="14"/>
        <v>0</v>
      </c>
      <c r="AL52" s="740">
        <f>Plot!P51*S52</f>
        <v>0</v>
      </c>
      <c r="AM52" s="740">
        <f>IF($A52&lt;='Options and results'!$W$20,SUMPRODUCT(T9:T52,P25:P68),0)</f>
        <v>0</v>
      </c>
      <c r="AN52" s="740">
        <f>IF($A52&lt;='Options and results'!$W$20,SUMPRODUCT(U9:U52,Q25:Q68),0)</f>
        <v>0</v>
      </c>
      <c r="AO52" s="740">
        <f>IF($A52&lt;='Options and results'!$W$20,SUMPRODUCT(U9:U52,R25:R68),0)</f>
        <v>0</v>
      </c>
      <c r="AP52" s="740">
        <f t="shared" si="15"/>
        <v>0</v>
      </c>
      <c r="AQ52" s="894">
        <f>IF($A52&lt;='Options and results'!$W$20,AQ51+AL52,0)</f>
        <v>0</v>
      </c>
      <c r="AR52" s="740">
        <f>IF($A52&lt;='Options and results'!$W$20,AR51+AM52,0)</f>
        <v>0</v>
      </c>
      <c r="AS52" s="740">
        <f>IF($A52&lt;='Options and results'!$W$20,AS51+AN52,0)</f>
        <v>0</v>
      </c>
      <c r="AT52" s="740">
        <f>IF($A52&lt;='Options and results'!$W$20,AT51+AO52,0)</f>
        <v>0</v>
      </c>
      <c r="AU52" s="740">
        <f>IF($A52&lt;='Options and results'!$W$20,AU51+AP52,0)</f>
        <v>0</v>
      </c>
      <c r="AV52" s="894">
        <f>AL52/(1+'Options and results'!$W$33)^($A52-1)</f>
        <v>0</v>
      </c>
      <c r="AW52" s="740">
        <f>AM52/(1+'Options and results'!$W$33)^($A52-1)</f>
        <v>0</v>
      </c>
      <c r="AX52" s="740">
        <f>AN52/(1+'Options and results'!$W$33)^($A52-1)</f>
        <v>0</v>
      </c>
      <c r="AY52" s="740">
        <f>AO52/(1+'Options and results'!$W$33)^($A52-1)</f>
        <v>0</v>
      </c>
      <c r="AZ52" s="740">
        <f t="shared" si="16"/>
        <v>0</v>
      </c>
      <c r="BA52" s="894">
        <f>IF($A52&lt;='Options and results'!$W$20,AV52+BA51,0)</f>
        <v>0</v>
      </c>
      <c r="BB52" s="740">
        <f>IF($A52&lt;='Options and results'!$W$20,AW52+BB51,0)</f>
        <v>0</v>
      </c>
      <c r="BC52" s="740">
        <f>IF($A52&lt;='Options and results'!$W$20,AX52+BC51,0)</f>
        <v>0</v>
      </c>
      <c r="BD52" s="740">
        <f>IF($A52&lt;='Options and results'!$W$20,AY52+BD51,0)</f>
        <v>0</v>
      </c>
      <c r="BE52" s="740">
        <f>IF($A52&lt;='Options and results'!$W$20,AZ52+BE51,0)</f>
        <v>0</v>
      </c>
      <c r="BF52" s="346"/>
    </row>
    <row r="53" spans="1:58" x14ac:dyDescent="0.25">
      <c r="A53" s="895">
        <f t="shared" si="17"/>
        <v>45</v>
      </c>
      <c r="B53" s="878">
        <f>IF('Options and results'!$C$54="none",0,IF(HLOOKUP('Options and results'!$C$54,Agroforestrysystem!$2:$9,8,FALSE)="No",LOOKUP(A53,Plot!$CK$8:$CN$67),LOOKUP(A53,Plot!$CK$8:$CN$67)+LOOKUP(A53,Plot!#REF!)))</f>
        <v>0</v>
      </c>
      <c r="C53" s="879">
        <f>IF(VLOOKUP(A53,Plot!$DF$8:$DL$67,7,FALSE)&gt;0,1-B53,0)</f>
        <v>0</v>
      </c>
      <c r="D53" s="896">
        <f t="shared" si="18"/>
        <v>16</v>
      </c>
      <c r="E53" s="897">
        <f>IF(VLOOKUP(D53,Plot!$V$8:$AB$67,Plot!$AB$2,FALSE)&gt;0,1,0)</f>
        <v>1</v>
      </c>
      <c r="F53" s="898">
        <f t="shared" si="11"/>
        <v>0.99</v>
      </c>
      <c r="G53" s="898">
        <f t="shared" si="12"/>
        <v>1.0000000000000009E-2</v>
      </c>
      <c r="H53" s="883">
        <f>VLOOKUP(D53,Plot!$V$8:$AH$67,Plot!$AH$2,FALSE)</f>
        <v>51.905996768575733</v>
      </c>
      <c r="I53" s="884">
        <f>VLOOKUP(D53,Plot!$V$8:$AJ$67,Plot!$AJ$2,FALSE)</f>
        <v>0</v>
      </c>
      <c r="J53" s="885">
        <f ca="1">VLOOKUP(D53,Plot!$CK$8:$CP$67,Plot!$CO$2,FALSE)*VLOOKUP(D53,Plot!$CK$8:$CP$67,Plot!$CN$2,FALSE)</f>
        <v>0</v>
      </c>
      <c r="K53" s="884">
        <f>VLOOKUP(D53,Plot!$DF$8:$DS$67,Plot!$DS$2,FALSE)</f>
        <v>40.629431907125252</v>
      </c>
      <c r="L53" s="884">
        <f>VLOOKUP(D53,Plot!$DF$8:$DU$67,Plot!$DU$2,FALSE)</f>
        <v>0</v>
      </c>
      <c r="M53" s="883">
        <f>VLOOKUP(D53,Plot!$V$8:$BW$67,Plot!$BW$2,FALSE)</f>
        <v>0</v>
      </c>
      <c r="N53" s="884">
        <f>VLOOKUP(D53,Plot!$CK$8:$CX$67,Plot!$CX$2,FALSE)</f>
        <v>0</v>
      </c>
      <c r="O53" s="884">
        <f>VLOOKUP(D53,Plot!$DF$8:$FH$67,Plot!$FH$2,FALSE)</f>
        <v>0</v>
      </c>
      <c r="P53" s="883">
        <f>VLOOKUP(D53,Plot!$V$8:$CA$67,Plot!$CA$2,FALSE)</f>
        <v>-3</v>
      </c>
      <c r="Q53" s="884">
        <f ca="1">VLOOKUP($D53,Plot!$CK$8:$CZ$67,Plot!$CZ$2,FALSE)</f>
        <v>0</v>
      </c>
      <c r="R53" s="899">
        <f>VLOOKUP($D53,Plot!$DF$8:$FL$67,Plot!$FL$2,FALSE)</f>
        <v>-3</v>
      </c>
      <c r="S53" s="895">
        <f t="shared" si="19"/>
        <v>100</v>
      </c>
      <c r="T53" s="900">
        <f>IF($A53='Options and results'!$I$33,'Options and results'!$I$34)+IF($A53='Options and results'!$I$35,'Options and results'!$I$36)+IF($A53='Options and results'!$I$37,'Options and results'!$I$38)+IF($A53='Options and results'!$I$39,'Options and results'!$I$40)+IF($A53='Options and results'!$I$41,'Options and results'!$I$42)+IF(AND($A53&gt;='Options and results'!$I$44,$A53&lt;='Options and results'!$I$45),IF(MOD($A53+'Options and results'!$I$46-'Options and results'!$I$44,'Options and results'!$I$46)=0,'Options and results'!$I$47,0))</f>
        <v>0</v>
      </c>
      <c r="U53" s="901">
        <f>IF($A53='Options and results'!$I$59,'Options and results'!$I$60)+IF($A53='Options and results'!$I$61,'Options and results'!$I$62)+IF($A53='Options and results'!$I$63,'Options and results'!$I$64)+IF($A53='Options and results'!$I$65,'Options and results'!$I$66)+IF($A53='Options and results'!$I$67,'Options and results'!$I$68)+IF(AND($A53&gt;='Options and results'!$I$70,$A53&lt;='Options and results'!$I$71),IF(MOD($A53+'Options and results'!$I$72-'Options and results'!$I$70,'Options and results'!$I$72)=0,'Options and results'!$I$73,0))</f>
        <v>0</v>
      </c>
      <c r="V53" s="889">
        <f>'Options and results'!$W$18-W53-X53-Y53</f>
        <v>100</v>
      </c>
      <c r="W53" s="889">
        <f>SUMPRODUCT(T9:T53,E24:E68)</f>
        <v>0</v>
      </c>
      <c r="X53" s="889">
        <f>SUMPRODUCT(U9:U53,F24:F68)</f>
        <v>0</v>
      </c>
      <c r="Y53" s="889">
        <f>SUMPRODUCT(U9:U53,G24:G68)</f>
        <v>0</v>
      </c>
      <c r="Z53" s="889">
        <f t="shared" si="13"/>
        <v>0</v>
      </c>
      <c r="AA53" s="894">
        <f>(V53*Plot!E52*Plot!D52)</f>
        <v>0</v>
      </c>
      <c r="AB53" s="740">
        <f>SUMPRODUCT(T9:T53,H24:H68)</f>
        <v>0</v>
      </c>
      <c r="AC53" s="740">
        <f>SUMPRODUCT(T9:T53,I24:I68)</f>
        <v>0</v>
      </c>
      <c r="AD53" s="740">
        <f ca="1">SUMPRODUCT(U9:U53,J24:J68)</f>
        <v>0</v>
      </c>
      <c r="AE53" s="740">
        <f>SUMPRODUCT(U9:U53,K24:K68)</f>
        <v>0</v>
      </c>
      <c r="AF53" s="740">
        <f>SUMPRODUCT(U9:U53,L24:L68)</f>
        <v>0</v>
      </c>
      <c r="AG53" s="894">
        <f>Plot!N52*S53</f>
        <v>0</v>
      </c>
      <c r="AH53" s="740">
        <f>IF($A53&lt;='Options and results'!$W$20,SUMPRODUCT(T9:T53,M24:M68),0)</f>
        <v>0</v>
      </c>
      <c r="AI53" s="740">
        <f>IF($A53&lt;='Options and results'!$W$20,SUMPRODUCT(U9:U53,N24:N68),0)</f>
        <v>0</v>
      </c>
      <c r="AJ53" s="740">
        <f>IF($A53&lt;='Options and results'!$W$20,SUMPRODUCT(U9:U53,O24:O68),0)</f>
        <v>0</v>
      </c>
      <c r="AK53" s="740">
        <f t="shared" si="14"/>
        <v>0</v>
      </c>
      <c r="AL53" s="740">
        <f>Plot!P52*S53</f>
        <v>0</v>
      </c>
      <c r="AM53" s="740">
        <f>IF($A53&lt;='Options and results'!$W$20,SUMPRODUCT(T9:T53,P24:P68),0)</f>
        <v>0</v>
      </c>
      <c r="AN53" s="740">
        <f>IF($A53&lt;='Options and results'!$W$20,SUMPRODUCT(U9:U53,Q24:Q68),0)</f>
        <v>0</v>
      </c>
      <c r="AO53" s="740">
        <f>IF($A53&lt;='Options and results'!$W$20,SUMPRODUCT(U9:U53,R24:R68),0)</f>
        <v>0</v>
      </c>
      <c r="AP53" s="740">
        <f t="shared" si="15"/>
        <v>0</v>
      </c>
      <c r="AQ53" s="894">
        <f>IF($A53&lt;='Options and results'!$W$20,AQ52+AL53,0)</f>
        <v>0</v>
      </c>
      <c r="AR53" s="740">
        <f>IF($A53&lt;='Options and results'!$W$20,AR52+AM53,0)</f>
        <v>0</v>
      </c>
      <c r="AS53" s="740">
        <f>IF($A53&lt;='Options and results'!$W$20,AS52+AN53,0)</f>
        <v>0</v>
      </c>
      <c r="AT53" s="740">
        <f>IF($A53&lt;='Options and results'!$W$20,AT52+AO53,0)</f>
        <v>0</v>
      </c>
      <c r="AU53" s="740">
        <f>IF($A53&lt;='Options and results'!$W$20,AU52+AP53,0)</f>
        <v>0</v>
      </c>
      <c r="AV53" s="894">
        <f>AL53/(1+'Options and results'!$W$33)^($A53-1)</f>
        <v>0</v>
      </c>
      <c r="AW53" s="740">
        <f>AM53/(1+'Options and results'!$W$33)^($A53-1)</f>
        <v>0</v>
      </c>
      <c r="AX53" s="740">
        <f>AN53/(1+'Options and results'!$W$33)^($A53-1)</f>
        <v>0</v>
      </c>
      <c r="AY53" s="740">
        <f>AO53/(1+'Options and results'!$W$33)^($A53-1)</f>
        <v>0</v>
      </c>
      <c r="AZ53" s="740">
        <f t="shared" si="16"/>
        <v>0</v>
      </c>
      <c r="BA53" s="894">
        <f>IF($A53&lt;='Options and results'!$W$20,AV53+BA52,0)</f>
        <v>0</v>
      </c>
      <c r="BB53" s="740">
        <f>IF($A53&lt;='Options and results'!$W$20,AW53+BB52,0)</f>
        <v>0</v>
      </c>
      <c r="BC53" s="740">
        <f>IF($A53&lt;='Options and results'!$W$20,AX53+BC52,0)</f>
        <v>0</v>
      </c>
      <c r="BD53" s="740">
        <f>IF($A53&lt;='Options and results'!$W$20,AY53+BD52,0)</f>
        <v>0</v>
      </c>
      <c r="BE53" s="740">
        <f>IF($A53&lt;='Options and results'!$W$20,AZ53+BE52,0)</f>
        <v>0</v>
      </c>
      <c r="BF53" s="346"/>
    </row>
    <row r="54" spans="1:58" x14ac:dyDescent="0.25">
      <c r="A54" s="895">
        <f t="shared" si="17"/>
        <v>46</v>
      </c>
      <c r="B54" s="878">
        <f>IF('Options and results'!$C$54="none",0,IF(HLOOKUP('Options and results'!$C$54,Agroforestrysystem!$2:$9,8,FALSE)="No",LOOKUP(A54,Plot!$CK$8:$CN$67),LOOKUP(A54,Plot!$CK$8:$CN$67)+LOOKUP(A54,Plot!#REF!)))</f>
        <v>0</v>
      </c>
      <c r="C54" s="879">
        <f>IF(VLOOKUP(A54,Plot!$DF$8:$DL$67,7,FALSE)&gt;0,1-B54,0)</f>
        <v>0</v>
      </c>
      <c r="D54" s="896">
        <f t="shared" si="18"/>
        <v>15</v>
      </c>
      <c r="E54" s="897">
        <f>IF(VLOOKUP(D54,Plot!$V$8:$AB$67,Plot!$AB$2,FALSE)&gt;0,1,0)</f>
        <v>1</v>
      </c>
      <c r="F54" s="898">
        <f t="shared" si="11"/>
        <v>0.99</v>
      </c>
      <c r="G54" s="898">
        <f t="shared" si="12"/>
        <v>1.0000000000000009E-2</v>
      </c>
      <c r="H54" s="883">
        <f>VLOOKUP(D54,Plot!$V$8:$AH$67,Plot!$AH$2,FALSE)</f>
        <v>41.02529881497766</v>
      </c>
      <c r="I54" s="884">
        <f>VLOOKUP(D54,Plot!$V$8:$AJ$67,Plot!$AJ$2,FALSE)</f>
        <v>0</v>
      </c>
      <c r="J54" s="885">
        <f ca="1">VLOOKUP(D54,Plot!$CK$8:$CP$67,Plot!$CO$2,FALSE)*VLOOKUP(D54,Plot!$CK$8:$CP$67,Plot!$CN$2,FALSE)</f>
        <v>0</v>
      </c>
      <c r="K54" s="884">
        <f>VLOOKUP(D54,Plot!$DF$8:$DS$67,Plot!$DS$2,FALSE)</f>
        <v>30.232991290963536</v>
      </c>
      <c r="L54" s="884">
        <f>VLOOKUP(D54,Plot!$DF$8:$DU$67,Plot!$DU$2,FALSE)</f>
        <v>0</v>
      </c>
      <c r="M54" s="883">
        <f>VLOOKUP(D54,Plot!$V$8:$BW$67,Plot!$BW$2,FALSE)</f>
        <v>0</v>
      </c>
      <c r="N54" s="884">
        <f>VLOOKUP(D54,Plot!$CK$8:$CX$67,Plot!$CX$2,FALSE)</f>
        <v>0</v>
      </c>
      <c r="O54" s="884">
        <f>VLOOKUP(D54,Plot!$DF$8:$FH$67,Plot!$FH$2,FALSE)</f>
        <v>0</v>
      </c>
      <c r="P54" s="883">
        <f>VLOOKUP(D54,Plot!$V$8:$CA$67,Plot!$CA$2,FALSE)</f>
        <v>-3</v>
      </c>
      <c r="Q54" s="884">
        <f ca="1">VLOOKUP($D54,Plot!$CK$8:$CZ$67,Plot!$CZ$2,FALSE)</f>
        <v>0</v>
      </c>
      <c r="R54" s="899">
        <f>VLOOKUP($D54,Plot!$DF$8:$FL$67,Plot!$FL$2,FALSE)</f>
        <v>-3</v>
      </c>
      <c r="S54" s="895">
        <f t="shared" si="19"/>
        <v>100</v>
      </c>
      <c r="T54" s="900">
        <f>IF($A54='Options and results'!$I$33,'Options and results'!$I$34)+IF($A54='Options and results'!$I$35,'Options and results'!$I$36)+IF($A54='Options and results'!$I$37,'Options and results'!$I$38)+IF($A54='Options and results'!$I$39,'Options and results'!$I$40)+IF($A54='Options and results'!$I$41,'Options and results'!$I$42)+IF(AND($A54&gt;='Options and results'!$I$44,$A54&lt;='Options and results'!$I$45),IF(MOD($A54+'Options and results'!$I$46-'Options and results'!$I$44,'Options and results'!$I$46)=0,'Options and results'!$I$47,0))</f>
        <v>0</v>
      </c>
      <c r="U54" s="901">
        <f>IF($A54='Options and results'!$I$59,'Options and results'!$I$60)+IF($A54='Options and results'!$I$61,'Options and results'!$I$62)+IF($A54='Options and results'!$I$63,'Options and results'!$I$64)+IF($A54='Options and results'!$I$65,'Options and results'!$I$66)+IF($A54='Options and results'!$I$67,'Options and results'!$I$68)+IF(AND($A54&gt;='Options and results'!$I$70,$A54&lt;='Options and results'!$I$71),IF(MOD($A54+'Options and results'!$I$72-'Options and results'!$I$70,'Options and results'!$I$72)=0,'Options and results'!$I$73,0))</f>
        <v>0</v>
      </c>
      <c r="V54" s="889">
        <f>'Options and results'!$W$18-W54-X54-Y54</f>
        <v>100</v>
      </c>
      <c r="W54" s="889">
        <f>SUMPRODUCT(T9:T54,E23:E68)</f>
        <v>0</v>
      </c>
      <c r="X54" s="889">
        <f>SUMPRODUCT(U9:U54,F23:F68)</f>
        <v>0</v>
      </c>
      <c r="Y54" s="889">
        <f>SUMPRODUCT(U9:U54,G23:G68)</f>
        <v>0</v>
      </c>
      <c r="Z54" s="889">
        <f t="shared" si="13"/>
        <v>0</v>
      </c>
      <c r="AA54" s="894">
        <f>(V54*Plot!E53*Plot!D53)</f>
        <v>0</v>
      </c>
      <c r="AB54" s="740">
        <f>SUMPRODUCT(T9:T54,H23:H68)</f>
        <v>0</v>
      </c>
      <c r="AC54" s="740">
        <f>SUMPRODUCT(T9:T54,I23:I68)</f>
        <v>0</v>
      </c>
      <c r="AD54" s="740">
        <f ca="1">SUMPRODUCT(U9:U54,J23:J68)</f>
        <v>0</v>
      </c>
      <c r="AE54" s="740">
        <f>SUMPRODUCT(U9:U54,K23:K68)</f>
        <v>0</v>
      </c>
      <c r="AF54" s="740">
        <f>SUMPRODUCT(U9:U54,L23:L68)</f>
        <v>0</v>
      </c>
      <c r="AG54" s="894">
        <f>Plot!N53*S54</f>
        <v>0</v>
      </c>
      <c r="AH54" s="740">
        <f>IF($A54&lt;='Options and results'!$W$20,SUMPRODUCT(T9:T54,M23:M68),0)</f>
        <v>0</v>
      </c>
      <c r="AI54" s="740">
        <f>IF($A54&lt;='Options and results'!$W$20,SUMPRODUCT(U9:U54,N23:N68),0)</f>
        <v>0</v>
      </c>
      <c r="AJ54" s="740">
        <f>IF($A54&lt;='Options and results'!$W$20,SUMPRODUCT(U9:U54,O23:O68),0)</f>
        <v>0</v>
      </c>
      <c r="AK54" s="740">
        <f t="shared" si="14"/>
        <v>0</v>
      </c>
      <c r="AL54" s="740">
        <f>Plot!P53*S54</f>
        <v>0</v>
      </c>
      <c r="AM54" s="740">
        <f>IF($A54&lt;='Options and results'!$W$20,SUMPRODUCT(T9:T54,P23:P68),0)</f>
        <v>0</v>
      </c>
      <c r="AN54" s="740">
        <f>IF($A54&lt;='Options and results'!$W$20,SUMPRODUCT(U9:U54,Q23:Q68),0)</f>
        <v>0</v>
      </c>
      <c r="AO54" s="740">
        <f>IF($A54&lt;='Options and results'!$W$20,SUMPRODUCT(U9:U54,R23:R68),0)</f>
        <v>0</v>
      </c>
      <c r="AP54" s="740">
        <f t="shared" si="15"/>
        <v>0</v>
      </c>
      <c r="AQ54" s="894">
        <f>IF($A54&lt;='Options and results'!$W$20,AQ53+AL54,0)</f>
        <v>0</v>
      </c>
      <c r="AR54" s="740">
        <f>IF($A54&lt;='Options and results'!$W$20,AR53+AM54,0)</f>
        <v>0</v>
      </c>
      <c r="AS54" s="740">
        <f>IF($A54&lt;='Options and results'!$W$20,AS53+AN54,0)</f>
        <v>0</v>
      </c>
      <c r="AT54" s="740">
        <f>IF($A54&lt;='Options and results'!$W$20,AT53+AO54,0)</f>
        <v>0</v>
      </c>
      <c r="AU54" s="740">
        <f>IF($A54&lt;='Options and results'!$W$20,AU53+AP54,0)</f>
        <v>0</v>
      </c>
      <c r="AV54" s="894">
        <f>AL54/(1+'Options and results'!$W$33)^($A54-1)</f>
        <v>0</v>
      </c>
      <c r="AW54" s="740">
        <f>AM54/(1+'Options and results'!$W$33)^($A54-1)</f>
        <v>0</v>
      </c>
      <c r="AX54" s="740">
        <f>AN54/(1+'Options and results'!$W$33)^($A54-1)</f>
        <v>0</v>
      </c>
      <c r="AY54" s="740">
        <f>AO54/(1+'Options and results'!$W$33)^($A54-1)</f>
        <v>0</v>
      </c>
      <c r="AZ54" s="740">
        <f t="shared" si="16"/>
        <v>0</v>
      </c>
      <c r="BA54" s="894">
        <f>IF($A54&lt;='Options and results'!$W$20,AV54+BA53,0)</f>
        <v>0</v>
      </c>
      <c r="BB54" s="740">
        <f>IF($A54&lt;='Options and results'!$W$20,AW54+BB53,0)</f>
        <v>0</v>
      </c>
      <c r="BC54" s="740">
        <f>IF($A54&lt;='Options and results'!$W$20,AX54+BC53,0)</f>
        <v>0</v>
      </c>
      <c r="BD54" s="740">
        <f>IF($A54&lt;='Options and results'!$W$20,AY54+BD53,0)</f>
        <v>0</v>
      </c>
      <c r="BE54" s="740">
        <f>IF($A54&lt;='Options and results'!$W$20,AZ54+BE53,0)</f>
        <v>0</v>
      </c>
      <c r="BF54" s="346"/>
    </row>
    <row r="55" spans="1:58" x14ac:dyDescent="0.25">
      <c r="A55" s="895">
        <f t="shared" si="17"/>
        <v>47</v>
      </c>
      <c r="B55" s="878">
        <f>IF('Options and results'!$C$54="none",0,IF(HLOOKUP('Options and results'!$C$54,Agroforestrysystem!$2:$9,8,FALSE)="No",LOOKUP(A55,Plot!$CK$8:$CN$67),LOOKUP(A55,Plot!$CK$8:$CN$67)+LOOKUP(A55,Plot!#REF!)))</f>
        <v>0</v>
      </c>
      <c r="C55" s="879">
        <f>IF(VLOOKUP(A55,Plot!$DF$8:$DL$67,7,FALSE)&gt;0,1-B55,0)</f>
        <v>0</v>
      </c>
      <c r="D55" s="896">
        <f t="shared" si="18"/>
        <v>14</v>
      </c>
      <c r="E55" s="897">
        <f>IF(VLOOKUP(D55,Plot!$V$8:$AB$67,Plot!$AB$2,FALSE)&gt;0,1,0)</f>
        <v>1</v>
      </c>
      <c r="F55" s="898">
        <f t="shared" si="11"/>
        <v>0.99</v>
      </c>
      <c r="G55" s="898">
        <f t="shared" si="12"/>
        <v>1.0000000000000009E-2</v>
      </c>
      <c r="H55" s="883">
        <f>VLOOKUP(D55,Plot!$V$8:$AH$67,Plot!$AH$2,FALSE)</f>
        <v>30.448359302089404</v>
      </c>
      <c r="I55" s="884">
        <f>VLOOKUP(D55,Plot!$V$8:$AJ$67,Plot!$AJ$2,FALSE)</f>
        <v>0</v>
      </c>
      <c r="J55" s="885">
        <f ca="1">VLOOKUP(D55,Plot!$CK$8:$CP$67,Plot!$CO$2,FALSE)*VLOOKUP(D55,Plot!$CK$8:$CP$67,Plot!$CN$2,FALSE)</f>
        <v>6.1082999999999998</v>
      </c>
      <c r="K55" s="884">
        <f>VLOOKUP(D55,Plot!$DF$8:$DS$67,Plot!$DS$2,FALSE)</f>
        <v>21.692095207628785</v>
      </c>
      <c r="L55" s="884">
        <f>VLOOKUP(D55,Plot!$DF$8:$DU$67,Plot!$DU$2,FALSE)</f>
        <v>0</v>
      </c>
      <c r="M55" s="883">
        <f>VLOOKUP(D55,Plot!$V$8:$BW$67,Plot!$BW$2,FALSE)</f>
        <v>0</v>
      </c>
      <c r="N55" s="884">
        <f>VLOOKUP(D55,Plot!$CK$8:$CX$67,Plot!$CX$2,FALSE)</f>
        <v>11.516506250880969</v>
      </c>
      <c r="O55" s="884">
        <f>VLOOKUP(D55,Plot!$DF$8:$FH$67,Plot!$FH$2,FALSE)</f>
        <v>0</v>
      </c>
      <c r="P55" s="883">
        <f>VLOOKUP(D55,Plot!$V$8:$CA$67,Plot!$CA$2,FALSE)</f>
        <v>-3</v>
      </c>
      <c r="Q55" s="884">
        <f ca="1">VLOOKUP($D55,Plot!$CK$8:$CZ$67,Plot!$CZ$2,FALSE)</f>
        <v>-102.64149126286202</v>
      </c>
      <c r="R55" s="899">
        <f>VLOOKUP($D55,Plot!$DF$8:$FL$67,Plot!$FL$2,FALSE)</f>
        <v>-3</v>
      </c>
      <c r="S55" s="895">
        <f t="shared" si="19"/>
        <v>100</v>
      </c>
      <c r="T55" s="900">
        <f>IF($A55='Options and results'!$I$33,'Options and results'!$I$34)+IF($A55='Options and results'!$I$35,'Options and results'!$I$36)+IF($A55='Options and results'!$I$37,'Options and results'!$I$38)+IF($A55='Options and results'!$I$39,'Options and results'!$I$40)+IF($A55='Options and results'!$I$41,'Options and results'!$I$42)+IF(AND($A55&gt;='Options and results'!$I$44,$A55&lt;='Options and results'!$I$45),IF(MOD($A55+'Options and results'!$I$46-'Options and results'!$I$44,'Options and results'!$I$46)=0,'Options and results'!$I$47,0))</f>
        <v>0</v>
      </c>
      <c r="U55" s="901">
        <f>IF($A55='Options and results'!$I$59,'Options and results'!$I$60)+IF($A55='Options and results'!$I$61,'Options and results'!$I$62)+IF($A55='Options and results'!$I$63,'Options and results'!$I$64)+IF($A55='Options and results'!$I$65,'Options and results'!$I$66)+IF($A55='Options and results'!$I$67,'Options and results'!$I$68)+IF(AND($A55&gt;='Options and results'!$I$70,$A55&lt;='Options and results'!$I$71),IF(MOD($A55+'Options and results'!$I$72-'Options and results'!$I$70,'Options and results'!$I$72)=0,'Options and results'!$I$73,0))</f>
        <v>0</v>
      </c>
      <c r="V55" s="889">
        <f>'Options and results'!$W$18-W55-X55-Y55</f>
        <v>100</v>
      </c>
      <c r="W55" s="889">
        <f>SUMPRODUCT(T9:T55,E22:E68)</f>
        <v>0</v>
      </c>
      <c r="X55" s="889">
        <f>SUMPRODUCT(U9:U55,F22:F68)</f>
        <v>0</v>
      </c>
      <c r="Y55" s="889">
        <f>SUMPRODUCT(U9:U55,G22:G68)</f>
        <v>0</v>
      </c>
      <c r="Z55" s="889">
        <f t="shared" si="13"/>
        <v>0</v>
      </c>
      <c r="AA55" s="894">
        <f>(V55*Plot!E54*Plot!D54)</f>
        <v>0</v>
      </c>
      <c r="AB55" s="740">
        <f>SUMPRODUCT(T9:T55,H22:H68)</f>
        <v>0</v>
      </c>
      <c r="AC55" s="740">
        <f>SUMPRODUCT(T9:T55,I22:I68)</f>
        <v>0</v>
      </c>
      <c r="AD55" s="740">
        <f ca="1">SUMPRODUCT(U9:U55,J22:J68)</f>
        <v>0</v>
      </c>
      <c r="AE55" s="740">
        <f>SUMPRODUCT(U9:U55,K22:K68)</f>
        <v>0</v>
      </c>
      <c r="AF55" s="740">
        <f>SUMPRODUCT(U9:U55,L22:L68)</f>
        <v>0</v>
      </c>
      <c r="AG55" s="894">
        <f>Plot!N54*S55</f>
        <v>0</v>
      </c>
      <c r="AH55" s="740">
        <f>IF($A55&lt;='Options and results'!$W$20,SUMPRODUCT(T9:T55,M22:M68),0)</f>
        <v>0</v>
      </c>
      <c r="AI55" s="740">
        <f>IF($A55&lt;='Options and results'!$W$20,SUMPRODUCT(U9:U55,N22:N68),0)</f>
        <v>0</v>
      </c>
      <c r="AJ55" s="740">
        <f>IF($A55&lt;='Options and results'!$W$20,SUMPRODUCT(U9:U55,O22:O68),0)</f>
        <v>0</v>
      </c>
      <c r="AK55" s="740">
        <f t="shared" si="14"/>
        <v>0</v>
      </c>
      <c r="AL55" s="740">
        <f>Plot!P54*S55</f>
        <v>0</v>
      </c>
      <c r="AM55" s="740">
        <f>IF($A55&lt;='Options and results'!$W$20,SUMPRODUCT(T9:T55,P22:P68),0)</f>
        <v>0</v>
      </c>
      <c r="AN55" s="740">
        <f>IF($A55&lt;='Options and results'!$W$20,SUMPRODUCT(U9:U55,Q22:Q68),0)</f>
        <v>0</v>
      </c>
      <c r="AO55" s="740">
        <f>IF($A55&lt;='Options and results'!$W$20,SUMPRODUCT(U9:U55,R22:R68),0)</f>
        <v>0</v>
      </c>
      <c r="AP55" s="740">
        <f t="shared" si="15"/>
        <v>0</v>
      </c>
      <c r="AQ55" s="894">
        <f>IF($A55&lt;='Options and results'!$W$20,AQ54+AL55,0)</f>
        <v>0</v>
      </c>
      <c r="AR55" s="740">
        <f>IF($A55&lt;='Options and results'!$W$20,AR54+AM55,0)</f>
        <v>0</v>
      </c>
      <c r="AS55" s="740">
        <f>IF($A55&lt;='Options and results'!$W$20,AS54+AN55,0)</f>
        <v>0</v>
      </c>
      <c r="AT55" s="740">
        <f>IF($A55&lt;='Options and results'!$W$20,AT54+AO55,0)</f>
        <v>0</v>
      </c>
      <c r="AU55" s="740">
        <f>IF($A55&lt;='Options and results'!$W$20,AU54+AP55,0)</f>
        <v>0</v>
      </c>
      <c r="AV55" s="894">
        <f>AL55/(1+'Options and results'!$W$33)^($A55-1)</f>
        <v>0</v>
      </c>
      <c r="AW55" s="740">
        <f>AM55/(1+'Options and results'!$W$33)^($A55-1)</f>
        <v>0</v>
      </c>
      <c r="AX55" s="740">
        <f>AN55/(1+'Options and results'!$W$33)^($A55-1)</f>
        <v>0</v>
      </c>
      <c r="AY55" s="740">
        <f>AO55/(1+'Options and results'!$W$33)^($A55-1)</f>
        <v>0</v>
      </c>
      <c r="AZ55" s="740">
        <f t="shared" si="16"/>
        <v>0</v>
      </c>
      <c r="BA55" s="894">
        <f>IF($A55&lt;='Options and results'!$W$20,AV55+BA54,0)</f>
        <v>0</v>
      </c>
      <c r="BB55" s="740">
        <f>IF($A55&lt;='Options and results'!$W$20,AW55+BB54,0)</f>
        <v>0</v>
      </c>
      <c r="BC55" s="740">
        <f>IF($A55&lt;='Options and results'!$W$20,AX55+BC54,0)</f>
        <v>0</v>
      </c>
      <c r="BD55" s="740">
        <f>IF($A55&lt;='Options and results'!$W$20,AY55+BD54,0)</f>
        <v>0</v>
      </c>
      <c r="BE55" s="740">
        <f>IF($A55&lt;='Options and results'!$W$20,AZ55+BE54,0)</f>
        <v>0</v>
      </c>
      <c r="BF55" s="346"/>
    </row>
    <row r="56" spans="1:58" x14ac:dyDescent="0.25">
      <c r="A56" s="895">
        <f t="shared" si="17"/>
        <v>48</v>
      </c>
      <c r="B56" s="878">
        <f>IF('Options and results'!$C$54="none",0,IF(HLOOKUP('Options and results'!$C$54,Agroforestrysystem!$2:$9,8,FALSE)="No",LOOKUP(A56,Plot!$CK$8:$CN$67),LOOKUP(A56,Plot!$CK$8:$CN$67)+LOOKUP(A56,Plot!#REF!)))</f>
        <v>0</v>
      </c>
      <c r="C56" s="879">
        <f>IF(VLOOKUP(A56,Plot!$DF$8:$DL$67,7,FALSE)&gt;0,1-B56,0)</f>
        <v>0</v>
      </c>
      <c r="D56" s="896">
        <f t="shared" si="18"/>
        <v>13</v>
      </c>
      <c r="E56" s="897">
        <f>IF(VLOOKUP(D56,Plot!$V$8:$AB$67,Plot!$AB$2,FALSE)&gt;0,1,0)</f>
        <v>1</v>
      </c>
      <c r="F56" s="898">
        <f t="shared" si="11"/>
        <v>0.99</v>
      </c>
      <c r="G56" s="898">
        <f t="shared" si="12"/>
        <v>1.0000000000000009E-2</v>
      </c>
      <c r="H56" s="883">
        <f>VLOOKUP(D56,Plot!$V$8:$AH$67,Plot!$AH$2,FALSE)</f>
        <v>25.142616726174616</v>
      </c>
      <c r="I56" s="884">
        <f>VLOOKUP(D56,Plot!$V$8:$AJ$67,Plot!$AJ$2,FALSE)</f>
        <v>0</v>
      </c>
      <c r="J56" s="885">
        <f ca="1">VLOOKUP(D56,Plot!$CK$8:$CP$67,Plot!$CO$2,FALSE)*VLOOKUP(D56,Plot!$CK$8:$CP$67,Plot!$CN$2,FALSE)</f>
        <v>5.9301000000000004</v>
      </c>
      <c r="K56" s="884">
        <f>VLOOKUP(D56,Plot!$DF$8:$DS$67,Plot!$DS$2,FALSE)</f>
        <v>16.735627719780698</v>
      </c>
      <c r="L56" s="884">
        <f>VLOOKUP(D56,Plot!$DF$8:$DU$67,Plot!$DU$2,FALSE)</f>
        <v>0</v>
      </c>
      <c r="M56" s="883">
        <f>VLOOKUP(D56,Plot!$V$8:$BW$67,Plot!$BW$2,FALSE)</f>
        <v>0</v>
      </c>
      <c r="N56" s="884">
        <f>VLOOKUP(D56,Plot!$CK$8:$CX$67,Plot!$CX$2,FALSE)</f>
        <v>11.516506250880969</v>
      </c>
      <c r="O56" s="884">
        <f>VLOOKUP(D56,Plot!$DF$8:$FH$67,Plot!$FH$2,FALSE)</f>
        <v>0</v>
      </c>
      <c r="P56" s="883">
        <f>VLOOKUP(D56,Plot!$V$8:$CA$67,Plot!$CA$2,FALSE)</f>
        <v>-3</v>
      </c>
      <c r="Q56" s="884">
        <f ca="1">VLOOKUP($D56,Plot!$CK$8:$CZ$67,Plot!$CZ$2,FALSE)</f>
        <v>-136.25199126286225</v>
      </c>
      <c r="R56" s="899">
        <f>VLOOKUP($D56,Plot!$DF$8:$FL$67,Plot!$FL$2,FALSE)</f>
        <v>-3</v>
      </c>
      <c r="S56" s="895">
        <f t="shared" si="19"/>
        <v>100</v>
      </c>
      <c r="T56" s="900">
        <f>IF($A56='Options and results'!$I$33,'Options and results'!$I$34)+IF($A56='Options and results'!$I$35,'Options and results'!$I$36)+IF($A56='Options and results'!$I$37,'Options and results'!$I$38)+IF($A56='Options and results'!$I$39,'Options and results'!$I$40)+IF($A56='Options and results'!$I$41,'Options and results'!$I$42)+IF(AND($A56&gt;='Options and results'!$I$44,$A56&lt;='Options and results'!$I$45),IF(MOD($A56+'Options and results'!$I$46-'Options and results'!$I$44,'Options and results'!$I$46)=0,'Options and results'!$I$47,0))</f>
        <v>0</v>
      </c>
      <c r="U56" s="901">
        <f>IF($A56='Options and results'!$I$59,'Options and results'!$I$60)+IF($A56='Options and results'!$I$61,'Options and results'!$I$62)+IF($A56='Options and results'!$I$63,'Options and results'!$I$64)+IF($A56='Options and results'!$I$65,'Options and results'!$I$66)+IF($A56='Options and results'!$I$67,'Options and results'!$I$68)+IF(AND($A56&gt;='Options and results'!$I$70,$A56&lt;='Options and results'!$I$71),IF(MOD($A56+'Options and results'!$I$72-'Options and results'!$I$70,'Options and results'!$I$72)=0,'Options and results'!$I$73,0))</f>
        <v>0</v>
      </c>
      <c r="V56" s="889">
        <f>'Options and results'!$W$18-W56-X56-Y56</f>
        <v>100</v>
      </c>
      <c r="W56" s="889">
        <f>SUMPRODUCT(T9:T56,E21:E68)</f>
        <v>0</v>
      </c>
      <c r="X56" s="889">
        <f>SUMPRODUCT(U9:U56,F21:F68)</f>
        <v>0</v>
      </c>
      <c r="Y56" s="889">
        <f>SUMPRODUCT(U9:U56,G21:G68)</f>
        <v>0</v>
      </c>
      <c r="Z56" s="889">
        <f t="shared" si="13"/>
        <v>0</v>
      </c>
      <c r="AA56" s="894">
        <f>(V56*Plot!E55*Plot!D55)</f>
        <v>0</v>
      </c>
      <c r="AB56" s="740">
        <f>SUMPRODUCT(T9:T56,H21:H68)</f>
        <v>0</v>
      </c>
      <c r="AC56" s="740">
        <f>SUMPRODUCT(T9:T56,I21:I68)</f>
        <v>0</v>
      </c>
      <c r="AD56" s="740">
        <f ca="1">SUMPRODUCT(U9:U56,J21:J68)</f>
        <v>0</v>
      </c>
      <c r="AE56" s="740">
        <f>SUMPRODUCT(U9:U56,K21:K68)</f>
        <v>0</v>
      </c>
      <c r="AF56" s="740">
        <f>SUMPRODUCT(U9:U56,L21:L68)</f>
        <v>0</v>
      </c>
      <c r="AG56" s="894">
        <f>Plot!N55*S56</f>
        <v>0</v>
      </c>
      <c r="AH56" s="740">
        <f>IF($A56&lt;='Options and results'!$W$20,SUMPRODUCT(T9:T56,M21:M68),0)</f>
        <v>0</v>
      </c>
      <c r="AI56" s="740">
        <f>IF($A56&lt;='Options and results'!$W$20,SUMPRODUCT(U9:U56,N21:N68),0)</f>
        <v>0</v>
      </c>
      <c r="AJ56" s="740">
        <f>IF($A56&lt;='Options and results'!$W$20,SUMPRODUCT(U9:U56,O21:O68),0)</f>
        <v>0</v>
      </c>
      <c r="AK56" s="740">
        <f t="shared" si="14"/>
        <v>0</v>
      </c>
      <c r="AL56" s="740">
        <f>Plot!P55*S56</f>
        <v>0</v>
      </c>
      <c r="AM56" s="740">
        <f>IF($A56&lt;='Options and results'!$W$20,SUMPRODUCT(T9:T56,P21:P68),0)</f>
        <v>0</v>
      </c>
      <c r="AN56" s="740">
        <f>IF($A56&lt;='Options and results'!$W$20,SUMPRODUCT(U9:U56,Q21:Q68),0)</f>
        <v>0</v>
      </c>
      <c r="AO56" s="740">
        <f>IF($A56&lt;='Options and results'!$W$20,SUMPRODUCT(U9:U56,R21:R68),0)</f>
        <v>0</v>
      </c>
      <c r="AP56" s="740">
        <f t="shared" si="15"/>
        <v>0</v>
      </c>
      <c r="AQ56" s="894">
        <f>IF($A56&lt;='Options and results'!$W$20,AQ55+AL56,0)</f>
        <v>0</v>
      </c>
      <c r="AR56" s="740">
        <f>IF($A56&lt;='Options and results'!$W$20,AR55+AM56,0)</f>
        <v>0</v>
      </c>
      <c r="AS56" s="740">
        <f>IF($A56&lt;='Options and results'!$W$20,AS55+AN56,0)</f>
        <v>0</v>
      </c>
      <c r="AT56" s="740">
        <f>IF($A56&lt;='Options and results'!$W$20,AT55+AO56,0)</f>
        <v>0</v>
      </c>
      <c r="AU56" s="740">
        <f>IF($A56&lt;='Options and results'!$W$20,AU55+AP56,0)</f>
        <v>0</v>
      </c>
      <c r="AV56" s="894">
        <f>AL56/(1+'Options and results'!$W$33)^($A56-1)</f>
        <v>0</v>
      </c>
      <c r="AW56" s="740">
        <f>AM56/(1+'Options and results'!$W$33)^($A56-1)</f>
        <v>0</v>
      </c>
      <c r="AX56" s="740">
        <f>AN56/(1+'Options and results'!$W$33)^($A56-1)</f>
        <v>0</v>
      </c>
      <c r="AY56" s="740">
        <f>AO56/(1+'Options and results'!$W$33)^($A56-1)</f>
        <v>0</v>
      </c>
      <c r="AZ56" s="740">
        <f t="shared" si="16"/>
        <v>0</v>
      </c>
      <c r="BA56" s="894">
        <f>IF($A56&lt;='Options and results'!$W$20,AV56+BA55,0)</f>
        <v>0</v>
      </c>
      <c r="BB56" s="740">
        <f>IF($A56&lt;='Options and results'!$W$20,AW56+BB55,0)</f>
        <v>0</v>
      </c>
      <c r="BC56" s="740">
        <f>IF($A56&lt;='Options and results'!$W$20,AX56+BC55,0)</f>
        <v>0</v>
      </c>
      <c r="BD56" s="740">
        <f>IF($A56&lt;='Options and results'!$W$20,AY56+BD55,0)</f>
        <v>0</v>
      </c>
      <c r="BE56" s="740">
        <f>IF($A56&lt;='Options and results'!$W$20,AZ56+BE55,0)</f>
        <v>0</v>
      </c>
      <c r="BF56" s="346"/>
    </row>
    <row r="57" spans="1:58" x14ac:dyDescent="0.25">
      <c r="A57" s="895">
        <f t="shared" si="17"/>
        <v>49</v>
      </c>
      <c r="B57" s="878">
        <f>IF('Options and results'!$C$54="none",0,IF(HLOOKUP('Options and results'!$C$54,Agroforestrysystem!$2:$9,8,FALSE)="No",LOOKUP(A57,Plot!$CK$8:$CN$67),LOOKUP(A57,Plot!$CK$8:$CN$67)+LOOKUP(A57,Plot!#REF!)))</f>
        <v>0</v>
      </c>
      <c r="C57" s="879">
        <f>IF(VLOOKUP(A57,Plot!$DF$8:$DL$67,7,FALSE)&gt;0,1-B57,0)</f>
        <v>0</v>
      </c>
      <c r="D57" s="896">
        <f t="shared" si="18"/>
        <v>12</v>
      </c>
      <c r="E57" s="897">
        <f>IF(VLOOKUP(D57,Plot!$V$8:$AB$67,Plot!$AB$2,FALSE)&gt;0,1,0)</f>
        <v>1</v>
      </c>
      <c r="F57" s="898">
        <f t="shared" si="11"/>
        <v>0.99</v>
      </c>
      <c r="G57" s="898">
        <f t="shared" si="12"/>
        <v>1.0000000000000009E-2</v>
      </c>
      <c r="H57" s="883">
        <f>VLOOKUP(D57,Plot!$V$8:$AH$67,Plot!$AH$2,FALSE)</f>
        <v>17.715572163609639</v>
      </c>
      <c r="I57" s="884">
        <f>VLOOKUP(D57,Plot!$V$8:$AJ$67,Plot!$AJ$2,FALSE)</f>
        <v>0</v>
      </c>
      <c r="J57" s="885">
        <f ca="1">VLOOKUP(D57,Plot!$CK$8:$CP$67,Plot!$CO$2,FALSE)*VLOOKUP(D57,Plot!$CK$8:$CP$67,Plot!$CN$2,FALSE)</f>
        <v>3.1878000000000002</v>
      </c>
      <c r="K57" s="884">
        <f>VLOOKUP(D57,Plot!$DF$8:$DS$67,Plot!$DS$2,FALSE)</f>
        <v>11.707650253869144</v>
      </c>
      <c r="L57" s="884">
        <f>VLOOKUP(D57,Plot!$DF$8:$DU$67,Plot!$DU$2,FALSE)</f>
        <v>0</v>
      </c>
      <c r="M57" s="883">
        <f>VLOOKUP(D57,Plot!$V$8:$BW$67,Plot!$BW$2,FALSE)</f>
        <v>0</v>
      </c>
      <c r="N57" s="884">
        <f>VLOOKUP(D57,Plot!$CK$8:$CX$67,Plot!$CX$2,FALSE)</f>
        <v>7.3845219420863808</v>
      </c>
      <c r="O57" s="884">
        <f>VLOOKUP(D57,Plot!$DF$8:$FH$67,Plot!$FH$2,FALSE)</f>
        <v>13.053571428571427</v>
      </c>
      <c r="P57" s="883">
        <f>VLOOKUP(D57,Plot!$V$8:$CA$67,Plot!$CA$2,FALSE)</f>
        <v>-3</v>
      </c>
      <c r="Q57" s="884">
        <f ca="1">VLOOKUP($D57,Plot!$CK$8:$CZ$67,Plot!$CZ$2,FALSE)</f>
        <v>-24.214020354461354</v>
      </c>
      <c r="R57" s="899">
        <f>VLOOKUP($D57,Plot!$DF$8:$FL$67,Plot!$FL$2,FALSE)</f>
        <v>-193.58214285714286</v>
      </c>
      <c r="S57" s="895">
        <f t="shared" si="19"/>
        <v>100</v>
      </c>
      <c r="T57" s="900">
        <f>IF($A57='Options and results'!$I$33,'Options and results'!$I$34)+IF($A57='Options and results'!$I$35,'Options and results'!$I$36)+IF($A57='Options and results'!$I$37,'Options and results'!$I$38)+IF($A57='Options and results'!$I$39,'Options and results'!$I$40)+IF($A57='Options and results'!$I$41,'Options and results'!$I$42)+IF(AND($A57&gt;='Options and results'!$I$44,$A57&lt;='Options and results'!$I$45),IF(MOD($A57+'Options and results'!$I$46-'Options and results'!$I$44,'Options and results'!$I$46)=0,'Options and results'!$I$47,0))</f>
        <v>0</v>
      </c>
      <c r="U57" s="901">
        <f>IF($A57='Options and results'!$I$59,'Options and results'!$I$60)+IF($A57='Options and results'!$I$61,'Options and results'!$I$62)+IF($A57='Options and results'!$I$63,'Options and results'!$I$64)+IF($A57='Options and results'!$I$65,'Options and results'!$I$66)+IF($A57='Options and results'!$I$67,'Options and results'!$I$68)+IF(AND($A57&gt;='Options and results'!$I$70,$A57&lt;='Options and results'!$I$71),IF(MOD($A57+'Options and results'!$I$72-'Options and results'!$I$70,'Options and results'!$I$72)=0,'Options and results'!$I$73,0))</f>
        <v>0</v>
      </c>
      <c r="V57" s="889">
        <f>'Options and results'!$W$18-W57-X57-Y57</f>
        <v>100</v>
      </c>
      <c r="W57" s="889">
        <f>SUMPRODUCT(T9:T57,E20:E68)</f>
        <v>0</v>
      </c>
      <c r="X57" s="889">
        <f>SUMPRODUCT(U9:U57,F20:F68)</f>
        <v>0</v>
      </c>
      <c r="Y57" s="889">
        <f>SUMPRODUCT(U9:U57,G20:G68)</f>
        <v>0</v>
      </c>
      <c r="Z57" s="889">
        <f t="shared" si="13"/>
        <v>0</v>
      </c>
      <c r="AA57" s="894">
        <f>(V57*Plot!E56*Plot!D56)</f>
        <v>0</v>
      </c>
      <c r="AB57" s="740">
        <f>SUMPRODUCT(T9:T57,H20:H68)</f>
        <v>0</v>
      </c>
      <c r="AC57" s="740">
        <f>SUMPRODUCT(T9:T57,I20:I68)</f>
        <v>0</v>
      </c>
      <c r="AD57" s="740">
        <f ca="1">SUMPRODUCT(U9:U57,J20:J68)</f>
        <v>0</v>
      </c>
      <c r="AE57" s="740">
        <f>SUMPRODUCT(U9:U57,K20:K68)</f>
        <v>0</v>
      </c>
      <c r="AF57" s="740">
        <f>SUMPRODUCT(U9:U57,L20:L68)</f>
        <v>0</v>
      </c>
      <c r="AG57" s="894">
        <f>Plot!N56*S57</f>
        <v>0</v>
      </c>
      <c r="AH57" s="740">
        <f>IF($A57&lt;='Options and results'!$W$20,SUMPRODUCT(T9:T57,M20:M68),0)</f>
        <v>0</v>
      </c>
      <c r="AI57" s="740">
        <f>IF($A57&lt;='Options and results'!$W$20,SUMPRODUCT(U9:U57,N20:N68),0)</f>
        <v>0</v>
      </c>
      <c r="AJ57" s="740">
        <f>IF($A57&lt;='Options and results'!$W$20,SUMPRODUCT(U9:U57,O20:O68),0)</f>
        <v>0</v>
      </c>
      <c r="AK57" s="740">
        <f t="shared" si="14"/>
        <v>0</v>
      </c>
      <c r="AL57" s="740">
        <f>Plot!P56*S57</f>
        <v>0</v>
      </c>
      <c r="AM57" s="740">
        <f>IF($A57&lt;='Options and results'!$W$20,SUMPRODUCT(T9:T57,P20:P68),0)</f>
        <v>0</v>
      </c>
      <c r="AN57" s="740">
        <f>IF($A57&lt;='Options and results'!$W$20,SUMPRODUCT(U9:U57,Q20:Q68),0)</f>
        <v>0</v>
      </c>
      <c r="AO57" s="740">
        <f>IF($A57&lt;='Options and results'!$W$20,SUMPRODUCT(U9:U57,R20:R68),0)</f>
        <v>0</v>
      </c>
      <c r="AP57" s="740">
        <f t="shared" si="15"/>
        <v>0</v>
      </c>
      <c r="AQ57" s="894">
        <f>IF($A57&lt;='Options and results'!$W$20,AQ56+AL57,0)</f>
        <v>0</v>
      </c>
      <c r="AR57" s="740">
        <f>IF($A57&lt;='Options and results'!$W$20,AR56+AM57,0)</f>
        <v>0</v>
      </c>
      <c r="AS57" s="740">
        <f>IF($A57&lt;='Options and results'!$W$20,AS56+AN57,0)</f>
        <v>0</v>
      </c>
      <c r="AT57" s="740">
        <f>IF($A57&lt;='Options and results'!$W$20,AT56+AO57,0)</f>
        <v>0</v>
      </c>
      <c r="AU57" s="740">
        <f>IF($A57&lt;='Options and results'!$W$20,AU56+AP57,0)</f>
        <v>0</v>
      </c>
      <c r="AV57" s="894">
        <f>AL57/(1+'Options and results'!$W$33)^($A57-1)</f>
        <v>0</v>
      </c>
      <c r="AW57" s="740">
        <f>AM57/(1+'Options and results'!$W$33)^($A57-1)</f>
        <v>0</v>
      </c>
      <c r="AX57" s="740">
        <f>AN57/(1+'Options and results'!$W$33)^($A57-1)</f>
        <v>0</v>
      </c>
      <c r="AY57" s="740">
        <f>AO57/(1+'Options and results'!$W$33)^($A57-1)</f>
        <v>0</v>
      </c>
      <c r="AZ57" s="740">
        <f t="shared" si="16"/>
        <v>0</v>
      </c>
      <c r="BA57" s="894">
        <f>IF($A57&lt;='Options and results'!$W$20,AV57+BA56,0)</f>
        <v>0</v>
      </c>
      <c r="BB57" s="740">
        <f>IF($A57&lt;='Options and results'!$W$20,AW57+BB56,0)</f>
        <v>0</v>
      </c>
      <c r="BC57" s="740">
        <f>IF($A57&lt;='Options and results'!$W$20,AX57+BC56,0)</f>
        <v>0</v>
      </c>
      <c r="BD57" s="740">
        <f>IF($A57&lt;='Options and results'!$W$20,AY57+BD56,0)</f>
        <v>0</v>
      </c>
      <c r="BE57" s="740">
        <f>IF($A57&lt;='Options and results'!$W$20,AZ57+BE56,0)</f>
        <v>0</v>
      </c>
      <c r="BF57" s="346"/>
    </row>
    <row r="58" spans="1:58" x14ac:dyDescent="0.25">
      <c r="A58" s="895">
        <f t="shared" si="17"/>
        <v>50</v>
      </c>
      <c r="B58" s="878">
        <f>IF('Options and results'!$C$54="none",0,IF(HLOOKUP('Options and results'!$C$54,Agroforestrysystem!$2:$9,8,FALSE)="No",LOOKUP(A58,Plot!$CK$8:$CN$67),LOOKUP(A58,Plot!$CK$8:$CN$67)+LOOKUP(A58,Plot!#REF!)))</f>
        <v>0</v>
      </c>
      <c r="C58" s="879">
        <f>IF(VLOOKUP(A58,Plot!$DF$8:$DL$67,7,FALSE)&gt;0,1-B58,0)</f>
        <v>0</v>
      </c>
      <c r="D58" s="896">
        <f t="shared" si="18"/>
        <v>11</v>
      </c>
      <c r="E58" s="897">
        <f>IF(VLOOKUP(D58,Plot!$V$8:$AB$67,Plot!$AB$2,FALSE)&gt;0,1,0)</f>
        <v>1</v>
      </c>
      <c r="F58" s="898">
        <f t="shared" si="11"/>
        <v>0.99</v>
      </c>
      <c r="G58" s="898">
        <f t="shared" si="12"/>
        <v>1.0000000000000009E-2</v>
      </c>
      <c r="H58" s="883">
        <f>VLOOKUP(D58,Plot!$V$8:$AH$67,Plot!$AH$2,FALSE)</f>
        <v>12.494677842039225</v>
      </c>
      <c r="I58" s="884">
        <f>VLOOKUP(D58,Plot!$V$8:$AJ$67,Plot!$AJ$2,FALSE)</f>
        <v>0</v>
      </c>
      <c r="J58" s="885">
        <f ca="1">VLOOKUP(D58,Plot!$CK$8:$CP$67,Plot!$CO$2,FALSE)*VLOOKUP(D58,Plot!$CK$8:$CP$67,Plot!$CN$2,FALSE)</f>
        <v>5.0786999999999995</v>
      </c>
      <c r="K58" s="884">
        <f>VLOOKUP(D58,Plot!$DF$8:$DS$67,Plot!$DS$2,FALSE)</f>
        <v>8.1776008827282425</v>
      </c>
      <c r="L58" s="884">
        <f>VLOOKUP(D58,Plot!$DF$8:$DU$67,Plot!$DU$2,FALSE)</f>
        <v>0</v>
      </c>
      <c r="M58" s="883">
        <f>VLOOKUP(D58,Plot!$V$8:$BW$67,Plot!$BW$2,FALSE)</f>
        <v>20.363571428571426</v>
      </c>
      <c r="N58" s="884">
        <f>VLOOKUP(D58,Plot!$CK$8:$CX$67,Plot!$CX$2,FALSE)</f>
        <v>10.725352674112727</v>
      </c>
      <c r="O58" s="884">
        <f>VLOOKUP(D58,Plot!$DF$8:$FH$67,Plot!$FH$2,FALSE)</f>
        <v>0</v>
      </c>
      <c r="P58" s="883">
        <f>VLOOKUP(D58,Plot!$V$8:$CA$67,Plot!$CA$2,FALSE)</f>
        <v>-300.30814285714285</v>
      </c>
      <c r="Q58" s="884">
        <f ca="1">VLOOKUP($D58,Plot!$CK$8:$CZ$67,Plot!$CZ$2,FALSE)</f>
        <v>-147.66804904204594</v>
      </c>
      <c r="R58" s="899">
        <f>VLOOKUP($D58,Plot!$DF$8:$FL$67,Plot!$FL$2,FALSE)</f>
        <v>-3</v>
      </c>
      <c r="S58" s="895">
        <f t="shared" si="19"/>
        <v>100</v>
      </c>
      <c r="T58" s="900">
        <f>IF($A58='Options and results'!$I$33,'Options and results'!$I$34)+IF($A58='Options and results'!$I$35,'Options and results'!$I$36)+IF($A58='Options and results'!$I$37,'Options and results'!$I$38)+IF($A58='Options and results'!$I$39,'Options and results'!$I$40)+IF($A58='Options and results'!$I$41,'Options and results'!$I$42)+IF(AND($A58&gt;='Options and results'!$I$44,$A58&lt;='Options and results'!$I$45),IF(MOD($A58+'Options and results'!$I$46-'Options and results'!$I$44,'Options and results'!$I$46)=0,'Options and results'!$I$47,0))</f>
        <v>0</v>
      </c>
      <c r="U58" s="901">
        <f>IF($A58='Options and results'!$I$59,'Options and results'!$I$60)+IF($A58='Options and results'!$I$61,'Options and results'!$I$62)+IF($A58='Options and results'!$I$63,'Options and results'!$I$64)+IF($A58='Options and results'!$I$65,'Options and results'!$I$66)+IF($A58='Options and results'!$I$67,'Options and results'!$I$68)+IF(AND($A58&gt;='Options and results'!$I$70,$A58&lt;='Options and results'!$I$71),IF(MOD($A58+'Options and results'!$I$72-'Options and results'!$I$70,'Options and results'!$I$72)=0,'Options and results'!$I$73,0))</f>
        <v>0</v>
      </c>
      <c r="V58" s="889">
        <f>'Options and results'!$W$18-W58-X58-Y58</f>
        <v>100</v>
      </c>
      <c r="W58" s="889">
        <f>SUMPRODUCT(T9:T58,E19:E68)</f>
        <v>0</v>
      </c>
      <c r="X58" s="889">
        <f>SUMPRODUCT(U9:U58,F19:F68)</f>
        <v>0</v>
      </c>
      <c r="Y58" s="889">
        <f>SUMPRODUCT(U9:U58,G19:G68)</f>
        <v>0</v>
      </c>
      <c r="Z58" s="889">
        <f t="shared" si="13"/>
        <v>0</v>
      </c>
      <c r="AA58" s="894">
        <f>(V58*Plot!E57*Plot!D57)</f>
        <v>0</v>
      </c>
      <c r="AB58" s="740">
        <f>SUMPRODUCT(T9:T58,H19:H68)</f>
        <v>0</v>
      </c>
      <c r="AC58" s="740">
        <f>SUMPRODUCT(T9:T58,I19:I68)</f>
        <v>0</v>
      </c>
      <c r="AD58" s="740">
        <f ca="1">SUMPRODUCT(U9:U58,J19:J68)</f>
        <v>0</v>
      </c>
      <c r="AE58" s="740">
        <f>SUMPRODUCT(U9:U58,K19:K68)</f>
        <v>0</v>
      </c>
      <c r="AF58" s="740">
        <f>SUMPRODUCT(U9:U58,L19:L68)</f>
        <v>0</v>
      </c>
      <c r="AG58" s="894">
        <f>Plot!N57*S58</f>
        <v>0</v>
      </c>
      <c r="AH58" s="740">
        <f>IF($A58&lt;='Options and results'!$W$20,SUMPRODUCT(T9:T58,M19:M68),0)</f>
        <v>0</v>
      </c>
      <c r="AI58" s="740">
        <f>IF($A58&lt;='Options and results'!$W$20,SUMPRODUCT(U9:U58,N19:N68),0)</f>
        <v>0</v>
      </c>
      <c r="AJ58" s="740">
        <f>IF($A58&lt;='Options and results'!$W$20,SUMPRODUCT(U9:U58,O19:O68),0)</f>
        <v>0</v>
      </c>
      <c r="AK58" s="740">
        <f t="shared" si="14"/>
        <v>0</v>
      </c>
      <c r="AL58" s="740">
        <f>Plot!P57*S58</f>
        <v>0</v>
      </c>
      <c r="AM58" s="740">
        <f>IF($A58&lt;='Options and results'!$W$20,SUMPRODUCT(T9:T58,P19:P68),0)</f>
        <v>0</v>
      </c>
      <c r="AN58" s="740">
        <f>IF($A58&lt;='Options and results'!$W$20,SUMPRODUCT(U9:U58,Q19:Q68),0)</f>
        <v>0</v>
      </c>
      <c r="AO58" s="740">
        <f>IF($A58&lt;='Options and results'!$W$20,SUMPRODUCT(U9:U58,R19:R68),0)</f>
        <v>0</v>
      </c>
      <c r="AP58" s="740">
        <f t="shared" si="15"/>
        <v>0</v>
      </c>
      <c r="AQ58" s="894">
        <f>IF($A58&lt;='Options and results'!$W$20,AQ57+AL58,0)</f>
        <v>0</v>
      </c>
      <c r="AR58" s="740">
        <f>IF($A58&lt;='Options and results'!$W$20,AR57+AM58,0)</f>
        <v>0</v>
      </c>
      <c r="AS58" s="740">
        <f>IF($A58&lt;='Options and results'!$W$20,AS57+AN58,0)</f>
        <v>0</v>
      </c>
      <c r="AT58" s="740">
        <f>IF($A58&lt;='Options and results'!$W$20,AT57+AO58,0)</f>
        <v>0</v>
      </c>
      <c r="AU58" s="740">
        <f>IF($A58&lt;='Options and results'!$W$20,AU57+AP58,0)</f>
        <v>0</v>
      </c>
      <c r="AV58" s="894">
        <f>AL58/(1+'Options and results'!$W$33)^($A58-1)</f>
        <v>0</v>
      </c>
      <c r="AW58" s="740">
        <f>AM58/(1+'Options and results'!$W$33)^($A58-1)</f>
        <v>0</v>
      </c>
      <c r="AX58" s="740">
        <f>AN58/(1+'Options and results'!$W$33)^($A58-1)</f>
        <v>0</v>
      </c>
      <c r="AY58" s="740">
        <f>AO58/(1+'Options and results'!$W$33)^($A58-1)</f>
        <v>0</v>
      </c>
      <c r="AZ58" s="740">
        <f t="shared" si="16"/>
        <v>0</v>
      </c>
      <c r="BA58" s="894">
        <f>IF($A58&lt;='Options and results'!$W$20,AV58+BA57,0)</f>
        <v>0</v>
      </c>
      <c r="BB58" s="740">
        <f>IF($A58&lt;='Options and results'!$W$20,AW58+BB57,0)</f>
        <v>0</v>
      </c>
      <c r="BC58" s="740">
        <f>IF($A58&lt;='Options and results'!$W$20,AX58+BC57,0)</f>
        <v>0</v>
      </c>
      <c r="BD58" s="740">
        <f>IF($A58&lt;='Options and results'!$W$20,AY58+BD57,0)</f>
        <v>0</v>
      </c>
      <c r="BE58" s="740">
        <f>IF($A58&lt;='Options and results'!$W$20,AZ58+BE57,0)</f>
        <v>0</v>
      </c>
      <c r="BF58" s="346"/>
    </row>
    <row r="59" spans="1:58" x14ac:dyDescent="0.25">
      <c r="A59" s="895">
        <f t="shared" si="17"/>
        <v>51</v>
      </c>
      <c r="B59" s="878">
        <f>IF('Options and results'!$C$54="none",0,IF(HLOOKUP('Options and results'!$C$54,Agroforestrysystem!$2:$9,8,FALSE)="No",LOOKUP(A59,Plot!$CK$8:$CN$67),LOOKUP(A59,Plot!$CK$8:$CN$67)+LOOKUP(A59,Plot!#REF!)))</f>
        <v>0</v>
      </c>
      <c r="C59" s="879">
        <f>IF(VLOOKUP(A59,Plot!$DF$8:$DL$67,7,FALSE)&gt;0,1-B59,0)</f>
        <v>0</v>
      </c>
      <c r="D59" s="896">
        <f t="shared" si="18"/>
        <v>10</v>
      </c>
      <c r="E59" s="897">
        <f>IF(VLOOKUP(D59,Plot!$V$8:$AB$67,Plot!$AB$2,FALSE)&gt;0,1,0)</f>
        <v>1</v>
      </c>
      <c r="F59" s="898">
        <f t="shared" si="11"/>
        <v>0.99</v>
      </c>
      <c r="G59" s="898">
        <f t="shared" si="12"/>
        <v>1.0000000000000009E-2</v>
      </c>
      <c r="H59" s="883">
        <f>VLOOKUP(D59,Plot!$V$8:$AH$67,Plot!$AH$2,FALSE)</f>
        <v>8.2336308346738214</v>
      </c>
      <c r="I59" s="884">
        <f>VLOOKUP(D59,Plot!$V$8:$AJ$67,Plot!$AJ$2,FALSE)</f>
        <v>0</v>
      </c>
      <c r="J59" s="885">
        <f ca="1">VLOOKUP(D59,Plot!$CK$8:$CP$67,Plot!$CO$2,FALSE)*VLOOKUP(D59,Plot!$CK$8:$CP$67,Plot!$CN$2,FALSE)</f>
        <v>6.4943999999999997</v>
      </c>
      <c r="K59" s="884">
        <f>VLOOKUP(D59,Plot!$DF$8:$DS$67,Plot!$DS$2,FALSE)</f>
        <v>5.3607188460803448</v>
      </c>
      <c r="L59" s="884">
        <f>VLOOKUP(D59,Plot!$DF$8:$DU$67,Plot!$DU$2,FALSE)</f>
        <v>0</v>
      </c>
      <c r="M59" s="883">
        <f>VLOOKUP(D59,Plot!$V$8:$BW$67,Plot!$BW$2,FALSE)</f>
        <v>0</v>
      </c>
      <c r="N59" s="884">
        <f>VLOOKUP(D59,Plot!$CK$8:$CX$67,Plot!$CX$2,FALSE)</f>
        <v>11.516506250880969</v>
      </c>
      <c r="O59" s="884">
        <f>VLOOKUP(D59,Plot!$DF$8:$FH$67,Plot!$FH$2,FALSE)</f>
        <v>0</v>
      </c>
      <c r="P59" s="883">
        <f>VLOOKUP(D59,Plot!$V$8:$CA$67,Plot!$CA$2,FALSE)</f>
        <v>-3</v>
      </c>
      <c r="Q59" s="884">
        <f ca="1">VLOOKUP($D59,Plot!$CK$8:$CZ$67,Plot!$CZ$2,FALSE)</f>
        <v>-29.818741262861977</v>
      </c>
      <c r="R59" s="899">
        <f>VLOOKUP($D59,Plot!$DF$8:$FL$67,Plot!$FL$2,FALSE)</f>
        <v>-3</v>
      </c>
      <c r="S59" s="895">
        <f t="shared" si="19"/>
        <v>100</v>
      </c>
      <c r="T59" s="900">
        <f>IF($A59='Options and results'!$I$33,'Options and results'!$I$34)+IF($A59='Options and results'!$I$35,'Options and results'!$I$36)+IF($A59='Options and results'!$I$37,'Options and results'!$I$38)+IF($A59='Options and results'!$I$39,'Options and results'!$I$40)+IF($A59='Options and results'!$I$41,'Options and results'!$I$42)+IF(AND($A59&gt;='Options and results'!$I$44,$A59&lt;='Options and results'!$I$45),IF(MOD($A59+'Options and results'!$I$46-'Options and results'!$I$44,'Options and results'!$I$46)=0,'Options and results'!$I$47,0))</f>
        <v>0</v>
      </c>
      <c r="U59" s="901">
        <f>IF($A59='Options and results'!$I$59,'Options and results'!$I$60)+IF($A59='Options and results'!$I$61,'Options and results'!$I$62)+IF($A59='Options and results'!$I$63,'Options and results'!$I$64)+IF($A59='Options and results'!$I$65,'Options and results'!$I$66)+IF($A59='Options and results'!$I$67,'Options and results'!$I$68)+IF(AND($A59&gt;='Options and results'!$I$70,$A59&lt;='Options and results'!$I$71),IF(MOD($A59+'Options and results'!$I$72-'Options and results'!$I$70,'Options and results'!$I$72)=0,'Options and results'!$I$73,0))</f>
        <v>0</v>
      </c>
      <c r="V59" s="889">
        <f>'Options and results'!$W$18-W59-X59-Y59</f>
        <v>100</v>
      </c>
      <c r="W59" s="889">
        <f>SUMPRODUCT(T9:T59,E18:E68)</f>
        <v>0</v>
      </c>
      <c r="X59" s="889">
        <f>SUMPRODUCT(U9:U59,F18:F68)</f>
        <v>0</v>
      </c>
      <c r="Y59" s="889">
        <f>SUMPRODUCT(U9:U59,G18:G68)</f>
        <v>0</v>
      </c>
      <c r="Z59" s="889">
        <f t="shared" si="13"/>
        <v>0</v>
      </c>
      <c r="AA59" s="894">
        <f>(V59*Plot!E58*Plot!D58)</f>
        <v>0</v>
      </c>
      <c r="AB59" s="740">
        <f>SUMPRODUCT(T9:T59,H18:H68)</f>
        <v>0</v>
      </c>
      <c r="AC59" s="740">
        <f>SUMPRODUCT(T9:T59,I18:I68)</f>
        <v>0</v>
      </c>
      <c r="AD59" s="740">
        <f ca="1">SUMPRODUCT(U9:U59,J18:J68)</f>
        <v>0</v>
      </c>
      <c r="AE59" s="740">
        <f>SUMPRODUCT(U9:U59,K18:K68)</f>
        <v>0</v>
      </c>
      <c r="AF59" s="740">
        <f>SUMPRODUCT(U9:U59,L18:L68)</f>
        <v>0</v>
      </c>
      <c r="AG59" s="894">
        <f>Plot!N58*S59</f>
        <v>0</v>
      </c>
      <c r="AH59" s="740">
        <f>IF($A59&lt;='Options and results'!$W$20,SUMPRODUCT(T9:T59,M18:M68),0)</f>
        <v>0</v>
      </c>
      <c r="AI59" s="740">
        <f>IF($A59&lt;='Options and results'!$W$20,SUMPRODUCT(U9:U59,N18:N68),0)</f>
        <v>0</v>
      </c>
      <c r="AJ59" s="740">
        <f>IF($A59&lt;='Options and results'!$W$20,SUMPRODUCT(U9:U59,O18:O68),0)</f>
        <v>0</v>
      </c>
      <c r="AK59" s="740">
        <f t="shared" si="14"/>
        <v>0</v>
      </c>
      <c r="AL59" s="740">
        <f>Plot!P58*S59</f>
        <v>0</v>
      </c>
      <c r="AM59" s="740">
        <f>IF($A59&lt;='Options and results'!$W$20,SUMPRODUCT(T9:T59,P18:P68),0)</f>
        <v>0</v>
      </c>
      <c r="AN59" s="740">
        <f>IF($A59&lt;='Options and results'!$W$20,SUMPRODUCT(U9:U59,Q18:Q68),0)</f>
        <v>0</v>
      </c>
      <c r="AO59" s="740">
        <f>IF($A59&lt;='Options and results'!$W$20,SUMPRODUCT(U9:U59,R18:R68),0)</f>
        <v>0</v>
      </c>
      <c r="AP59" s="740">
        <f t="shared" si="15"/>
        <v>0</v>
      </c>
      <c r="AQ59" s="894">
        <f>IF($A59&lt;='Options and results'!$W$20,AQ58+AL59,0)</f>
        <v>0</v>
      </c>
      <c r="AR59" s="740">
        <f>IF($A59&lt;='Options and results'!$W$20,AR58+AM59,0)</f>
        <v>0</v>
      </c>
      <c r="AS59" s="740">
        <f>IF($A59&lt;='Options and results'!$W$20,AS58+AN59,0)</f>
        <v>0</v>
      </c>
      <c r="AT59" s="740">
        <f>IF($A59&lt;='Options and results'!$W$20,AT58+AO59,0)</f>
        <v>0</v>
      </c>
      <c r="AU59" s="740">
        <f>IF($A59&lt;='Options and results'!$W$20,AU58+AP59,0)</f>
        <v>0</v>
      </c>
      <c r="AV59" s="894">
        <f>AL59/(1+'Options and results'!$W$33)^($A59-1)</f>
        <v>0</v>
      </c>
      <c r="AW59" s="740">
        <f>AM59/(1+'Options and results'!$W$33)^($A59-1)</f>
        <v>0</v>
      </c>
      <c r="AX59" s="740">
        <f>AN59/(1+'Options and results'!$W$33)^($A59-1)</f>
        <v>0</v>
      </c>
      <c r="AY59" s="740">
        <f>AO59/(1+'Options and results'!$W$33)^($A59-1)</f>
        <v>0</v>
      </c>
      <c r="AZ59" s="740">
        <f t="shared" si="16"/>
        <v>0</v>
      </c>
      <c r="BA59" s="894">
        <f>IF($A59&lt;='Options and results'!$W$20,AV59+BA58,0)</f>
        <v>0</v>
      </c>
      <c r="BB59" s="740">
        <f>IF($A59&lt;='Options and results'!$W$20,AW59+BB58,0)</f>
        <v>0</v>
      </c>
      <c r="BC59" s="740">
        <f>IF($A59&lt;='Options and results'!$W$20,AX59+BC58,0)</f>
        <v>0</v>
      </c>
      <c r="BD59" s="740">
        <f>IF($A59&lt;='Options and results'!$W$20,AY59+BD58,0)</f>
        <v>0</v>
      </c>
      <c r="BE59" s="740">
        <f>IF($A59&lt;='Options and results'!$W$20,AZ59+BE58,0)</f>
        <v>0</v>
      </c>
      <c r="BF59" s="346"/>
    </row>
    <row r="60" spans="1:58" x14ac:dyDescent="0.25">
      <c r="A60" s="895">
        <f t="shared" si="17"/>
        <v>52</v>
      </c>
      <c r="B60" s="878">
        <f>IF('Options and results'!$C$54="none",0,IF(HLOOKUP('Options and results'!$C$54,Agroforestrysystem!$2:$9,8,FALSE)="No",LOOKUP(A60,Plot!$CK$8:$CN$67),LOOKUP(A60,Plot!$CK$8:$CN$67)+LOOKUP(A60,Plot!#REF!)))</f>
        <v>0</v>
      </c>
      <c r="C60" s="879">
        <f>IF(VLOOKUP(A60,Plot!$DF$8:$DL$67,7,FALSE)&gt;0,1-B60,0)</f>
        <v>0</v>
      </c>
      <c r="D60" s="896">
        <f t="shared" si="18"/>
        <v>9</v>
      </c>
      <c r="E60" s="897">
        <f>IF(VLOOKUP(D60,Plot!$V$8:$AB$67,Plot!$AB$2,FALSE)&gt;0,1,0)</f>
        <v>1</v>
      </c>
      <c r="F60" s="898">
        <f t="shared" si="11"/>
        <v>0.99</v>
      </c>
      <c r="G60" s="898">
        <f t="shared" si="12"/>
        <v>1.0000000000000009E-2</v>
      </c>
      <c r="H60" s="883">
        <f>VLOOKUP(D60,Plot!$V$8:$AH$67,Plot!$AH$2,FALSE)</f>
        <v>5.1431003603587255</v>
      </c>
      <c r="I60" s="884">
        <f>VLOOKUP(D60,Plot!$V$8:$AJ$67,Plot!$AJ$2,FALSE)</f>
        <v>0</v>
      </c>
      <c r="J60" s="885">
        <f ca="1">VLOOKUP(D60,Plot!$CK$8:$CP$67,Plot!$CO$2,FALSE)*VLOOKUP(D60,Plot!$CK$8:$CP$67,Plot!$CN$2,FALSE)</f>
        <v>7.5635999999999992</v>
      </c>
      <c r="K60" s="884">
        <f>VLOOKUP(D60,Plot!$DF$8:$DS$67,Plot!$DS$2,FALSE)</f>
        <v>3.3295467733643926</v>
      </c>
      <c r="L60" s="884">
        <f>VLOOKUP(D60,Plot!$DF$8:$DU$67,Plot!$DU$2,FALSE)</f>
        <v>0</v>
      </c>
      <c r="M60" s="883">
        <f>VLOOKUP(D60,Plot!$V$8:$BW$67,Plot!$BW$2,FALSE)</f>
        <v>15.695900322647079</v>
      </c>
      <c r="N60" s="884">
        <f>VLOOKUP(D60,Plot!$CK$8:$CX$67,Plot!$CX$2,FALSE)</f>
        <v>11.516506250880969</v>
      </c>
      <c r="O60" s="884">
        <f>VLOOKUP(D60,Plot!$DF$8:$FH$67,Plot!$FH$2,FALSE)</f>
        <v>10.06147456579941</v>
      </c>
      <c r="P60" s="883">
        <f>VLOOKUP(D60,Plot!$V$8:$CA$67,Plot!$CA$2,FALSE)</f>
        <v>-232.16014471064733</v>
      </c>
      <c r="Q60" s="884">
        <f ca="1">VLOOKUP($D60,Plot!$CK$8:$CZ$67,Plot!$CZ$2,FALSE)</f>
        <v>171.84425873713781</v>
      </c>
      <c r="R60" s="899">
        <f>VLOOKUP($D60,Plot!$DF$8:$FL$67,Plot!$FL$2,FALSE)</f>
        <v>-149.89752866067138</v>
      </c>
      <c r="S60" s="895">
        <f t="shared" si="19"/>
        <v>100</v>
      </c>
      <c r="T60" s="900">
        <f>IF($A60='Options and results'!$I$33,'Options and results'!$I$34)+IF($A60='Options and results'!$I$35,'Options and results'!$I$36)+IF($A60='Options and results'!$I$37,'Options and results'!$I$38)+IF($A60='Options and results'!$I$39,'Options and results'!$I$40)+IF($A60='Options and results'!$I$41,'Options and results'!$I$42)+IF(AND($A60&gt;='Options and results'!$I$44,$A60&lt;='Options and results'!$I$45),IF(MOD($A60+'Options and results'!$I$46-'Options and results'!$I$44,'Options and results'!$I$46)=0,'Options and results'!$I$47,0))</f>
        <v>0</v>
      </c>
      <c r="U60" s="901">
        <f>IF($A60='Options and results'!$I$59,'Options and results'!$I$60)+IF($A60='Options and results'!$I$61,'Options and results'!$I$62)+IF($A60='Options and results'!$I$63,'Options and results'!$I$64)+IF($A60='Options and results'!$I$65,'Options and results'!$I$66)+IF($A60='Options and results'!$I$67,'Options and results'!$I$68)+IF(AND($A60&gt;='Options and results'!$I$70,$A60&lt;='Options and results'!$I$71),IF(MOD($A60+'Options and results'!$I$72-'Options and results'!$I$70,'Options and results'!$I$72)=0,'Options and results'!$I$73,0))</f>
        <v>0</v>
      </c>
      <c r="V60" s="889">
        <f>'Options and results'!$W$18-W60-X60-Y60</f>
        <v>100</v>
      </c>
      <c r="W60" s="889">
        <f>SUMPRODUCT(T9:T60,E17:E68)</f>
        <v>0</v>
      </c>
      <c r="X60" s="889">
        <f>SUMPRODUCT(U9:U60,F17:F68)</f>
        <v>0</v>
      </c>
      <c r="Y60" s="889">
        <f>SUMPRODUCT(U9:U60,G17:G68)</f>
        <v>0</v>
      </c>
      <c r="Z60" s="889">
        <f t="shared" si="13"/>
        <v>0</v>
      </c>
      <c r="AA60" s="894">
        <f>(V60*Plot!E59*Plot!D59)</f>
        <v>0</v>
      </c>
      <c r="AB60" s="740">
        <f>SUMPRODUCT(T9:T60,H17:H68)</f>
        <v>0</v>
      </c>
      <c r="AC60" s="740">
        <f>SUMPRODUCT(T9:T60,I17:I68)</f>
        <v>0</v>
      </c>
      <c r="AD60" s="740">
        <f ca="1">SUMPRODUCT(U9:U60,J17:J68)</f>
        <v>0</v>
      </c>
      <c r="AE60" s="740">
        <f>SUMPRODUCT(U9:U60,K17:K68)</f>
        <v>0</v>
      </c>
      <c r="AF60" s="740">
        <f>SUMPRODUCT(U9:U60,L17:L68)</f>
        <v>0</v>
      </c>
      <c r="AG60" s="894">
        <f>Plot!N59*S60</f>
        <v>0</v>
      </c>
      <c r="AH60" s="740">
        <f>IF($A60&lt;='Options and results'!$W$20,SUMPRODUCT(T9:T60,M17:M68),0)</f>
        <v>0</v>
      </c>
      <c r="AI60" s="740">
        <f>IF($A60&lt;='Options and results'!$W$20,SUMPRODUCT(U9:U60,N17:N68),0)</f>
        <v>0</v>
      </c>
      <c r="AJ60" s="740">
        <f>IF($A60&lt;='Options and results'!$W$20,SUMPRODUCT(U9:U60,O17:O68),0)</f>
        <v>0</v>
      </c>
      <c r="AK60" s="740">
        <f t="shared" si="14"/>
        <v>0</v>
      </c>
      <c r="AL60" s="740">
        <f>Plot!P59*S60</f>
        <v>0</v>
      </c>
      <c r="AM60" s="740">
        <f>IF($A60&lt;='Options and results'!$W$20,SUMPRODUCT(T9:T60,P17:P68),0)</f>
        <v>0</v>
      </c>
      <c r="AN60" s="740">
        <f>IF($A60&lt;='Options and results'!$W$20,SUMPRODUCT(U9:U60,Q17:Q68),0)</f>
        <v>0</v>
      </c>
      <c r="AO60" s="740">
        <f>IF($A60&lt;='Options and results'!$W$20,SUMPRODUCT(U9:U60,R17:R68),0)</f>
        <v>0</v>
      </c>
      <c r="AP60" s="740">
        <f t="shared" si="15"/>
        <v>0</v>
      </c>
      <c r="AQ60" s="894">
        <f>IF($A60&lt;='Options and results'!$W$20,AQ59+AL60,0)</f>
        <v>0</v>
      </c>
      <c r="AR60" s="740">
        <f>IF($A60&lt;='Options and results'!$W$20,AR59+AM60,0)</f>
        <v>0</v>
      </c>
      <c r="AS60" s="740">
        <f>IF($A60&lt;='Options and results'!$W$20,AS59+AN60,0)</f>
        <v>0</v>
      </c>
      <c r="AT60" s="740">
        <f>IF($A60&lt;='Options and results'!$W$20,AT59+AO60,0)</f>
        <v>0</v>
      </c>
      <c r="AU60" s="740">
        <f>IF($A60&lt;='Options and results'!$W$20,AU59+AP60,0)</f>
        <v>0</v>
      </c>
      <c r="AV60" s="894">
        <f>AL60/(1+'Options and results'!$W$33)^($A60-1)</f>
        <v>0</v>
      </c>
      <c r="AW60" s="740">
        <f>AM60/(1+'Options and results'!$W$33)^($A60-1)</f>
        <v>0</v>
      </c>
      <c r="AX60" s="740">
        <f>AN60/(1+'Options and results'!$W$33)^($A60-1)</f>
        <v>0</v>
      </c>
      <c r="AY60" s="740">
        <f>AO60/(1+'Options and results'!$W$33)^($A60-1)</f>
        <v>0</v>
      </c>
      <c r="AZ60" s="740">
        <f t="shared" si="16"/>
        <v>0</v>
      </c>
      <c r="BA60" s="894">
        <f>IF($A60&lt;='Options and results'!$W$20,AV60+BA59,0)</f>
        <v>0</v>
      </c>
      <c r="BB60" s="740">
        <f>IF($A60&lt;='Options and results'!$W$20,AW60+BB59,0)</f>
        <v>0</v>
      </c>
      <c r="BC60" s="740">
        <f>IF($A60&lt;='Options and results'!$W$20,AX60+BC59,0)</f>
        <v>0</v>
      </c>
      <c r="BD60" s="740">
        <f>IF($A60&lt;='Options and results'!$W$20,AY60+BD59,0)</f>
        <v>0</v>
      </c>
      <c r="BE60" s="740">
        <f>IF($A60&lt;='Options and results'!$W$20,AZ60+BE59,0)</f>
        <v>0</v>
      </c>
      <c r="BF60" s="346"/>
    </row>
    <row r="61" spans="1:58" x14ac:dyDescent="0.25">
      <c r="A61" s="895">
        <f t="shared" si="17"/>
        <v>53</v>
      </c>
      <c r="B61" s="878">
        <f>IF('Options and results'!$C$54="none",0,IF(HLOOKUP('Options and results'!$C$54,Agroforestrysystem!$2:$9,8,FALSE)="No",LOOKUP(A61,Plot!$CK$8:$CN$67),LOOKUP(A61,Plot!$CK$8:$CN$67)+LOOKUP(A61,Plot!#REF!)))</f>
        <v>0</v>
      </c>
      <c r="C61" s="879">
        <f>IF(VLOOKUP(A61,Plot!$DF$8:$DL$67,7,FALSE)&gt;0,1-B61,0)</f>
        <v>0</v>
      </c>
      <c r="D61" s="896">
        <f t="shared" si="18"/>
        <v>8</v>
      </c>
      <c r="E61" s="897">
        <f>IF(VLOOKUP(D61,Plot!$V$8:$AB$67,Plot!$AB$2,FALSE)&gt;0,1,0)</f>
        <v>1</v>
      </c>
      <c r="F61" s="898">
        <f t="shared" si="11"/>
        <v>0.99</v>
      </c>
      <c r="G61" s="898">
        <f t="shared" si="12"/>
        <v>1.0000000000000009E-2</v>
      </c>
      <c r="H61" s="883">
        <f>VLOOKUP(D61,Plot!$V$8:$AH$67,Plot!$AH$2,FALSE)</f>
        <v>2.9704922531954656</v>
      </c>
      <c r="I61" s="884">
        <f>VLOOKUP(D61,Plot!$V$8:$AJ$67,Plot!$AJ$2,FALSE)</f>
        <v>0</v>
      </c>
      <c r="J61" s="885">
        <f ca="1">VLOOKUP(D61,Plot!$CK$8:$CP$67,Plot!$CO$2,FALSE)*VLOOKUP(D61,Plot!$CK$8:$CP$67,Plot!$CN$2,FALSE)</f>
        <v>2.8908</v>
      </c>
      <c r="K61" s="884">
        <f>VLOOKUP(D61,Plot!$DF$8:$DS$67,Plot!$DS$2,FALSE)</f>
        <v>1.9165211747338018</v>
      </c>
      <c r="L61" s="884">
        <f>VLOOKUP(D61,Plot!$DF$8:$DU$67,Plot!$DU$2,FALSE)</f>
        <v>0</v>
      </c>
      <c r="M61" s="883">
        <f>VLOOKUP(D61,Plot!$V$8:$BW$67,Plot!$BW$2,FALSE)</f>
        <v>11.028229216722728</v>
      </c>
      <c r="N61" s="884">
        <f>VLOOKUP(D61,Plot!$CK$8:$CX$67,Plot!$CX$2,FALSE)</f>
        <v>7.3845219420863808</v>
      </c>
      <c r="O61" s="884">
        <f>VLOOKUP(D61,Plot!$DF$8:$FH$67,Plot!$FH$2,FALSE)</f>
        <v>7.0693777030273894</v>
      </c>
      <c r="P61" s="883">
        <f>VLOOKUP(D61,Plot!$V$8:$CA$67,Plot!$CA$2,FALSE)</f>
        <v>-164.01214656415181</v>
      </c>
      <c r="Q61" s="884">
        <f ca="1">VLOOKUP($D61,Plot!$CK$8:$CZ$67,Plot!$CZ$2,FALSE)</f>
        <v>-131.46402035446158</v>
      </c>
      <c r="R61" s="899">
        <f>VLOOKUP($D61,Plot!$DF$8:$FL$67,Plot!$FL$2,FALSE)</f>
        <v>-106.21291446419988</v>
      </c>
      <c r="S61" s="895">
        <f t="shared" si="19"/>
        <v>100</v>
      </c>
      <c r="T61" s="900">
        <f>IF($A61='Options and results'!$I$33,'Options and results'!$I$34)+IF($A61='Options and results'!$I$35,'Options and results'!$I$36)+IF($A61='Options and results'!$I$37,'Options and results'!$I$38)+IF($A61='Options and results'!$I$39,'Options and results'!$I$40)+IF($A61='Options and results'!$I$41,'Options and results'!$I$42)+IF(AND($A61&gt;='Options and results'!$I$44,$A61&lt;='Options and results'!$I$45),IF(MOD($A61+'Options and results'!$I$46-'Options and results'!$I$44,'Options and results'!$I$46)=0,'Options and results'!$I$47,0))</f>
        <v>0</v>
      </c>
      <c r="U61" s="901">
        <f>IF($A61='Options and results'!$I$59,'Options and results'!$I$60)+IF($A61='Options and results'!$I$61,'Options and results'!$I$62)+IF($A61='Options and results'!$I$63,'Options and results'!$I$64)+IF($A61='Options and results'!$I$65,'Options and results'!$I$66)+IF($A61='Options and results'!$I$67,'Options and results'!$I$68)+IF(AND($A61&gt;='Options and results'!$I$70,$A61&lt;='Options and results'!$I$71),IF(MOD($A61+'Options and results'!$I$72-'Options and results'!$I$70,'Options and results'!$I$72)=0,'Options and results'!$I$73,0))</f>
        <v>0</v>
      </c>
      <c r="V61" s="889">
        <f>'Options and results'!$W$18-W61-X61-Y61</f>
        <v>100</v>
      </c>
      <c r="W61" s="889">
        <f>SUMPRODUCT(T9:T61,E16:E68)</f>
        <v>0</v>
      </c>
      <c r="X61" s="889">
        <f>SUMPRODUCT(U9:U61,F16:F68)</f>
        <v>0</v>
      </c>
      <c r="Y61" s="889">
        <f>SUMPRODUCT(U9:U61,G16:G68)</f>
        <v>0</v>
      </c>
      <c r="Z61" s="889">
        <f t="shared" si="13"/>
        <v>0</v>
      </c>
      <c r="AA61" s="894">
        <f>(V61*Plot!E60*Plot!D60)</f>
        <v>0</v>
      </c>
      <c r="AB61" s="740">
        <f>SUMPRODUCT(T9:T61,H16:H68)</f>
        <v>0</v>
      </c>
      <c r="AC61" s="740">
        <f>SUMPRODUCT(T9:T61,I16:I68)</f>
        <v>0</v>
      </c>
      <c r="AD61" s="740">
        <f ca="1">SUMPRODUCT(U9:U61,J16:J68)</f>
        <v>0</v>
      </c>
      <c r="AE61" s="740">
        <f>SUMPRODUCT(U9:U61,K16:K68)</f>
        <v>0</v>
      </c>
      <c r="AF61" s="740">
        <f>SUMPRODUCT(U9:U61,L16:L68)</f>
        <v>0</v>
      </c>
      <c r="AG61" s="894">
        <f>Plot!N60*S61</f>
        <v>0</v>
      </c>
      <c r="AH61" s="740">
        <f>IF($A61&lt;='Options and results'!$W$20,SUMPRODUCT(T9:T61,M16:M68),0)</f>
        <v>0</v>
      </c>
      <c r="AI61" s="740">
        <f>IF($A61&lt;='Options and results'!$W$20,SUMPRODUCT(U9:U61,N16:N68),0)</f>
        <v>0</v>
      </c>
      <c r="AJ61" s="740">
        <f>IF($A61&lt;='Options and results'!$W$20,SUMPRODUCT(U9:U61,O16:O68),0)</f>
        <v>0</v>
      </c>
      <c r="AK61" s="740">
        <f t="shared" si="14"/>
        <v>0</v>
      </c>
      <c r="AL61" s="740">
        <f>Plot!P60*S61</f>
        <v>0</v>
      </c>
      <c r="AM61" s="740">
        <f>IF($A61&lt;='Options and results'!$W$20,SUMPRODUCT(T9:T61,P16:P68),0)</f>
        <v>0</v>
      </c>
      <c r="AN61" s="740">
        <f>IF($A61&lt;='Options and results'!$W$20,SUMPRODUCT(U9:U61,Q16:Q68),0)</f>
        <v>0</v>
      </c>
      <c r="AO61" s="740">
        <f>IF($A61&lt;='Options and results'!$W$20,SUMPRODUCT(U9:U61,R16:R68),0)</f>
        <v>0</v>
      </c>
      <c r="AP61" s="740">
        <f t="shared" si="15"/>
        <v>0</v>
      </c>
      <c r="AQ61" s="894">
        <f>IF($A61&lt;='Options and results'!$W$20,AQ60+AL61,0)</f>
        <v>0</v>
      </c>
      <c r="AR61" s="740">
        <f>IF($A61&lt;='Options and results'!$W$20,AR60+AM61,0)</f>
        <v>0</v>
      </c>
      <c r="AS61" s="740">
        <f>IF($A61&lt;='Options and results'!$W$20,AS60+AN61,0)</f>
        <v>0</v>
      </c>
      <c r="AT61" s="740">
        <f>IF($A61&lt;='Options and results'!$W$20,AT60+AO61,0)</f>
        <v>0</v>
      </c>
      <c r="AU61" s="740">
        <f>IF($A61&lt;='Options and results'!$W$20,AU60+AP61,0)</f>
        <v>0</v>
      </c>
      <c r="AV61" s="894">
        <f>AL61/(1+'Options and results'!$W$33)^($A61-1)</f>
        <v>0</v>
      </c>
      <c r="AW61" s="740">
        <f>AM61/(1+'Options and results'!$W$33)^($A61-1)</f>
        <v>0</v>
      </c>
      <c r="AX61" s="740">
        <f>AN61/(1+'Options and results'!$W$33)^($A61-1)</f>
        <v>0</v>
      </c>
      <c r="AY61" s="740">
        <f>AO61/(1+'Options and results'!$W$33)^($A61-1)</f>
        <v>0</v>
      </c>
      <c r="AZ61" s="740">
        <f t="shared" si="16"/>
        <v>0</v>
      </c>
      <c r="BA61" s="894">
        <f>IF($A61&lt;='Options and results'!$W$20,AV61+BA60,0)</f>
        <v>0</v>
      </c>
      <c r="BB61" s="740">
        <f>IF($A61&lt;='Options and results'!$W$20,AW61+BB60,0)</f>
        <v>0</v>
      </c>
      <c r="BC61" s="740">
        <f>IF($A61&lt;='Options and results'!$W$20,AX61+BC60,0)</f>
        <v>0</v>
      </c>
      <c r="BD61" s="740">
        <f>IF($A61&lt;='Options and results'!$W$20,AY61+BD60,0)</f>
        <v>0</v>
      </c>
      <c r="BE61" s="740">
        <f>IF($A61&lt;='Options and results'!$W$20,AZ61+BE60,0)</f>
        <v>0</v>
      </c>
      <c r="BF61" s="346"/>
    </row>
    <row r="62" spans="1:58" x14ac:dyDescent="0.25">
      <c r="A62" s="895">
        <f t="shared" si="17"/>
        <v>54</v>
      </c>
      <c r="B62" s="878">
        <f>IF('Options and results'!$C$54="none",0,IF(HLOOKUP('Options and results'!$C$54,Agroforestrysystem!$2:$9,8,FALSE)="No",LOOKUP(A62,Plot!$CK$8:$CN$67),LOOKUP(A62,Plot!$CK$8:$CN$67)+LOOKUP(A62,Plot!#REF!)))</f>
        <v>0</v>
      </c>
      <c r="C62" s="879">
        <f>IF(VLOOKUP(A62,Plot!$DF$8:$DL$67,7,FALSE)&gt;0,1-B62,0)</f>
        <v>0</v>
      </c>
      <c r="D62" s="896">
        <f t="shared" si="18"/>
        <v>7</v>
      </c>
      <c r="E62" s="897">
        <f>IF(VLOOKUP(D62,Plot!$V$8:$AB$67,Plot!$AB$2,FALSE)&gt;0,1,0)</f>
        <v>1</v>
      </c>
      <c r="F62" s="898">
        <f t="shared" si="11"/>
        <v>0.99</v>
      </c>
      <c r="G62" s="898">
        <f t="shared" si="12"/>
        <v>1.0000000000000009E-2</v>
      </c>
      <c r="H62" s="883">
        <f>VLOOKUP(D62,Plot!$V$8:$AH$67,Plot!$AH$2,FALSE)</f>
        <v>1.8007501319971386</v>
      </c>
      <c r="I62" s="884">
        <f>VLOOKUP(D62,Plot!$V$8:$AJ$67,Plot!$AJ$2,FALSE)</f>
        <v>0</v>
      </c>
      <c r="J62" s="885">
        <f ca="1">VLOOKUP(D62,Plot!$CK$8:$CP$67,Plot!$CO$2,FALSE)*VLOOKUP(D62,Plot!$CK$8:$CP$67,Plot!$CN$2,FALSE)</f>
        <v>5.2866</v>
      </c>
      <c r="K62" s="884">
        <f>VLOOKUP(D62,Plot!$DF$8:$DS$67,Plot!$DS$2,FALSE)</f>
        <v>1.1586234781164211</v>
      </c>
      <c r="L62" s="884">
        <f>VLOOKUP(D62,Plot!$DF$8:$DU$67,Plot!$DU$2,FALSE)</f>
        <v>0</v>
      </c>
      <c r="M62" s="883">
        <f>VLOOKUP(D62,Plot!$V$8:$BW$67,Plot!$BW$2,FALSE)</f>
        <v>0</v>
      </c>
      <c r="N62" s="884">
        <f>VLOOKUP(D62,Plot!$CK$8:$CX$67,Plot!$CX$2,FALSE)</f>
        <v>10.725352674112727</v>
      </c>
      <c r="O62" s="884">
        <f>VLOOKUP(D62,Plot!$DF$8:$FH$67,Plot!$FH$2,FALSE)</f>
        <v>0</v>
      </c>
      <c r="P62" s="883">
        <f>VLOOKUP(D62,Plot!$V$8:$CA$67,Plot!$CA$2,FALSE)</f>
        <v>-3</v>
      </c>
      <c r="Q62" s="884">
        <f ca="1">VLOOKUP($D62,Plot!$CK$8:$CZ$67,Plot!$CZ$2,FALSE)</f>
        <v>-107.60109904204603</v>
      </c>
      <c r="R62" s="899">
        <f>VLOOKUP($D62,Plot!$DF$8:$FL$67,Plot!$FL$2,FALSE)</f>
        <v>-3</v>
      </c>
      <c r="S62" s="895">
        <f t="shared" si="19"/>
        <v>100</v>
      </c>
      <c r="T62" s="900">
        <f>IF($A62='Options and results'!$I$33,'Options and results'!$I$34)+IF($A62='Options and results'!$I$35,'Options and results'!$I$36)+IF($A62='Options and results'!$I$37,'Options and results'!$I$38)+IF($A62='Options and results'!$I$39,'Options and results'!$I$40)+IF($A62='Options and results'!$I$41,'Options and results'!$I$42)+IF(AND($A62&gt;='Options and results'!$I$44,$A62&lt;='Options and results'!$I$45),IF(MOD($A62+'Options and results'!$I$46-'Options and results'!$I$44,'Options and results'!$I$46)=0,'Options and results'!$I$47,0))</f>
        <v>0</v>
      </c>
      <c r="U62" s="901">
        <f>IF($A62='Options and results'!$I$59,'Options and results'!$I$60)+IF($A62='Options and results'!$I$61,'Options and results'!$I$62)+IF($A62='Options and results'!$I$63,'Options and results'!$I$64)+IF($A62='Options and results'!$I$65,'Options and results'!$I$66)+IF($A62='Options and results'!$I$67,'Options and results'!$I$68)+IF(AND($A62&gt;='Options and results'!$I$70,$A62&lt;='Options and results'!$I$71),IF(MOD($A62+'Options and results'!$I$72-'Options and results'!$I$70,'Options and results'!$I$72)=0,'Options and results'!$I$73,0))</f>
        <v>0</v>
      </c>
      <c r="V62" s="889">
        <f>'Options and results'!$W$18-W62-X62-Y62</f>
        <v>100</v>
      </c>
      <c r="W62" s="889">
        <f>SUMPRODUCT(T9:T62,E15:E68)</f>
        <v>0</v>
      </c>
      <c r="X62" s="889">
        <f>SUMPRODUCT(U9:U62,F15:F68)</f>
        <v>0</v>
      </c>
      <c r="Y62" s="889">
        <f>SUMPRODUCT(U9:U62,G15:G68)</f>
        <v>0</v>
      </c>
      <c r="Z62" s="889">
        <f t="shared" si="13"/>
        <v>0</v>
      </c>
      <c r="AA62" s="894">
        <f>(V62*Plot!E61*Plot!D61)</f>
        <v>0</v>
      </c>
      <c r="AB62" s="740">
        <f>SUMPRODUCT(T9:T62,H15:H68)</f>
        <v>0</v>
      </c>
      <c r="AC62" s="740">
        <f>SUMPRODUCT(T9:T62,I15:I68)</f>
        <v>0</v>
      </c>
      <c r="AD62" s="740">
        <f ca="1">SUMPRODUCT(U9:U62,J15:J68)</f>
        <v>0</v>
      </c>
      <c r="AE62" s="740">
        <f>SUMPRODUCT(U9:U62,K15:K68)</f>
        <v>0</v>
      </c>
      <c r="AF62" s="740">
        <f>SUMPRODUCT(U9:U62,L15:L68)</f>
        <v>0</v>
      </c>
      <c r="AG62" s="894">
        <f>Plot!N61*S62</f>
        <v>0</v>
      </c>
      <c r="AH62" s="740">
        <f>IF($A62&lt;='Options and results'!$W$20,SUMPRODUCT(T9:T62,M15:M68),0)</f>
        <v>0</v>
      </c>
      <c r="AI62" s="740">
        <f>IF($A62&lt;='Options and results'!$W$20,SUMPRODUCT(U9:U62,N15:N68),0)</f>
        <v>0</v>
      </c>
      <c r="AJ62" s="740">
        <f>IF($A62&lt;='Options and results'!$W$20,SUMPRODUCT(U9:U62,O15:O68),0)</f>
        <v>0</v>
      </c>
      <c r="AK62" s="740">
        <f t="shared" si="14"/>
        <v>0</v>
      </c>
      <c r="AL62" s="740">
        <f>Plot!P61*S62</f>
        <v>0</v>
      </c>
      <c r="AM62" s="740">
        <f>IF($A62&lt;='Options and results'!$W$20,SUMPRODUCT(T9:T62,P15:P68),0)</f>
        <v>0</v>
      </c>
      <c r="AN62" s="740">
        <f>IF($A62&lt;='Options and results'!$W$20,SUMPRODUCT(U9:U62,Q15:Q68),0)</f>
        <v>0</v>
      </c>
      <c r="AO62" s="740">
        <f>IF($A62&lt;='Options and results'!$W$20,SUMPRODUCT(U9:U62,R15:R68),0)</f>
        <v>0</v>
      </c>
      <c r="AP62" s="740">
        <f t="shared" si="15"/>
        <v>0</v>
      </c>
      <c r="AQ62" s="894">
        <f>IF($A62&lt;='Options and results'!$W$20,AQ61+AL62,0)</f>
        <v>0</v>
      </c>
      <c r="AR62" s="740">
        <f>IF($A62&lt;='Options and results'!$W$20,AR61+AM62,0)</f>
        <v>0</v>
      </c>
      <c r="AS62" s="740">
        <f>IF($A62&lt;='Options and results'!$W$20,AS61+AN62,0)</f>
        <v>0</v>
      </c>
      <c r="AT62" s="740">
        <f>IF($A62&lt;='Options and results'!$W$20,AT61+AO62,0)</f>
        <v>0</v>
      </c>
      <c r="AU62" s="740">
        <f>IF($A62&lt;='Options and results'!$W$20,AU61+AP62,0)</f>
        <v>0</v>
      </c>
      <c r="AV62" s="894">
        <f>AL62/(1+'Options and results'!$W$33)^($A62-1)</f>
        <v>0</v>
      </c>
      <c r="AW62" s="740">
        <f>AM62/(1+'Options and results'!$W$33)^($A62-1)</f>
        <v>0</v>
      </c>
      <c r="AX62" s="740">
        <f>AN62/(1+'Options and results'!$W$33)^($A62-1)</f>
        <v>0</v>
      </c>
      <c r="AY62" s="740">
        <f>AO62/(1+'Options and results'!$W$33)^($A62-1)</f>
        <v>0</v>
      </c>
      <c r="AZ62" s="740">
        <f t="shared" si="16"/>
        <v>0</v>
      </c>
      <c r="BA62" s="894">
        <f>IF($A62&lt;='Options and results'!$W$20,AV62+BA61,0)</f>
        <v>0</v>
      </c>
      <c r="BB62" s="740">
        <f>IF($A62&lt;='Options and results'!$W$20,AW62+BB61,0)</f>
        <v>0</v>
      </c>
      <c r="BC62" s="740">
        <f>IF($A62&lt;='Options and results'!$W$20,AX62+BC61,0)</f>
        <v>0</v>
      </c>
      <c r="BD62" s="740">
        <f>IF($A62&lt;='Options and results'!$W$20,AY62+BD61,0)</f>
        <v>0</v>
      </c>
      <c r="BE62" s="740">
        <f>IF($A62&lt;='Options and results'!$W$20,AZ62+BE61,0)</f>
        <v>0</v>
      </c>
      <c r="BF62" s="346"/>
    </row>
    <row r="63" spans="1:58" x14ac:dyDescent="0.25">
      <c r="A63" s="895">
        <f t="shared" si="17"/>
        <v>55</v>
      </c>
      <c r="B63" s="878">
        <f>IF('Options and results'!$C$54="none",0,IF(HLOOKUP('Options and results'!$C$54,Agroforestrysystem!$2:$9,8,FALSE)="No",LOOKUP(A63,Plot!$CK$8:$CN$67),LOOKUP(A63,Plot!$CK$8:$CN$67)+LOOKUP(A63,Plot!#REF!)))</f>
        <v>0</v>
      </c>
      <c r="C63" s="879">
        <f>IF(VLOOKUP(A63,Plot!$DF$8:$DL$67,7,FALSE)&gt;0,1-B63,0)</f>
        <v>0</v>
      </c>
      <c r="D63" s="896">
        <f t="shared" si="18"/>
        <v>6</v>
      </c>
      <c r="E63" s="897">
        <f>IF(VLOOKUP(D63,Plot!$V$8:$AB$67,Plot!$AB$2,FALSE)&gt;0,1,0)</f>
        <v>1</v>
      </c>
      <c r="F63" s="898">
        <f t="shared" si="11"/>
        <v>0.99</v>
      </c>
      <c r="G63" s="898">
        <f t="shared" si="12"/>
        <v>1.0000000000000009E-2</v>
      </c>
      <c r="H63" s="883">
        <f>VLOOKUP(D63,Plot!$V$8:$AH$67,Plot!$AH$2,FALSE)</f>
        <v>0.95005094756148822</v>
      </c>
      <c r="I63" s="884">
        <f>VLOOKUP(D63,Plot!$V$8:$AJ$67,Plot!$AJ$2,FALSE)</f>
        <v>0</v>
      </c>
      <c r="J63" s="885">
        <f ca="1">VLOOKUP(D63,Plot!$CK$8:$CP$67,Plot!$CO$2,FALSE)*VLOOKUP(D63,Plot!$CK$8:$CP$67,Plot!$CN$2,FALSE)</f>
        <v>7.9893000000000001</v>
      </c>
      <c r="K63" s="884">
        <f>VLOOKUP(D63,Plot!$DF$8:$DS$67,Plot!$DS$2,FALSE)</f>
        <v>0.61023706838251768</v>
      </c>
      <c r="L63" s="884">
        <f>VLOOKUP(D63,Plot!$DF$8:$DU$67,Plot!$DU$2,FALSE)</f>
        <v>0</v>
      </c>
      <c r="M63" s="883">
        <f>VLOOKUP(D63,Plot!$V$8:$BW$67,Plot!$BW$2,FALSE)</f>
        <v>6.3605581107983795</v>
      </c>
      <c r="N63" s="884">
        <f>VLOOKUP(D63,Plot!$CK$8:$CX$67,Plot!$CX$2,FALSE)</f>
        <v>11.516506250880969</v>
      </c>
      <c r="O63" s="884">
        <f>VLOOKUP(D63,Plot!$DF$8:$FH$67,Plot!$FH$2,FALSE)</f>
        <v>4.0772808402553711</v>
      </c>
      <c r="P63" s="883">
        <f>VLOOKUP(D63,Plot!$V$8:$CA$67,Plot!$CA$2,FALSE)</f>
        <v>-95.864148417656338</v>
      </c>
      <c r="Q63" s="884">
        <f ca="1">VLOOKUP($D63,Plot!$CK$8:$CZ$67,Plot!$CZ$2,FALSE)</f>
        <v>251.98750873713811</v>
      </c>
      <c r="R63" s="899">
        <f>VLOOKUP($D63,Plot!$DF$8:$FL$67,Plot!$FL$2,FALSE)</f>
        <v>-62.528300267728426</v>
      </c>
      <c r="S63" s="895">
        <f t="shared" si="19"/>
        <v>100</v>
      </c>
      <c r="T63" s="900">
        <f>IF($A63='Options and results'!$I$33,'Options and results'!$I$34)+IF($A63='Options and results'!$I$35,'Options and results'!$I$36)+IF($A63='Options and results'!$I$37,'Options and results'!$I$38)+IF($A63='Options and results'!$I$39,'Options and results'!$I$40)+IF($A63='Options and results'!$I$41,'Options and results'!$I$42)+IF(AND($A63&gt;='Options and results'!$I$44,$A63&lt;='Options and results'!$I$45),IF(MOD($A63+'Options and results'!$I$46-'Options and results'!$I$44,'Options and results'!$I$46)=0,'Options and results'!$I$47,0))</f>
        <v>0</v>
      </c>
      <c r="U63" s="901">
        <f>IF($A63='Options and results'!$I$59,'Options and results'!$I$60)+IF($A63='Options and results'!$I$61,'Options and results'!$I$62)+IF($A63='Options and results'!$I$63,'Options and results'!$I$64)+IF($A63='Options and results'!$I$65,'Options and results'!$I$66)+IF($A63='Options and results'!$I$67,'Options and results'!$I$68)+IF(AND($A63&gt;='Options and results'!$I$70,$A63&lt;='Options and results'!$I$71),IF(MOD($A63+'Options and results'!$I$72-'Options and results'!$I$70,'Options and results'!$I$72)=0,'Options and results'!$I$73,0))</f>
        <v>0</v>
      </c>
      <c r="V63" s="889">
        <f>'Options and results'!$W$18-W63-X63-Y63</f>
        <v>100</v>
      </c>
      <c r="W63" s="889">
        <f>SUMPRODUCT(T9:T63,E14:E68)</f>
        <v>0</v>
      </c>
      <c r="X63" s="889">
        <f>SUMPRODUCT(U9:U63,F14:F68)</f>
        <v>0</v>
      </c>
      <c r="Y63" s="889">
        <f>SUMPRODUCT(U9:U63,G14:G68)</f>
        <v>0</v>
      </c>
      <c r="Z63" s="889">
        <f t="shared" si="13"/>
        <v>0</v>
      </c>
      <c r="AA63" s="894">
        <f>(V63*Plot!E62*Plot!D62)</f>
        <v>0</v>
      </c>
      <c r="AB63" s="740">
        <f>SUMPRODUCT(T9:T63,H14:H68)</f>
        <v>0</v>
      </c>
      <c r="AC63" s="740">
        <f>SUMPRODUCT(T9:T63,I14:I68)</f>
        <v>0</v>
      </c>
      <c r="AD63" s="740">
        <f ca="1">SUMPRODUCT(U9:U63,J14:J68)</f>
        <v>0</v>
      </c>
      <c r="AE63" s="740">
        <f>SUMPRODUCT(U9:U63,K14:K68)</f>
        <v>0</v>
      </c>
      <c r="AF63" s="740">
        <f>SUMPRODUCT(U9:U63,L14:L68)</f>
        <v>0</v>
      </c>
      <c r="AG63" s="894">
        <f>Plot!N62*S63</f>
        <v>0</v>
      </c>
      <c r="AH63" s="740">
        <f>IF($A63&lt;='Options and results'!$W$20,SUMPRODUCT(T9:T63,M14:M68),0)</f>
        <v>0</v>
      </c>
      <c r="AI63" s="740">
        <f>IF($A63&lt;='Options and results'!$W$20,SUMPRODUCT(U9:U63,N14:N68),0)</f>
        <v>0</v>
      </c>
      <c r="AJ63" s="740">
        <f>IF($A63&lt;='Options and results'!$W$20,SUMPRODUCT(U9:U63,O14:O68),0)</f>
        <v>0</v>
      </c>
      <c r="AK63" s="740">
        <f t="shared" si="14"/>
        <v>0</v>
      </c>
      <c r="AL63" s="740">
        <f>Plot!P62*S63</f>
        <v>0</v>
      </c>
      <c r="AM63" s="740">
        <f>IF($A63&lt;='Options and results'!$W$20,SUMPRODUCT(T9:T63,P14:P68),0)</f>
        <v>0</v>
      </c>
      <c r="AN63" s="740">
        <f>IF($A63&lt;='Options and results'!$W$20,SUMPRODUCT(U9:U63,Q14:Q68),0)</f>
        <v>0</v>
      </c>
      <c r="AO63" s="740">
        <f>IF($A63&lt;='Options and results'!$W$20,SUMPRODUCT(U9:U63,R14:R68),0)</f>
        <v>0</v>
      </c>
      <c r="AP63" s="740">
        <f t="shared" si="15"/>
        <v>0</v>
      </c>
      <c r="AQ63" s="894">
        <f>IF($A63&lt;='Options and results'!$W$20,AQ62+AL63,0)</f>
        <v>0</v>
      </c>
      <c r="AR63" s="740">
        <f>IF($A63&lt;='Options and results'!$W$20,AR62+AM63,0)</f>
        <v>0</v>
      </c>
      <c r="AS63" s="740">
        <f>IF($A63&lt;='Options and results'!$W$20,AS62+AN63,0)</f>
        <v>0</v>
      </c>
      <c r="AT63" s="740">
        <f>IF($A63&lt;='Options and results'!$W$20,AT62+AO63,0)</f>
        <v>0</v>
      </c>
      <c r="AU63" s="740">
        <f>IF($A63&lt;='Options and results'!$W$20,AU62+AP63,0)</f>
        <v>0</v>
      </c>
      <c r="AV63" s="894">
        <f>AL63/(1+'Options and results'!$W$33)^($A63-1)</f>
        <v>0</v>
      </c>
      <c r="AW63" s="740">
        <f>AM63/(1+'Options and results'!$W$33)^($A63-1)</f>
        <v>0</v>
      </c>
      <c r="AX63" s="740">
        <f>AN63/(1+'Options and results'!$W$33)^($A63-1)</f>
        <v>0</v>
      </c>
      <c r="AY63" s="740">
        <f>AO63/(1+'Options and results'!$W$33)^($A63-1)</f>
        <v>0</v>
      </c>
      <c r="AZ63" s="740">
        <f t="shared" si="16"/>
        <v>0</v>
      </c>
      <c r="BA63" s="894">
        <f>IF($A63&lt;='Options and results'!$W$20,AV63+BA62,0)</f>
        <v>0</v>
      </c>
      <c r="BB63" s="740">
        <f>IF($A63&lt;='Options and results'!$W$20,AW63+BB62,0)</f>
        <v>0</v>
      </c>
      <c r="BC63" s="740">
        <f>IF($A63&lt;='Options and results'!$W$20,AX63+BC62,0)</f>
        <v>0</v>
      </c>
      <c r="BD63" s="740">
        <f>IF($A63&lt;='Options and results'!$W$20,AY63+BD62,0)</f>
        <v>0</v>
      </c>
      <c r="BE63" s="740">
        <f>IF($A63&lt;='Options and results'!$W$20,AZ63+BE62,0)</f>
        <v>0</v>
      </c>
      <c r="BF63" s="346"/>
    </row>
    <row r="64" spans="1:58" x14ac:dyDescent="0.25">
      <c r="A64" s="895">
        <f t="shared" si="17"/>
        <v>56</v>
      </c>
      <c r="B64" s="878">
        <f>IF('Options and results'!$C$54="none",0,IF(HLOOKUP('Options and results'!$C$54,Agroforestrysystem!$2:$9,8,FALSE)="No",LOOKUP(A64,Plot!$CK$8:$CN$67),LOOKUP(A64,Plot!$CK$8:$CN$67)+LOOKUP(A64,Plot!#REF!)))</f>
        <v>0</v>
      </c>
      <c r="C64" s="879">
        <f>IF(VLOOKUP(A64,Plot!$DF$8:$DL$67,7,FALSE)&gt;0,1-B64,0)</f>
        <v>0</v>
      </c>
      <c r="D64" s="896">
        <f>D63-1</f>
        <v>5</v>
      </c>
      <c r="E64" s="897">
        <f>IF(VLOOKUP(D64,Plot!$V$8:$AB$67,Plot!$AB$2,FALSE)&gt;0,1,0)</f>
        <v>1</v>
      </c>
      <c r="F64" s="898">
        <f t="shared" si="11"/>
        <v>0.99</v>
      </c>
      <c r="G64" s="898">
        <f t="shared" si="12"/>
        <v>1.0000000000000009E-2</v>
      </c>
      <c r="H64" s="883">
        <f>VLOOKUP(D64,Plot!$V$8:$AH$67,Plot!$AH$2,FALSE)</f>
        <v>0.45843996039034762</v>
      </c>
      <c r="I64" s="884">
        <f>VLOOKUP(D64,Plot!$V$8:$AJ$67,Plot!$AJ$2,FALSE)</f>
        <v>0</v>
      </c>
      <c r="J64" s="885">
        <f ca="1">VLOOKUP(D64,Plot!$CK$8:$CP$67,Plot!$CO$2,FALSE)*VLOOKUP(D64,Plot!$CK$8:$CP$67,Plot!$CN$2,FALSE)</f>
        <v>9.0188999999999986</v>
      </c>
      <c r="K64" s="884">
        <f>VLOOKUP(D64,Plot!$DF$8:$DS$67,Plot!$DS$2,FALSE)</f>
        <v>0.2941663455738871</v>
      </c>
      <c r="L64" s="884">
        <f>VLOOKUP(D64,Plot!$DF$8:$DU$67,Plot!$DU$2,FALSE)</f>
        <v>0</v>
      </c>
      <c r="M64" s="883">
        <f>VLOOKUP(D64,Plot!$V$8:$BW$67,Plot!$BW$2,FALSE)</f>
        <v>0</v>
      </c>
      <c r="N64" s="884">
        <f>VLOOKUP(D64,Plot!$CK$8:$CX$67,Plot!$CX$2,FALSE)</f>
        <v>11.516506250880969</v>
      </c>
      <c r="O64" s="884">
        <f>VLOOKUP(D64,Plot!$DF$8:$FH$67,Plot!$FH$2,FALSE)</f>
        <v>0</v>
      </c>
      <c r="P64" s="883">
        <f>VLOOKUP(D64,Plot!$V$8:$CA$67,Plot!$CA$2,FALSE)</f>
        <v>-3</v>
      </c>
      <c r="Q64" s="884">
        <f ca="1">VLOOKUP($D64,Plot!$CK$8:$CZ$67,Plot!$CZ$2,FALSE)</f>
        <v>447.22100873713771</v>
      </c>
      <c r="R64" s="899">
        <f>VLOOKUP($D64,Plot!$DF$8:$FL$67,Plot!$FL$2,FALSE)</f>
        <v>-3</v>
      </c>
      <c r="S64" s="895">
        <f>V64</f>
        <v>100</v>
      </c>
      <c r="T64" s="900">
        <f>IF($A64='Options and results'!$I$33,'Options and results'!$I$34)+IF($A64='Options and results'!$I$35,'Options and results'!$I$36)+IF($A64='Options and results'!$I$37,'Options and results'!$I$38)+IF($A64='Options and results'!$I$39,'Options and results'!$I$40)+IF($A64='Options and results'!$I$41,'Options and results'!$I$42)+IF(AND($A64&gt;='Options and results'!$I$44,$A64&lt;='Options and results'!$I$45),IF(MOD($A64+'Options and results'!$I$46-'Options and results'!$I$44,'Options and results'!$I$46)=0,'Options and results'!$I$47,0))</f>
        <v>0</v>
      </c>
      <c r="U64" s="901">
        <f>IF($A64='Options and results'!$I$59,'Options and results'!$I$60)+IF($A64='Options and results'!$I$61,'Options and results'!$I$62)+IF($A64='Options and results'!$I$63,'Options and results'!$I$64)+IF($A64='Options and results'!$I$65,'Options and results'!$I$66)+IF($A64='Options and results'!$I$67,'Options and results'!$I$68)+IF(AND($A64&gt;='Options and results'!$I$70,$A64&lt;='Options and results'!$I$71),IF(MOD($A64+'Options and results'!$I$72-'Options and results'!$I$70,'Options and results'!$I$72)=0,'Options and results'!$I$73,0))</f>
        <v>0</v>
      </c>
      <c r="V64" s="889">
        <f>'Options and results'!$W$18-W64-X64-Y64</f>
        <v>100</v>
      </c>
      <c r="W64" s="889">
        <f>SUMPRODUCT(T9:T64,E13:E68)</f>
        <v>0</v>
      </c>
      <c r="X64" s="889">
        <f>SUMPRODUCT(U9:U64,F13:F68)</f>
        <v>0</v>
      </c>
      <c r="Y64" s="889">
        <f>SUMPRODUCT(U9:U64,G13:G68)</f>
        <v>0</v>
      </c>
      <c r="Z64" s="889">
        <f>X64+Y64</f>
        <v>0</v>
      </c>
      <c r="AA64" s="894">
        <f>(V64*Plot!E63*Plot!D63)</f>
        <v>0</v>
      </c>
      <c r="AB64" s="740">
        <f>SUMPRODUCT(T9:T64,H13:H68)</f>
        <v>0</v>
      </c>
      <c r="AC64" s="740">
        <f>SUMPRODUCT(T9:T64,I13:I68)</f>
        <v>0</v>
      </c>
      <c r="AD64" s="740">
        <f ca="1">SUMPRODUCT(U9:U64,J13:J68)</f>
        <v>0</v>
      </c>
      <c r="AE64" s="740">
        <f>SUMPRODUCT(U9:U64,K13:K68)</f>
        <v>0</v>
      </c>
      <c r="AF64" s="740">
        <f>SUMPRODUCT(U9:U64,L13:L68)</f>
        <v>0</v>
      </c>
      <c r="AG64" s="894">
        <f>Plot!N63*S64</f>
        <v>0</v>
      </c>
      <c r="AH64" s="740">
        <f>IF($A64&lt;='Options and results'!$W$20,SUMPRODUCT(T9:T64,M13:M68),0)</f>
        <v>0</v>
      </c>
      <c r="AI64" s="740">
        <f>IF($A64&lt;='Options and results'!$W$20,SUMPRODUCT(U9:U64,N13:N68),0)</f>
        <v>0</v>
      </c>
      <c r="AJ64" s="740">
        <f>IF($A64&lt;='Options and results'!$W$20,SUMPRODUCT(U9:U64,O13:O68),0)</f>
        <v>0</v>
      </c>
      <c r="AK64" s="740">
        <f>AI64+AJ64</f>
        <v>0</v>
      </c>
      <c r="AL64" s="740">
        <f>Plot!P63*S64</f>
        <v>0</v>
      </c>
      <c r="AM64" s="740">
        <f>IF($A64&lt;='Options and results'!$W$20,SUMPRODUCT(T9:T64,P13:P68),0)</f>
        <v>0</v>
      </c>
      <c r="AN64" s="740">
        <f>IF($A64&lt;='Options and results'!$W$20,SUMPRODUCT(U9:U64,Q13:Q68),0)</f>
        <v>0</v>
      </c>
      <c r="AO64" s="740">
        <f>IF($A64&lt;='Options and results'!$W$20,SUMPRODUCT(U9:U64,R13:R68),0)</f>
        <v>0</v>
      </c>
      <c r="AP64" s="740">
        <f>AN64+AO64</f>
        <v>0</v>
      </c>
      <c r="AQ64" s="894">
        <f>IF($A64&lt;='Options and results'!$W$20,AQ63+AL64,0)</f>
        <v>0</v>
      </c>
      <c r="AR64" s="740">
        <f>IF($A64&lt;='Options and results'!$W$20,AR63+AM64,0)</f>
        <v>0</v>
      </c>
      <c r="AS64" s="740">
        <f>IF($A64&lt;='Options and results'!$W$20,AS63+AN64,0)</f>
        <v>0</v>
      </c>
      <c r="AT64" s="740">
        <f>IF($A64&lt;='Options and results'!$W$20,AT63+AO64,0)</f>
        <v>0</v>
      </c>
      <c r="AU64" s="740">
        <f>IF($A64&lt;='Options and results'!$W$20,AU63+AP64,0)</f>
        <v>0</v>
      </c>
      <c r="AV64" s="894">
        <f>AL64/(1+'Options and results'!$W$33)^($A64-1)</f>
        <v>0</v>
      </c>
      <c r="AW64" s="740">
        <f>AM64/(1+'Options and results'!$W$33)^($A64-1)</f>
        <v>0</v>
      </c>
      <c r="AX64" s="740">
        <f>AN64/(1+'Options and results'!$W$33)^($A64-1)</f>
        <v>0</v>
      </c>
      <c r="AY64" s="740">
        <f>AO64/(1+'Options and results'!$W$33)^($A64-1)</f>
        <v>0</v>
      </c>
      <c r="AZ64" s="740">
        <f>AX64+AY64</f>
        <v>0</v>
      </c>
      <c r="BA64" s="894">
        <f>IF($A64&lt;='Options and results'!$W$20,AV64+BA63,0)</f>
        <v>0</v>
      </c>
      <c r="BB64" s="740">
        <f>IF($A64&lt;='Options and results'!$W$20,AW64+BB63,0)</f>
        <v>0</v>
      </c>
      <c r="BC64" s="740">
        <f>IF($A64&lt;='Options and results'!$W$20,AX64+BC63,0)</f>
        <v>0</v>
      </c>
      <c r="BD64" s="740">
        <f>IF($A64&lt;='Options and results'!$W$20,AY64+BD63,0)</f>
        <v>0</v>
      </c>
      <c r="BE64" s="740">
        <f>IF($A64&lt;='Options and results'!$W$20,AZ64+BE63,0)</f>
        <v>0</v>
      </c>
      <c r="BF64" s="346"/>
    </row>
    <row r="65" spans="1:58" x14ac:dyDescent="0.25">
      <c r="A65" s="895">
        <f t="shared" si="17"/>
        <v>57</v>
      </c>
      <c r="B65" s="878">
        <f>IF('Options and results'!$C$54="none",0,IF(HLOOKUP('Options and results'!$C$54,Agroforestrysystem!$2:$9,8,FALSE)="No",LOOKUP(A65,Plot!$CK$8:$CN$67),LOOKUP(A65,Plot!$CK$8:$CN$67)+LOOKUP(A65,Plot!#REF!)))</f>
        <v>0</v>
      </c>
      <c r="C65" s="879">
        <f>IF(VLOOKUP(A65,Plot!$DF$8:$DL$67,7,FALSE)&gt;0,1-B65,0)</f>
        <v>0</v>
      </c>
      <c r="D65" s="896">
        <f>D64-1</f>
        <v>4</v>
      </c>
      <c r="E65" s="897">
        <f>IF(VLOOKUP(D65,Plot!$V$8:$AB$67,Plot!$AB$2,FALSE)&gt;0,1,0)</f>
        <v>1</v>
      </c>
      <c r="F65" s="898">
        <f t="shared" si="11"/>
        <v>0.99</v>
      </c>
      <c r="G65" s="898">
        <f t="shared" si="12"/>
        <v>1.0000000000000009E-2</v>
      </c>
      <c r="H65" s="883">
        <f>VLOOKUP(D65,Plot!$V$8:$AH$67,Plot!$AH$2,FALSE)</f>
        <v>0.2348378031700093</v>
      </c>
      <c r="I65" s="884">
        <f>VLOOKUP(D65,Plot!$V$8:$AJ$67,Plot!$AJ$2,FALSE)</f>
        <v>0</v>
      </c>
      <c r="J65" s="885">
        <f ca="1">VLOOKUP(D65,Plot!$CK$8:$CP$67,Plot!$CO$2,FALSE)*VLOOKUP(D65,Plot!$CK$8:$CP$67,Plot!$CN$2,FALSE)</f>
        <v>3.3165</v>
      </c>
      <c r="K65" s="884">
        <f>VLOOKUP(D65,Plot!$DF$8:$DS$67,Plot!$DS$2,FALSE)</f>
        <v>0.15061881196731625</v>
      </c>
      <c r="L65" s="884">
        <f>VLOOKUP(D65,Plot!$DF$8:$DU$67,Plot!$DU$2,FALSE)</f>
        <v>0</v>
      </c>
      <c r="M65" s="883">
        <f>VLOOKUP(D65,Plot!$V$8:$BW$67,Plot!$BW$2,FALSE)</f>
        <v>0</v>
      </c>
      <c r="N65" s="884">
        <f>VLOOKUP(D65,Plot!$CK$8:$CX$67,Plot!$CX$2,FALSE)</f>
        <v>7.3845219420863808</v>
      </c>
      <c r="O65" s="884">
        <f>VLOOKUP(D65,Plot!$DF$8:$FH$67,Plot!$FH$2,FALSE)</f>
        <v>0</v>
      </c>
      <c r="P65" s="883">
        <f>VLOOKUP(D65,Plot!$V$8:$CA$67,Plot!$CA$2,FALSE)</f>
        <v>-3</v>
      </c>
      <c r="Q65" s="884">
        <f ca="1">VLOOKUP($D65,Plot!$CK$8:$CZ$67,Plot!$CZ$2,FALSE)</f>
        <v>22.260979645538555</v>
      </c>
      <c r="R65" s="899">
        <f>VLOOKUP($D65,Plot!$DF$8:$FL$67,Plot!$FL$2,FALSE)</f>
        <v>-3</v>
      </c>
      <c r="S65" s="895">
        <f>V65</f>
        <v>100</v>
      </c>
      <c r="T65" s="900">
        <f>IF($A65='Options and results'!$I$33,'Options and results'!$I$34)+IF($A65='Options and results'!$I$35,'Options and results'!$I$36)+IF($A65='Options and results'!$I$37,'Options and results'!$I$38)+IF($A65='Options and results'!$I$39,'Options and results'!$I$40)+IF($A65='Options and results'!$I$41,'Options and results'!$I$42)+IF(AND($A65&gt;='Options and results'!$I$44,$A65&lt;='Options and results'!$I$45),IF(MOD($A65+'Options and results'!$I$46-'Options and results'!$I$44,'Options and results'!$I$46)=0,'Options and results'!$I$47,0))</f>
        <v>0</v>
      </c>
      <c r="U65" s="901">
        <f>IF($A65='Options and results'!$I$59,'Options and results'!$I$60)+IF($A65='Options and results'!$I$61,'Options and results'!$I$62)+IF($A65='Options and results'!$I$63,'Options and results'!$I$64)+IF($A65='Options and results'!$I$65,'Options and results'!$I$66)+IF($A65='Options and results'!$I$67,'Options and results'!$I$68)+IF(AND($A65&gt;='Options and results'!$I$70,$A65&lt;='Options and results'!$I$71),IF(MOD($A65+'Options and results'!$I$72-'Options and results'!$I$70,'Options and results'!$I$72)=0,'Options and results'!$I$73,0))</f>
        <v>0</v>
      </c>
      <c r="V65" s="889">
        <f>'Options and results'!$W$18-W65-X65-Y65</f>
        <v>100</v>
      </c>
      <c r="W65" s="889">
        <f>SUMPRODUCT(T9:T65,E12:E68)</f>
        <v>0</v>
      </c>
      <c r="X65" s="889">
        <f>SUMPRODUCT(U9:U65,F12:F68)</f>
        <v>0</v>
      </c>
      <c r="Y65" s="889">
        <f>SUMPRODUCT(U9:U65,G12:G68)</f>
        <v>0</v>
      </c>
      <c r="Z65" s="889">
        <f>X65+Y65</f>
        <v>0</v>
      </c>
      <c r="AA65" s="894">
        <f>(V65*Plot!E64*Plot!D64)</f>
        <v>0</v>
      </c>
      <c r="AB65" s="740">
        <f>SUMPRODUCT(T9:T65,H12:H68)</f>
        <v>0</v>
      </c>
      <c r="AC65" s="740">
        <f>SUMPRODUCT(T9:T65,I12:I68)</f>
        <v>0</v>
      </c>
      <c r="AD65" s="740">
        <f ca="1">SUMPRODUCT(U9:U65,J12:J68)</f>
        <v>0</v>
      </c>
      <c r="AE65" s="740">
        <f>SUMPRODUCT(U9:U65,K12:K68)</f>
        <v>0</v>
      </c>
      <c r="AF65" s="740">
        <f>SUMPRODUCT(U9:U65,L12:L68)</f>
        <v>0</v>
      </c>
      <c r="AG65" s="894">
        <f>Plot!N64*S65</f>
        <v>0</v>
      </c>
      <c r="AH65" s="740">
        <f>IF($A65&lt;='Options and results'!$W$20,SUMPRODUCT(T9:T65,M12:M68),0)</f>
        <v>0</v>
      </c>
      <c r="AI65" s="740">
        <f>IF($A65&lt;='Options and results'!$W$20,SUMPRODUCT(U9:U65,N12:N68),0)</f>
        <v>0</v>
      </c>
      <c r="AJ65" s="740">
        <f>IF($A65&lt;='Options and results'!$W$20,SUMPRODUCT(U9:U65,O12:O68),0)</f>
        <v>0</v>
      </c>
      <c r="AK65" s="740">
        <f>AI65+AJ65</f>
        <v>0</v>
      </c>
      <c r="AL65" s="740">
        <f>Plot!P64*S65</f>
        <v>0</v>
      </c>
      <c r="AM65" s="740">
        <f>IF($A65&lt;='Options and results'!$W$20,SUMPRODUCT(T9:T65,P12:P68),0)</f>
        <v>0</v>
      </c>
      <c r="AN65" s="740">
        <f>IF($A65&lt;='Options and results'!$W$20,SUMPRODUCT(U9:U65,Q12:Q68),0)</f>
        <v>0</v>
      </c>
      <c r="AO65" s="740">
        <f>IF($A65&lt;='Options and results'!$W$20,SUMPRODUCT(U9:U65,R12:R68),0)</f>
        <v>0</v>
      </c>
      <c r="AP65" s="740">
        <f>AN65+AO65</f>
        <v>0</v>
      </c>
      <c r="AQ65" s="894">
        <f>IF($A65&lt;='Options and results'!$W$20,AQ64+AL65,0)</f>
        <v>0</v>
      </c>
      <c r="AR65" s="740">
        <f>IF($A65&lt;='Options and results'!$W$20,AR64+AM65,0)</f>
        <v>0</v>
      </c>
      <c r="AS65" s="740">
        <f>IF($A65&lt;='Options and results'!$W$20,AS64+AN65,0)</f>
        <v>0</v>
      </c>
      <c r="AT65" s="740">
        <f>IF($A65&lt;='Options and results'!$W$20,AT64+AO65,0)</f>
        <v>0</v>
      </c>
      <c r="AU65" s="740">
        <f>IF($A65&lt;='Options and results'!$W$20,AU64+AP65,0)</f>
        <v>0</v>
      </c>
      <c r="AV65" s="894">
        <f>AL65/(1+'Options and results'!$W$33)^($A65-1)</f>
        <v>0</v>
      </c>
      <c r="AW65" s="740">
        <f>AM65/(1+'Options and results'!$W$33)^($A65-1)</f>
        <v>0</v>
      </c>
      <c r="AX65" s="740">
        <f>AN65/(1+'Options and results'!$W$33)^($A65-1)</f>
        <v>0</v>
      </c>
      <c r="AY65" s="740">
        <f>AO65/(1+'Options and results'!$W$33)^($A65-1)</f>
        <v>0</v>
      </c>
      <c r="AZ65" s="740">
        <f>AX65+AY65</f>
        <v>0</v>
      </c>
      <c r="BA65" s="894">
        <f>IF($A65&lt;='Options and results'!$W$20,AV65+BA64,0)</f>
        <v>0</v>
      </c>
      <c r="BB65" s="740">
        <f>IF($A65&lt;='Options and results'!$W$20,AW65+BB64,0)</f>
        <v>0</v>
      </c>
      <c r="BC65" s="740">
        <f>IF($A65&lt;='Options and results'!$W$20,AX65+BC64,0)</f>
        <v>0</v>
      </c>
      <c r="BD65" s="740">
        <f>IF($A65&lt;='Options and results'!$W$20,AY65+BD64,0)</f>
        <v>0</v>
      </c>
      <c r="BE65" s="740">
        <f>IF($A65&lt;='Options and results'!$W$20,AZ65+BE64,0)</f>
        <v>0</v>
      </c>
      <c r="BF65" s="346"/>
    </row>
    <row r="66" spans="1:58" x14ac:dyDescent="0.25">
      <c r="A66" s="895">
        <f t="shared" si="17"/>
        <v>58</v>
      </c>
      <c r="B66" s="878">
        <f>IF('Options and results'!$C$54="none",0,IF(HLOOKUP('Options and results'!$C$54,Agroforestrysystem!$2:$9,8,FALSE)="No",LOOKUP(A66,Plot!$CK$8:$CN$67),LOOKUP(A66,Plot!$CK$8:$CN$67)+LOOKUP(A66,Plot!#REF!)))</f>
        <v>0</v>
      </c>
      <c r="C66" s="879">
        <f>IF(VLOOKUP(A66,Plot!$DF$8:$DL$67,7,FALSE)&gt;0,1-B66,0)</f>
        <v>0</v>
      </c>
      <c r="D66" s="896">
        <f>D65-1</f>
        <v>3</v>
      </c>
      <c r="E66" s="897">
        <f>IF(VLOOKUP(D66,Plot!$V$8:$AB$67,Plot!$AB$2,FALSE)&gt;0,1,0)</f>
        <v>1</v>
      </c>
      <c r="F66" s="898">
        <f t="shared" si="11"/>
        <v>0.99</v>
      </c>
      <c r="G66" s="898">
        <f t="shared" si="12"/>
        <v>1.0000000000000009E-2</v>
      </c>
      <c r="H66" s="883">
        <f>VLOOKUP(D66,Plot!$V$8:$AH$67,Plot!$AH$2,FALSE)</f>
        <v>0.11654063041516</v>
      </c>
      <c r="I66" s="884">
        <f>VLOOKUP(D66,Plot!$V$8:$AJ$67,Plot!$AJ$2,FALSE)</f>
        <v>0</v>
      </c>
      <c r="J66" s="885">
        <f ca="1">VLOOKUP(D66,Plot!$CK$8:$CP$67,Plot!$CO$2,FALSE)*VLOOKUP(D66,Plot!$CK$8:$CP$67,Plot!$CN$2,FALSE)</f>
        <v>7.4249999999999998</v>
      </c>
      <c r="K66" s="884">
        <f>VLOOKUP(D66,Plot!$DF$8:$DS$67,Plot!$DS$2,FALSE)</f>
        <v>7.4722619829604042E-2</v>
      </c>
      <c r="L66" s="884">
        <f>VLOOKUP(D66,Plot!$DF$8:$DU$67,Plot!$DU$2,FALSE)</f>
        <v>0</v>
      </c>
      <c r="M66" s="883">
        <f>VLOOKUP(D66,Plot!$V$8:$BW$67,Plot!$BW$2,FALSE)</f>
        <v>1.6928870048740305</v>
      </c>
      <c r="N66" s="884">
        <f>VLOOKUP(D66,Plot!$CK$8:$CX$67,Plot!$CX$2,FALSE)</f>
        <v>10.725352674112727</v>
      </c>
      <c r="O66" s="884">
        <f>VLOOKUP(D66,Plot!$DF$8:$FH$67,Plot!$FH$2,FALSE)</f>
        <v>1.0851839774833529</v>
      </c>
      <c r="P66" s="883">
        <f>VLOOKUP(D66,Plot!$V$8:$CA$67,Plot!$CA$2,FALSE)</f>
        <v>-27.716150271160842</v>
      </c>
      <c r="Q66" s="884">
        <f ca="1">VLOOKUP($D66,Plot!$CK$8:$CZ$67,Plot!$CZ$2,FALSE)</f>
        <v>317.91080095795428</v>
      </c>
      <c r="R66" s="899">
        <f>VLOOKUP($D66,Plot!$DF$8:$FL$67,Plot!$FL$2,FALSE)</f>
        <v>-18.843686071256954</v>
      </c>
      <c r="S66" s="895">
        <f>V66</f>
        <v>100</v>
      </c>
      <c r="T66" s="900">
        <f>IF($A66='Options and results'!$I$33,'Options and results'!$I$34)+IF($A66='Options and results'!$I$35,'Options and results'!$I$36)+IF($A66='Options and results'!$I$37,'Options and results'!$I$38)+IF($A66='Options and results'!$I$39,'Options and results'!$I$40)+IF($A66='Options and results'!$I$41,'Options and results'!$I$42)+IF(AND($A66&gt;='Options and results'!$I$44,$A66&lt;='Options and results'!$I$45),IF(MOD($A66+'Options and results'!$I$46-'Options and results'!$I$44,'Options and results'!$I$46)=0,'Options and results'!$I$47,0))</f>
        <v>0</v>
      </c>
      <c r="U66" s="901">
        <f>IF($A66='Options and results'!$I$59,'Options and results'!$I$60)+IF($A66='Options and results'!$I$61,'Options and results'!$I$62)+IF($A66='Options and results'!$I$63,'Options and results'!$I$64)+IF($A66='Options and results'!$I$65,'Options and results'!$I$66)+IF($A66='Options and results'!$I$67,'Options and results'!$I$68)+IF(AND($A66&gt;='Options and results'!$I$70,$A66&lt;='Options and results'!$I$71),IF(MOD($A66+'Options and results'!$I$72-'Options and results'!$I$70,'Options and results'!$I$72)=0,'Options and results'!$I$73,0))</f>
        <v>0</v>
      </c>
      <c r="V66" s="889">
        <f>'Options and results'!$W$18-W66-X66-Y66</f>
        <v>100</v>
      </c>
      <c r="W66" s="889">
        <f>SUMPRODUCT(T9:T66,E11:E68)</f>
        <v>0</v>
      </c>
      <c r="X66" s="889">
        <f>SUMPRODUCT(U9:U66,F11:F68)</f>
        <v>0</v>
      </c>
      <c r="Y66" s="889">
        <f>SUMPRODUCT(U9:U66,G11:G68)</f>
        <v>0</v>
      </c>
      <c r="Z66" s="889">
        <f>X66+Y66</f>
        <v>0</v>
      </c>
      <c r="AA66" s="894">
        <f>(V66*Plot!E65*Plot!D65)</f>
        <v>0</v>
      </c>
      <c r="AB66" s="740">
        <f>SUMPRODUCT(T9:T66,H11:H68)</f>
        <v>0</v>
      </c>
      <c r="AC66" s="740">
        <f>SUMPRODUCT(T9:T66,I11:I68)</f>
        <v>0</v>
      </c>
      <c r="AD66" s="740">
        <f ca="1">SUMPRODUCT(U9:U66,J11:J68)</f>
        <v>0</v>
      </c>
      <c r="AE66" s="740">
        <f>SUMPRODUCT(U9:U66,K11:K68)</f>
        <v>0</v>
      </c>
      <c r="AF66" s="740">
        <f>SUMPRODUCT(U9:U66,L11:L68)</f>
        <v>0</v>
      </c>
      <c r="AG66" s="894">
        <f>Plot!N65*S66</f>
        <v>0</v>
      </c>
      <c r="AH66" s="740">
        <f>IF($A66&lt;='Options and results'!$W$20,SUMPRODUCT(T9:T66,M11:M68),0)</f>
        <v>0</v>
      </c>
      <c r="AI66" s="740">
        <f>IF($A66&lt;='Options and results'!$W$20,SUMPRODUCT(U9:U66,N11:N68),0)</f>
        <v>0</v>
      </c>
      <c r="AJ66" s="740">
        <f>IF($A66&lt;='Options and results'!$W$20,SUMPRODUCT(U9:U66,O11:O68),0)</f>
        <v>0</v>
      </c>
      <c r="AK66" s="740">
        <f>AI66+AJ66</f>
        <v>0</v>
      </c>
      <c r="AL66" s="740">
        <f>Plot!P65*S66</f>
        <v>0</v>
      </c>
      <c r="AM66" s="740">
        <f>IF($A66&lt;='Options and results'!$W$20,SUMPRODUCT(T9:T66,P11:P68),0)</f>
        <v>0</v>
      </c>
      <c r="AN66" s="740">
        <f>IF($A66&lt;='Options and results'!$W$20,SUMPRODUCT(U9:U66,Q11:Q68),0)</f>
        <v>0</v>
      </c>
      <c r="AO66" s="740">
        <f>IF($A66&lt;='Options and results'!$W$20,SUMPRODUCT(U9:U66,R11:R68),0)</f>
        <v>0</v>
      </c>
      <c r="AP66" s="740">
        <f>AN66+AO66</f>
        <v>0</v>
      </c>
      <c r="AQ66" s="894">
        <f>IF($A66&lt;='Options and results'!$W$20,AQ65+AL66,0)</f>
        <v>0</v>
      </c>
      <c r="AR66" s="740">
        <f>IF($A66&lt;='Options and results'!$W$20,AR65+AM66,0)</f>
        <v>0</v>
      </c>
      <c r="AS66" s="740">
        <f>IF($A66&lt;='Options and results'!$W$20,AS65+AN66,0)</f>
        <v>0</v>
      </c>
      <c r="AT66" s="740">
        <f>IF($A66&lt;='Options and results'!$W$20,AT65+AO66,0)</f>
        <v>0</v>
      </c>
      <c r="AU66" s="740">
        <f>IF($A66&lt;='Options and results'!$W$20,AU65+AP66,0)</f>
        <v>0</v>
      </c>
      <c r="AV66" s="894">
        <f>AL66/(1+'Options and results'!$W$33)^($A66-1)</f>
        <v>0</v>
      </c>
      <c r="AW66" s="740">
        <f>AM66/(1+'Options and results'!$W$33)^($A66-1)</f>
        <v>0</v>
      </c>
      <c r="AX66" s="740">
        <f>AN66/(1+'Options and results'!$W$33)^($A66-1)</f>
        <v>0</v>
      </c>
      <c r="AY66" s="740">
        <f>AO66/(1+'Options and results'!$W$33)^($A66-1)</f>
        <v>0</v>
      </c>
      <c r="AZ66" s="740">
        <f>AX66+AY66</f>
        <v>0</v>
      </c>
      <c r="BA66" s="894">
        <f>IF($A66&lt;='Options and results'!$W$20,AV66+BA65,0)</f>
        <v>0</v>
      </c>
      <c r="BB66" s="740">
        <f>IF($A66&lt;='Options and results'!$W$20,AW66+BB65,0)</f>
        <v>0</v>
      </c>
      <c r="BC66" s="740">
        <f>IF($A66&lt;='Options and results'!$W$20,AX66+BC65,0)</f>
        <v>0</v>
      </c>
      <c r="BD66" s="740">
        <f>IF($A66&lt;='Options and results'!$W$20,AY66+BD65,0)</f>
        <v>0</v>
      </c>
      <c r="BE66" s="740">
        <f>IF($A66&lt;='Options and results'!$W$20,AZ66+BE65,0)</f>
        <v>0</v>
      </c>
      <c r="BF66" s="346"/>
    </row>
    <row r="67" spans="1:58" x14ac:dyDescent="0.25">
      <c r="A67" s="895">
        <f t="shared" si="17"/>
        <v>59</v>
      </c>
      <c r="B67" s="878">
        <f>IF('Options and results'!$C$54="none",0,IF(HLOOKUP('Options and results'!$C$54,Agroforestrysystem!$2:$9,8,FALSE)="No",LOOKUP(A67,Plot!$CK$8:$CN$67),LOOKUP(A67,Plot!$CK$8:$CN$67)+LOOKUP(A67,Plot!#REF!)))</f>
        <v>0</v>
      </c>
      <c r="C67" s="879">
        <f>IF(VLOOKUP(A67,Plot!$DF$8:$DL$67,7,FALSE)&gt;0,1-B67,0)</f>
        <v>0</v>
      </c>
      <c r="D67" s="896">
        <f>D66-1</f>
        <v>2</v>
      </c>
      <c r="E67" s="897">
        <f>IF(VLOOKUP(D67,Plot!$V$8:$AB$67,Plot!$AB$2,FALSE)&gt;0,1,0)</f>
        <v>1</v>
      </c>
      <c r="F67" s="898">
        <f t="shared" si="11"/>
        <v>0.99</v>
      </c>
      <c r="G67" s="898">
        <f t="shared" si="12"/>
        <v>1.0000000000000009E-2</v>
      </c>
      <c r="H67" s="883">
        <f>VLOOKUP(D67,Plot!$V$8:$AH$67,Plot!$AH$2,FALSE)</f>
        <v>5.5744177291407571E-2</v>
      </c>
      <c r="I67" s="884">
        <f>VLOOKUP(D67,Plot!$V$8:$AJ$67,Plot!$AJ$2,FALSE)</f>
        <v>0</v>
      </c>
      <c r="J67" s="885">
        <f ca="1">VLOOKUP(D67,Plot!$CK$8:$CP$67,Plot!$CO$2,FALSE)*VLOOKUP(D67,Plot!$CK$8:$CP$67,Plot!$CN$2,FALSE)</f>
        <v>8.2170000000000005</v>
      </c>
      <c r="K67" s="884">
        <f>VLOOKUP(D67,Plot!$DF$8:$DS$67,Plot!$DS$2,FALSE)</f>
        <v>3.5736770732672521E-2</v>
      </c>
      <c r="L67" s="884">
        <f>VLOOKUP(D67,Plot!$DF$8:$DU$67,Plot!$DU$2,FALSE)</f>
        <v>0</v>
      </c>
      <c r="M67" s="883">
        <f>VLOOKUP(D67,Plot!$V$8:$BW$67,Plot!$BW$2,FALSE)</f>
        <v>0</v>
      </c>
      <c r="N67" s="884">
        <f>VLOOKUP(D67,Plot!$CK$8:$CX$67,Plot!$CX$2,FALSE)</f>
        <v>11.516506250880969</v>
      </c>
      <c r="O67" s="884">
        <f>VLOOKUP(D67,Plot!$DF$8:$FH$67,Plot!$FH$2,FALSE)</f>
        <v>0</v>
      </c>
      <c r="P67" s="883">
        <f>VLOOKUP(D67,Plot!$V$8:$CA$67,Plot!$CA$2,FALSE)</f>
        <v>-63</v>
      </c>
      <c r="Q67" s="884">
        <f ca="1">VLOOKUP($D67,Plot!$CK$8:$CZ$67,Plot!$CZ$2,FALSE)</f>
        <v>295.08275873713796</v>
      </c>
      <c r="R67" s="899">
        <f>VLOOKUP($D67,Plot!$DF$8:$FL$67,Plot!$FL$2,FALSE)</f>
        <v>-43</v>
      </c>
      <c r="S67" s="895">
        <f>V67</f>
        <v>100</v>
      </c>
      <c r="T67" s="900">
        <f>IF($A67='Options and results'!$I$33,'Options and results'!$I$34)+IF($A67='Options and results'!$I$35,'Options and results'!$I$36)+IF($A67='Options and results'!$I$37,'Options and results'!$I$38)+IF($A67='Options and results'!$I$39,'Options and results'!$I$40)+IF($A67='Options and results'!$I$41,'Options and results'!$I$42)+IF(AND($A67&gt;='Options and results'!$I$44,$A67&lt;='Options and results'!$I$45),IF(MOD($A67+'Options and results'!$I$46-'Options and results'!$I$44,'Options and results'!$I$46)=0,'Options and results'!$I$47,0))</f>
        <v>0</v>
      </c>
      <c r="U67" s="901">
        <f>IF($A67='Options and results'!$I$59,'Options and results'!$I$60)+IF($A67='Options and results'!$I$61,'Options and results'!$I$62)+IF($A67='Options and results'!$I$63,'Options and results'!$I$64)+IF($A67='Options and results'!$I$65,'Options and results'!$I$66)+IF($A67='Options and results'!$I$67,'Options and results'!$I$68)+IF(AND($A67&gt;='Options and results'!$I$70,$A67&lt;='Options and results'!$I$71),IF(MOD($A67+'Options and results'!$I$72-'Options and results'!$I$70,'Options and results'!$I$72)=0,'Options and results'!$I$73,0))</f>
        <v>0</v>
      </c>
      <c r="V67" s="889">
        <f>'Options and results'!$W$18-W67-X67-Y67</f>
        <v>100</v>
      </c>
      <c r="W67" s="889">
        <f>SUMPRODUCT(T9:T67,E10:E68)</f>
        <v>0</v>
      </c>
      <c r="X67" s="889">
        <f>SUMPRODUCT(U9:U67,F10:F68)</f>
        <v>0</v>
      </c>
      <c r="Y67" s="889">
        <f>SUMPRODUCT(U9:U67,G10:G68)</f>
        <v>0</v>
      </c>
      <c r="Z67" s="889">
        <f>X67+Y67</f>
        <v>0</v>
      </c>
      <c r="AA67" s="894">
        <f>(V67*Plot!E66*Plot!D66)</f>
        <v>0</v>
      </c>
      <c r="AB67" s="740">
        <f>SUMPRODUCT(T9:T67,H10:H68)</f>
        <v>0</v>
      </c>
      <c r="AC67" s="740">
        <f>SUMPRODUCT(T9:T67,I10:I68)</f>
        <v>0</v>
      </c>
      <c r="AD67" s="740">
        <f ca="1">SUMPRODUCT(U9:U67,J10:J68)</f>
        <v>0</v>
      </c>
      <c r="AE67" s="740">
        <f>SUMPRODUCT(U9:U67,K10:K68)</f>
        <v>0</v>
      </c>
      <c r="AF67" s="740">
        <f>SUMPRODUCT(U9:U67,L10:L68)</f>
        <v>0</v>
      </c>
      <c r="AG67" s="894">
        <f>Plot!N66*S67</f>
        <v>0</v>
      </c>
      <c r="AH67" s="740">
        <f>IF($A67&lt;='Options and results'!$W$20,SUMPRODUCT(T9:T67,M10:M68),0)</f>
        <v>0</v>
      </c>
      <c r="AI67" s="740">
        <f>IF($A67&lt;='Options and results'!$W$20,SUMPRODUCT(U9:U67,N10:N68),0)</f>
        <v>0</v>
      </c>
      <c r="AJ67" s="740">
        <f>IF($A67&lt;='Options and results'!$W$20,SUMPRODUCT(U9:U67,O10:O68),0)</f>
        <v>0</v>
      </c>
      <c r="AK67" s="740">
        <f>AI67+AJ67</f>
        <v>0</v>
      </c>
      <c r="AL67" s="740">
        <f>Plot!P66*S67</f>
        <v>0</v>
      </c>
      <c r="AM67" s="740">
        <f>IF($A67&lt;='Options and results'!$W$20,SUMPRODUCT(T9:T67,P10:P68),0)</f>
        <v>0</v>
      </c>
      <c r="AN67" s="740">
        <f>IF($A67&lt;='Options and results'!$W$20,SUMPRODUCT(U9:U67,Q10:Q68),0)</f>
        <v>0</v>
      </c>
      <c r="AO67" s="740">
        <f>IF($A67&lt;='Options and results'!$W$20,SUMPRODUCT(U9:U67,R10:R68),0)</f>
        <v>0</v>
      </c>
      <c r="AP67" s="740">
        <f>AN67+AO67</f>
        <v>0</v>
      </c>
      <c r="AQ67" s="894">
        <f>IF($A67&lt;='Options and results'!$W$20,AQ66+AL67,0)</f>
        <v>0</v>
      </c>
      <c r="AR67" s="740">
        <f>IF($A67&lt;='Options and results'!$W$20,AR66+AM67,0)</f>
        <v>0</v>
      </c>
      <c r="AS67" s="740">
        <f>IF($A67&lt;='Options and results'!$W$20,AS66+AN67,0)</f>
        <v>0</v>
      </c>
      <c r="AT67" s="740">
        <f>IF($A67&lt;='Options and results'!$W$20,AT66+AO67,0)</f>
        <v>0</v>
      </c>
      <c r="AU67" s="740">
        <f>IF($A67&lt;='Options and results'!$W$20,AU66+AP67,0)</f>
        <v>0</v>
      </c>
      <c r="AV67" s="894">
        <f>AL67/(1+'Options and results'!$W$33)^($A67-1)</f>
        <v>0</v>
      </c>
      <c r="AW67" s="740">
        <f>AM67/(1+'Options and results'!$W$33)^($A67-1)</f>
        <v>0</v>
      </c>
      <c r="AX67" s="740">
        <f>AN67/(1+'Options and results'!$W$33)^($A67-1)</f>
        <v>0</v>
      </c>
      <c r="AY67" s="740">
        <f>AO67/(1+'Options and results'!$W$33)^($A67-1)</f>
        <v>0</v>
      </c>
      <c r="AZ67" s="740">
        <f>AX67+AY67</f>
        <v>0</v>
      </c>
      <c r="BA67" s="894">
        <f>IF($A67&lt;='Options and results'!$W$20,AV67+BA66,0)</f>
        <v>0</v>
      </c>
      <c r="BB67" s="740">
        <f>IF($A67&lt;='Options and results'!$W$20,AW67+BB66,0)</f>
        <v>0</v>
      </c>
      <c r="BC67" s="740">
        <f>IF($A67&lt;='Options and results'!$W$20,AX67+BC66,0)</f>
        <v>0</v>
      </c>
      <c r="BD67" s="740">
        <f>IF($A67&lt;='Options and results'!$W$20,AY67+BD66,0)</f>
        <v>0</v>
      </c>
      <c r="BE67" s="740">
        <f>IF($A67&lt;='Options and results'!$W$20,AZ67+BE66,0)</f>
        <v>0</v>
      </c>
      <c r="BF67" s="346"/>
    </row>
    <row r="68" spans="1:58" ht="15.75" thickBot="1" x14ac:dyDescent="0.3">
      <c r="A68" s="902">
        <f t="shared" si="17"/>
        <v>60</v>
      </c>
      <c r="B68" s="903">
        <f>IF('Options and results'!$C$54="none",0,IF(HLOOKUP('Options and results'!$C$54,Agroforestrysystem!$2:$9,8,FALSE)="No",LOOKUP(A68,Plot!$CK$8:$CN$67),LOOKUP(A68,Plot!$CK$8:$CN$67)+LOOKUP(A68,Plot!#REF!)))</f>
        <v>0</v>
      </c>
      <c r="C68" s="904">
        <f>IF(VLOOKUP(A68,Plot!$DF$8:$DL$67,7,FALSE)&gt;0,1-B68,0)</f>
        <v>0</v>
      </c>
      <c r="D68" s="905">
        <f>D67-1</f>
        <v>1</v>
      </c>
      <c r="E68" s="906">
        <f>IF(VLOOKUP(D68,Plot!$V$8:$AB$67,Plot!$AB$2,FALSE)&gt;0,1,0)</f>
        <v>1</v>
      </c>
      <c r="F68" s="907">
        <f t="shared" si="11"/>
        <v>0.99</v>
      </c>
      <c r="G68" s="907">
        <f t="shared" si="12"/>
        <v>1.0000000000000009E-2</v>
      </c>
      <c r="H68" s="908">
        <f>VLOOKUP(D68,Plot!$V$8:$AH$67,Plot!$AH$2,FALSE)</f>
        <v>2.8267045991225252E-2</v>
      </c>
      <c r="I68" s="909">
        <f>VLOOKUP(D68,Plot!$V$8:$AJ$67,Plot!$AJ$2,FALSE)</f>
        <v>0</v>
      </c>
      <c r="J68" s="910">
        <f ca="1">VLOOKUP(D68,Plot!$CK$8:$CP$67,Plot!$CO$2,FALSE)*VLOOKUP(D68,Plot!$CK$8:$CP$67,Plot!$CN$2,FALSE)</f>
        <v>10.088099999999999</v>
      </c>
      <c r="K68" s="909">
        <f>VLOOKUP(D68,Plot!$DF$8:$DS$67,Plot!$DS$2,FALSE)</f>
        <v>1.8120467539768537E-2</v>
      </c>
      <c r="L68" s="909">
        <f>VLOOKUP(D68,Plot!$DF$8:$DU$67,Plot!$DU$2,FALSE)</f>
        <v>0</v>
      </c>
      <c r="M68" s="908">
        <f>VLOOKUP(D68,Plot!$V$8:$BW$67,Plot!$BW$2,FALSE)</f>
        <v>5.2654545454545456</v>
      </c>
      <c r="N68" s="909">
        <f>VLOOKUP(D68,Plot!$CK$8:$CX$67,Plot!$CX$2,FALSE)</f>
        <v>11.516506250880969</v>
      </c>
      <c r="O68" s="909">
        <f>VLOOKUP(D68,Plot!$DF$8:$FH$67,Plot!$FH$2,FALSE)</f>
        <v>5.6287878787878789</v>
      </c>
      <c r="P68" s="883">
        <f>VLOOKUP(D68,Plot!$V$8:$CA$67,Plot!$CA$2,FALSE)</f>
        <v>-706.68363636363631</v>
      </c>
      <c r="Q68" s="909">
        <f ca="1">VLOOKUP($D68,Plot!$CK$8:$CZ$67,Plot!$CZ$2,FALSE)</f>
        <v>647.99300873713764</v>
      </c>
      <c r="R68" s="899">
        <f>VLOOKUP($D68,Plot!$DF$8:$FL$67,Plot!$FL$2,FALSE)</f>
        <v>-486.98030303030299</v>
      </c>
      <c r="S68" s="902">
        <f>V68</f>
        <v>100</v>
      </c>
      <c r="T68" s="911">
        <f>IF($A68='Options and results'!$I$33,'Options and results'!$I$34)+IF($A68='Options and results'!$I$35,'Options and results'!$I$36)+IF($A68='Options and results'!$I$37,'Options and results'!$I$38)+IF($A68='Options and results'!$I$39,'Options and results'!$I$40)+IF($A68='Options and results'!$I$41,'Options and results'!$I$42)+IF(AND($A68&gt;='Options and results'!$I$44,$A68&lt;='Options and results'!$I$45),IF(MOD($A68+'Options and results'!$I$46-'Options and results'!$I$44,'Options and results'!$I$46)=0,'Options and results'!$I$47,0))</f>
        <v>0</v>
      </c>
      <c r="U68" s="912">
        <f>IF($A68='Options and results'!$I$59,'Options and results'!$I$60)+IF($A68='Options and results'!$I$61,'Options and results'!$I$62)+IF($A68='Options and results'!$I$63,'Options and results'!$I$64)+IF($A68='Options and results'!$I$65,'Options and results'!$I$66)+IF($A68='Options and results'!$I$67,'Options and results'!$I$68)+IF(AND($A68&gt;='Options and results'!$I$70,$A68&lt;='Options and results'!$I$71),IF(MOD($A68+'Options and results'!$I$72-'Options and results'!$I$70,'Options and results'!$I$72)=0,'Options and results'!$I$73,0))</f>
        <v>0</v>
      </c>
      <c r="V68" s="913">
        <f>'Options and results'!$W$18-W68-X68-Y68</f>
        <v>100</v>
      </c>
      <c r="W68" s="913">
        <f>SUMPRODUCT(T9:T68,E9:E68)</f>
        <v>0</v>
      </c>
      <c r="X68" s="913">
        <f>SUMPRODUCT(U9:U68,F9:F68)</f>
        <v>0</v>
      </c>
      <c r="Y68" s="913">
        <f>SUMPRODUCT(U9:U68,G9:G68)</f>
        <v>0</v>
      </c>
      <c r="Z68" s="913">
        <f>X68+Y68</f>
        <v>0</v>
      </c>
      <c r="AA68" s="916">
        <f>(V68*Plot!E67*Plot!D67)</f>
        <v>0</v>
      </c>
      <c r="AB68" s="915">
        <f>SUMPRODUCT(T9:T68,H9:H68)</f>
        <v>0</v>
      </c>
      <c r="AC68" s="915">
        <f>SUMPRODUCT(T9:T68,I9:I68)</f>
        <v>0</v>
      </c>
      <c r="AD68" s="915">
        <f ca="1">SUMPRODUCT(U9:U68,J9:J68)</f>
        <v>0</v>
      </c>
      <c r="AE68" s="915">
        <f>SUMPRODUCT(U9:U68,K9:K68)</f>
        <v>0</v>
      </c>
      <c r="AF68" s="915">
        <f>SUMPRODUCT(U9:U68,L9:L68)</f>
        <v>0</v>
      </c>
      <c r="AG68" s="894">
        <f>Plot!N67*S68</f>
        <v>0</v>
      </c>
      <c r="AH68" s="915">
        <f>IF($A68&lt;='Options and results'!$W$20,SUMPRODUCT(T9:T68,M9:M68),0)</f>
        <v>0</v>
      </c>
      <c r="AI68" s="915">
        <f>IF($A68&lt;='Options and results'!$W$20,SUMPRODUCT(U9:U68,N9:N68),0)</f>
        <v>0</v>
      </c>
      <c r="AJ68" s="915">
        <f>IF($A68&lt;='Options and results'!$W$20,SUMPRODUCT(U9:U68,O9:O68),0)</f>
        <v>0</v>
      </c>
      <c r="AK68" s="915">
        <f>AI68+AJ68</f>
        <v>0</v>
      </c>
      <c r="AL68" s="740">
        <f>Plot!P67*S68</f>
        <v>0</v>
      </c>
      <c r="AM68" s="915">
        <f>IF($A68&lt;='Options and results'!$W$20,SUMPRODUCT(T9:T68,P9:P68),0)</f>
        <v>0</v>
      </c>
      <c r="AN68" s="915">
        <f>IF($A68&lt;='Options and results'!$W$20,SUMPRODUCT(U9:U68,Q9:Q68),0)</f>
        <v>0</v>
      </c>
      <c r="AO68" s="915">
        <f>IF($A68&lt;='Options and results'!$W$20,SUMPRODUCT(U9:U68,R9:R68),0)</f>
        <v>0</v>
      </c>
      <c r="AP68" s="915">
        <f>AN68+AO68</f>
        <v>0</v>
      </c>
      <c r="AQ68" s="916">
        <f>IF($A68&lt;='Options and results'!$W$20,AQ67+AL68,0)</f>
        <v>0</v>
      </c>
      <c r="AR68" s="915">
        <f>IF($A68&lt;='Options and results'!$W$20,AR67+AM68,0)</f>
        <v>0</v>
      </c>
      <c r="AS68" s="915">
        <f>IF($A68&lt;='Options and results'!$W$20,AS67+AN68,0)</f>
        <v>0</v>
      </c>
      <c r="AT68" s="915">
        <f>IF($A68&lt;='Options and results'!$W$20,AT67+AO68,0)</f>
        <v>0</v>
      </c>
      <c r="AU68" s="915">
        <f>IF($A68&lt;='Options and results'!$W$20,AU67+AP68,0)</f>
        <v>0</v>
      </c>
      <c r="AV68" s="894">
        <f>AL68/(1+'Options and results'!$W$33)^($A68-1)</f>
        <v>0</v>
      </c>
      <c r="AW68" s="740">
        <f>AM68/(1+'Options and results'!$W$33)^($A68-1)</f>
        <v>0</v>
      </c>
      <c r="AX68" s="740">
        <f>AN68/(1+'Options and results'!$W$33)^($A68-1)</f>
        <v>0</v>
      </c>
      <c r="AY68" s="740">
        <f>AO68/(1+'Options and results'!$W$33)^($A68-1)</f>
        <v>0</v>
      </c>
      <c r="AZ68" s="915">
        <f>AX68+AY68</f>
        <v>0</v>
      </c>
      <c r="BA68" s="916">
        <f>IF($A68&lt;='Options and results'!$W$20,AV68+BA67,0)</f>
        <v>0</v>
      </c>
      <c r="BB68" s="915">
        <f>IF($A68&lt;='Options and results'!$W$20,AW68+BB67,0)</f>
        <v>0</v>
      </c>
      <c r="BC68" s="915">
        <f>IF($A68&lt;='Options and results'!$W$20,AX68+BC67,0)</f>
        <v>0</v>
      </c>
      <c r="BD68" s="915">
        <f>IF($A68&lt;='Options and results'!$W$20,AY68+BD67,0)</f>
        <v>0</v>
      </c>
      <c r="BE68" s="917">
        <f>IF($A68&lt;='Options and results'!$W$20,AZ68+BE67,0)</f>
        <v>0</v>
      </c>
      <c r="BF68" s="346"/>
    </row>
    <row r="69" spans="1:58" x14ac:dyDescent="0.25">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1"/>
    </row>
    <row r="70" spans="1:58" x14ac:dyDescent="0.25">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1"/>
    </row>
    <row r="71" spans="1:58" x14ac:dyDescent="0.25">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c r="BA71" s="405"/>
      <c r="BB71" s="405"/>
      <c r="BC71" s="405"/>
      <c r="BD71" s="405"/>
      <c r="BE71" s="405"/>
      <c r="BF71" s="401"/>
    </row>
    <row r="72" spans="1:58" ht="15.75" thickBot="1" x14ac:dyDescent="0.3">
      <c r="A72" s="414"/>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414"/>
      <c r="AJ72" s="414"/>
      <c r="AK72" s="414"/>
      <c r="AL72" s="414"/>
      <c r="AM72" s="414"/>
      <c r="AN72" s="414"/>
      <c r="AO72" s="414"/>
      <c r="AP72" s="414"/>
      <c r="AQ72" s="414"/>
      <c r="AR72" s="414"/>
      <c r="AS72" s="414"/>
      <c r="AT72" s="414"/>
      <c r="AU72" s="414"/>
      <c r="AV72" s="414"/>
      <c r="AW72" s="414"/>
      <c r="AX72" s="414"/>
      <c r="AY72" s="414"/>
      <c r="AZ72" s="414"/>
      <c r="BA72" s="414"/>
      <c r="BB72" s="414"/>
      <c r="BC72" s="414"/>
      <c r="BD72" s="414"/>
      <c r="BE72" s="414"/>
      <c r="BF72" s="415"/>
    </row>
  </sheetData>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dimension ref="A1:AG87"/>
  <sheetViews>
    <sheetView workbookViewId="0">
      <selection activeCell="B3" sqref="B3"/>
    </sheetView>
  </sheetViews>
  <sheetFormatPr defaultColWidth="9.140625" defaultRowHeight="15" x14ac:dyDescent="0.25"/>
  <cols>
    <col min="1" max="1" width="45.140625" style="1" customWidth="1"/>
    <col min="2" max="2" width="62" style="1" customWidth="1"/>
    <col min="3" max="3" width="17.85546875" style="1" customWidth="1"/>
    <col min="4" max="4" width="14.7109375" style="1" customWidth="1"/>
    <col min="5" max="5" width="10.5703125" style="1" customWidth="1"/>
    <col min="6" max="6" width="7.28515625" style="1" customWidth="1"/>
    <col min="7" max="7" width="8.5703125" style="1" customWidth="1"/>
    <col min="8" max="8" width="8" style="1" customWidth="1"/>
    <col min="9" max="9" width="7.42578125" style="1" customWidth="1"/>
    <col min="10" max="10" width="7.140625" style="1" customWidth="1"/>
    <col min="11" max="11" width="6.5703125" style="1" customWidth="1"/>
    <col min="12" max="12" width="6.85546875" style="1" customWidth="1"/>
    <col min="13" max="13" width="6.7109375" style="1" customWidth="1"/>
    <col min="14" max="14" width="8.42578125" style="1" customWidth="1"/>
    <col min="15" max="15" width="8" style="1" customWidth="1"/>
    <col min="16" max="16" width="7.28515625" style="1" customWidth="1"/>
    <col min="17" max="17" width="7.7109375" style="1" customWidth="1"/>
    <col min="18" max="18" width="7.140625" style="1" customWidth="1"/>
    <col min="19" max="19" width="7.7109375" style="1" customWidth="1"/>
    <col min="20" max="20" width="6.5703125" style="1" customWidth="1"/>
    <col min="21" max="21" width="54.5703125" style="1" customWidth="1"/>
    <col min="22" max="22" width="6.28515625" style="1" customWidth="1"/>
    <col min="23" max="25" width="5.140625" style="1" customWidth="1"/>
    <col min="26" max="26" width="54.7109375" style="1" customWidth="1"/>
    <col min="27" max="27" width="56.28515625" style="1" customWidth="1"/>
    <col min="28" max="16384" width="9.140625" style="1"/>
  </cols>
  <sheetData>
    <row r="1" spans="1:5" x14ac:dyDescent="0.25">
      <c r="A1" s="98" t="s">
        <v>325</v>
      </c>
      <c r="B1" s="32"/>
    </row>
    <row r="2" spans="1:5" ht="15.75" thickBot="1" x14ac:dyDescent="0.3">
      <c r="A2" s="4"/>
      <c r="B2" s="31"/>
    </row>
    <row r="3" spans="1:5" ht="15.75" thickBot="1" x14ac:dyDescent="0.3">
      <c r="A3" s="99" t="s">
        <v>326</v>
      </c>
      <c r="B3" s="100" t="s">
        <v>57</v>
      </c>
    </row>
    <row r="4" spans="1:5" ht="15.75" thickBot="1" x14ac:dyDescent="0.3">
      <c r="A4" s="101" t="s">
        <v>327</v>
      </c>
      <c r="B4" s="100">
        <v>1</v>
      </c>
    </row>
    <row r="5" spans="1:5" ht="15.75" thickBot="1" x14ac:dyDescent="0.3">
      <c r="A5" s="4"/>
      <c r="B5" s="102"/>
    </row>
    <row r="6" spans="1:5" ht="15.75" thickBot="1" x14ac:dyDescent="0.3">
      <c r="A6" s="103" t="s">
        <v>314</v>
      </c>
      <c r="B6" s="104" t="s">
        <v>29</v>
      </c>
      <c r="C6" s="105"/>
      <c r="D6" s="105"/>
      <c r="E6" s="105"/>
    </row>
    <row r="7" spans="1:5" x14ac:dyDescent="0.25">
      <c r="A7" s="106" t="s">
        <v>320</v>
      </c>
      <c r="B7" s="107">
        <v>10</v>
      </c>
      <c r="C7" s="108"/>
      <c r="D7" s="108"/>
      <c r="E7" s="108"/>
    </row>
    <row r="8" spans="1:5" x14ac:dyDescent="0.25">
      <c r="A8" s="109" t="s">
        <v>321</v>
      </c>
      <c r="B8" s="110">
        <v>30</v>
      </c>
      <c r="C8" s="108"/>
      <c r="D8" s="108"/>
      <c r="E8" s="108"/>
    </row>
    <row r="9" spans="1:5" x14ac:dyDescent="0.25">
      <c r="A9" s="109" t="s">
        <v>322</v>
      </c>
      <c r="B9" s="111">
        <f ca="1">IF(MIN(Optimisation!$T$28:$T$87)=0,60,MIN(Optimisation!$T$28:$T$87))</f>
        <v>33</v>
      </c>
      <c r="C9" s="112"/>
      <c r="D9" s="112"/>
      <c r="E9" s="112"/>
    </row>
    <row r="10" spans="1:5" x14ac:dyDescent="0.25">
      <c r="A10" s="109" t="s">
        <v>323</v>
      </c>
      <c r="B10" s="113">
        <v>5</v>
      </c>
      <c r="C10" s="114"/>
      <c r="D10" s="114"/>
      <c r="E10" s="114"/>
    </row>
    <row r="11" spans="1:5" ht="16.5" customHeight="1" thickBot="1" x14ac:dyDescent="0.3">
      <c r="A11" s="115" t="s">
        <v>323</v>
      </c>
      <c r="B11" s="116" t="str">
        <f>VLOOKUP(B10,Arablefinance!$A$6:$E$126,5,FALSE)</f>
        <v>UK - Agriculture (BPS: from 2015) Agroforestry Fallow</v>
      </c>
      <c r="C11" s="117"/>
      <c r="D11" s="117"/>
      <c r="E11" s="117"/>
    </row>
    <row r="12" spans="1:5" ht="15.75" thickBot="1" x14ac:dyDescent="0.3">
      <c r="A12" s="4"/>
      <c r="B12" s="118"/>
      <c r="C12" s="108"/>
      <c r="D12" s="108"/>
      <c r="E12" s="108"/>
    </row>
    <row r="13" spans="1:5" ht="15.75" thickBot="1" x14ac:dyDescent="0.3">
      <c r="A13" s="119" t="s">
        <v>315</v>
      </c>
      <c r="B13" s="104" t="s">
        <v>29</v>
      </c>
      <c r="C13" s="105"/>
      <c r="D13" s="105"/>
      <c r="E13" s="105"/>
    </row>
    <row r="14" spans="1:5" x14ac:dyDescent="0.25">
      <c r="A14" s="106" t="s">
        <v>324</v>
      </c>
      <c r="B14" s="107">
        <v>2</v>
      </c>
      <c r="C14" s="108"/>
      <c r="D14" s="108"/>
      <c r="E14" s="108"/>
    </row>
    <row r="15" spans="1:5" x14ac:dyDescent="0.25">
      <c r="A15" s="109" t="s">
        <v>321</v>
      </c>
      <c r="B15" s="120">
        <v>30</v>
      </c>
      <c r="C15" s="10"/>
      <c r="D15" s="10"/>
      <c r="E15" s="10"/>
    </row>
    <row r="16" spans="1:5" x14ac:dyDescent="0.25">
      <c r="A16" s="109" t="s">
        <v>322</v>
      </c>
      <c r="B16" s="111">
        <f ca="1">IF(MIN(Optimisation!$Y$28:$Y$87)=0,60,MIN(Optimisation!$Y$28:$Y$87))</f>
        <v>35</v>
      </c>
      <c r="C16" s="112"/>
      <c r="D16" s="112"/>
      <c r="E16" s="112"/>
    </row>
    <row r="17" spans="1:33" x14ac:dyDescent="0.25">
      <c r="A17" s="109" t="s">
        <v>323</v>
      </c>
      <c r="B17" s="113">
        <v>5</v>
      </c>
      <c r="C17" s="114"/>
      <c r="D17" s="114"/>
      <c r="E17" s="114"/>
    </row>
    <row r="18" spans="1:33" ht="15" customHeight="1" thickBot="1" x14ac:dyDescent="0.3">
      <c r="A18" s="115" t="s">
        <v>323</v>
      </c>
      <c r="B18" s="116" t="str">
        <f>VLOOKUP(B17,Arablefinance!$A$6:$E$126,5,FALSE)</f>
        <v>UK - Agriculture (BPS: from 2015) Agroforestry Fallow</v>
      </c>
      <c r="C18" s="117"/>
      <c r="D18" s="117"/>
      <c r="E18" s="117"/>
      <c r="F18" s="108"/>
      <c r="G18" s="108"/>
      <c r="H18" s="108"/>
      <c r="I18" s="108"/>
      <c r="J18" s="108"/>
      <c r="K18" s="108"/>
      <c r="L18" s="108"/>
    </row>
    <row r="19" spans="1:33" x14ac:dyDescent="0.25">
      <c r="A19" s="4"/>
      <c r="B19" s="31"/>
      <c r="I19" s="108"/>
      <c r="J19" s="108"/>
      <c r="K19" s="108"/>
      <c r="L19" s="108"/>
    </row>
    <row r="20" spans="1:33" ht="15.75" thickBot="1" x14ac:dyDescent="0.3">
      <c r="A20" s="4"/>
      <c r="B20" s="31"/>
      <c r="H20" s="108"/>
      <c r="I20" s="108"/>
      <c r="J20" s="108"/>
      <c r="K20" s="108"/>
      <c r="L20" s="108"/>
    </row>
    <row r="21" spans="1:33" ht="15.75" thickBot="1" x14ac:dyDescent="0.3">
      <c r="A21" s="121" t="s">
        <v>29</v>
      </c>
      <c r="B21" s="122"/>
      <c r="C21" s="122"/>
      <c r="D21" s="122"/>
      <c r="E21" s="122"/>
      <c r="F21" s="122"/>
      <c r="G21" s="122"/>
      <c r="H21" s="122"/>
      <c r="I21" s="122"/>
      <c r="J21" s="122"/>
      <c r="K21" s="122"/>
      <c r="L21" s="122"/>
      <c r="M21" s="122"/>
      <c r="N21" s="122"/>
      <c r="O21" s="122"/>
      <c r="P21" s="123"/>
      <c r="Q21" s="124"/>
      <c r="R21" s="125"/>
      <c r="S21" s="125"/>
      <c r="T21" s="125"/>
      <c r="U21" s="125"/>
      <c r="V21" s="124"/>
      <c r="W21" s="125"/>
      <c r="X21" s="125"/>
      <c r="Y21" s="125"/>
      <c r="Z21" s="126"/>
      <c r="AA21" s="99"/>
    </row>
    <row r="22" spans="1:33" ht="15.75" thickBot="1" x14ac:dyDescent="0.3">
      <c r="A22" s="127">
        <v>1</v>
      </c>
      <c r="B22" s="128">
        <f>A22+1</f>
        <v>2</v>
      </c>
      <c r="C22" s="129">
        <f>B22+1</f>
        <v>3</v>
      </c>
      <c r="D22" s="129">
        <f>C22+1</f>
        <v>4</v>
      </c>
      <c r="E22" s="129">
        <f t="shared" ref="E22:P22" si="0">D22+1</f>
        <v>5</v>
      </c>
      <c r="F22" s="129">
        <f t="shared" si="0"/>
        <v>6</v>
      </c>
      <c r="G22" s="129">
        <f t="shared" si="0"/>
        <v>7</v>
      </c>
      <c r="H22" s="129">
        <f t="shared" si="0"/>
        <v>8</v>
      </c>
      <c r="I22" s="129">
        <f t="shared" si="0"/>
        <v>9</v>
      </c>
      <c r="J22" s="129">
        <f t="shared" si="0"/>
        <v>10</v>
      </c>
      <c r="K22" s="129">
        <f t="shared" si="0"/>
        <v>11</v>
      </c>
      <c r="L22" s="129">
        <f t="shared" si="0"/>
        <v>12</v>
      </c>
      <c r="M22" s="129">
        <f t="shared" si="0"/>
        <v>13</v>
      </c>
      <c r="N22" s="129">
        <f t="shared" si="0"/>
        <v>14</v>
      </c>
      <c r="O22" s="129">
        <f t="shared" si="0"/>
        <v>15</v>
      </c>
      <c r="P22" s="130">
        <f t="shared" si="0"/>
        <v>16</v>
      </c>
      <c r="Q22" s="131"/>
      <c r="R22" s="132"/>
      <c r="S22" s="132"/>
      <c r="T22" s="132"/>
      <c r="U22" s="132"/>
      <c r="V22" s="131"/>
      <c r="W22" s="132"/>
      <c r="X22" s="132"/>
      <c r="Y22" s="132"/>
      <c r="Z22" s="133"/>
      <c r="AA22" s="134"/>
    </row>
    <row r="23" spans="1:33" x14ac:dyDescent="0.25">
      <c r="A23" s="135"/>
      <c r="B23" s="136" t="s">
        <v>290</v>
      </c>
      <c r="C23" s="137"/>
      <c r="D23" s="138"/>
      <c r="E23" s="138"/>
      <c r="F23" s="138"/>
      <c r="G23" s="138"/>
      <c r="H23" s="138"/>
      <c r="I23" s="138"/>
      <c r="J23" s="138"/>
      <c r="K23" s="138"/>
      <c r="L23" s="138"/>
      <c r="M23" s="138"/>
      <c r="N23" s="138"/>
      <c r="O23" s="138"/>
      <c r="P23" s="139"/>
      <c r="Q23" s="140"/>
      <c r="R23" s="141"/>
      <c r="S23" s="141"/>
      <c r="T23" s="141"/>
      <c r="U23" s="141"/>
      <c r="V23" s="140"/>
      <c r="W23" s="141"/>
      <c r="X23" s="141"/>
      <c r="Y23" s="141"/>
      <c r="Z23" s="142"/>
      <c r="AA23" s="143"/>
    </row>
    <row r="24" spans="1:33" x14ac:dyDescent="0.25">
      <c r="A24" s="144"/>
      <c r="B24" s="145" t="s">
        <v>153</v>
      </c>
      <c r="C24" s="146" t="s">
        <v>30</v>
      </c>
      <c r="D24" s="146" t="s">
        <v>154</v>
      </c>
      <c r="E24" s="147"/>
      <c r="F24" s="147"/>
      <c r="G24" s="146" t="s">
        <v>117</v>
      </c>
      <c r="H24" s="147"/>
      <c r="I24" s="147"/>
      <c r="J24" s="147"/>
      <c r="K24" s="147"/>
      <c r="L24" s="147"/>
      <c r="M24" s="147"/>
      <c r="N24" s="147"/>
      <c r="O24" s="147"/>
      <c r="P24" s="148"/>
      <c r="Q24" s="149"/>
      <c r="R24" s="7"/>
      <c r="S24" s="7"/>
      <c r="T24" s="7"/>
      <c r="U24" s="7"/>
      <c r="V24" s="149"/>
      <c r="W24" s="7"/>
      <c r="X24" s="7"/>
      <c r="Y24" s="7"/>
      <c r="Z24" s="150"/>
      <c r="AA24" s="151"/>
    </row>
    <row r="25" spans="1:33" ht="123.75" x14ac:dyDescent="0.25">
      <c r="A25" s="152"/>
      <c r="B25" s="153"/>
      <c r="C25" s="154" t="s">
        <v>337</v>
      </c>
      <c r="D25" s="154" t="s">
        <v>152</v>
      </c>
      <c r="E25" s="155" t="s">
        <v>287</v>
      </c>
      <c r="F25" s="155" t="s">
        <v>294</v>
      </c>
      <c r="G25" s="154" t="s">
        <v>119</v>
      </c>
      <c r="H25" s="155" t="s">
        <v>120</v>
      </c>
      <c r="I25" s="155" t="s">
        <v>121</v>
      </c>
      <c r="J25" s="155" t="s">
        <v>86</v>
      </c>
      <c r="K25" s="155" t="s">
        <v>122</v>
      </c>
      <c r="L25" s="155" t="s">
        <v>123</v>
      </c>
      <c r="M25" s="155" t="s">
        <v>124</v>
      </c>
      <c r="N25" s="155" t="s">
        <v>125</v>
      </c>
      <c r="O25" s="154" t="s">
        <v>126</v>
      </c>
      <c r="P25" s="156" t="s">
        <v>109</v>
      </c>
      <c r="Q25" s="157" t="s">
        <v>474</v>
      </c>
      <c r="R25" s="158" t="str">
        <f>CONCATENATE($B$8, "  year moving average")</f>
        <v>30  year moving average</v>
      </c>
      <c r="S25" s="158" t="s">
        <v>475</v>
      </c>
      <c r="T25" s="158" t="s">
        <v>316</v>
      </c>
      <c r="U25" s="158" t="s">
        <v>317</v>
      </c>
      <c r="V25" s="159" t="s">
        <v>318</v>
      </c>
      <c r="W25" s="160" t="str">
        <f>CONCATENATE($B$15, "  year moving average")</f>
        <v>30  year moving average</v>
      </c>
      <c r="X25" s="160" t="s">
        <v>319</v>
      </c>
      <c r="Y25" s="160" t="s">
        <v>316</v>
      </c>
      <c r="Z25" s="161" t="s">
        <v>317</v>
      </c>
      <c r="AA25" s="162" t="s">
        <v>328</v>
      </c>
    </row>
    <row r="26" spans="1:33" ht="15.75" thickBot="1" x14ac:dyDescent="0.3">
      <c r="A26" s="163" t="s">
        <v>33</v>
      </c>
      <c r="B26" s="164"/>
      <c r="C26" s="165" t="s">
        <v>344</v>
      </c>
      <c r="D26" s="165" t="s">
        <v>37</v>
      </c>
      <c r="E26" s="166" t="s">
        <v>35</v>
      </c>
      <c r="F26" s="166" t="s">
        <v>35</v>
      </c>
      <c r="G26" s="167" t="s">
        <v>460</v>
      </c>
      <c r="H26" s="168" t="s">
        <v>460</v>
      </c>
      <c r="I26" s="168" t="s">
        <v>460</v>
      </c>
      <c r="J26" s="168" t="s">
        <v>460</v>
      </c>
      <c r="K26" s="168" t="s">
        <v>460</v>
      </c>
      <c r="L26" s="168" t="s">
        <v>460</v>
      </c>
      <c r="M26" s="168" t="s">
        <v>476</v>
      </c>
      <c r="N26" s="168" t="s">
        <v>27</v>
      </c>
      <c r="O26" s="164" t="s">
        <v>460</v>
      </c>
      <c r="P26" s="169" t="s">
        <v>460</v>
      </c>
      <c r="Q26" s="4" t="s">
        <v>460</v>
      </c>
      <c r="R26" s="6" t="s">
        <v>460</v>
      </c>
      <c r="S26" s="6" t="s">
        <v>460</v>
      </c>
      <c r="T26" s="170"/>
      <c r="U26" s="170"/>
      <c r="V26" s="171"/>
      <c r="W26" s="170"/>
      <c r="X26" s="170"/>
      <c r="Y26" s="170"/>
      <c r="Z26" s="172"/>
      <c r="AA26" s="173"/>
    </row>
    <row r="27" spans="1:33" ht="15.75" thickBot="1" x14ac:dyDescent="0.3">
      <c r="A27" s="131"/>
      <c r="B27" s="174"/>
      <c r="C27" s="175"/>
      <c r="D27" s="176"/>
      <c r="E27" s="177"/>
      <c r="F27" s="177"/>
      <c r="G27" s="177"/>
      <c r="H27" s="178">
        <f>1+'Options and results'!$O$23*(A28-1)</f>
        <v>1</v>
      </c>
      <c r="I27" s="179"/>
      <c r="J27" s="177"/>
      <c r="K27" s="177"/>
      <c r="L27" s="177"/>
      <c r="M27" s="177"/>
      <c r="N27" s="177"/>
      <c r="O27" s="174"/>
      <c r="P27" s="180"/>
      <c r="Q27" s="181"/>
      <c r="R27" s="182"/>
      <c r="S27" s="182"/>
      <c r="T27" s="182"/>
      <c r="U27" s="182"/>
      <c r="V27" s="181"/>
      <c r="W27" s="182"/>
      <c r="X27" s="182"/>
      <c r="Y27" s="182"/>
      <c r="Z27" s="183"/>
      <c r="AA27" s="184"/>
    </row>
    <row r="28" spans="1:33" x14ac:dyDescent="0.25">
      <c r="A28" s="185">
        <v>1</v>
      </c>
      <c r="B28" s="186" t="str">
        <f>IF('Options and results'!$C$54="None",0,IF(AND(A28&gt;='Options and results'!$K$57,A27&lt;'Options and results'!$W$20),'Options and results'!$K$56,CONCATENATE('Options and results'!$C$60," ",(HLOOKUP(CONCATENATE('Options and results'!$C$54," ",Agroforestrysystem!$B$12),Agroforestrysystem!$B$11:$IM$74,$A28+4,FALSE)))))</f>
        <v>UK - Agriculture (BPS: from 2015) Wheat</v>
      </c>
      <c r="C28" s="187">
        <f>IF(HLOOKUP(CONCATENATE('Options and results'!$C$54," ",Agroforestrysystem!$C$12),Agroforestrysystem!$B$11:$IM$74,$A28+4,FALSE)="T",(VLOOKUP(B28,Arablefinance!$Z$6:$AB$105,Arablefinance!$AB$2,FALSE)*E28+VLOOKUP(B28,Arablefinance!$Z$6:$AC$105,Arablefinance!$AC$2,FALSE)*F28)/VLOOKUP(B28,Arablefinance!$Z$6:$AA$105,Arablefinance!$AA$2,FALSE),0)</f>
        <v>0</v>
      </c>
      <c r="D28" s="188">
        <f>IF(B28=0,0,HLOOKUP(CONCATENATE('Options and results'!$C$54," ",Agroforestrysystem!$D$12),Agroforestrysystem!$B$11:$IM$74,$A28+4,FALSE))</f>
        <v>0.99</v>
      </c>
      <c r="E28" s="53">
        <f>IF(B28=0,0,HLOOKUP(CONCATENATE('Options and results'!$C$54," ",Agroforestrysystem!$E$12),Agroforestrysystem!$B$11:$IM$74,$A28+4,FALSE)*IF(A28&gt;='Options and results'!$J$19,'Options and results'!$J$18,1))</f>
        <v>10.19</v>
      </c>
      <c r="F28" s="53">
        <f>IF(B28=0,0,HLOOKUP(CONCATENATE('Options and results'!$C$54," ",Agroforestrysystem!$F$12),Agroforestrysystem!$B$11:$IM$74,$A28+4,FALSE)*IF(A28&gt;='Options and results'!$J$19,'Options and results'!$J$18,1))</f>
        <v>4.0759999999999996</v>
      </c>
      <c r="G28" s="189">
        <f>IF(D28&lt;=0,0,IF(A28&lt;='Options and results'!$W$20,IF(C28&gt;0,VLOOKUP(B28,Arablefinance!$Z$6:$AE$105,Arablefinance!$AD$2,FALSE)*C28*D28,((VLOOKUP(B28,Arablefinance!$E$6:$H$126,2,FALSE)*E28+VLOOKUP(B28,Arablefinance!$E$6:$H$126,3,FALSE)*F28)*D28)),0)*IF(A28&gt;='Options and results'!$J$21,'Options and results'!$J$20,1))*IF(1+'Options and results'!$O$20*(A28-1)&gt;0,1+'Options and results'!$O$20*(A28-1),0)</f>
        <v>1902.7277499999998</v>
      </c>
      <c r="H28" s="52">
        <f>IF(D28&lt;=0,0,IF(C28&gt;0,VLOOKUP(B28,Arablefinance!$Z$6:$AE$105,Arablefinance!$AE$2,FALSE)*C28*D28,IF('Options and results'!$C$62&gt;0,IF(VLOOKUP(B28,Arablefinance!$E$6:$W$126,Arablefinance!$H$2,FALSE)*(1-Plot!AC28*'Options and results'!$C$62)&gt;0,VLOOKUP(B28,Arablefinance!$E$6:$W$126,Arablefinance!$H$2,FALSE)*(1-Plot!AC28*'Options and results'!$C$62),0),IF(A28&lt;='Options and results'!$W$20,(VLOOKUP(B28,Arablefinance!$E$6:$W$126,Arablefinance!$H$2,FALSE)*IF('Options and results'!$C$61="area",D28,'Options and results'!$C$61)),0)))*IF(A28&gt;='Options and results'!$J$23,'Options and results'!$J$22,1))*IF(AND(1+'Options and results'!$O$23*(A28-1)&gt;0,1+'Options and results'!$O$23*(A28-1)&gt;'Options and results'!$S$24),1+'Options and results'!$O$23*(A28-1),'Options and results'!$S$24)</f>
        <v>0</v>
      </c>
      <c r="I28" s="52">
        <f>H28+G28</f>
        <v>1902.7277499999998</v>
      </c>
      <c r="J28" s="52">
        <f>IF(D28&lt;=0,0,IF(A28&lt;='Options and results'!$W$20,IF(C28&gt;0,VLOOKUP(B28,Arablefinance!$Z$6:$AF$105,Arablefinance!$AF$2,FALSE)*C28*D28,VLOOKUP(B28,Arablefinance!$E$6:$X$126,Arablefinance!$R$2,FALSE)*D28),0)*IF(A28&gt;='Options and results'!$J$27,'Options and results'!$J$26,1))*IF(1+'Options and results'!$O$22*(A28-1)&gt;0,1+'Options and results'!$O$22*(A28-1),0)</f>
        <v>646.59374999999989</v>
      </c>
      <c r="K28" s="52">
        <f>I28-J28</f>
        <v>1256.134</v>
      </c>
      <c r="L28" s="52">
        <f>IF(D28&lt;=0,0,IF(A28&lt;='Options and results'!$W$20,IF(C28&gt;0,VLOOKUP(B28,Arablefinance!$Z$6:$AG$105,Arablefinance!$AG$2,FALSE)*C28*D28,VLOOKUP(B28,Arablefinance!$E$6:$X$126,Arablefinance!$X$2,FALSE)*D28),0)*IF(A28&gt;='Options and results'!$J$27,'Options and results'!$J$26,1))*IF(1+'Options and results'!$O$22*(A28-1)&gt;0,1+'Options and results'!$O$22*(A28-1),0)</f>
        <v>440</v>
      </c>
      <c r="M28" s="52">
        <f>IF(D28&lt;=0,0,IF(A28&lt;='Options and results'!$W$20,'Options and results'!$C$27*IF(A28&gt;='Options and results'!$J$27,'Options and results'!$J$26,1),0))*IF(1+'Options and results'!$O$21*(A28-1)&gt;0,1+'Options and results'!$O$21*(A28-1),0)</f>
        <v>14.6</v>
      </c>
      <c r="N28" s="52">
        <f>IF(D28&lt;=0,0,IF(A28&lt;='Options and results'!$W$20,IF(C28&gt;0,VLOOKUP(B28,Arablefinance!$Z$6:$AH$105,Arablefinance!$AH$2,FALSE)*C28*D28,VLOOKUP(B28,Arablefinance!$E$6:$W$126,Arablefinance!$V$2,FALSE)*D28),0)*IF(A28&gt;='Options and results'!$J$25,'Options and results'!$J$24,1))</f>
        <v>11.516506250880969</v>
      </c>
      <c r="O28" s="189">
        <f t="shared" ref="O28:O87" si="1">K28-L28-(M28*N28)</f>
        <v>647.99300873713787</v>
      </c>
      <c r="P28" s="190">
        <f>IF(A28&lt;='Options and results'!$W$20,SUM($O$28:O28),0)</f>
        <v>647.99300873713787</v>
      </c>
      <c r="Q28" s="56">
        <f t="shared" ref="Q28:Q87" si="2">IF(D28=0,0,O28/D28)</f>
        <v>654.53839266377565</v>
      </c>
      <c r="R28" s="191">
        <f t="shared" ref="R28:R59" ca="1" si="3">IF(ROW()-ROW($A$27)&gt;=$B$8,AVERAGE(OFFSET(Q28,0,0,COUNTA($BF:$BF)-$B$8,1)),0)</f>
        <v>0</v>
      </c>
      <c r="S28" s="191">
        <f t="shared" ref="S28:S59" si="4">$B$7</f>
        <v>10</v>
      </c>
      <c r="T28" s="52" t="str">
        <f ca="1">IF(AND(A28&gt;=$B$8,R28&lt;=$B$7),A28,"")</f>
        <v/>
      </c>
      <c r="U28" s="54" t="str">
        <f>IF(Optimisation!$B$3="Yes",IF(A28&lt;=Optimisation!$B$9,Optimisation!B28,Optimisation!$B$11),B28)</f>
        <v>UK - Agriculture (BPS: from 2015) Wheat</v>
      </c>
      <c r="V28" s="192">
        <f>IF(D28=0,0,E28)</f>
        <v>10.19</v>
      </c>
      <c r="W28" s="193">
        <f t="shared" ref="W28:W59" ca="1" si="5">IF(ROW()-ROW($A$27)&gt;=$B$15,AVERAGE(OFFSET(V28,0,0,COUNTA($BF:$BF)-$B$15,1)),0)</f>
        <v>0</v>
      </c>
      <c r="X28" s="193">
        <f t="shared" ref="X28:X59" si="6">$B$14</f>
        <v>2</v>
      </c>
      <c r="Y28" s="52" t="str">
        <f t="shared" ref="Y28:Y59" ca="1" si="7">IF(AND(A28&gt;=$B$15,W28&lt;=$B$14),A28,"")</f>
        <v/>
      </c>
      <c r="Z28" s="194" t="str">
        <f>IF(Optimisation!$B$3="Yes",IF(Optimisation!A28&lt;=Optimisation!$B$16,Optimisation!B28,Optimisation!$B$18),B28)</f>
        <v>UK - Agriculture (BPS: from 2015) Wheat</v>
      </c>
      <c r="AA28" s="195" t="str">
        <f t="shared" ref="AA28:AA59" si="8">IF($B$4=1,U28,Z28)</f>
        <v>UK - Agriculture (BPS: from 2015) Wheat</v>
      </c>
      <c r="AG28" s="10"/>
    </row>
    <row r="29" spans="1:33" x14ac:dyDescent="0.25">
      <c r="A29" s="196">
        <f t="shared" ref="A29:A87" si="9">A28+1</f>
        <v>2</v>
      </c>
      <c r="B29" s="197" t="str">
        <f>IF('Options and results'!$C$54="None",0,IF(AND(A29&gt;='Options and results'!$K$57,A28&lt;'Options and results'!$W$20),'Options and results'!$K$56,CONCATENATE('Options and results'!$C$60," ",(HLOOKUP(CONCATENATE('Options and results'!$C$54," ",Agroforestrysystem!$B$12),Agroforestrysystem!$B$11:$IM$74,$A29+4,FALSE)))))</f>
        <v>UK - Agriculture (BPS: from 2015) Wheat</v>
      </c>
      <c r="C29" s="198">
        <f>IF(HLOOKUP(CONCATENATE('Options and results'!$C$54," ",Agroforestrysystem!$C$12),Agroforestrysystem!$B$11:$IM$74,$A29+4,FALSE)="T",(VLOOKUP(B29,Arablefinance!$Z$6:$AB$105,Arablefinance!$AB$2,FALSE)*E29+VLOOKUP(B29,Arablefinance!$Z$6:$AC$105,Arablefinance!$AC$2,FALSE)*F29)/VLOOKUP(B29,Arablefinance!$Z$6:$AA$105,Arablefinance!$AA$2,FALSE),0)</f>
        <v>0</v>
      </c>
      <c r="D29" s="199">
        <f>IF(B29=0,0,HLOOKUP(CONCATENATE('Options and results'!$C$54," ",Agroforestrysystem!$D$12),Agroforestrysystem!$B$11:$IM$74,$A29+4,FALSE))</f>
        <v>0.99</v>
      </c>
      <c r="E29" s="42">
        <f>IF(B29=0,0,HLOOKUP(CONCATENATE('Options and results'!$C$54," ",Agroforestrysystem!$E$12),Agroforestrysystem!$B$11:$IM$74,$A29+4,FALSE)*IF(A29&gt;='Options and results'!$J$19,'Options and results'!$J$18,1))</f>
        <v>8.3000000000000007</v>
      </c>
      <c r="F29" s="42">
        <f>IF(B29=0,0,HLOOKUP(CONCATENATE('Options and results'!$C$54," ",Agroforestrysystem!$F$12),Agroforestrysystem!$B$11:$IM$74,$A29+4,FALSE)*IF(A29&gt;='Options and results'!$J$19,'Options and results'!$J$18,1))</f>
        <v>3.3200000000000003</v>
      </c>
      <c r="G29" s="200">
        <f>IF(D29&lt;=0,0,IF(A29&lt;='Options and results'!$W$20,IF(C29&gt;0,VLOOKUP(B29,Arablefinance!$Z$6:$AE$105,Arablefinance!$AD$2,FALSE)*C29*D29,((VLOOKUP(B29,Arablefinance!$E$6:$H$126,2,FALSE)*E29+VLOOKUP(B29,Arablefinance!$E$6:$H$126,3,FALSE)*F29)*D29)),0)*IF(A29&gt;='Options and results'!$J$21,'Options and results'!$J$20,1))*IF(1+'Options and results'!$O$20*(A29-1)&gt;0,1+'Options and results'!$O$20*(A29-1),0)</f>
        <v>1549.8175000000001</v>
      </c>
      <c r="H29" s="10">
        <f>IF(D29&lt;=0,0,IF(C29&gt;0,VLOOKUP(B29,Arablefinance!$Z$6:$AE$105,Arablefinance!$AE$2,FALSE)*C29*D29,IF('Options and results'!$C$62&gt;0,IF(VLOOKUP(B29,Arablefinance!$E$6:$W$126,Arablefinance!$H$2,FALSE)*(1-Plot!AC29*'Options and results'!$C$62)&gt;0,VLOOKUP(B29,Arablefinance!$E$6:$W$126,Arablefinance!$H$2,FALSE)*(1-Plot!AC29*'Options and results'!$C$62),0),IF(A29&lt;='Options and results'!$W$20,(VLOOKUP(B29,Arablefinance!$E$6:$W$126,Arablefinance!$H$2,FALSE)*IF('Options and results'!$C$61="area",D29,'Options and results'!$C$61)),0)))*IF(A29&gt;='Options and results'!$J$23,'Options and results'!$J$22,1))*IF(AND(1+'Options and results'!$O$23*(A29-1)&gt;0,1+'Options and results'!$O$23*(A29-1)&gt;'Options and results'!$S$24),1+'Options and results'!$O$23*(A29-1),'Options and results'!$S$24)</f>
        <v>0</v>
      </c>
      <c r="I29" s="10">
        <f t="shared" ref="I29:I87" si="10">H29+G29</f>
        <v>1549.8175000000001</v>
      </c>
      <c r="J29" s="10">
        <f>IF(D29&lt;=0,0,IF(A29&lt;='Options and results'!$W$20,IF(C29&gt;0,VLOOKUP(B29,Arablefinance!$Z$6:$AF$105,Arablefinance!$AF$2,FALSE)*C29*D29,VLOOKUP(B29,Arablefinance!$E$6:$X$126,Arablefinance!$R$2,FALSE)*D29),0)*IF(A29&gt;='Options and results'!$J$27,'Options and results'!$J$26,1))*IF(1+'Options and results'!$O$22*(A29-1)&gt;0,1+'Options and results'!$O$22*(A29-1),0)</f>
        <v>646.59374999999989</v>
      </c>
      <c r="K29" s="10">
        <f t="shared" ref="K29:K87" si="11">I29-J29</f>
        <v>903.22375000000022</v>
      </c>
      <c r="L29" s="10">
        <f>IF(D29&lt;=0,0,IF(A29&lt;='Options and results'!$W$20,IF(C29&gt;0,VLOOKUP(B29,Arablefinance!$Z$6:$AG$105,Arablefinance!$AG$2,FALSE)*C29*D29,VLOOKUP(B29,Arablefinance!$E$6:$X$126,Arablefinance!$X$2,FALSE)*D29),0)*IF(A29&gt;='Options and results'!$J$27,'Options and results'!$J$26,1))*IF(1+'Options and results'!$O$22*(A29-1)&gt;0,1+'Options and results'!$O$22*(A29-1),0)</f>
        <v>440</v>
      </c>
      <c r="M29" s="10">
        <f>IF(D29&lt;=0,0,IF(A29&lt;='Options and results'!$W$20,'Options and results'!$C$27*IF(A29&gt;='Options and results'!$J$27,'Options and results'!$J$26,1),0))*IF(1+'Options and results'!$O$21*(A29-1)&gt;0,1+'Options and results'!$O$21*(A29-1),0)</f>
        <v>14.6</v>
      </c>
      <c r="N29" s="10">
        <f>IF(D29&lt;=0,0,IF(A29&lt;='Options and results'!$W$20,IF(C29&gt;0,VLOOKUP(B29,Arablefinance!$Z$6:$AH$105,Arablefinance!$AH$2,FALSE)*C29*D29,VLOOKUP(B29,Arablefinance!$E$6:$W$126,Arablefinance!$V$2,FALSE)*D29),0)*IF(A29&gt;='Options and results'!$J$25,'Options and results'!$J$24,1))</f>
        <v>11.516506250880969</v>
      </c>
      <c r="O29" s="200">
        <f t="shared" si="1"/>
        <v>295.08275873713808</v>
      </c>
      <c r="P29" s="201">
        <f>IF(A29&lt;='Options and results'!$W$20,SUM($O$28:O29),0)</f>
        <v>943.07576747427595</v>
      </c>
      <c r="Q29" s="36">
        <f t="shared" si="2"/>
        <v>298.06339266377586</v>
      </c>
      <c r="R29" s="108">
        <f t="shared" ca="1" si="3"/>
        <v>0</v>
      </c>
      <c r="S29" s="108">
        <f t="shared" si="4"/>
        <v>10</v>
      </c>
      <c r="T29" s="10" t="str">
        <f t="shared" ref="T29:T87" ca="1" si="12">IF(AND(A29&gt;=$B$8,R29&lt;=$B$7),A29,"")</f>
        <v/>
      </c>
      <c r="U29" s="1" t="str">
        <f>IF(Optimisation!$B$3="Yes",IF(A29&lt;=Optimisation!$B$9,Optimisation!B29,Optimisation!$B$11),B29)</f>
        <v>UK - Agriculture (BPS: from 2015) Wheat</v>
      </c>
      <c r="V29" s="202">
        <f t="shared" ref="V29:V87" si="13">IF(D29=0,0,E29)</f>
        <v>8.3000000000000007</v>
      </c>
      <c r="W29" s="203">
        <f t="shared" ca="1" si="5"/>
        <v>0</v>
      </c>
      <c r="X29" s="203">
        <f t="shared" si="6"/>
        <v>2</v>
      </c>
      <c r="Y29" s="10" t="str">
        <f t="shared" ca="1" si="7"/>
        <v/>
      </c>
      <c r="Z29" s="204" t="str">
        <f>IF(Optimisation!$B$3="Yes",IF(Optimisation!A29&lt;=Optimisation!$B$16,Optimisation!B29,Optimisation!$B$18),B29)</f>
        <v>UK - Agriculture (BPS: from 2015) Wheat</v>
      </c>
      <c r="AA29" s="205" t="str">
        <f t="shared" si="8"/>
        <v>UK - Agriculture (BPS: from 2015) Wheat</v>
      </c>
      <c r="AG29" s="10"/>
    </row>
    <row r="30" spans="1:33" x14ac:dyDescent="0.25">
      <c r="A30" s="196">
        <f t="shared" si="9"/>
        <v>3</v>
      </c>
      <c r="B30" s="197" t="str">
        <f>IF('Options and results'!$C$54="None",0,IF(AND(A30&gt;='Options and results'!$K$57,A29&lt;'Options and results'!$W$20),'Options and results'!$K$56,CONCATENATE('Options and results'!$C$60," ",(HLOOKUP(CONCATENATE('Options and results'!$C$54," ",Agroforestrysystem!$B$12),Agroforestrysystem!$B$11:$IM$74,$A30+4,FALSE)))))</f>
        <v>UK - Agriculture (BPS: from 2015) Barley</v>
      </c>
      <c r="C30" s="198">
        <f>IF(HLOOKUP(CONCATENATE('Options and results'!$C$54," ",Agroforestrysystem!$C$12),Agroforestrysystem!$B$11:$IM$74,$A30+4,FALSE)="T",(VLOOKUP(B30,Arablefinance!$Z$6:$AB$105,Arablefinance!$AB$2,FALSE)*E30+VLOOKUP(B30,Arablefinance!$Z$6:$AC$105,Arablefinance!$AC$2,FALSE)*F30)/VLOOKUP(B30,Arablefinance!$Z$6:$AA$105,Arablefinance!$AA$2,FALSE),0)</f>
        <v>0</v>
      </c>
      <c r="D30" s="199">
        <f>IF(B30=0,0,HLOOKUP(CONCATENATE('Options and results'!$C$54," ",Agroforestrysystem!$D$12),Agroforestrysystem!$B$11:$IM$74,$A30+4,FALSE))</f>
        <v>0.99</v>
      </c>
      <c r="E30" s="42">
        <f>IF(B30=0,0,HLOOKUP(CONCATENATE('Options and results'!$C$54," ",Agroforestrysystem!$E$12),Agroforestrysystem!$B$11:$IM$74,$A30+4,FALSE)*IF(A30&gt;='Options and results'!$J$19,'Options and results'!$J$18,1))</f>
        <v>7.5</v>
      </c>
      <c r="F30" s="42">
        <f>IF(B30=0,0,HLOOKUP(CONCATENATE('Options and results'!$C$54," ",Agroforestrysystem!$F$12),Agroforestrysystem!$B$11:$IM$74,$A30+4,FALSE)*IF(A30&gt;='Options and results'!$J$19,'Options and results'!$J$18,1))</f>
        <v>4.7459999999999996</v>
      </c>
      <c r="G30" s="200">
        <f>IF(D30&lt;=0,0,IF(A30&lt;='Options and results'!$W$20,IF(C30&gt;0,VLOOKUP(B30,Arablefinance!$Z$6:$AE$105,Arablefinance!$AD$2,FALSE)*C30*D30,((VLOOKUP(B30,Arablefinance!$E$6:$H$126,2,FALSE)*E30+VLOOKUP(B30,Arablefinance!$E$6:$H$126,3,FALSE)*F30)*D30)),0)*IF(A30&gt;='Options and results'!$J$21,'Options and results'!$J$20,1))*IF(1+'Options and results'!$O$20*(A30-1)&gt;0,1+'Options and results'!$O$20*(A30-1),0)</f>
        <v>1444.3572000000001</v>
      </c>
      <c r="H30" s="10">
        <f>IF(D30&lt;=0,0,IF(C30&gt;0,VLOOKUP(B30,Arablefinance!$Z$6:$AE$105,Arablefinance!$AE$2,FALSE)*C30*D30,IF('Options and results'!$C$62&gt;0,IF(VLOOKUP(B30,Arablefinance!$E$6:$W$126,Arablefinance!$H$2,FALSE)*(1-Plot!AC30*'Options and results'!$C$62)&gt;0,VLOOKUP(B30,Arablefinance!$E$6:$W$126,Arablefinance!$H$2,FALSE)*(1-Plot!AC30*'Options and results'!$C$62),0),IF(A30&lt;='Options and results'!$W$20,(VLOOKUP(B30,Arablefinance!$E$6:$W$126,Arablefinance!$H$2,FALSE)*IF('Options and results'!$C$61="area",D30,'Options and results'!$C$61)),0)))*IF(A30&gt;='Options and results'!$J$23,'Options and results'!$J$22,1))*IF(AND(1+'Options and results'!$O$23*(A30-1)&gt;0,1+'Options and results'!$O$23*(A30-1)&gt;'Options and results'!$S$24),1+'Options and results'!$O$23*(A30-1),'Options and results'!$S$24)</f>
        <v>0</v>
      </c>
      <c r="I30" s="10">
        <f t="shared" si="10"/>
        <v>1444.3572000000001</v>
      </c>
      <c r="J30" s="10">
        <f>IF(D30&lt;=0,0,IF(A30&lt;='Options and results'!$W$20,IF(C30&gt;0,VLOOKUP(B30,Arablefinance!$Z$6:$AF$105,Arablefinance!$AF$2,FALSE)*C30*D30,VLOOKUP(B30,Arablefinance!$E$6:$X$126,Arablefinance!$R$2,FALSE)*D30),0)*IF(A30&gt;='Options and results'!$J$27,'Options and results'!$J$26,1))*IF(1+'Options and results'!$O$22*(A30-1)&gt;0,1+'Options and results'!$O$22*(A30-1),0)</f>
        <v>529.85624999999993</v>
      </c>
      <c r="K30" s="10">
        <f t="shared" si="11"/>
        <v>914.50095000000022</v>
      </c>
      <c r="L30" s="10">
        <f>IF(D30&lt;=0,0,IF(A30&lt;='Options and results'!$W$20,IF(C30&gt;0,VLOOKUP(B30,Arablefinance!$Z$6:$AG$105,Arablefinance!$AG$2,FALSE)*C30*D30,VLOOKUP(B30,Arablefinance!$E$6:$X$126,Arablefinance!$X$2,FALSE)*D30),0)*IF(A30&gt;='Options and results'!$J$27,'Options and results'!$J$26,1))*IF(1+'Options and results'!$O$22*(A30-1)&gt;0,1+'Options and results'!$O$22*(A30-1),0)</f>
        <v>440</v>
      </c>
      <c r="M30" s="10">
        <f>IF(D30&lt;=0,0,IF(A30&lt;='Options and results'!$W$20,'Options and results'!$C$27*IF(A30&gt;='Options and results'!$J$27,'Options and results'!$J$26,1),0))*IF(1+'Options and results'!$O$21*(A30-1)&gt;0,1+'Options and results'!$O$21*(A30-1),0)</f>
        <v>14.6</v>
      </c>
      <c r="N30" s="10">
        <f>IF(D30&lt;=0,0,IF(A30&lt;='Options and results'!$W$20,IF(C30&gt;0,VLOOKUP(B30,Arablefinance!$Z$6:$AH$105,Arablefinance!$AH$2,FALSE)*C30*D30,VLOOKUP(B30,Arablefinance!$E$6:$W$126,Arablefinance!$V$2,FALSE)*D30),0)*IF(A30&gt;='Options and results'!$J$25,'Options and results'!$J$24,1))</f>
        <v>10.725352674112727</v>
      </c>
      <c r="O30" s="200">
        <f t="shared" si="1"/>
        <v>317.91080095795439</v>
      </c>
      <c r="P30" s="201">
        <f>IF(A30&lt;='Options and results'!$W$20,SUM($O$28:O30),0)</f>
        <v>1260.9865684322303</v>
      </c>
      <c r="Q30" s="36">
        <f t="shared" si="2"/>
        <v>321.12202116965091</v>
      </c>
      <c r="R30" s="108">
        <f t="shared" ca="1" si="3"/>
        <v>0</v>
      </c>
      <c r="S30" s="108">
        <f t="shared" si="4"/>
        <v>10</v>
      </c>
      <c r="T30" s="10" t="str">
        <f t="shared" ca="1" si="12"/>
        <v/>
      </c>
      <c r="U30" s="1" t="str">
        <f>IF(Optimisation!$B$3="Yes",IF(A30&lt;=Optimisation!$B$9,Optimisation!B30,Optimisation!$B$11),B30)</f>
        <v>UK - Agriculture (BPS: from 2015) Barley</v>
      </c>
      <c r="V30" s="202">
        <f t="shared" si="13"/>
        <v>7.5</v>
      </c>
      <c r="W30" s="203">
        <f t="shared" ca="1" si="5"/>
        <v>0</v>
      </c>
      <c r="X30" s="203">
        <f t="shared" si="6"/>
        <v>2</v>
      </c>
      <c r="Y30" s="10" t="str">
        <f t="shared" ca="1" si="7"/>
        <v/>
      </c>
      <c r="Z30" s="204" t="str">
        <f>IF(Optimisation!$B$3="Yes",IF(Optimisation!A30&lt;=Optimisation!$B$16,Optimisation!B30,Optimisation!$B$18),B30)</f>
        <v>UK - Agriculture (BPS: from 2015) Barley</v>
      </c>
      <c r="AA30" s="205" t="str">
        <f t="shared" si="8"/>
        <v>UK - Agriculture (BPS: from 2015) Barley</v>
      </c>
      <c r="AG30" s="10"/>
    </row>
    <row r="31" spans="1:33" x14ac:dyDescent="0.25">
      <c r="A31" s="196">
        <f t="shared" si="9"/>
        <v>4</v>
      </c>
      <c r="B31" s="197" t="str">
        <f>IF('Options and results'!$C$54="None",0,IF(AND(A31&gt;='Options and results'!$K$57,A30&lt;'Options and results'!$W$20),'Options and results'!$K$56,CONCATENATE('Options and results'!$C$60," ",(HLOOKUP(CONCATENATE('Options and results'!$C$54," ",Agroforestrysystem!$B$12),Agroforestrysystem!$B$11:$IM$74,$A31+4,FALSE)))))</f>
        <v>UK - Agriculture (BPS: from 2015) Oilseed</v>
      </c>
      <c r="C31" s="198">
        <f>IF(HLOOKUP(CONCATENATE('Options and results'!$C$54," ",Agroforestrysystem!$C$12),Agroforestrysystem!$B$11:$IM$74,$A31+4,FALSE)="T",(VLOOKUP(B31,Arablefinance!$Z$6:$AB$105,Arablefinance!$AB$2,FALSE)*E31+VLOOKUP(B31,Arablefinance!$Z$6:$AC$105,Arablefinance!$AC$2,FALSE)*F31)/VLOOKUP(B31,Arablefinance!$Z$6:$AA$105,Arablefinance!$AA$2,FALSE),0)</f>
        <v>0</v>
      </c>
      <c r="D31" s="199">
        <f>IF(B31=0,0,HLOOKUP(CONCATENATE('Options and results'!$C$54," ",Agroforestrysystem!$D$12),Agroforestrysystem!$B$11:$IM$74,$A31+4,FALSE))</f>
        <v>0.99</v>
      </c>
      <c r="E31" s="42">
        <f>IF(B31=0,0,HLOOKUP(CONCATENATE('Options and results'!$C$54," ",Agroforestrysystem!$E$12),Agroforestrysystem!$B$11:$IM$74,$A31+4,FALSE)*IF(A31&gt;='Options and results'!$J$19,'Options and results'!$J$18,1))</f>
        <v>3.35</v>
      </c>
      <c r="F31" s="42">
        <f>IF(B31=0,0,HLOOKUP(CONCATENATE('Options and results'!$C$54," ",Agroforestrysystem!$F$12),Agroforestrysystem!$B$11:$IM$74,$A31+4,FALSE)*IF(A31&gt;='Options and results'!$J$19,'Options and results'!$J$18,1))</f>
        <v>1.675</v>
      </c>
      <c r="G31" s="200">
        <f>IF(D31&lt;=0,0,IF(A31&lt;='Options and results'!$W$20,IF(C31&gt;0,VLOOKUP(B31,Arablefinance!$Z$6:$AE$105,Arablefinance!$AD$2,FALSE)*C31*D31,((VLOOKUP(B31,Arablefinance!$E$6:$H$126,2,FALSE)*E31+VLOOKUP(B31,Arablefinance!$E$6:$H$126,3,FALSE)*F31)*D31)),0)*IF(A31&gt;='Options and results'!$J$21,'Options and results'!$J$20,1))*IF(1+'Options and results'!$O$20*(A31-1)&gt;0,1+'Options and results'!$O$20*(A31-1),0)</f>
        <v>1197.625</v>
      </c>
      <c r="H31" s="10">
        <f>IF(D31&lt;=0,0,IF(C31&gt;0,VLOOKUP(B31,Arablefinance!$Z$6:$AE$105,Arablefinance!$AE$2,FALSE)*C31*D31,IF('Options and results'!$C$62&gt;0,IF(VLOOKUP(B31,Arablefinance!$E$6:$W$126,Arablefinance!$H$2,FALSE)*(1-Plot!AC31*'Options and results'!$C$62)&gt;0,VLOOKUP(B31,Arablefinance!$E$6:$W$126,Arablefinance!$H$2,FALSE)*(1-Plot!AC31*'Options and results'!$C$62),0),IF(A31&lt;='Options and results'!$W$20,(VLOOKUP(B31,Arablefinance!$E$6:$W$126,Arablefinance!$H$2,FALSE)*IF('Options and results'!$C$61="area",D31,'Options and results'!$C$61)),0)))*IF(A31&gt;='Options and results'!$J$23,'Options and results'!$J$22,1))*IF(AND(1+'Options and results'!$O$23*(A31-1)&gt;0,1+'Options and results'!$O$23*(A31-1)&gt;'Options and results'!$S$24),1+'Options and results'!$O$23*(A31-1),'Options and results'!$S$24)</f>
        <v>0</v>
      </c>
      <c r="I31" s="10">
        <f t="shared" si="10"/>
        <v>1197.625</v>
      </c>
      <c r="J31" s="10">
        <f>IF(D31&lt;=0,0,IF(A31&lt;='Options and results'!$W$20,IF(C31&gt;0,VLOOKUP(B31,Arablefinance!$Z$6:$AF$105,Arablefinance!$AF$2,FALSE)*C31*D31,VLOOKUP(B31,Arablefinance!$E$6:$X$126,Arablefinance!$R$2,FALSE)*D31),0)*IF(A31&gt;='Options and results'!$J$27,'Options and results'!$J$26,1))*IF(1+'Options and results'!$O$22*(A31-1)&gt;0,1+'Options and results'!$O$22*(A31-1),0)</f>
        <v>627.55000000000007</v>
      </c>
      <c r="K31" s="10">
        <f t="shared" si="11"/>
        <v>570.07499999999993</v>
      </c>
      <c r="L31" s="10">
        <f>IF(D31&lt;=0,0,IF(A31&lt;='Options and results'!$W$20,IF(C31&gt;0,VLOOKUP(B31,Arablefinance!$Z$6:$AG$105,Arablefinance!$AG$2,FALSE)*C31*D31,VLOOKUP(B31,Arablefinance!$E$6:$X$126,Arablefinance!$X$2,FALSE)*D31),0)*IF(A31&gt;='Options and results'!$J$27,'Options and results'!$J$26,1))*IF(1+'Options and results'!$O$22*(A31-1)&gt;0,1+'Options and results'!$O$22*(A31-1),0)</f>
        <v>440</v>
      </c>
      <c r="M31" s="10">
        <f>IF(D31&lt;=0,0,IF(A31&lt;='Options and results'!$W$20,'Options and results'!$C$27*IF(A31&gt;='Options and results'!$J$27,'Options and results'!$J$26,1),0))*IF(1+'Options and results'!$O$21*(A31-1)&gt;0,1+'Options and results'!$O$21*(A31-1),0)</f>
        <v>14.6</v>
      </c>
      <c r="N31" s="10">
        <f>IF(D31&lt;=0,0,IF(A31&lt;='Options and results'!$W$20,IF(C31&gt;0,VLOOKUP(B31,Arablefinance!$Z$6:$AH$105,Arablefinance!$AH$2,FALSE)*C31*D31,VLOOKUP(B31,Arablefinance!$E$6:$W$126,Arablefinance!$V$2,FALSE)*D31),0)*IF(A31&gt;='Options and results'!$J$25,'Options and results'!$J$24,1))</f>
        <v>7.3845219420863808</v>
      </c>
      <c r="O31" s="200">
        <f t="shared" si="1"/>
        <v>22.260979645538768</v>
      </c>
      <c r="P31" s="201">
        <f>IF(A31&lt;='Options and results'!$W$20,SUM($O$28:O31),0)</f>
        <v>1283.2475480777691</v>
      </c>
      <c r="Q31" s="36">
        <f t="shared" si="2"/>
        <v>22.485838025796735</v>
      </c>
      <c r="R31" s="108">
        <f t="shared" ca="1" si="3"/>
        <v>0</v>
      </c>
      <c r="S31" s="108">
        <f t="shared" si="4"/>
        <v>10</v>
      </c>
      <c r="T31" s="10" t="str">
        <f t="shared" ca="1" si="12"/>
        <v/>
      </c>
      <c r="U31" s="1" t="str">
        <f>IF(Optimisation!$B$3="Yes",IF(A31&lt;=Optimisation!$B$9,Optimisation!B31,Optimisation!$B$11),B31)</f>
        <v>UK - Agriculture (BPS: from 2015) Oilseed</v>
      </c>
      <c r="V31" s="202">
        <f t="shared" si="13"/>
        <v>3.35</v>
      </c>
      <c r="W31" s="203">
        <f t="shared" ca="1" si="5"/>
        <v>0</v>
      </c>
      <c r="X31" s="203">
        <f t="shared" si="6"/>
        <v>2</v>
      </c>
      <c r="Y31" s="10" t="str">
        <f t="shared" ca="1" si="7"/>
        <v/>
      </c>
      <c r="Z31" s="204" t="str">
        <f>IF(Optimisation!$B$3="Yes",IF(Optimisation!A31&lt;=Optimisation!$B$16,Optimisation!B31,Optimisation!$B$18),B31)</f>
        <v>UK - Agriculture (BPS: from 2015) Oilseed</v>
      </c>
      <c r="AA31" s="205" t="str">
        <f t="shared" si="8"/>
        <v>UK - Agriculture (BPS: from 2015) Oilseed</v>
      </c>
      <c r="AG31" s="10"/>
    </row>
    <row r="32" spans="1:33" x14ac:dyDescent="0.25">
      <c r="A32" s="196">
        <f t="shared" si="9"/>
        <v>5</v>
      </c>
      <c r="B32" s="197" t="str">
        <f>IF('Options and results'!$C$54="None",0,IF(AND(A32&gt;='Options and results'!$K$57,A31&lt;'Options and results'!$W$20),'Options and results'!$K$56,CONCATENATE('Options and results'!$C$60," ",(HLOOKUP(CONCATENATE('Options and results'!$C$54," ",Agroforestrysystem!$B$12),Agroforestrysystem!$B$11:$IM$74,$A32+4,FALSE)))))</f>
        <v>UK - Agriculture (BPS: from 2015) Wheat</v>
      </c>
      <c r="C32" s="198">
        <f>IF(HLOOKUP(CONCATENATE('Options and results'!$C$54," ",Agroforestrysystem!$C$12),Agroforestrysystem!$B$11:$IM$74,$A32+4,FALSE)="T",(VLOOKUP(B32,Arablefinance!$Z$6:$AB$105,Arablefinance!$AB$2,FALSE)*E32+VLOOKUP(B32,Arablefinance!$Z$6:$AC$105,Arablefinance!$AC$2,FALSE)*F32)/VLOOKUP(B32,Arablefinance!$Z$6:$AA$105,Arablefinance!$AA$2,FALSE),0)</f>
        <v>0</v>
      </c>
      <c r="D32" s="199">
        <f>IF(B32=0,0,HLOOKUP(CONCATENATE('Options and results'!$C$54," ",Agroforestrysystem!$D$12),Agroforestrysystem!$B$11:$IM$74,$A32+4,FALSE))</f>
        <v>0.99</v>
      </c>
      <c r="E32" s="42">
        <f>IF(B32=0,0,HLOOKUP(CONCATENATE('Options and results'!$C$54," ",Agroforestrysystem!$E$12),Agroforestrysystem!$B$11:$IM$74,$A32+4,FALSE)*IF(A32&gt;='Options and results'!$J$19,'Options and results'!$J$18,1))</f>
        <v>9.11</v>
      </c>
      <c r="F32" s="42">
        <f>IF(B32=0,0,HLOOKUP(CONCATENATE('Options and results'!$C$54," ",Agroforestrysystem!$F$12),Agroforestrysystem!$B$11:$IM$74,$A32+4,FALSE)*IF(A32&gt;='Options and results'!$J$19,'Options and results'!$J$18,1))</f>
        <v>3.6680000000000001</v>
      </c>
      <c r="G32" s="200">
        <f>IF(D32&lt;=0,0,IF(A32&lt;='Options and results'!$W$20,IF(C32&gt;0,VLOOKUP(B32,Arablefinance!$Z$6:$AE$105,Arablefinance!$AD$2,FALSE)*C32*D32,((VLOOKUP(B32,Arablefinance!$E$6:$H$126,2,FALSE)*E32+VLOOKUP(B32,Arablefinance!$E$6:$H$126,3,FALSE)*F32)*D32)),0)*IF(A32&gt;='Options and results'!$J$21,'Options and results'!$J$20,1))*IF(1+'Options and results'!$O$20*(A32-1)&gt;0,1+'Options and results'!$O$20*(A32-1),0)</f>
        <v>1701.9557499999999</v>
      </c>
      <c r="H32" s="10">
        <f>IF(D32&lt;=0,0,IF(C32&gt;0,VLOOKUP(B32,Arablefinance!$Z$6:$AE$105,Arablefinance!$AE$2,FALSE)*C32*D32,IF('Options and results'!$C$62&gt;0,IF(VLOOKUP(B32,Arablefinance!$E$6:$W$126,Arablefinance!$H$2,FALSE)*(1-Plot!AC32*'Options and results'!$C$62)&gt;0,VLOOKUP(B32,Arablefinance!$E$6:$W$126,Arablefinance!$H$2,FALSE)*(1-Plot!AC32*'Options and results'!$C$62),0),IF(A32&lt;='Options and results'!$W$20,(VLOOKUP(B32,Arablefinance!$E$6:$W$126,Arablefinance!$H$2,FALSE)*IF('Options and results'!$C$61="area",D32,'Options and results'!$C$61)),0)))*IF(A32&gt;='Options and results'!$J$23,'Options and results'!$J$22,1))*IF(AND(1+'Options and results'!$O$23*(A32-1)&gt;0,1+'Options and results'!$O$23*(A32-1)&gt;'Options and results'!$S$24),1+'Options and results'!$O$23*(A32-1),'Options and results'!$S$24)</f>
        <v>0</v>
      </c>
      <c r="I32" s="10">
        <f t="shared" si="10"/>
        <v>1701.9557499999999</v>
      </c>
      <c r="J32" s="10">
        <f>IF(D32&lt;=0,0,IF(A32&lt;='Options and results'!$W$20,IF(C32&gt;0,VLOOKUP(B32,Arablefinance!$Z$6:$AF$105,Arablefinance!$AF$2,FALSE)*C32*D32,VLOOKUP(B32,Arablefinance!$E$6:$X$126,Arablefinance!$R$2,FALSE)*D32),0)*IF(A32&gt;='Options and results'!$J$27,'Options and results'!$J$26,1))*IF(1+'Options and results'!$O$22*(A32-1)&gt;0,1+'Options and results'!$O$22*(A32-1),0)</f>
        <v>646.59374999999989</v>
      </c>
      <c r="K32" s="10">
        <f t="shared" si="11"/>
        <v>1055.3620000000001</v>
      </c>
      <c r="L32" s="10">
        <f>IF(D32&lt;=0,0,IF(A32&lt;='Options and results'!$W$20,IF(C32&gt;0,VLOOKUP(B32,Arablefinance!$Z$6:$AG$105,Arablefinance!$AG$2,FALSE)*C32*D32,VLOOKUP(B32,Arablefinance!$E$6:$X$126,Arablefinance!$X$2,FALSE)*D32),0)*IF(A32&gt;='Options and results'!$J$27,'Options and results'!$J$26,1))*IF(1+'Options and results'!$O$22*(A32-1)&gt;0,1+'Options and results'!$O$22*(A32-1),0)</f>
        <v>440</v>
      </c>
      <c r="M32" s="10">
        <f>IF(D32&lt;=0,0,IF(A32&lt;='Options and results'!$W$20,'Options and results'!$C$27*IF(A32&gt;='Options and results'!$J$27,'Options and results'!$J$26,1),0))*IF(1+'Options and results'!$O$21*(A32-1)&gt;0,1+'Options and results'!$O$21*(A32-1),0)</f>
        <v>14.6</v>
      </c>
      <c r="N32" s="10">
        <f>IF(D32&lt;=0,0,IF(A32&lt;='Options and results'!$W$20,IF(C32&gt;0,VLOOKUP(B32,Arablefinance!$Z$6:$AH$105,Arablefinance!$AH$2,FALSE)*C32*D32,VLOOKUP(B32,Arablefinance!$E$6:$W$126,Arablefinance!$V$2,FALSE)*D32),0)*IF(A32&gt;='Options and results'!$J$25,'Options and results'!$J$24,1))</f>
        <v>11.516506250880969</v>
      </c>
      <c r="O32" s="200">
        <f t="shared" si="1"/>
        <v>447.22100873713794</v>
      </c>
      <c r="P32" s="201">
        <f>IF(A32&lt;='Options and results'!$W$20,SUM($O$28:O32),0)</f>
        <v>1730.4685568149071</v>
      </c>
      <c r="Q32" s="36">
        <f t="shared" si="2"/>
        <v>451.7383926637757</v>
      </c>
      <c r="R32" s="108">
        <f t="shared" ca="1" si="3"/>
        <v>0</v>
      </c>
      <c r="S32" s="108">
        <f t="shared" si="4"/>
        <v>10</v>
      </c>
      <c r="T32" s="10" t="str">
        <f t="shared" ca="1" si="12"/>
        <v/>
      </c>
      <c r="U32" s="1" t="str">
        <f>IF(Optimisation!$B$3="Yes",IF(A32&lt;=Optimisation!$B$9,Optimisation!B32,Optimisation!$B$11),B32)</f>
        <v>UK - Agriculture (BPS: from 2015) Wheat</v>
      </c>
      <c r="V32" s="202">
        <f t="shared" si="13"/>
        <v>9.11</v>
      </c>
      <c r="W32" s="203">
        <f t="shared" ca="1" si="5"/>
        <v>0</v>
      </c>
      <c r="X32" s="203">
        <f t="shared" si="6"/>
        <v>2</v>
      </c>
      <c r="Y32" s="10" t="str">
        <f t="shared" ca="1" si="7"/>
        <v/>
      </c>
      <c r="Z32" s="204" t="str">
        <f>IF(Optimisation!$B$3="Yes",IF(Optimisation!A32&lt;=Optimisation!$B$16,Optimisation!B32,Optimisation!$B$18),B32)</f>
        <v>UK - Agriculture (BPS: from 2015) Wheat</v>
      </c>
      <c r="AA32" s="205" t="str">
        <f t="shared" si="8"/>
        <v>UK - Agriculture (BPS: from 2015) Wheat</v>
      </c>
      <c r="AG32" s="10"/>
    </row>
    <row r="33" spans="1:33" x14ac:dyDescent="0.25">
      <c r="A33" s="196">
        <f t="shared" si="9"/>
        <v>6</v>
      </c>
      <c r="B33" s="197" t="str">
        <f>IF('Options and results'!$C$54="None",0,IF(AND(A33&gt;='Options and results'!$K$57,A32&lt;'Options and results'!$W$20),'Options and results'!$K$56,CONCATENATE('Options and results'!$C$60," ",(HLOOKUP(CONCATENATE('Options and results'!$C$54," ",Agroforestrysystem!$B$12),Agroforestrysystem!$B$11:$IM$74,$A33+4,FALSE)))))</f>
        <v>UK - Agriculture (BPS: from 2015) Wheat</v>
      </c>
      <c r="C33" s="198">
        <f>IF(HLOOKUP(CONCATENATE('Options and results'!$C$54," ",Agroforestrysystem!$C$12),Agroforestrysystem!$B$11:$IM$74,$A33+4,FALSE)="T",(VLOOKUP(B33,Arablefinance!$Z$6:$AB$105,Arablefinance!$AB$2,FALSE)*E33+VLOOKUP(B33,Arablefinance!$Z$6:$AC$105,Arablefinance!$AC$2,FALSE)*F33)/VLOOKUP(B33,Arablefinance!$Z$6:$AA$105,Arablefinance!$AA$2,FALSE),0)</f>
        <v>0</v>
      </c>
      <c r="D33" s="199">
        <f>IF(B33=0,0,HLOOKUP(CONCATENATE('Options and results'!$C$54," ",Agroforestrysystem!$D$12),Agroforestrysystem!$B$11:$IM$74,$A33+4,FALSE))</f>
        <v>0.99</v>
      </c>
      <c r="E33" s="42">
        <f>IF(B33=0,0,HLOOKUP(CONCATENATE('Options and results'!$C$54," ",Agroforestrysystem!$E$12),Agroforestrysystem!$B$11:$IM$74,$A33+4,FALSE)*IF(A33&gt;='Options and results'!$J$19,'Options and results'!$J$18,1))</f>
        <v>8.07</v>
      </c>
      <c r="F33" s="42">
        <f>IF(B33=0,0,HLOOKUP(CONCATENATE('Options and results'!$C$54," ",Agroforestrysystem!$F$12),Agroforestrysystem!$B$11:$IM$74,$A33+4,FALSE)*IF(A33&gt;='Options and results'!$J$19,'Options and results'!$J$18,1))</f>
        <v>3.2240000000000002</v>
      </c>
      <c r="G33" s="200">
        <f>IF(D33&lt;=0,0,IF(A33&lt;='Options and results'!$W$20,IF(C33&gt;0,VLOOKUP(B33,Arablefinance!$Z$6:$AE$105,Arablefinance!$AD$2,FALSE)*C33*D33,((VLOOKUP(B33,Arablefinance!$E$6:$H$126,2,FALSE)*E33+VLOOKUP(B33,Arablefinance!$E$6:$H$126,3,FALSE)*F33)*D33)),0)*IF(A33&gt;='Options and results'!$J$21,'Options and results'!$J$20,1))*IF(1+'Options and results'!$O$20*(A33-1)&gt;0,1+'Options and results'!$O$20*(A33-1),0)</f>
        <v>1506.7222500000003</v>
      </c>
      <c r="H33" s="10">
        <f>IF(D33&lt;=0,0,IF(C33&gt;0,VLOOKUP(B33,Arablefinance!$Z$6:$AE$105,Arablefinance!$AE$2,FALSE)*C33*D33,IF('Options and results'!$C$62&gt;0,IF(VLOOKUP(B33,Arablefinance!$E$6:$W$126,Arablefinance!$H$2,FALSE)*(1-Plot!AC33*'Options and results'!$C$62)&gt;0,VLOOKUP(B33,Arablefinance!$E$6:$W$126,Arablefinance!$H$2,FALSE)*(1-Plot!AC33*'Options and results'!$C$62),0),IF(A33&lt;='Options and results'!$W$20,(VLOOKUP(B33,Arablefinance!$E$6:$W$126,Arablefinance!$H$2,FALSE)*IF('Options and results'!$C$61="area",D33,'Options and results'!$C$61)),0)))*IF(A33&gt;='Options and results'!$J$23,'Options and results'!$J$22,1))*IF(AND(1+'Options and results'!$O$23*(A33-1)&gt;0,1+'Options and results'!$O$23*(A33-1)&gt;'Options and results'!$S$24),1+'Options and results'!$O$23*(A33-1),'Options and results'!$S$24)</f>
        <v>0</v>
      </c>
      <c r="I33" s="10">
        <f t="shared" si="10"/>
        <v>1506.7222500000003</v>
      </c>
      <c r="J33" s="10">
        <f>IF(D33&lt;=0,0,IF(A33&lt;='Options and results'!$W$20,IF(C33&gt;0,VLOOKUP(B33,Arablefinance!$Z$6:$AF$105,Arablefinance!$AF$2,FALSE)*C33*D33,VLOOKUP(B33,Arablefinance!$E$6:$X$126,Arablefinance!$R$2,FALSE)*D33),0)*IF(A33&gt;='Options and results'!$J$27,'Options and results'!$J$26,1))*IF(1+'Options and results'!$O$22*(A33-1)&gt;0,1+'Options and results'!$O$22*(A33-1),0)</f>
        <v>646.59374999999989</v>
      </c>
      <c r="K33" s="10">
        <f t="shared" si="11"/>
        <v>860.12850000000037</v>
      </c>
      <c r="L33" s="10">
        <f>IF(D33&lt;=0,0,IF(A33&lt;='Options and results'!$W$20,IF(C33&gt;0,VLOOKUP(B33,Arablefinance!$Z$6:$AG$105,Arablefinance!$AG$2,FALSE)*C33*D33,VLOOKUP(B33,Arablefinance!$E$6:$X$126,Arablefinance!$X$2,FALSE)*D33),0)*IF(A33&gt;='Options and results'!$J$27,'Options and results'!$J$26,1))*IF(1+'Options and results'!$O$22*(A33-1)&gt;0,1+'Options and results'!$O$22*(A33-1),0)</f>
        <v>440</v>
      </c>
      <c r="M33" s="10">
        <f>IF(D33&lt;=0,0,IF(A33&lt;='Options and results'!$W$20,'Options and results'!$C$27*IF(A33&gt;='Options and results'!$J$27,'Options and results'!$J$26,1),0))*IF(1+'Options and results'!$O$21*(A33-1)&gt;0,1+'Options and results'!$O$21*(A33-1),0)</f>
        <v>14.6</v>
      </c>
      <c r="N33" s="10">
        <f>IF(D33&lt;=0,0,IF(A33&lt;='Options and results'!$W$20,IF(C33&gt;0,VLOOKUP(B33,Arablefinance!$Z$6:$AH$105,Arablefinance!$AH$2,FALSE)*C33*D33,VLOOKUP(B33,Arablefinance!$E$6:$W$126,Arablefinance!$V$2,FALSE)*D33),0)*IF(A33&gt;='Options and results'!$J$25,'Options and results'!$J$24,1))</f>
        <v>11.516506250880969</v>
      </c>
      <c r="O33" s="200">
        <f t="shared" si="1"/>
        <v>251.98750873713823</v>
      </c>
      <c r="P33" s="201">
        <f>IF(A33&lt;='Options and results'!$W$20,SUM($O$28:O33),0)</f>
        <v>1982.4560655520454</v>
      </c>
      <c r="Q33" s="36">
        <f t="shared" si="2"/>
        <v>254.53283710822043</v>
      </c>
      <c r="R33" s="108">
        <f t="shared" ca="1" si="3"/>
        <v>0</v>
      </c>
      <c r="S33" s="108">
        <f t="shared" si="4"/>
        <v>10</v>
      </c>
      <c r="T33" s="10" t="str">
        <f t="shared" ca="1" si="12"/>
        <v/>
      </c>
      <c r="U33" s="1" t="str">
        <f>IF(Optimisation!$B$3="Yes",IF(A33&lt;=Optimisation!$B$9,Optimisation!B33,Optimisation!$B$11),B33)</f>
        <v>UK - Agriculture (BPS: from 2015) Wheat</v>
      </c>
      <c r="V33" s="202">
        <f t="shared" si="13"/>
        <v>8.07</v>
      </c>
      <c r="W33" s="203">
        <f t="shared" ca="1" si="5"/>
        <v>0</v>
      </c>
      <c r="X33" s="203">
        <f t="shared" si="6"/>
        <v>2</v>
      </c>
      <c r="Y33" s="10" t="str">
        <f t="shared" ca="1" si="7"/>
        <v/>
      </c>
      <c r="Z33" s="204" t="str">
        <f>IF(Optimisation!$B$3="Yes",IF(Optimisation!A33&lt;=Optimisation!$B$16,Optimisation!B33,Optimisation!$B$18),B33)</f>
        <v>UK - Agriculture (BPS: from 2015) Wheat</v>
      </c>
      <c r="AA33" s="205" t="str">
        <f t="shared" si="8"/>
        <v>UK - Agriculture (BPS: from 2015) Wheat</v>
      </c>
      <c r="AG33" s="10"/>
    </row>
    <row r="34" spans="1:33" x14ac:dyDescent="0.25">
      <c r="A34" s="196">
        <f t="shared" si="9"/>
        <v>7</v>
      </c>
      <c r="B34" s="197" t="str">
        <f>IF('Options and results'!$C$54="None",0,IF(AND(A34&gt;='Options and results'!$K$57,A33&lt;'Options and results'!$W$20),'Options and results'!$K$56,CONCATENATE('Options and results'!$C$60," ",(HLOOKUP(CONCATENATE('Options and results'!$C$54," ",Agroforestrysystem!$B$12),Agroforestrysystem!$B$11:$IM$74,$A34+4,FALSE)))))</f>
        <v>UK - Agriculture (BPS: from 2015) Barley</v>
      </c>
      <c r="C34" s="198">
        <f>IF(HLOOKUP(CONCATENATE('Options and results'!$C$54," ",Agroforestrysystem!$C$12),Agroforestrysystem!$B$11:$IM$74,$A34+4,FALSE)="T",(VLOOKUP(B34,Arablefinance!$Z$6:$AB$105,Arablefinance!$AB$2,FALSE)*E34+VLOOKUP(B34,Arablefinance!$Z$6:$AC$105,Arablefinance!$AC$2,FALSE)*F34)/VLOOKUP(B34,Arablefinance!$Z$6:$AA$105,Arablefinance!$AA$2,FALSE),0)</f>
        <v>0</v>
      </c>
      <c r="D34" s="199">
        <f>IF(B34=0,0,HLOOKUP(CONCATENATE('Options and results'!$C$54," ",Agroforestrysystem!$D$12),Agroforestrysystem!$B$11:$IM$74,$A34+4,FALSE))</f>
        <v>0.99</v>
      </c>
      <c r="E34" s="42">
        <f>IF(B34=0,0,HLOOKUP(CONCATENATE('Options and results'!$C$54," ",Agroforestrysystem!$E$12),Agroforestrysystem!$B$11:$IM$74,$A34+4,FALSE)*IF(A34&gt;='Options and results'!$J$19,'Options and results'!$J$18,1))</f>
        <v>5.34</v>
      </c>
      <c r="F34" s="42">
        <f>IF(B34=0,0,HLOOKUP(CONCATENATE('Options and results'!$C$54," ",Agroforestrysystem!$F$12),Agroforestrysystem!$B$11:$IM$74,$A34+4,FALSE)*IF(A34&gt;='Options and results'!$J$19,'Options and results'!$J$18,1))</f>
        <v>3.2039999999999997</v>
      </c>
      <c r="G34" s="200">
        <f>IF(D34&lt;=0,0,IF(A34&lt;='Options and results'!$W$20,IF(C34&gt;0,VLOOKUP(B34,Arablefinance!$Z$6:$AE$105,Arablefinance!$AD$2,FALSE)*C34*D34,((VLOOKUP(B34,Arablefinance!$E$6:$H$126,2,FALSE)*E34+VLOOKUP(B34,Arablefinance!$E$6:$H$126,3,FALSE)*F34)*D34)),0)*IF(A34&gt;='Options and results'!$J$21,'Options and results'!$J$20,1))*IF(1+'Options and results'!$O$20*(A34-1)&gt;0,1+'Options and results'!$O$20*(A34-1),0)</f>
        <v>1018.8452999999998</v>
      </c>
      <c r="H34" s="10">
        <f>IF(D34&lt;=0,0,IF(C34&gt;0,VLOOKUP(B34,Arablefinance!$Z$6:$AE$105,Arablefinance!$AE$2,FALSE)*C34*D34,IF('Options and results'!$C$62&gt;0,IF(VLOOKUP(B34,Arablefinance!$E$6:$W$126,Arablefinance!$H$2,FALSE)*(1-Plot!AC34*'Options and results'!$C$62)&gt;0,VLOOKUP(B34,Arablefinance!$E$6:$W$126,Arablefinance!$H$2,FALSE)*(1-Plot!AC34*'Options and results'!$C$62),0),IF(A34&lt;='Options and results'!$W$20,(VLOOKUP(B34,Arablefinance!$E$6:$W$126,Arablefinance!$H$2,FALSE)*IF('Options and results'!$C$61="area",D34,'Options and results'!$C$61)),0)))*IF(A34&gt;='Options and results'!$J$23,'Options and results'!$J$22,1))*IF(AND(1+'Options and results'!$O$23*(A34-1)&gt;0,1+'Options and results'!$O$23*(A34-1)&gt;'Options and results'!$S$24),1+'Options and results'!$O$23*(A34-1),'Options and results'!$S$24)</f>
        <v>0</v>
      </c>
      <c r="I34" s="10">
        <f t="shared" si="10"/>
        <v>1018.8452999999998</v>
      </c>
      <c r="J34" s="10">
        <f>IF(D34&lt;=0,0,IF(A34&lt;='Options and results'!$W$20,IF(C34&gt;0,VLOOKUP(B34,Arablefinance!$Z$6:$AF$105,Arablefinance!$AF$2,FALSE)*C34*D34,VLOOKUP(B34,Arablefinance!$E$6:$X$126,Arablefinance!$R$2,FALSE)*D34),0)*IF(A34&gt;='Options and results'!$J$27,'Options and results'!$J$26,1))*IF(1+'Options and results'!$O$22*(A34-1)&gt;0,1+'Options and results'!$O$22*(A34-1),0)</f>
        <v>529.85624999999993</v>
      </c>
      <c r="K34" s="10">
        <f t="shared" si="11"/>
        <v>488.98904999999991</v>
      </c>
      <c r="L34" s="10">
        <f>IF(D34&lt;=0,0,IF(A34&lt;='Options and results'!$W$20,IF(C34&gt;0,VLOOKUP(B34,Arablefinance!$Z$6:$AG$105,Arablefinance!$AG$2,FALSE)*C34*D34,VLOOKUP(B34,Arablefinance!$E$6:$X$126,Arablefinance!$X$2,FALSE)*D34),0)*IF(A34&gt;='Options and results'!$J$27,'Options and results'!$J$26,1))*IF(1+'Options and results'!$O$22*(A34-1)&gt;0,1+'Options and results'!$O$22*(A34-1),0)</f>
        <v>440</v>
      </c>
      <c r="M34" s="10">
        <f>IF(D34&lt;=0,0,IF(A34&lt;='Options and results'!$W$20,'Options and results'!$C$27*IF(A34&gt;='Options and results'!$J$27,'Options and results'!$J$26,1),0))*IF(1+'Options and results'!$O$21*(A34-1)&gt;0,1+'Options and results'!$O$21*(A34-1),0)</f>
        <v>14.6</v>
      </c>
      <c r="N34" s="10">
        <f>IF(D34&lt;=0,0,IF(A34&lt;='Options and results'!$W$20,IF(C34&gt;0,VLOOKUP(B34,Arablefinance!$Z$6:$AH$105,Arablefinance!$AH$2,FALSE)*C34*D34,VLOOKUP(B34,Arablefinance!$E$6:$W$126,Arablefinance!$V$2,FALSE)*D34),0)*IF(A34&gt;='Options and results'!$J$25,'Options and results'!$J$24,1))</f>
        <v>10.725352674112727</v>
      </c>
      <c r="O34" s="200">
        <f t="shared" si="1"/>
        <v>-107.60109904204592</v>
      </c>
      <c r="P34" s="201">
        <f>IF(A34&lt;='Options and results'!$W$20,SUM($O$28:O34),0)</f>
        <v>1874.8549665099995</v>
      </c>
      <c r="Q34" s="36">
        <f t="shared" si="2"/>
        <v>-108.68797883034941</v>
      </c>
      <c r="R34" s="108">
        <f t="shared" ca="1" si="3"/>
        <v>0</v>
      </c>
      <c r="S34" s="108">
        <f t="shared" si="4"/>
        <v>10</v>
      </c>
      <c r="T34" s="10" t="str">
        <f t="shared" ca="1" si="12"/>
        <v/>
      </c>
      <c r="U34" s="1" t="str">
        <f>IF(Optimisation!$B$3="Yes",IF(A34&lt;=Optimisation!$B$9,Optimisation!B34,Optimisation!$B$11),B34)</f>
        <v>UK - Agriculture (BPS: from 2015) Barley</v>
      </c>
      <c r="V34" s="202">
        <f t="shared" si="13"/>
        <v>5.34</v>
      </c>
      <c r="W34" s="203">
        <f t="shared" ca="1" si="5"/>
        <v>0</v>
      </c>
      <c r="X34" s="203">
        <f t="shared" si="6"/>
        <v>2</v>
      </c>
      <c r="Y34" s="10" t="str">
        <f t="shared" ca="1" si="7"/>
        <v/>
      </c>
      <c r="Z34" s="204" t="str">
        <f>IF(Optimisation!$B$3="Yes",IF(Optimisation!A34&lt;=Optimisation!$B$16,Optimisation!B34,Optimisation!$B$18),B34)</f>
        <v>UK - Agriculture (BPS: from 2015) Barley</v>
      </c>
      <c r="AA34" s="205" t="str">
        <f t="shared" si="8"/>
        <v>UK - Agriculture (BPS: from 2015) Barley</v>
      </c>
      <c r="AG34" s="10"/>
    </row>
    <row r="35" spans="1:33" x14ac:dyDescent="0.25">
      <c r="A35" s="196">
        <f t="shared" si="9"/>
        <v>8</v>
      </c>
      <c r="B35" s="197" t="str">
        <f>IF('Options and results'!$C$54="None",0,IF(AND(A35&gt;='Options and results'!$K$57,A34&lt;'Options and results'!$W$20),'Options and results'!$K$56,CONCATENATE('Options and results'!$C$60," ",(HLOOKUP(CONCATENATE('Options and results'!$C$54," ",Agroforestrysystem!$B$12),Agroforestrysystem!$B$11:$IM$74,$A35+4,FALSE)))))</f>
        <v>UK - Agriculture (BPS: from 2015) Oilseed</v>
      </c>
      <c r="C35" s="198">
        <f>IF(HLOOKUP(CONCATENATE('Options and results'!$C$54," ",Agroforestrysystem!$C$12),Agroforestrysystem!$B$11:$IM$74,$A35+4,FALSE)="T",(VLOOKUP(B35,Arablefinance!$Z$6:$AB$105,Arablefinance!$AB$2,FALSE)*E35+VLOOKUP(B35,Arablefinance!$Z$6:$AC$105,Arablefinance!$AC$2,FALSE)*F35)/VLOOKUP(B35,Arablefinance!$Z$6:$AA$105,Arablefinance!$AA$2,FALSE),0)</f>
        <v>0</v>
      </c>
      <c r="D35" s="199">
        <f>IF(B35=0,0,HLOOKUP(CONCATENATE('Options and results'!$C$54," ",Agroforestrysystem!$D$12),Agroforestrysystem!$B$11:$IM$74,$A35+4,FALSE))</f>
        <v>0.99</v>
      </c>
      <c r="E35" s="42">
        <f>IF(B35=0,0,HLOOKUP(CONCATENATE('Options and results'!$C$54," ",Agroforestrysystem!$E$12),Agroforestrysystem!$B$11:$IM$74,$A35+4,FALSE)*IF(A35&gt;='Options and results'!$J$19,'Options and results'!$J$18,1))</f>
        <v>2.92</v>
      </c>
      <c r="F35" s="42">
        <f>IF(B35=0,0,HLOOKUP(CONCATENATE('Options and results'!$C$54," ",Agroforestrysystem!$F$12),Agroforestrysystem!$B$11:$IM$74,$A35+4,FALSE)*IF(A35&gt;='Options and results'!$J$19,'Options and results'!$J$18,1))</f>
        <v>1.46</v>
      </c>
      <c r="G35" s="200">
        <f>IF(D35&lt;=0,0,IF(A35&lt;='Options and results'!$W$20,IF(C35&gt;0,VLOOKUP(B35,Arablefinance!$Z$6:$AE$105,Arablefinance!$AD$2,FALSE)*C35*D35,((VLOOKUP(B35,Arablefinance!$E$6:$H$126,2,FALSE)*E35+VLOOKUP(B35,Arablefinance!$E$6:$H$126,3,FALSE)*F35)*D35)),0)*IF(A35&gt;='Options and results'!$J$21,'Options and results'!$J$20,1))*IF(1+'Options and results'!$O$20*(A35-1)&gt;0,1+'Options and results'!$O$20*(A35-1),0)</f>
        <v>1043.8999999999999</v>
      </c>
      <c r="H35" s="10">
        <f>IF(D35&lt;=0,0,IF(C35&gt;0,VLOOKUP(B35,Arablefinance!$Z$6:$AE$105,Arablefinance!$AE$2,FALSE)*C35*D35,IF('Options and results'!$C$62&gt;0,IF(VLOOKUP(B35,Arablefinance!$E$6:$W$126,Arablefinance!$H$2,FALSE)*(1-Plot!AC35*'Options and results'!$C$62)&gt;0,VLOOKUP(B35,Arablefinance!$E$6:$W$126,Arablefinance!$H$2,FALSE)*(1-Plot!AC35*'Options and results'!$C$62),0),IF(A35&lt;='Options and results'!$W$20,(VLOOKUP(B35,Arablefinance!$E$6:$W$126,Arablefinance!$H$2,FALSE)*IF('Options and results'!$C$61="area",D35,'Options and results'!$C$61)),0)))*IF(A35&gt;='Options and results'!$J$23,'Options and results'!$J$22,1))*IF(AND(1+'Options and results'!$O$23*(A35-1)&gt;0,1+'Options and results'!$O$23*(A35-1)&gt;'Options and results'!$S$24),1+'Options and results'!$O$23*(A35-1),'Options and results'!$S$24)</f>
        <v>0</v>
      </c>
      <c r="I35" s="10">
        <f t="shared" si="10"/>
        <v>1043.8999999999999</v>
      </c>
      <c r="J35" s="10">
        <f>IF(D35&lt;=0,0,IF(A35&lt;='Options and results'!$W$20,IF(C35&gt;0,VLOOKUP(B35,Arablefinance!$Z$6:$AF$105,Arablefinance!$AF$2,FALSE)*C35*D35,VLOOKUP(B35,Arablefinance!$E$6:$X$126,Arablefinance!$R$2,FALSE)*D35),0)*IF(A35&gt;='Options and results'!$J$27,'Options and results'!$J$26,1))*IF(1+'Options and results'!$O$22*(A35-1)&gt;0,1+'Options and results'!$O$22*(A35-1),0)</f>
        <v>627.55000000000007</v>
      </c>
      <c r="K35" s="10">
        <f t="shared" si="11"/>
        <v>416.3499999999998</v>
      </c>
      <c r="L35" s="10">
        <f>IF(D35&lt;=0,0,IF(A35&lt;='Options and results'!$W$20,IF(C35&gt;0,VLOOKUP(B35,Arablefinance!$Z$6:$AG$105,Arablefinance!$AG$2,FALSE)*C35*D35,VLOOKUP(B35,Arablefinance!$E$6:$X$126,Arablefinance!$X$2,FALSE)*D35),0)*IF(A35&gt;='Options and results'!$J$27,'Options and results'!$J$26,1))*IF(1+'Options and results'!$O$22*(A35-1)&gt;0,1+'Options and results'!$O$22*(A35-1),0)</f>
        <v>440</v>
      </c>
      <c r="M35" s="10">
        <f>IF(D35&lt;=0,0,IF(A35&lt;='Options and results'!$W$20,'Options and results'!$C$27*IF(A35&gt;='Options and results'!$J$27,'Options and results'!$J$26,1),0))*IF(1+'Options and results'!$O$21*(A35-1)&gt;0,1+'Options and results'!$O$21*(A35-1),0)</f>
        <v>14.6</v>
      </c>
      <c r="N35" s="10">
        <f>IF(D35&lt;=0,0,IF(A35&lt;='Options and results'!$W$20,IF(C35&gt;0,VLOOKUP(B35,Arablefinance!$Z$6:$AH$105,Arablefinance!$AH$2,FALSE)*C35*D35,VLOOKUP(B35,Arablefinance!$E$6:$W$126,Arablefinance!$V$2,FALSE)*D35),0)*IF(A35&gt;='Options and results'!$J$25,'Options and results'!$J$24,1))</f>
        <v>7.3845219420863808</v>
      </c>
      <c r="O35" s="200">
        <f t="shared" si="1"/>
        <v>-131.46402035446135</v>
      </c>
      <c r="P35" s="201">
        <f>IF(A35&lt;='Options and results'!$W$20,SUM($O$28:O35),0)</f>
        <v>1743.3909461555381</v>
      </c>
      <c r="Q35" s="36">
        <f t="shared" si="2"/>
        <v>-132.79193975198118</v>
      </c>
      <c r="R35" s="108">
        <f t="shared" ca="1" si="3"/>
        <v>0</v>
      </c>
      <c r="S35" s="108">
        <f t="shared" si="4"/>
        <v>10</v>
      </c>
      <c r="T35" s="10" t="str">
        <f t="shared" ca="1" si="12"/>
        <v/>
      </c>
      <c r="U35" s="1" t="str">
        <f>IF(Optimisation!$B$3="Yes",IF(A35&lt;=Optimisation!$B$9,Optimisation!B35,Optimisation!$B$11),B35)</f>
        <v>UK - Agriculture (BPS: from 2015) Oilseed</v>
      </c>
      <c r="V35" s="202">
        <f t="shared" si="13"/>
        <v>2.92</v>
      </c>
      <c r="W35" s="203">
        <f t="shared" ca="1" si="5"/>
        <v>0</v>
      </c>
      <c r="X35" s="203">
        <f t="shared" si="6"/>
        <v>2</v>
      </c>
      <c r="Y35" s="10" t="str">
        <f t="shared" ca="1" si="7"/>
        <v/>
      </c>
      <c r="Z35" s="204" t="str">
        <f>IF(Optimisation!$B$3="Yes",IF(Optimisation!A35&lt;=Optimisation!$B$16,Optimisation!B35,Optimisation!$B$18),B35)</f>
        <v>UK - Agriculture (BPS: from 2015) Oilseed</v>
      </c>
      <c r="AA35" s="205" t="str">
        <f t="shared" si="8"/>
        <v>UK - Agriculture (BPS: from 2015) Oilseed</v>
      </c>
      <c r="AG35" s="10"/>
    </row>
    <row r="36" spans="1:33" x14ac:dyDescent="0.25">
      <c r="A36" s="196">
        <f t="shared" si="9"/>
        <v>9</v>
      </c>
      <c r="B36" s="197" t="str">
        <f>IF('Options and results'!$C$54="None",0,IF(AND(A36&gt;='Options and results'!$K$57,A35&lt;'Options and results'!$W$20),'Options and results'!$K$56,CONCATENATE('Options and results'!$C$60," ",(HLOOKUP(CONCATENATE('Options and results'!$C$54," ",Agroforestrysystem!$B$12),Agroforestrysystem!$B$11:$IM$74,$A36+4,FALSE)))))</f>
        <v>UK - Agriculture (BPS: from 2015) Wheat</v>
      </c>
      <c r="C36" s="198">
        <f>IF(HLOOKUP(CONCATENATE('Options and results'!$C$54," ",Agroforestrysystem!$C$12),Agroforestrysystem!$B$11:$IM$74,$A36+4,FALSE)="T",(VLOOKUP(B36,Arablefinance!$Z$6:$AB$105,Arablefinance!$AB$2,FALSE)*E36+VLOOKUP(B36,Arablefinance!$Z$6:$AC$105,Arablefinance!$AC$2,FALSE)*F36)/VLOOKUP(B36,Arablefinance!$Z$6:$AA$105,Arablefinance!$AA$2,FALSE),0)</f>
        <v>0</v>
      </c>
      <c r="D36" s="199">
        <f>IF(B36=0,0,HLOOKUP(CONCATENATE('Options and results'!$C$54," ",Agroforestrysystem!$D$12),Agroforestrysystem!$B$11:$IM$74,$A36+4,FALSE))</f>
        <v>0.99</v>
      </c>
      <c r="E36" s="42">
        <f>IF(B36=0,0,HLOOKUP(CONCATENATE('Options and results'!$C$54," ",Agroforestrysystem!$E$12),Agroforestrysystem!$B$11:$IM$74,$A36+4,FALSE)*IF(A36&gt;='Options and results'!$J$19,'Options and results'!$J$18,1))</f>
        <v>7.64</v>
      </c>
      <c r="F36" s="42">
        <f>IF(B36=0,0,HLOOKUP(CONCATENATE('Options and results'!$C$54," ",Agroforestrysystem!$F$12),Agroforestrysystem!$B$11:$IM$74,$A36+4,FALSE)*IF(A36&gt;='Options and results'!$J$19,'Options and results'!$J$18,1))</f>
        <v>3.056</v>
      </c>
      <c r="G36" s="200">
        <f>IF(D36&lt;=0,0,IF(A36&lt;='Options and results'!$W$20,IF(C36&gt;0,VLOOKUP(B36,Arablefinance!$Z$6:$AE$105,Arablefinance!$AD$2,FALSE)*C36*D36,((VLOOKUP(B36,Arablefinance!$E$6:$H$126,2,FALSE)*E36+VLOOKUP(B36,Arablefinance!$E$6:$H$126,3,FALSE)*F36)*D36)),0)*IF(A36&gt;='Options and results'!$J$21,'Options and results'!$J$20,1))*IF(1+'Options and results'!$O$20*(A36-1)&gt;0,1+'Options and results'!$O$20*(A36-1),0)</f>
        <v>1426.579</v>
      </c>
      <c r="H36" s="10">
        <f>IF(D36&lt;=0,0,IF(C36&gt;0,VLOOKUP(B36,Arablefinance!$Z$6:$AE$105,Arablefinance!$AE$2,FALSE)*C36*D36,IF('Options and results'!$C$62&gt;0,IF(VLOOKUP(B36,Arablefinance!$E$6:$W$126,Arablefinance!$H$2,FALSE)*(1-Plot!AC36*'Options and results'!$C$62)&gt;0,VLOOKUP(B36,Arablefinance!$E$6:$W$126,Arablefinance!$H$2,FALSE)*(1-Plot!AC36*'Options and results'!$C$62),0),IF(A36&lt;='Options and results'!$W$20,(VLOOKUP(B36,Arablefinance!$E$6:$W$126,Arablefinance!$H$2,FALSE)*IF('Options and results'!$C$61="area",D36,'Options and results'!$C$61)),0)))*IF(A36&gt;='Options and results'!$J$23,'Options and results'!$J$22,1))*IF(AND(1+'Options and results'!$O$23*(A36-1)&gt;0,1+'Options and results'!$O$23*(A36-1)&gt;'Options and results'!$S$24),1+'Options and results'!$O$23*(A36-1),'Options and results'!$S$24)</f>
        <v>0</v>
      </c>
      <c r="I36" s="10">
        <f t="shared" si="10"/>
        <v>1426.579</v>
      </c>
      <c r="J36" s="10">
        <f>IF(D36&lt;=0,0,IF(A36&lt;='Options and results'!$W$20,IF(C36&gt;0,VLOOKUP(B36,Arablefinance!$Z$6:$AF$105,Arablefinance!$AF$2,FALSE)*C36*D36,VLOOKUP(B36,Arablefinance!$E$6:$X$126,Arablefinance!$R$2,FALSE)*D36),0)*IF(A36&gt;='Options and results'!$J$27,'Options and results'!$J$26,1))*IF(1+'Options and results'!$O$22*(A36-1)&gt;0,1+'Options and results'!$O$22*(A36-1),0)</f>
        <v>646.59374999999989</v>
      </c>
      <c r="K36" s="10">
        <f t="shared" si="11"/>
        <v>779.98525000000006</v>
      </c>
      <c r="L36" s="10">
        <f>IF(D36&lt;=0,0,IF(A36&lt;='Options and results'!$W$20,IF(C36&gt;0,VLOOKUP(B36,Arablefinance!$Z$6:$AG$105,Arablefinance!$AG$2,FALSE)*C36*D36,VLOOKUP(B36,Arablefinance!$E$6:$X$126,Arablefinance!$X$2,FALSE)*D36),0)*IF(A36&gt;='Options and results'!$J$27,'Options and results'!$J$26,1))*IF(1+'Options and results'!$O$22*(A36-1)&gt;0,1+'Options and results'!$O$22*(A36-1),0)</f>
        <v>440</v>
      </c>
      <c r="M36" s="10">
        <f>IF(D36&lt;=0,0,IF(A36&lt;='Options and results'!$W$20,'Options and results'!$C$27*IF(A36&gt;='Options and results'!$J$27,'Options and results'!$J$26,1),0))*IF(1+'Options and results'!$O$21*(A36-1)&gt;0,1+'Options and results'!$O$21*(A36-1),0)</f>
        <v>14.6</v>
      </c>
      <c r="N36" s="10">
        <f>IF(D36&lt;=0,0,IF(A36&lt;='Options and results'!$W$20,IF(C36&gt;0,VLOOKUP(B36,Arablefinance!$Z$6:$AH$105,Arablefinance!$AH$2,FALSE)*C36*D36,VLOOKUP(B36,Arablefinance!$E$6:$W$126,Arablefinance!$V$2,FALSE)*D36),0)*IF(A36&gt;='Options and results'!$J$25,'Options and results'!$J$24,1))</f>
        <v>11.516506250880969</v>
      </c>
      <c r="O36" s="200">
        <f t="shared" si="1"/>
        <v>171.84425873713792</v>
      </c>
      <c r="P36" s="201">
        <f>IF(A36&lt;='Options and results'!$W$20,SUM($O$28:O36),0)</f>
        <v>1915.2352048926759</v>
      </c>
      <c r="Q36" s="36">
        <f t="shared" si="2"/>
        <v>173.58005933044234</v>
      </c>
      <c r="R36" s="108">
        <f t="shared" ca="1" si="3"/>
        <v>0</v>
      </c>
      <c r="S36" s="108">
        <f t="shared" si="4"/>
        <v>10</v>
      </c>
      <c r="T36" s="10" t="str">
        <f t="shared" ca="1" si="12"/>
        <v/>
      </c>
      <c r="U36" s="1" t="str">
        <f>IF(Optimisation!$B$3="Yes",IF(A36&lt;=Optimisation!$B$9,Optimisation!B36,Optimisation!$B$11),B36)</f>
        <v>UK - Agriculture (BPS: from 2015) Wheat</v>
      </c>
      <c r="V36" s="202">
        <f t="shared" si="13"/>
        <v>7.64</v>
      </c>
      <c r="W36" s="203">
        <f t="shared" ca="1" si="5"/>
        <v>0</v>
      </c>
      <c r="X36" s="203">
        <f t="shared" si="6"/>
        <v>2</v>
      </c>
      <c r="Y36" s="10" t="str">
        <f t="shared" ca="1" si="7"/>
        <v/>
      </c>
      <c r="Z36" s="204" t="str">
        <f>IF(Optimisation!$B$3="Yes",IF(Optimisation!A36&lt;=Optimisation!$B$16,Optimisation!B36,Optimisation!$B$18),B36)</f>
        <v>UK - Agriculture (BPS: from 2015) Wheat</v>
      </c>
      <c r="AA36" s="205" t="str">
        <f t="shared" si="8"/>
        <v>UK - Agriculture (BPS: from 2015) Wheat</v>
      </c>
      <c r="AG36" s="10"/>
    </row>
    <row r="37" spans="1:33" x14ac:dyDescent="0.25">
      <c r="A37" s="196">
        <f t="shared" si="9"/>
        <v>10</v>
      </c>
      <c r="B37" s="197" t="str">
        <f>IF('Options and results'!$C$54="None",0,IF(AND(A37&gt;='Options and results'!$K$57,A36&lt;'Options and results'!$W$20),'Options and results'!$K$56,CONCATENATE('Options and results'!$C$60," ",(HLOOKUP(CONCATENATE('Options and results'!$C$54," ",Agroforestrysystem!$B$12),Agroforestrysystem!$B$11:$IM$74,$A37+4,FALSE)))))</f>
        <v>UK - Agriculture (BPS: from 2015) Wheat</v>
      </c>
      <c r="C37" s="198">
        <f>IF(HLOOKUP(CONCATENATE('Options and results'!$C$54," ",Agroforestrysystem!$C$12),Agroforestrysystem!$B$11:$IM$74,$A37+4,FALSE)="T",(VLOOKUP(B37,Arablefinance!$Z$6:$AB$105,Arablefinance!$AB$2,FALSE)*E37+VLOOKUP(B37,Arablefinance!$Z$6:$AC$105,Arablefinance!$AC$2,FALSE)*F37)/VLOOKUP(B37,Arablefinance!$Z$6:$AA$105,Arablefinance!$AA$2,FALSE),0)</f>
        <v>0</v>
      </c>
      <c r="D37" s="199">
        <f>IF(B37=0,0,HLOOKUP(CONCATENATE('Options and results'!$C$54," ",Agroforestrysystem!$D$12),Agroforestrysystem!$B$11:$IM$74,$A37+4,FALSE))</f>
        <v>0.99</v>
      </c>
      <c r="E37" s="42">
        <f>IF(B37=0,0,HLOOKUP(CONCATENATE('Options and results'!$C$54," ",Agroforestrysystem!$E$12),Agroforestrysystem!$B$11:$IM$74,$A37+4,FALSE)*IF(A37&gt;='Options and results'!$J$19,'Options and results'!$J$18,1))</f>
        <v>6.56</v>
      </c>
      <c r="F37" s="42">
        <f>IF(B37=0,0,HLOOKUP(CONCATENATE('Options and results'!$C$54," ",Agroforestrysystem!$F$12),Agroforestrysystem!$B$11:$IM$74,$A37+4,FALSE)*IF(A37&gt;='Options and results'!$J$19,'Options and results'!$J$18,1))</f>
        <v>2.6240000000000001</v>
      </c>
      <c r="G37" s="200">
        <f>IF(D37&lt;=0,0,IF(A37&lt;='Options and results'!$W$20,IF(C37&gt;0,VLOOKUP(B37,Arablefinance!$Z$6:$AE$105,Arablefinance!$AD$2,FALSE)*C37*D37,((VLOOKUP(B37,Arablefinance!$E$6:$H$126,2,FALSE)*E37+VLOOKUP(B37,Arablefinance!$E$6:$H$126,3,FALSE)*F37)*D37)),0)*IF(A37&gt;='Options and results'!$J$21,'Options and results'!$J$20,1))*IF(1+'Options and results'!$O$20*(A37-1)&gt;0,1+'Options and results'!$O$20*(A37-1),0)</f>
        <v>1224.9160000000002</v>
      </c>
      <c r="H37" s="10">
        <f>IF(D37&lt;=0,0,IF(C37&gt;0,VLOOKUP(B37,Arablefinance!$Z$6:$AE$105,Arablefinance!$AE$2,FALSE)*C37*D37,IF('Options and results'!$C$62&gt;0,IF(VLOOKUP(B37,Arablefinance!$E$6:$W$126,Arablefinance!$H$2,FALSE)*(1-Plot!AC37*'Options and results'!$C$62)&gt;0,VLOOKUP(B37,Arablefinance!$E$6:$W$126,Arablefinance!$H$2,FALSE)*(1-Plot!AC37*'Options and results'!$C$62),0),IF(A37&lt;='Options and results'!$W$20,(VLOOKUP(B37,Arablefinance!$E$6:$W$126,Arablefinance!$H$2,FALSE)*IF('Options and results'!$C$61="area",D37,'Options and results'!$C$61)),0)))*IF(A37&gt;='Options and results'!$J$23,'Options and results'!$J$22,1))*IF(AND(1+'Options and results'!$O$23*(A37-1)&gt;0,1+'Options and results'!$O$23*(A37-1)&gt;'Options and results'!$S$24),1+'Options and results'!$O$23*(A37-1),'Options and results'!$S$24)</f>
        <v>0</v>
      </c>
      <c r="I37" s="10">
        <f t="shared" si="10"/>
        <v>1224.9160000000002</v>
      </c>
      <c r="J37" s="10">
        <f>IF(D37&lt;=0,0,IF(A37&lt;='Options and results'!$W$20,IF(C37&gt;0,VLOOKUP(B37,Arablefinance!$Z$6:$AF$105,Arablefinance!$AF$2,FALSE)*C37*D37,VLOOKUP(B37,Arablefinance!$E$6:$X$126,Arablefinance!$R$2,FALSE)*D37),0)*IF(A37&gt;='Options and results'!$J$27,'Options and results'!$J$26,1))*IF(1+'Options and results'!$O$22*(A37-1)&gt;0,1+'Options and results'!$O$22*(A37-1),0)</f>
        <v>646.59374999999989</v>
      </c>
      <c r="K37" s="10">
        <f t="shared" si="11"/>
        <v>578.32225000000028</v>
      </c>
      <c r="L37" s="10">
        <f>IF(D37&lt;=0,0,IF(A37&lt;='Options and results'!$W$20,IF(C37&gt;0,VLOOKUP(B37,Arablefinance!$Z$6:$AG$105,Arablefinance!$AG$2,FALSE)*C37*D37,VLOOKUP(B37,Arablefinance!$E$6:$X$126,Arablefinance!$X$2,FALSE)*D37),0)*IF(A37&gt;='Options and results'!$J$27,'Options and results'!$J$26,1))*IF(1+'Options and results'!$O$22*(A37-1)&gt;0,1+'Options and results'!$O$22*(A37-1),0)</f>
        <v>440</v>
      </c>
      <c r="M37" s="10">
        <f>IF(D37&lt;=0,0,IF(A37&lt;='Options and results'!$W$20,'Options and results'!$C$27*IF(A37&gt;='Options and results'!$J$27,'Options and results'!$J$26,1),0))*IF(1+'Options and results'!$O$21*(A37-1)&gt;0,1+'Options and results'!$O$21*(A37-1),0)</f>
        <v>14.6</v>
      </c>
      <c r="N37" s="10">
        <f>IF(D37&lt;=0,0,IF(A37&lt;='Options and results'!$W$20,IF(C37&gt;0,VLOOKUP(B37,Arablefinance!$Z$6:$AH$105,Arablefinance!$AH$2,FALSE)*C37*D37,VLOOKUP(B37,Arablefinance!$E$6:$W$126,Arablefinance!$V$2,FALSE)*D37),0)*IF(A37&gt;='Options and results'!$J$25,'Options and results'!$J$24,1))</f>
        <v>11.516506250880969</v>
      </c>
      <c r="O37" s="200">
        <f t="shared" si="1"/>
        <v>-29.818741262861863</v>
      </c>
      <c r="P37" s="201">
        <f>IF(A37&lt;='Options and results'!$W$20,SUM($O$28:O37),0)</f>
        <v>1885.4164636298142</v>
      </c>
      <c r="Q37" s="36">
        <f t="shared" si="2"/>
        <v>-30.119940669557437</v>
      </c>
      <c r="R37" s="108">
        <f t="shared" ca="1" si="3"/>
        <v>0</v>
      </c>
      <c r="S37" s="108">
        <f t="shared" si="4"/>
        <v>10</v>
      </c>
      <c r="T37" s="10" t="str">
        <f t="shared" ca="1" si="12"/>
        <v/>
      </c>
      <c r="U37" s="1" t="str">
        <f>IF(Optimisation!$B$3="Yes",IF(A37&lt;=Optimisation!$B$9,Optimisation!B37,Optimisation!$B$11),B37)</f>
        <v>UK - Agriculture (BPS: from 2015) Wheat</v>
      </c>
      <c r="V37" s="202">
        <f t="shared" si="13"/>
        <v>6.56</v>
      </c>
      <c r="W37" s="203">
        <f t="shared" ca="1" si="5"/>
        <v>0</v>
      </c>
      <c r="X37" s="203">
        <f t="shared" si="6"/>
        <v>2</v>
      </c>
      <c r="Y37" s="10" t="str">
        <f t="shared" ca="1" si="7"/>
        <v/>
      </c>
      <c r="Z37" s="204" t="str">
        <f>IF(Optimisation!$B$3="Yes",IF(Optimisation!A37&lt;=Optimisation!$B$16,Optimisation!B37,Optimisation!$B$18),B37)</f>
        <v>UK - Agriculture (BPS: from 2015) Wheat</v>
      </c>
      <c r="AA37" s="205" t="str">
        <f t="shared" si="8"/>
        <v>UK - Agriculture (BPS: from 2015) Wheat</v>
      </c>
      <c r="AG37" s="10"/>
    </row>
    <row r="38" spans="1:33" x14ac:dyDescent="0.25">
      <c r="A38" s="196">
        <f t="shared" si="9"/>
        <v>11</v>
      </c>
      <c r="B38" s="197" t="str">
        <f>IF('Options and results'!$C$54="None",0,IF(AND(A38&gt;='Options and results'!$K$57,A37&lt;'Options and results'!$W$20),'Options and results'!$K$56,CONCATENATE('Options and results'!$C$60," ",(HLOOKUP(CONCATENATE('Options and results'!$C$54," ",Agroforestrysystem!$B$12),Agroforestrysystem!$B$11:$IM$74,$A38+4,FALSE)))))</f>
        <v>UK - Agriculture (BPS: from 2015) Barley</v>
      </c>
      <c r="C38" s="198">
        <f>IF(HLOOKUP(CONCATENATE('Options and results'!$C$54," ",Agroforestrysystem!$C$12),Agroforestrysystem!$B$11:$IM$74,$A38+4,FALSE)="T",(VLOOKUP(B38,Arablefinance!$Z$6:$AB$105,Arablefinance!$AB$2,FALSE)*E38+VLOOKUP(B38,Arablefinance!$Z$6:$AC$105,Arablefinance!$AC$2,FALSE)*F38)/VLOOKUP(B38,Arablefinance!$Z$6:$AA$105,Arablefinance!$AA$2,FALSE),0)</f>
        <v>0</v>
      </c>
      <c r="D38" s="199">
        <f>IF(B38=0,0,HLOOKUP(CONCATENATE('Options and results'!$C$54," ",Agroforestrysystem!$D$12),Agroforestrysystem!$B$11:$IM$74,$A38+4,FALSE))</f>
        <v>0.99</v>
      </c>
      <c r="E38" s="42">
        <f>IF(B38=0,0,HLOOKUP(CONCATENATE('Options and results'!$C$54," ",Agroforestrysystem!$E$12),Agroforestrysystem!$B$11:$IM$74,$A38+4,FALSE)*IF(A38&gt;='Options and results'!$J$19,'Options and results'!$J$18,1))</f>
        <v>5.13</v>
      </c>
      <c r="F38" s="42">
        <f>IF(B38=0,0,HLOOKUP(CONCATENATE('Options and results'!$C$54," ",Agroforestrysystem!$F$12),Agroforestrysystem!$B$11:$IM$74,$A38+4,FALSE)*IF(A38&gt;='Options and results'!$J$19,'Options and results'!$J$18,1))</f>
        <v>3.0779999999999998</v>
      </c>
      <c r="G38" s="200">
        <f>IF(D38&lt;=0,0,IF(A38&lt;='Options and results'!$W$20,IF(C38&gt;0,VLOOKUP(B38,Arablefinance!$Z$6:$AE$105,Arablefinance!$AD$2,FALSE)*C38*D38,((VLOOKUP(B38,Arablefinance!$E$6:$H$126,2,FALSE)*E38+VLOOKUP(B38,Arablefinance!$E$6:$H$126,3,FALSE)*F38)*D38)),0)*IF(A38&gt;='Options and results'!$J$21,'Options and results'!$J$20,1))*IF(1+'Options and results'!$O$20*(A38-1)&gt;0,1+'Options and results'!$O$20*(A38-1),0)</f>
        <v>978.77834999999993</v>
      </c>
      <c r="H38" s="10">
        <f>IF(D38&lt;=0,0,IF(C38&gt;0,VLOOKUP(B38,Arablefinance!$Z$6:$AE$105,Arablefinance!$AE$2,FALSE)*C38*D38,IF('Options and results'!$C$62&gt;0,IF(VLOOKUP(B38,Arablefinance!$E$6:$W$126,Arablefinance!$H$2,FALSE)*(1-Plot!AC38*'Options and results'!$C$62)&gt;0,VLOOKUP(B38,Arablefinance!$E$6:$W$126,Arablefinance!$H$2,FALSE)*(1-Plot!AC38*'Options and results'!$C$62),0),IF(A38&lt;='Options and results'!$W$20,(VLOOKUP(B38,Arablefinance!$E$6:$W$126,Arablefinance!$H$2,FALSE)*IF('Options and results'!$C$61="area",D38,'Options and results'!$C$61)),0)))*IF(A38&gt;='Options and results'!$J$23,'Options and results'!$J$22,1))*IF(AND(1+'Options and results'!$O$23*(A38-1)&gt;0,1+'Options and results'!$O$23*(A38-1)&gt;'Options and results'!$S$24),1+'Options and results'!$O$23*(A38-1),'Options and results'!$S$24)</f>
        <v>0</v>
      </c>
      <c r="I38" s="10">
        <f t="shared" si="10"/>
        <v>978.77834999999993</v>
      </c>
      <c r="J38" s="10">
        <f>IF(D38&lt;=0,0,IF(A38&lt;='Options and results'!$W$20,IF(C38&gt;0,VLOOKUP(B38,Arablefinance!$Z$6:$AF$105,Arablefinance!$AF$2,FALSE)*C38*D38,VLOOKUP(B38,Arablefinance!$E$6:$X$126,Arablefinance!$R$2,FALSE)*D38),0)*IF(A38&gt;='Options and results'!$J$27,'Options and results'!$J$26,1))*IF(1+'Options and results'!$O$22*(A38-1)&gt;0,1+'Options and results'!$O$22*(A38-1),0)</f>
        <v>529.85624999999993</v>
      </c>
      <c r="K38" s="10">
        <f t="shared" si="11"/>
        <v>448.9221</v>
      </c>
      <c r="L38" s="10">
        <f>IF(D38&lt;=0,0,IF(A38&lt;='Options and results'!$W$20,IF(C38&gt;0,VLOOKUP(B38,Arablefinance!$Z$6:$AG$105,Arablefinance!$AG$2,FALSE)*C38*D38,VLOOKUP(B38,Arablefinance!$E$6:$X$126,Arablefinance!$X$2,FALSE)*D38),0)*IF(A38&gt;='Options and results'!$J$27,'Options and results'!$J$26,1))*IF(1+'Options and results'!$O$22*(A38-1)&gt;0,1+'Options and results'!$O$22*(A38-1),0)</f>
        <v>440</v>
      </c>
      <c r="M38" s="10">
        <f>IF(D38&lt;=0,0,IF(A38&lt;='Options and results'!$W$20,'Options and results'!$C$27*IF(A38&gt;='Options and results'!$J$27,'Options and results'!$J$26,1),0))*IF(1+'Options and results'!$O$21*(A38-1)&gt;0,1+'Options and results'!$O$21*(A38-1),0)</f>
        <v>14.6</v>
      </c>
      <c r="N38" s="10">
        <f>IF(D38&lt;=0,0,IF(A38&lt;='Options and results'!$W$20,IF(C38&gt;0,VLOOKUP(B38,Arablefinance!$Z$6:$AH$105,Arablefinance!$AH$2,FALSE)*C38*D38,VLOOKUP(B38,Arablefinance!$E$6:$W$126,Arablefinance!$V$2,FALSE)*D38),0)*IF(A38&gt;='Options and results'!$J$25,'Options and results'!$J$24,1))</f>
        <v>10.725352674112727</v>
      </c>
      <c r="O38" s="200">
        <f t="shared" si="1"/>
        <v>-147.66804904204582</v>
      </c>
      <c r="P38" s="201">
        <f>IF(A38&lt;='Options and results'!$W$20,SUM($O$28:O38),0)</f>
        <v>1737.7484145877684</v>
      </c>
      <c r="Q38" s="36">
        <f t="shared" si="2"/>
        <v>-149.15964549701599</v>
      </c>
      <c r="R38" s="108">
        <f t="shared" ca="1" si="3"/>
        <v>0</v>
      </c>
      <c r="S38" s="108">
        <f t="shared" si="4"/>
        <v>10</v>
      </c>
      <c r="T38" s="10" t="str">
        <f t="shared" ca="1" si="12"/>
        <v/>
      </c>
      <c r="U38" s="1" t="str">
        <f>IF(Optimisation!$B$3="Yes",IF(A38&lt;=Optimisation!$B$9,Optimisation!B38,Optimisation!$B$11),B38)</f>
        <v>UK - Agriculture (BPS: from 2015) Barley</v>
      </c>
      <c r="V38" s="202">
        <f t="shared" si="13"/>
        <v>5.13</v>
      </c>
      <c r="W38" s="203">
        <f t="shared" ca="1" si="5"/>
        <v>0</v>
      </c>
      <c r="X38" s="203">
        <f t="shared" si="6"/>
        <v>2</v>
      </c>
      <c r="Y38" s="10" t="str">
        <f t="shared" ca="1" si="7"/>
        <v/>
      </c>
      <c r="Z38" s="204" t="str">
        <f>IF(Optimisation!$B$3="Yes",IF(Optimisation!A38&lt;=Optimisation!$B$16,Optimisation!B38,Optimisation!$B$18),B38)</f>
        <v>UK - Agriculture (BPS: from 2015) Barley</v>
      </c>
      <c r="AA38" s="205" t="str">
        <f t="shared" si="8"/>
        <v>UK - Agriculture (BPS: from 2015) Barley</v>
      </c>
      <c r="AG38" s="10"/>
    </row>
    <row r="39" spans="1:33" x14ac:dyDescent="0.25">
      <c r="A39" s="196">
        <f t="shared" si="9"/>
        <v>12</v>
      </c>
      <c r="B39" s="197" t="str">
        <f>IF('Options and results'!$C$54="None",0,IF(AND(A39&gt;='Options and results'!$K$57,A38&lt;'Options and results'!$W$20),'Options and results'!$K$56,CONCATENATE('Options and results'!$C$60," ",(HLOOKUP(CONCATENATE('Options and results'!$C$54," ",Agroforestrysystem!$B$12),Agroforestrysystem!$B$11:$IM$74,$A39+4,FALSE)))))</f>
        <v>UK - Agriculture (BPS: from 2015) Oilseed</v>
      </c>
      <c r="C39" s="198">
        <f>IF(HLOOKUP(CONCATENATE('Options and results'!$C$54," ",Agroforestrysystem!$C$12),Agroforestrysystem!$B$11:$IM$74,$A39+4,FALSE)="T",(VLOOKUP(B39,Arablefinance!$Z$6:$AB$105,Arablefinance!$AB$2,FALSE)*E39+VLOOKUP(B39,Arablefinance!$Z$6:$AC$105,Arablefinance!$AC$2,FALSE)*F39)/VLOOKUP(B39,Arablefinance!$Z$6:$AA$105,Arablefinance!$AA$2,FALSE),0)</f>
        <v>0</v>
      </c>
      <c r="D39" s="199">
        <f>IF(B39=0,0,HLOOKUP(CONCATENATE('Options and results'!$C$54," ",Agroforestrysystem!$D$12),Agroforestrysystem!$B$11:$IM$74,$A39+4,FALSE))</f>
        <v>0.99</v>
      </c>
      <c r="E39" s="42">
        <f>IF(B39=0,0,HLOOKUP(CONCATENATE('Options and results'!$C$54," ",Agroforestrysystem!$E$12),Agroforestrysystem!$B$11:$IM$74,$A39+4,FALSE)*IF(A39&gt;='Options and results'!$J$19,'Options and results'!$J$18,1))</f>
        <v>3.22</v>
      </c>
      <c r="F39" s="42">
        <f>IF(B39=0,0,HLOOKUP(CONCATENATE('Options and results'!$C$54," ",Agroforestrysystem!$F$12),Agroforestrysystem!$B$11:$IM$74,$A39+4,FALSE)*IF(A39&gt;='Options and results'!$J$19,'Options and results'!$J$18,1))</f>
        <v>1.61</v>
      </c>
      <c r="G39" s="200">
        <f>IF(D39&lt;=0,0,IF(A39&lt;='Options and results'!$W$20,IF(C39&gt;0,VLOOKUP(B39,Arablefinance!$Z$6:$AE$105,Arablefinance!$AD$2,FALSE)*C39*D39,((VLOOKUP(B39,Arablefinance!$E$6:$H$126,2,FALSE)*E39+VLOOKUP(B39,Arablefinance!$E$6:$H$126,3,FALSE)*F39)*D39)),0)*IF(A39&gt;='Options and results'!$J$21,'Options and results'!$J$20,1))*IF(1+'Options and results'!$O$20*(A39-1)&gt;0,1+'Options and results'!$O$20*(A39-1),0)</f>
        <v>1151.1500000000001</v>
      </c>
      <c r="H39" s="10">
        <f>IF(D39&lt;=0,0,IF(C39&gt;0,VLOOKUP(B39,Arablefinance!$Z$6:$AE$105,Arablefinance!$AE$2,FALSE)*C39*D39,IF('Options and results'!$C$62&gt;0,IF(VLOOKUP(B39,Arablefinance!$E$6:$W$126,Arablefinance!$H$2,FALSE)*(1-Plot!AC39*'Options and results'!$C$62)&gt;0,VLOOKUP(B39,Arablefinance!$E$6:$W$126,Arablefinance!$H$2,FALSE)*(1-Plot!AC39*'Options and results'!$C$62),0),IF(A39&lt;='Options and results'!$W$20,(VLOOKUP(B39,Arablefinance!$E$6:$W$126,Arablefinance!$H$2,FALSE)*IF('Options and results'!$C$61="area",D39,'Options and results'!$C$61)),0)))*IF(A39&gt;='Options and results'!$J$23,'Options and results'!$J$22,1))*IF(AND(1+'Options and results'!$O$23*(A39-1)&gt;0,1+'Options and results'!$O$23*(A39-1)&gt;'Options and results'!$S$24),1+'Options and results'!$O$23*(A39-1),'Options and results'!$S$24)</f>
        <v>0</v>
      </c>
      <c r="I39" s="10">
        <f t="shared" si="10"/>
        <v>1151.1500000000001</v>
      </c>
      <c r="J39" s="10">
        <f>IF(D39&lt;=0,0,IF(A39&lt;='Options and results'!$W$20,IF(C39&gt;0,VLOOKUP(B39,Arablefinance!$Z$6:$AF$105,Arablefinance!$AF$2,FALSE)*C39*D39,VLOOKUP(B39,Arablefinance!$E$6:$X$126,Arablefinance!$R$2,FALSE)*D39),0)*IF(A39&gt;='Options and results'!$J$27,'Options and results'!$J$26,1))*IF(1+'Options and results'!$O$22*(A39-1)&gt;0,1+'Options and results'!$O$22*(A39-1),0)</f>
        <v>627.55000000000007</v>
      </c>
      <c r="K39" s="10">
        <f t="shared" si="11"/>
        <v>523.6</v>
      </c>
      <c r="L39" s="10">
        <f>IF(D39&lt;=0,0,IF(A39&lt;='Options and results'!$W$20,IF(C39&gt;0,VLOOKUP(B39,Arablefinance!$Z$6:$AG$105,Arablefinance!$AG$2,FALSE)*C39*D39,VLOOKUP(B39,Arablefinance!$E$6:$X$126,Arablefinance!$X$2,FALSE)*D39),0)*IF(A39&gt;='Options and results'!$J$27,'Options and results'!$J$26,1))*IF(1+'Options and results'!$O$22*(A39-1)&gt;0,1+'Options and results'!$O$22*(A39-1),0)</f>
        <v>440</v>
      </c>
      <c r="M39" s="10">
        <f>IF(D39&lt;=0,0,IF(A39&lt;='Options and results'!$W$20,'Options and results'!$C$27*IF(A39&gt;='Options and results'!$J$27,'Options and results'!$J$26,1),0))*IF(1+'Options and results'!$O$21*(A39-1)&gt;0,1+'Options and results'!$O$21*(A39-1),0)</f>
        <v>14.6</v>
      </c>
      <c r="N39" s="10">
        <f>IF(D39&lt;=0,0,IF(A39&lt;='Options and results'!$W$20,IF(C39&gt;0,VLOOKUP(B39,Arablefinance!$Z$6:$AH$105,Arablefinance!$AH$2,FALSE)*C39*D39,VLOOKUP(B39,Arablefinance!$E$6:$W$126,Arablefinance!$V$2,FALSE)*D39),0)*IF(A39&gt;='Options and results'!$J$25,'Options and results'!$J$24,1))</f>
        <v>7.3845219420863808</v>
      </c>
      <c r="O39" s="200">
        <f t="shared" si="1"/>
        <v>-24.214020354461141</v>
      </c>
      <c r="P39" s="201">
        <f>IF(A39&lt;='Options and results'!$W$20,SUM($O$28:O39),0)</f>
        <v>1713.5343942333072</v>
      </c>
      <c r="Q39" s="36">
        <f t="shared" si="2"/>
        <v>-24.458606418647616</v>
      </c>
      <c r="R39" s="108">
        <f t="shared" ca="1" si="3"/>
        <v>0</v>
      </c>
      <c r="S39" s="108">
        <f t="shared" si="4"/>
        <v>10</v>
      </c>
      <c r="T39" s="10" t="str">
        <f t="shared" ca="1" si="12"/>
        <v/>
      </c>
      <c r="U39" s="1" t="str">
        <f>IF(Optimisation!$B$3="Yes",IF(A39&lt;=Optimisation!$B$9,Optimisation!B39,Optimisation!$B$11),B39)</f>
        <v>UK - Agriculture (BPS: from 2015) Oilseed</v>
      </c>
      <c r="V39" s="202">
        <f t="shared" si="13"/>
        <v>3.22</v>
      </c>
      <c r="W39" s="203">
        <f t="shared" ca="1" si="5"/>
        <v>0</v>
      </c>
      <c r="X39" s="203">
        <f t="shared" si="6"/>
        <v>2</v>
      </c>
      <c r="Y39" s="10" t="str">
        <f t="shared" ca="1" si="7"/>
        <v/>
      </c>
      <c r="Z39" s="204" t="str">
        <f>IF(Optimisation!$B$3="Yes",IF(Optimisation!A39&lt;=Optimisation!$B$16,Optimisation!B39,Optimisation!$B$18),B39)</f>
        <v>UK - Agriculture (BPS: from 2015) Oilseed</v>
      </c>
      <c r="AA39" s="205" t="str">
        <f t="shared" si="8"/>
        <v>UK - Agriculture (BPS: from 2015) Oilseed</v>
      </c>
      <c r="AG39" s="10"/>
    </row>
    <row r="40" spans="1:33" x14ac:dyDescent="0.25">
      <c r="A40" s="196">
        <f t="shared" si="9"/>
        <v>13</v>
      </c>
      <c r="B40" s="197" t="str">
        <f>IF('Options and results'!$C$54="None",0,IF(AND(A40&gt;='Options and results'!$K$57,A39&lt;'Options and results'!$W$20),'Options and results'!$K$56,CONCATENATE('Options and results'!$C$60," ",(HLOOKUP(CONCATENATE('Options and results'!$C$54," ",Agroforestrysystem!$B$12),Agroforestrysystem!$B$11:$IM$74,$A40+4,FALSE)))))</f>
        <v>UK - Agriculture (BPS: from 2015) Wheat</v>
      </c>
      <c r="C40" s="198">
        <f>IF(HLOOKUP(CONCATENATE('Options and results'!$C$54," ",Agroforestrysystem!$C$12),Agroforestrysystem!$B$11:$IM$74,$A40+4,FALSE)="T",(VLOOKUP(B40,Arablefinance!$Z$6:$AB$105,Arablefinance!$AB$2,FALSE)*E40+VLOOKUP(B40,Arablefinance!$Z$6:$AC$105,Arablefinance!$AC$2,FALSE)*F40)/VLOOKUP(B40,Arablefinance!$Z$6:$AA$105,Arablefinance!$AA$2,FALSE),0)</f>
        <v>0</v>
      </c>
      <c r="D40" s="199">
        <f>IF(B40=0,0,HLOOKUP(CONCATENATE('Options and results'!$C$54," ",Agroforestrysystem!$D$12),Agroforestrysystem!$B$11:$IM$74,$A40+4,FALSE))</f>
        <v>0.99</v>
      </c>
      <c r="E40" s="42">
        <f>IF(B40=0,0,HLOOKUP(CONCATENATE('Options and results'!$C$54," ",Agroforestrysystem!$E$12),Agroforestrysystem!$B$11:$IM$74,$A40+4,FALSE)*IF(A40&gt;='Options and results'!$J$19,'Options and results'!$J$18,1))</f>
        <v>5.99</v>
      </c>
      <c r="F40" s="42">
        <f>IF(B40=0,0,HLOOKUP(CONCATENATE('Options and results'!$C$54," ",Agroforestrysystem!$F$12),Agroforestrysystem!$B$11:$IM$74,$A40+4,FALSE)*IF(A40&gt;='Options and results'!$J$19,'Options and results'!$J$18,1))</f>
        <v>2.3960000000000004</v>
      </c>
      <c r="G40" s="200">
        <f>IF(D40&lt;=0,0,IF(A40&lt;='Options and results'!$W$20,IF(C40&gt;0,VLOOKUP(B40,Arablefinance!$Z$6:$AE$105,Arablefinance!$AD$2,FALSE)*C40*D40,((VLOOKUP(B40,Arablefinance!$E$6:$H$126,2,FALSE)*E40+VLOOKUP(B40,Arablefinance!$E$6:$H$126,3,FALSE)*F40)*D40)),0)*IF(A40&gt;='Options and results'!$J$21,'Options and results'!$J$20,1))*IF(1+'Options and results'!$O$20*(A40-1)&gt;0,1+'Options and results'!$O$20*(A40-1),0)</f>
        <v>1118.4827499999999</v>
      </c>
      <c r="H40" s="10">
        <f>IF(D40&lt;=0,0,IF(C40&gt;0,VLOOKUP(B40,Arablefinance!$Z$6:$AE$105,Arablefinance!$AE$2,FALSE)*C40*D40,IF('Options and results'!$C$62&gt;0,IF(VLOOKUP(B40,Arablefinance!$E$6:$W$126,Arablefinance!$H$2,FALSE)*(1-Plot!AC40*'Options and results'!$C$62)&gt;0,VLOOKUP(B40,Arablefinance!$E$6:$W$126,Arablefinance!$H$2,FALSE)*(1-Plot!AC40*'Options and results'!$C$62),0),IF(A40&lt;='Options and results'!$W$20,(VLOOKUP(B40,Arablefinance!$E$6:$W$126,Arablefinance!$H$2,FALSE)*IF('Options and results'!$C$61="area",D40,'Options and results'!$C$61)),0)))*IF(A40&gt;='Options and results'!$J$23,'Options and results'!$J$22,1))*IF(AND(1+'Options and results'!$O$23*(A40-1)&gt;0,1+'Options and results'!$O$23*(A40-1)&gt;'Options and results'!$S$24),1+'Options and results'!$O$23*(A40-1),'Options and results'!$S$24)</f>
        <v>0</v>
      </c>
      <c r="I40" s="10">
        <f t="shared" si="10"/>
        <v>1118.4827499999999</v>
      </c>
      <c r="J40" s="10">
        <f>IF(D40&lt;=0,0,IF(A40&lt;='Options and results'!$W$20,IF(C40&gt;0,VLOOKUP(B40,Arablefinance!$Z$6:$AF$105,Arablefinance!$AF$2,FALSE)*C40*D40,VLOOKUP(B40,Arablefinance!$E$6:$X$126,Arablefinance!$R$2,FALSE)*D40),0)*IF(A40&gt;='Options and results'!$J$27,'Options and results'!$J$26,1))*IF(1+'Options and results'!$O$22*(A40-1)&gt;0,1+'Options and results'!$O$22*(A40-1),0)</f>
        <v>646.59374999999989</v>
      </c>
      <c r="K40" s="10">
        <f t="shared" si="11"/>
        <v>471.88900000000001</v>
      </c>
      <c r="L40" s="10">
        <f>IF(D40&lt;=0,0,IF(A40&lt;='Options and results'!$W$20,IF(C40&gt;0,VLOOKUP(B40,Arablefinance!$Z$6:$AG$105,Arablefinance!$AG$2,FALSE)*C40*D40,VLOOKUP(B40,Arablefinance!$E$6:$X$126,Arablefinance!$X$2,FALSE)*D40),0)*IF(A40&gt;='Options and results'!$J$27,'Options and results'!$J$26,1))*IF(1+'Options and results'!$O$22*(A40-1)&gt;0,1+'Options and results'!$O$22*(A40-1),0)</f>
        <v>440</v>
      </c>
      <c r="M40" s="10">
        <f>IF(D40&lt;=0,0,IF(A40&lt;='Options and results'!$W$20,'Options and results'!$C$27*IF(A40&gt;='Options and results'!$J$27,'Options and results'!$J$26,1),0))*IF(1+'Options and results'!$O$21*(A40-1)&gt;0,1+'Options and results'!$O$21*(A40-1),0)</f>
        <v>14.6</v>
      </c>
      <c r="N40" s="10">
        <f>IF(D40&lt;=0,0,IF(A40&lt;='Options and results'!$W$20,IF(C40&gt;0,VLOOKUP(B40,Arablefinance!$Z$6:$AH$105,Arablefinance!$AH$2,FALSE)*C40*D40,VLOOKUP(B40,Arablefinance!$E$6:$W$126,Arablefinance!$V$2,FALSE)*D40),0)*IF(A40&gt;='Options and results'!$J$25,'Options and results'!$J$24,1))</f>
        <v>11.516506250880969</v>
      </c>
      <c r="O40" s="200">
        <f t="shared" si="1"/>
        <v>-136.25199126286213</v>
      </c>
      <c r="P40" s="201">
        <f>IF(A40&lt;='Options and results'!$W$20,SUM($O$28:O40),0)</f>
        <v>1577.2824029704452</v>
      </c>
      <c r="Q40" s="36">
        <f t="shared" si="2"/>
        <v>-137.62827400289103</v>
      </c>
      <c r="R40" s="108">
        <f t="shared" ca="1" si="3"/>
        <v>0</v>
      </c>
      <c r="S40" s="108">
        <f t="shared" si="4"/>
        <v>10</v>
      </c>
      <c r="T40" s="10" t="str">
        <f t="shared" ca="1" si="12"/>
        <v/>
      </c>
      <c r="U40" s="1" t="str">
        <f>IF(Optimisation!$B$3="Yes",IF(A40&lt;=Optimisation!$B$9,Optimisation!B40,Optimisation!$B$11),B40)</f>
        <v>UK - Agriculture (BPS: from 2015) Wheat</v>
      </c>
      <c r="V40" s="202">
        <f t="shared" si="13"/>
        <v>5.99</v>
      </c>
      <c r="W40" s="203">
        <f t="shared" ca="1" si="5"/>
        <v>0</v>
      </c>
      <c r="X40" s="203">
        <f t="shared" si="6"/>
        <v>2</v>
      </c>
      <c r="Y40" s="10" t="str">
        <f t="shared" ca="1" si="7"/>
        <v/>
      </c>
      <c r="Z40" s="204" t="str">
        <f>IF(Optimisation!$B$3="Yes",IF(Optimisation!A40&lt;=Optimisation!$B$16,Optimisation!B40,Optimisation!$B$18),B40)</f>
        <v>UK - Agriculture (BPS: from 2015) Wheat</v>
      </c>
      <c r="AA40" s="205" t="str">
        <f t="shared" si="8"/>
        <v>UK - Agriculture (BPS: from 2015) Wheat</v>
      </c>
      <c r="AG40" s="10"/>
    </row>
    <row r="41" spans="1:33" x14ac:dyDescent="0.25">
      <c r="A41" s="196">
        <f t="shared" si="9"/>
        <v>14</v>
      </c>
      <c r="B41" s="197" t="str">
        <f>IF('Options and results'!$C$54="None",0,IF(AND(A41&gt;='Options and results'!$K$57,A40&lt;'Options and results'!$W$20),'Options and results'!$K$56,CONCATENATE('Options and results'!$C$60," ",(HLOOKUP(CONCATENATE('Options and results'!$C$54," ",Agroforestrysystem!$B$12),Agroforestrysystem!$B$11:$IM$74,$A41+4,FALSE)))))</f>
        <v>UK - Agriculture (BPS: from 2015) Wheat</v>
      </c>
      <c r="C41" s="198">
        <f>IF(HLOOKUP(CONCATENATE('Options and results'!$C$54," ",Agroforestrysystem!$C$12),Agroforestrysystem!$B$11:$IM$74,$A41+4,FALSE)="T",(VLOOKUP(B41,Arablefinance!$Z$6:$AB$105,Arablefinance!$AB$2,FALSE)*E41+VLOOKUP(B41,Arablefinance!$Z$6:$AC$105,Arablefinance!$AC$2,FALSE)*F41)/VLOOKUP(B41,Arablefinance!$Z$6:$AA$105,Arablefinance!$AA$2,FALSE),0)</f>
        <v>0</v>
      </c>
      <c r="D41" s="199">
        <f>IF(B41=0,0,HLOOKUP(CONCATENATE('Options and results'!$C$54," ",Agroforestrysystem!$D$12),Agroforestrysystem!$B$11:$IM$74,$A41+4,FALSE))</f>
        <v>0.99</v>
      </c>
      <c r="E41" s="42">
        <f>IF(B41=0,0,HLOOKUP(CONCATENATE('Options and results'!$C$54," ",Agroforestrysystem!$E$12),Agroforestrysystem!$B$11:$IM$74,$A41+4,FALSE)*IF(A41&gt;='Options and results'!$J$19,'Options and results'!$J$18,1))</f>
        <v>6.17</v>
      </c>
      <c r="F41" s="42">
        <f>IF(B41=0,0,HLOOKUP(CONCATENATE('Options and results'!$C$54," ",Agroforestrysystem!$F$12),Agroforestrysystem!$B$11:$IM$74,$A41+4,FALSE)*IF(A41&gt;='Options and results'!$J$19,'Options and results'!$J$18,1))</f>
        <v>2.468</v>
      </c>
      <c r="G41" s="200">
        <f>IF(D41&lt;=0,0,IF(A41&lt;='Options and results'!$W$20,IF(C41&gt;0,VLOOKUP(B41,Arablefinance!$Z$6:$AE$105,Arablefinance!$AD$2,FALSE)*C41*D41,((VLOOKUP(B41,Arablefinance!$E$6:$H$126,2,FALSE)*E41+VLOOKUP(B41,Arablefinance!$E$6:$H$126,3,FALSE)*F41)*D41)),0)*IF(A41&gt;='Options and results'!$J$21,'Options and results'!$J$20,1))*IF(1+'Options and results'!$O$20*(A41-1)&gt;0,1+'Options and results'!$O$20*(A41-1),0)</f>
        <v>1152.0932500000001</v>
      </c>
      <c r="H41" s="10">
        <f>IF(D41&lt;=0,0,IF(C41&gt;0,VLOOKUP(B41,Arablefinance!$Z$6:$AE$105,Arablefinance!$AE$2,FALSE)*C41*D41,IF('Options and results'!$C$62&gt;0,IF(VLOOKUP(B41,Arablefinance!$E$6:$W$126,Arablefinance!$H$2,FALSE)*(1-Plot!AC41*'Options and results'!$C$62)&gt;0,VLOOKUP(B41,Arablefinance!$E$6:$W$126,Arablefinance!$H$2,FALSE)*(1-Plot!AC41*'Options and results'!$C$62),0),IF(A41&lt;='Options and results'!$W$20,(VLOOKUP(B41,Arablefinance!$E$6:$W$126,Arablefinance!$H$2,FALSE)*IF('Options and results'!$C$61="area",D41,'Options and results'!$C$61)),0)))*IF(A41&gt;='Options and results'!$J$23,'Options and results'!$J$22,1))*IF(AND(1+'Options and results'!$O$23*(A41-1)&gt;0,1+'Options and results'!$O$23*(A41-1)&gt;'Options and results'!$S$24),1+'Options and results'!$O$23*(A41-1),'Options and results'!$S$24)</f>
        <v>0</v>
      </c>
      <c r="I41" s="10">
        <f t="shared" si="10"/>
        <v>1152.0932500000001</v>
      </c>
      <c r="J41" s="10">
        <f>IF(D41&lt;=0,0,IF(A41&lt;='Options and results'!$W$20,IF(C41&gt;0,VLOOKUP(B41,Arablefinance!$Z$6:$AF$105,Arablefinance!$AF$2,FALSE)*C41*D41,VLOOKUP(B41,Arablefinance!$E$6:$X$126,Arablefinance!$R$2,FALSE)*D41),0)*IF(A41&gt;='Options and results'!$J$27,'Options and results'!$J$26,1))*IF(1+'Options and results'!$O$22*(A41-1)&gt;0,1+'Options and results'!$O$22*(A41-1),0)</f>
        <v>646.59374999999989</v>
      </c>
      <c r="K41" s="10">
        <f t="shared" si="11"/>
        <v>505.49950000000024</v>
      </c>
      <c r="L41" s="10">
        <f>IF(D41&lt;=0,0,IF(A41&lt;='Options and results'!$W$20,IF(C41&gt;0,VLOOKUP(B41,Arablefinance!$Z$6:$AG$105,Arablefinance!$AG$2,FALSE)*C41*D41,VLOOKUP(B41,Arablefinance!$E$6:$X$126,Arablefinance!$X$2,FALSE)*D41),0)*IF(A41&gt;='Options and results'!$J$27,'Options and results'!$J$26,1))*IF(1+'Options and results'!$O$22*(A41-1)&gt;0,1+'Options and results'!$O$22*(A41-1),0)</f>
        <v>440</v>
      </c>
      <c r="M41" s="10">
        <f>IF(D41&lt;=0,0,IF(A41&lt;='Options and results'!$W$20,'Options and results'!$C$27*IF(A41&gt;='Options and results'!$J$27,'Options and results'!$J$26,1),0))*IF(1+'Options and results'!$O$21*(A41-1)&gt;0,1+'Options and results'!$O$21*(A41-1),0)</f>
        <v>14.6</v>
      </c>
      <c r="N41" s="10">
        <f>IF(D41&lt;=0,0,IF(A41&lt;='Options and results'!$W$20,IF(C41&gt;0,VLOOKUP(B41,Arablefinance!$Z$6:$AH$105,Arablefinance!$AH$2,FALSE)*C41*D41,VLOOKUP(B41,Arablefinance!$E$6:$W$126,Arablefinance!$V$2,FALSE)*D41),0)*IF(A41&gt;='Options and results'!$J$25,'Options and results'!$J$24,1))</f>
        <v>11.516506250880969</v>
      </c>
      <c r="O41" s="200">
        <f t="shared" si="1"/>
        <v>-102.6414912628619</v>
      </c>
      <c r="P41" s="201">
        <f>IF(A41&lt;='Options and results'!$W$20,SUM($O$28:O41),0)</f>
        <v>1474.6409117075832</v>
      </c>
      <c r="Q41" s="36">
        <f t="shared" si="2"/>
        <v>-103.67827400289082</v>
      </c>
      <c r="R41" s="108">
        <f t="shared" ca="1" si="3"/>
        <v>0</v>
      </c>
      <c r="S41" s="108">
        <f t="shared" si="4"/>
        <v>10</v>
      </c>
      <c r="T41" s="10" t="str">
        <f t="shared" ca="1" si="12"/>
        <v/>
      </c>
      <c r="U41" s="1" t="str">
        <f>IF(Optimisation!$B$3="Yes",IF(A41&lt;=Optimisation!$B$9,Optimisation!B41,Optimisation!$B$11),B41)</f>
        <v>UK - Agriculture (BPS: from 2015) Wheat</v>
      </c>
      <c r="V41" s="202">
        <f t="shared" si="13"/>
        <v>6.17</v>
      </c>
      <c r="W41" s="203">
        <f t="shared" ca="1" si="5"/>
        <v>0</v>
      </c>
      <c r="X41" s="203">
        <f t="shared" si="6"/>
        <v>2</v>
      </c>
      <c r="Y41" s="10" t="str">
        <f t="shared" ca="1" si="7"/>
        <v/>
      </c>
      <c r="Z41" s="204" t="str">
        <f>IF(Optimisation!$B$3="Yes",IF(Optimisation!A41&lt;=Optimisation!$B$16,Optimisation!B41,Optimisation!$B$18),B41)</f>
        <v>UK - Agriculture (BPS: from 2015) Wheat</v>
      </c>
      <c r="AA41" s="205" t="str">
        <f t="shared" si="8"/>
        <v>UK - Agriculture (BPS: from 2015) Wheat</v>
      </c>
      <c r="AG41" s="10"/>
    </row>
    <row r="42" spans="1:33" x14ac:dyDescent="0.25">
      <c r="A42" s="196">
        <f t="shared" si="9"/>
        <v>15</v>
      </c>
      <c r="B42" s="197" t="str">
        <f>IF('Options and results'!$C$54="None",0,IF(AND(A42&gt;='Options and results'!$K$57,A41&lt;'Options and results'!$W$20),'Options and results'!$K$56,CONCATENATE('Options and results'!$C$60," ",(HLOOKUP(CONCATENATE('Options and results'!$C$54," ",Agroforestrysystem!$B$12),Agroforestrysystem!$B$11:$IM$74,$A42+4,FALSE)))))</f>
        <v>UK - Agriculture (BPS: from 2015) Agroforestry fallow</v>
      </c>
      <c r="C42" s="198">
        <f>IF(HLOOKUP(CONCATENATE('Options and results'!$C$54," ",Agroforestrysystem!$C$12),Agroforestrysystem!$B$11:$IM$74,$A42+4,FALSE)="T",(VLOOKUP(B42,Arablefinance!$Z$6:$AB$105,Arablefinance!$AB$2,FALSE)*E42+VLOOKUP(B42,Arablefinance!$Z$6:$AC$105,Arablefinance!$AC$2,FALSE)*F42)/VLOOKUP(B42,Arablefinance!$Z$6:$AA$105,Arablefinance!$AA$2,FALSE),0)</f>
        <v>0</v>
      </c>
      <c r="D42" s="199">
        <f>IF(B42=0,0,HLOOKUP(CONCATENATE('Options and results'!$C$54," ",Agroforestrysystem!$D$12),Agroforestrysystem!$B$11:$IM$74,$A42+4,FALSE))</f>
        <v>0.99</v>
      </c>
      <c r="E42" s="42">
        <f>IF(B42=0,0,HLOOKUP(CONCATENATE('Options and results'!$C$54," ",Agroforestrysystem!$E$12),Agroforestrysystem!$B$11:$IM$74,$A42+4,FALSE)*IF(A42&gt;='Options and results'!$J$19,'Options and results'!$J$18,1))</f>
        <v>0</v>
      </c>
      <c r="F42" s="42">
        <f>IF(B42=0,0,HLOOKUP(CONCATENATE('Options and results'!$C$54," ",Agroforestrysystem!$F$12),Agroforestrysystem!$B$11:$IM$74,$A42+4,FALSE)*IF(A42&gt;='Options and results'!$J$19,'Options and results'!$J$18,1))</f>
        <v>0</v>
      </c>
      <c r="G42" s="200">
        <f>IF(D42&lt;=0,0,IF(A42&lt;='Options and results'!$W$20,IF(C42&gt;0,VLOOKUP(B42,Arablefinance!$Z$6:$AE$105,Arablefinance!$AD$2,FALSE)*C42*D42,((VLOOKUP(B42,Arablefinance!$E$6:$H$126,2,FALSE)*E42+VLOOKUP(B42,Arablefinance!$E$6:$H$126,3,FALSE)*F42)*D42)),0)*IF(A42&gt;='Options and results'!$J$21,'Options and results'!$J$20,1))*IF(1+'Options and results'!$O$20*(A42-1)&gt;0,1+'Options and results'!$O$20*(A42-1),0)</f>
        <v>0</v>
      </c>
      <c r="H42" s="10">
        <f>IF(D42&lt;=0,0,IF(C42&gt;0,VLOOKUP(B42,Arablefinance!$Z$6:$AE$105,Arablefinance!$AE$2,FALSE)*C42*D42,IF('Options and results'!$C$62&gt;0,IF(VLOOKUP(B42,Arablefinance!$E$6:$W$126,Arablefinance!$H$2,FALSE)*(1-Plot!AC42*'Options and results'!$C$62)&gt;0,VLOOKUP(B42,Arablefinance!$E$6:$W$126,Arablefinance!$H$2,FALSE)*(1-Plot!AC42*'Options and results'!$C$62),0),IF(A42&lt;='Options and results'!$W$20,(VLOOKUP(B42,Arablefinance!$E$6:$W$126,Arablefinance!$H$2,FALSE)*IF('Options and results'!$C$61="area",D42,'Options and results'!$C$61)),0)))*IF(A42&gt;='Options and results'!$J$23,'Options and results'!$J$22,1))*IF(AND(1+'Options and results'!$O$23*(A42-1)&gt;0,1+'Options and results'!$O$23*(A42-1)&gt;'Options and results'!$S$24),1+'Options and results'!$O$23*(A42-1),'Options and results'!$S$24)</f>
        <v>0</v>
      </c>
      <c r="I42" s="10">
        <f t="shared" si="10"/>
        <v>0</v>
      </c>
      <c r="J42" s="10">
        <f>IF(D42&lt;=0,0,IF(A42&lt;='Options and results'!$W$20,IF(C42&gt;0,VLOOKUP(B42,Arablefinance!$Z$6:$AF$105,Arablefinance!$AF$2,FALSE)*C42*D42,VLOOKUP(B42,Arablefinance!$E$6:$X$126,Arablefinance!$R$2,FALSE)*D42),0)*IF(A42&gt;='Options and results'!$J$27,'Options and results'!$J$26,1))*IF(1+'Options and results'!$O$22*(A42-1)&gt;0,1+'Options and results'!$O$22*(A42-1),0)</f>
        <v>0</v>
      </c>
      <c r="K42" s="10">
        <f t="shared" si="11"/>
        <v>0</v>
      </c>
      <c r="L42" s="10">
        <f>IF(D42&lt;=0,0,IF(A42&lt;='Options and results'!$W$20,IF(C42&gt;0,VLOOKUP(B42,Arablefinance!$Z$6:$AG$105,Arablefinance!$AG$2,FALSE)*C42*D42,VLOOKUP(B42,Arablefinance!$E$6:$X$126,Arablefinance!$X$2,FALSE)*D42),0)*IF(A42&gt;='Options and results'!$J$27,'Options and results'!$J$26,1))*IF(1+'Options and results'!$O$22*(A42-1)&gt;0,1+'Options and results'!$O$22*(A42-1),0)</f>
        <v>0</v>
      </c>
      <c r="M42" s="10">
        <f>IF(D42&lt;=0,0,IF(A42&lt;='Options and results'!$W$20,'Options and results'!$C$27*IF(A42&gt;='Options and results'!$J$27,'Options and results'!$J$26,1),0))*IF(1+'Options and results'!$O$21*(A42-1)&gt;0,1+'Options and results'!$O$21*(A42-1),0)</f>
        <v>14.6</v>
      </c>
      <c r="N42" s="10">
        <f>IF(D42&lt;=0,0,IF(A42&lt;='Options and results'!$W$20,IF(C42&gt;0,VLOOKUP(B42,Arablefinance!$Z$6:$AH$105,Arablefinance!$AH$2,FALSE)*C42*D42,VLOOKUP(B42,Arablefinance!$E$6:$W$126,Arablefinance!$V$2,FALSE)*D42),0)*IF(A42&gt;='Options and results'!$J$25,'Options and results'!$J$24,1))</f>
        <v>0</v>
      </c>
      <c r="O42" s="200">
        <f t="shared" si="1"/>
        <v>0</v>
      </c>
      <c r="P42" s="201">
        <f>IF(A42&lt;='Options and results'!$W$20,SUM($O$28:O42),0)</f>
        <v>1474.6409117075832</v>
      </c>
      <c r="Q42" s="36">
        <f t="shared" si="2"/>
        <v>0</v>
      </c>
      <c r="R42" s="108">
        <f t="shared" ca="1" si="3"/>
        <v>0</v>
      </c>
      <c r="S42" s="108">
        <f t="shared" si="4"/>
        <v>10</v>
      </c>
      <c r="T42" s="10" t="str">
        <f t="shared" ca="1" si="12"/>
        <v/>
      </c>
      <c r="U42" s="1" t="str">
        <f>IF(Optimisation!$B$3="Yes",IF(A42&lt;=Optimisation!$B$9,Optimisation!B42,Optimisation!$B$11),B42)</f>
        <v>UK - Agriculture (BPS: from 2015) Agroforestry fallow</v>
      </c>
      <c r="V42" s="202">
        <f t="shared" si="13"/>
        <v>0</v>
      </c>
      <c r="W42" s="203">
        <f t="shared" ca="1" si="5"/>
        <v>0</v>
      </c>
      <c r="X42" s="203">
        <f t="shared" si="6"/>
        <v>2</v>
      </c>
      <c r="Y42" s="10" t="str">
        <f t="shared" ca="1" si="7"/>
        <v/>
      </c>
      <c r="Z42" s="204" t="str">
        <f>IF(Optimisation!$B$3="Yes",IF(Optimisation!A42&lt;=Optimisation!$B$16,Optimisation!B42,Optimisation!$B$18),B42)</f>
        <v>UK - Agriculture (BPS: from 2015) Agroforestry fallow</v>
      </c>
      <c r="AA42" s="205" t="str">
        <f t="shared" si="8"/>
        <v>UK - Agriculture (BPS: from 2015) Agroforestry fallow</v>
      </c>
      <c r="AG42" s="10"/>
    </row>
    <row r="43" spans="1:33" x14ac:dyDescent="0.25">
      <c r="A43" s="196">
        <f t="shared" si="9"/>
        <v>16</v>
      </c>
      <c r="B43" s="197" t="str">
        <f>IF('Options and results'!$C$54="None",0,IF(AND(A43&gt;='Options and results'!$K$57,A42&lt;'Options and results'!$W$20),'Options and results'!$K$56,CONCATENATE('Options and results'!$C$60," ",(HLOOKUP(CONCATENATE('Options and results'!$C$54," ",Agroforestrysystem!$B$12),Agroforestrysystem!$B$11:$IM$74,$A43+4,FALSE)))))</f>
        <v>UK - Agriculture (BPS: from 2015) Agroforestry fallow</v>
      </c>
      <c r="C43" s="198">
        <f>IF(HLOOKUP(CONCATENATE('Options and results'!$C$54," ",Agroforestrysystem!$C$12),Agroforestrysystem!$B$11:$IM$74,$A43+4,FALSE)="T",(VLOOKUP(B43,Arablefinance!$Z$6:$AB$105,Arablefinance!$AB$2,FALSE)*E43+VLOOKUP(B43,Arablefinance!$Z$6:$AC$105,Arablefinance!$AC$2,FALSE)*F43)/VLOOKUP(B43,Arablefinance!$Z$6:$AA$105,Arablefinance!$AA$2,FALSE),0)</f>
        <v>0</v>
      </c>
      <c r="D43" s="199">
        <f>IF(B43=0,0,HLOOKUP(CONCATENATE('Options and results'!$C$54," ",Agroforestrysystem!$D$12),Agroforestrysystem!$B$11:$IM$74,$A43+4,FALSE))</f>
        <v>0.99</v>
      </c>
      <c r="E43" s="42">
        <f>IF(B43=0,0,HLOOKUP(CONCATENATE('Options and results'!$C$54," ",Agroforestrysystem!$E$12),Agroforestrysystem!$B$11:$IM$74,$A43+4,FALSE)*IF(A43&gt;='Options and results'!$J$19,'Options and results'!$J$18,1))</f>
        <v>0</v>
      </c>
      <c r="F43" s="42">
        <f>IF(B43=0,0,HLOOKUP(CONCATENATE('Options and results'!$C$54," ",Agroforestrysystem!$F$12),Agroforestrysystem!$B$11:$IM$74,$A43+4,FALSE)*IF(A43&gt;='Options and results'!$J$19,'Options and results'!$J$18,1))</f>
        <v>0</v>
      </c>
      <c r="G43" s="200">
        <f>IF(D43&lt;=0,0,IF(A43&lt;='Options and results'!$W$20,IF(C43&gt;0,VLOOKUP(B43,Arablefinance!$Z$6:$AE$105,Arablefinance!$AD$2,FALSE)*C43*D43,((VLOOKUP(B43,Arablefinance!$E$6:$H$126,2,FALSE)*E43+VLOOKUP(B43,Arablefinance!$E$6:$H$126,3,FALSE)*F43)*D43)),0)*IF(A43&gt;='Options and results'!$J$21,'Options and results'!$J$20,1))*IF(1+'Options and results'!$O$20*(A43-1)&gt;0,1+'Options and results'!$O$20*(A43-1),0)</f>
        <v>0</v>
      </c>
      <c r="H43" s="10">
        <f>IF(D43&lt;=0,0,IF(C43&gt;0,VLOOKUP(B43,Arablefinance!$Z$6:$AE$105,Arablefinance!$AE$2,FALSE)*C43*D43,IF('Options and results'!$C$62&gt;0,IF(VLOOKUP(B43,Arablefinance!$E$6:$W$126,Arablefinance!$H$2,FALSE)*(1-Plot!AC43*'Options and results'!$C$62)&gt;0,VLOOKUP(B43,Arablefinance!$E$6:$W$126,Arablefinance!$H$2,FALSE)*(1-Plot!AC43*'Options and results'!$C$62),0),IF(A43&lt;='Options and results'!$W$20,(VLOOKUP(B43,Arablefinance!$E$6:$W$126,Arablefinance!$H$2,FALSE)*IF('Options and results'!$C$61="area",D43,'Options and results'!$C$61)),0)))*IF(A43&gt;='Options and results'!$J$23,'Options and results'!$J$22,1))*IF(AND(1+'Options and results'!$O$23*(A43-1)&gt;0,1+'Options and results'!$O$23*(A43-1)&gt;'Options and results'!$S$24),1+'Options and results'!$O$23*(A43-1),'Options and results'!$S$24)</f>
        <v>0</v>
      </c>
      <c r="I43" s="10">
        <f t="shared" si="10"/>
        <v>0</v>
      </c>
      <c r="J43" s="10">
        <f>IF(D43&lt;=0,0,IF(A43&lt;='Options and results'!$W$20,IF(C43&gt;0,VLOOKUP(B43,Arablefinance!$Z$6:$AF$105,Arablefinance!$AF$2,FALSE)*C43*D43,VLOOKUP(B43,Arablefinance!$E$6:$X$126,Arablefinance!$R$2,FALSE)*D43),0)*IF(A43&gt;='Options and results'!$J$27,'Options and results'!$J$26,1))*IF(1+'Options and results'!$O$22*(A43-1)&gt;0,1+'Options and results'!$O$22*(A43-1),0)</f>
        <v>0</v>
      </c>
      <c r="K43" s="10">
        <f t="shared" si="11"/>
        <v>0</v>
      </c>
      <c r="L43" s="10">
        <f>IF(D43&lt;=0,0,IF(A43&lt;='Options and results'!$W$20,IF(C43&gt;0,VLOOKUP(B43,Arablefinance!$Z$6:$AG$105,Arablefinance!$AG$2,FALSE)*C43*D43,VLOOKUP(B43,Arablefinance!$E$6:$X$126,Arablefinance!$X$2,FALSE)*D43),0)*IF(A43&gt;='Options and results'!$J$27,'Options and results'!$J$26,1))*IF(1+'Options and results'!$O$22*(A43-1)&gt;0,1+'Options and results'!$O$22*(A43-1),0)</f>
        <v>0</v>
      </c>
      <c r="M43" s="10">
        <f>IF(D43&lt;=0,0,IF(A43&lt;='Options and results'!$W$20,'Options and results'!$C$27*IF(A43&gt;='Options and results'!$J$27,'Options and results'!$J$26,1),0))*IF(1+'Options and results'!$O$21*(A43-1)&gt;0,1+'Options and results'!$O$21*(A43-1),0)</f>
        <v>14.6</v>
      </c>
      <c r="N43" s="10">
        <f>IF(D43&lt;=0,0,IF(A43&lt;='Options and results'!$W$20,IF(C43&gt;0,VLOOKUP(B43,Arablefinance!$Z$6:$AH$105,Arablefinance!$AH$2,FALSE)*C43*D43,VLOOKUP(B43,Arablefinance!$E$6:$W$126,Arablefinance!$V$2,FALSE)*D43),0)*IF(A43&gt;='Options and results'!$J$25,'Options and results'!$J$24,1))</f>
        <v>0</v>
      </c>
      <c r="O43" s="200">
        <f t="shared" si="1"/>
        <v>0</v>
      </c>
      <c r="P43" s="201">
        <f>IF(A43&lt;='Options and results'!$W$20,SUM($O$28:O43),0)</f>
        <v>1474.6409117075832</v>
      </c>
      <c r="Q43" s="36">
        <f t="shared" si="2"/>
        <v>0</v>
      </c>
      <c r="R43" s="108">
        <f t="shared" ca="1" si="3"/>
        <v>0</v>
      </c>
      <c r="S43" s="108">
        <f t="shared" si="4"/>
        <v>10</v>
      </c>
      <c r="T43" s="10" t="str">
        <f t="shared" ca="1" si="12"/>
        <v/>
      </c>
      <c r="U43" s="1" t="str">
        <f>IF(Optimisation!$B$3="Yes",IF(A43&lt;=Optimisation!$B$9,Optimisation!B43,Optimisation!$B$11),B43)</f>
        <v>UK - Agriculture (BPS: from 2015) Agroforestry fallow</v>
      </c>
      <c r="V43" s="202">
        <f t="shared" si="13"/>
        <v>0</v>
      </c>
      <c r="W43" s="203">
        <f t="shared" ca="1" si="5"/>
        <v>0</v>
      </c>
      <c r="X43" s="203">
        <f t="shared" si="6"/>
        <v>2</v>
      </c>
      <c r="Y43" s="10" t="str">
        <f t="shared" ca="1" si="7"/>
        <v/>
      </c>
      <c r="Z43" s="204" t="str">
        <f>IF(Optimisation!$B$3="Yes",IF(Optimisation!A43&lt;=Optimisation!$B$16,Optimisation!B43,Optimisation!$B$18),B43)</f>
        <v>UK - Agriculture (BPS: from 2015) Agroforestry fallow</v>
      </c>
      <c r="AA43" s="205" t="str">
        <f t="shared" si="8"/>
        <v>UK - Agriculture (BPS: from 2015) Agroforestry fallow</v>
      </c>
      <c r="AG43" s="10"/>
    </row>
    <row r="44" spans="1:33" x14ac:dyDescent="0.25">
      <c r="A44" s="196">
        <f t="shared" si="9"/>
        <v>17</v>
      </c>
      <c r="B44" s="197" t="str">
        <f>IF('Options and results'!$C$54="None",0,IF(AND(A44&gt;='Options and results'!$K$57,A43&lt;'Options and results'!$W$20),'Options and results'!$K$56,CONCATENATE('Options and results'!$C$60," ",(HLOOKUP(CONCATENATE('Options and results'!$C$54," ",Agroforestrysystem!$B$12),Agroforestrysystem!$B$11:$IM$74,$A44+4,FALSE)))))</f>
        <v>UK - Agriculture (BPS: from 2015) Agroforestry fallow</v>
      </c>
      <c r="C44" s="198">
        <f>IF(HLOOKUP(CONCATENATE('Options and results'!$C$54," ",Agroforestrysystem!$C$12),Agroforestrysystem!$B$11:$IM$74,$A44+4,FALSE)="T",(VLOOKUP(B44,Arablefinance!$Z$6:$AB$105,Arablefinance!$AB$2,FALSE)*E44+VLOOKUP(B44,Arablefinance!$Z$6:$AC$105,Arablefinance!$AC$2,FALSE)*F44)/VLOOKUP(B44,Arablefinance!$Z$6:$AA$105,Arablefinance!$AA$2,FALSE),0)</f>
        <v>0</v>
      </c>
      <c r="D44" s="199">
        <f>IF(B44=0,0,HLOOKUP(CONCATENATE('Options and results'!$C$54," ",Agroforestrysystem!$D$12),Agroforestrysystem!$B$11:$IM$74,$A44+4,FALSE))</f>
        <v>0.99</v>
      </c>
      <c r="E44" s="42">
        <f>IF(B44=0,0,HLOOKUP(CONCATENATE('Options and results'!$C$54," ",Agroforestrysystem!$E$12),Agroforestrysystem!$B$11:$IM$74,$A44+4,FALSE)*IF(A44&gt;='Options and results'!$J$19,'Options and results'!$J$18,1))</f>
        <v>0</v>
      </c>
      <c r="F44" s="42">
        <f>IF(B44=0,0,HLOOKUP(CONCATENATE('Options and results'!$C$54," ",Agroforestrysystem!$F$12),Agroforestrysystem!$B$11:$IM$74,$A44+4,FALSE)*IF(A44&gt;='Options and results'!$J$19,'Options and results'!$J$18,1))</f>
        <v>0</v>
      </c>
      <c r="G44" s="200">
        <f>IF(D44&lt;=0,0,IF(A44&lt;='Options and results'!$W$20,IF(C44&gt;0,VLOOKUP(B44,Arablefinance!$Z$6:$AE$105,Arablefinance!$AD$2,FALSE)*C44*D44,((VLOOKUP(B44,Arablefinance!$E$6:$H$126,2,FALSE)*E44+VLOOKUP(B44,Arablefinance!$E$6:$H$126,3,FALSE)*F44)*D44)),0)*IF(A44&gt;='Options and results'!$J$21,'Options and results'!$J$20,1))*IF(1+'Options and results'!$O$20*(A44-1)&gt;0,1+'Options and results'!$O$20*(A44-1),0)</f>
        <v>0</v>
      </c>
      <c r="H44" s="10">
        <f>IF(D44&lt;=0,0,IF(C44&gt;0,VLOOKUP(B44,Arablefinance!$Z$6:$AE$105,Arablefinance!$AE$2,FALSE)*C44*D44,IF('Options and results'!$C$62&gt;0,IF(VLOOKUP(B44,Arablefinance!$E$6:$W$126,Arablefinance!$H$2,FALSE)*(1-Plot!AC44*'Options and results'!$C$62)&gt;0,VLOOKUP(B44,Arablefinance!$E$6:$W$126,Arablefinance!$H$2,FALSE)*(1-Plot!AC44*'Options and results'!$C$62),0),IF(A44&lt;='Options and results'!$W$20,(VLOOKUP(B44,Arablefinance!$E$6:$W$126,Arablefinance!$H$2,FALSE)*IF('Options and results'!$C$61="area",D44,'Options and results'!$C$61)),0)))*IF(A44&gt;='Options and results'!$J$23,'Options and results'!$J$22,1))*IF(AND(1+'Options and results'!$O$23*(A44-1)&gt;0,1+'Options and results'!$O$23*(A44-1)&gt;'Options and results'!$S$24),1+'Options and results'!$O$23*(A44-1),'Options and results'!$S$24)</f>
        <v>0</v>
      </c>
      <c r="I44" s="10">
        <f t="shared" si="10"/>
        <v>0</v>
      </c>
      <c r="J44" s="10">
        <f>IF(D44&lt;=0,0,IF(A44&lt;='Options and results'!$W$20,IF(C44&gt;0,VLOOKUP(B44,Arablefinance!$Z$6:$AF$105,Arablefinance!$AF$2,FALSE)*C44*D44,VLOOKUP(B44,Arablefinance!$E$6:$X$126,Arablefinance!$R$2,FALSE)*D44),0)*IF(A44&gt;='Options and results'!$J$27,'Options and results'!$J$26,1))*IF(1+'Options and results'!$O$22*(A44-1)&gt;0,1+'Options and results'!$O$22*(A44-1),0)</f>
        <v>0</v>
      </c>
      <c r="K44" s="10">
        <f t="shared" si="11"/>
        <v>0</v>
      </c>
      <c r="L44" s="10">
        <f>IF(D44&lt;=0,0,IF(A44&lt;='Options and results'!$W$20,IF(C44&gt;0,VLOOKUP(B44,Arablefinance!$Z$6:$AG$105,Arablefinance!$AG$2,FALSE)*C44*D44,VLOOKUP(B44,Arablefinance!$E$6:$X$126,Arablefinance!$X$2,FALSE)*D44),0)*IF(A44&gt;='Options and results'!$J$27,'Options and results'!$J$26,1))*IF(1+'Options and results'!$O$22*(A44-1)&gt;0,1+'Options and results'!$O$22*(A44-1),0)</f>
        <v>0</v>
      </c>
      <c r="M44" s="10">
        <f>IF(D44&lt;=0,0,IF(A44&lt;='Options and results'!$W$20,'Options and results'!$C$27*IF(A44&gt;='Options and results'!$J$27,'Options and results'!$J$26,1),0))*IF(1+'Options and results'!$O$21*(A44-1)&gt;0,1+'Options and results'!$O$21*(A44-1),0)</f>
        <v>14.6</v>
      </c>
      <c r="N44" s="10">
        <f>IF(D44&lt;=0,0,IF(A44&lt;='Options and results'!$W$20,IF(C44&gt;0,VLOOKUP(B44,Arablefinance!$Z$6:$AH$105,Arablefinance!$AH$2,FALSE)*C44*D44,VLOOKUP(B44,Arablefinance!$E$6:$W$126,Arablefinance!$V$2,FALSE)*D44),0)*IF(A44&gt;='Options and results'!$J$25,'Options and results'!$J$24,1))</f>
        <v>0</v>
      </c>
      <c r="O44" s="200">
        <f t="shared" si="1"/>
        <v>0</v>
      </c>
      <c r="P44" s="201">
        <f>IF(A44&lt;='Options and results'!$W$20,SUM($O$28:O44),0)</f>
        <v>1474.6409117075832</v>
      </c>
      <c r="Q44" s="36">
        <f t="shared" si="2"/>
        <v>0</v>
      </c>
      <c r="R44" s="108">
        <f t="shared" ca="1" si="3"/>
        <v>0</v>
      </c>
      <c r="S44" s="108">
        <f t="shared" si="4"/>
        <v>10</v>
      </c>
      <c r="T44" s="10" t="str">
        <f t="shared" ca="1" si="12"/>
        <v/>
      </c>
      <c r="U44" s="1" t="str">
        <f>IF(Optimisation!$B$3="Yes",IF(A44&lt;=Optimisation!$B$9,Optimisation!B44,Optimisation!$B$11),B44)</f>
        <v>UK - Agriculture (BPS: from 2015) Agroforestry fallow</v>
      </c>
      <c r="V44" s="202">
        <f t="shared" si="13"/>
        <v>0</v>
      </c>
      <c r="W44" s="203">
        <f t="shared" ca="1" si="5"/>
        <v>0</v>
      </c>
      <c r="X44" s="203">
        <f t="shared" si="6"/>
        <v>2</v>
      </c>
      <c r="Y44" s="10" t="str">
        <f t="shared" ca="1" si="7"/>
        <v/>
      </c>
      <c r="Z44" s="204" t="str">
        <f>IF(Optimisation!$B$3="Yes",IF(Optimisation!A44&lt;=Optimisation!$B$16,Optimisation!B44,Optimisation!$B$18),B44)</f>
        <v>UK - Agriculture (BPS: from 2015) Agroforestry fallow</v>
      </c>
      <c r="AA44" s="205" t="str">
        <f t="shared" si="8"/>
        <v>UK - Agriculture (BPS: from 2015) Agroforestry fallow</v>
      </c>
      <c r="AG44" s="10"/>
    </row>
    <row r="45" spans="1:33" x14ac:dyDescent="0.25">
      <c r="A45" s="196">
        <f t="shared" si="9"/>
        <v>18</v>
      </c>
      <c r="B45" s="197" t="str">
        <f>IF('Options and results'!$C$54="None",0,IF(AND(A45&gt;='Options and results'!$K$57,A44&lt;'Options and results'!$W$20),'Options and results'!$K$56,CONCATENATE('Options and results'!$C$60," ",(HLOOKUP(CONCATENATE('Options and results'!$C$54," ",Agroforestrysystem!$B$12),Agroforestrysystem!$B$11:$IM$74,$A45+4,FALSE)))))</f>
        <v>UK - Agriculture (BPS: from 2015) Agroforestry fallow</v>
      </c>
      <c r="C45" s="198">
        <f>IF(HLOOKUP(CONCATENATE('Options and results'!$C$54," ",Agroforestrysystem!$C$12),Agroforestrysystem!$B$11:$IM$74,$A45+4,FALSE)="T",(VLOOKUP(B45,Arablefinance!$Z$6:$AB$105,Arablefinance!$AB$2,FALSE)*E45+VLOOKUP(B45,Arablefinance!$Z$6:$AC$105,Arablefinance!$AC$2,FALSE)*F45)/VLOOKUP(B45,Arablefinance!$Z$6:$AA$105,Arablefinance!$AA$2,FALSE),0)</f>
        <v>0</v>
      </c>
      <c r="D45" s="199">
        <f>IF(B45=0,0,HLOOKUP(CONCATENATE('Options and results'!$C$54," ",Agroforestrysystem!$D$12),Agroforestrysystem!$B$11:$IM$74,$A45+4,FALSE))</f>
        <v>0.99</v>
      </c>
      <c r="E45" s="42">
        <f>IF(B45=0,0,HLOOKUP(CONCATENATE('Options and results'!$C$54," ",Agroforestrysystem!$E$12),Agroforestrysystem!$B$11:$IM$74,$A45+4,FALSE)*IF(A45&gt;='Options and results'!$J$19,'Options and results'!$J$18,1))</f>
        <v>0</v>
      </c>
      <c r="F45" s="42">
        <f>IF(B45=0,0,HLOOKUP(CONCATENATE('Options and results'!$C$54," ",Agroforestrysystem!$F$12),Agroforestrysystem!$B$11:$IM$74,$A45+4,FALSE)*IF(A45&gt;='Options and results'!$J$19,'Options and results'!$J$18,1))</f>
        <v>0</v>
      </c>
      <c r="G45" s="200">
        <f>IF(D45&lt;=0,0,IF(A45&lt;='Options and results'!$W$20,IF(C45&gt;0,VLOOKUP(B45,Arablefinance!$Z$6:$AE$105,Arablefinance!$AD$2,FALSE)*C45*D45,((VLOOKUP(B45,Arablefinance!$E$6:$H$126,2,FALSE)*E45+VLOOKUP(B45,Arablefinance!$E$6:$H$126,3,FALSE)*F45)*D45)),0)*IF(A45&gt;='Options and results'!$J$21,'Options and results'!$J$20,1))*IF(1+'Options and results'!$O$20*(A45-1)&gt;0,1+'Options and results'!$O$20*(A45-1),0)</f>
        <v>0</v>
      </c>
      <c r="H45" s="10">
        <f>IF(D45&lt;=0,0,IF(C45&gt;0,VLOOKUP(B45,Arablefinance!$Z$6:$AE$105,Arablefinance!$AE$2,FALSE)*C45*D45,IF('Options and results'!$C$62&gt;0,IF(VLOOKUP(B45,Arablefinance!$E$6:$W$126,Arablefinance!$H$2,FALSE)*(1-Plot!AC45*'Options and results'!$C$62)&gt;0,VLOOKUP(B45,Arablefinance!$E$6:$W$126,Arablefinance!$H$2,FALSE)*(1-Plot!AC45*'Options and results'!$C$62),0),IF(A45&lt;='Options and results'!$W$20,(VLOOKUP(B45,Arablefinance!$E$6:$W$126,Arablefinance!$H$2,FALSE)*IF('Options and results'!$C$61="area",D45,'Options and results'!$C$61)),0)))*IF(A45&gt;='Options and results'!$J$23,'Options and results'!$J$22,1))*IF(AND(1+'Options and results'!$O$23*(A45-1)&gt;0,1+'Options and results'!$O$23*(A45-1)&gt;'Options and results'!$S$24),1+'Options and results'!$O$23*(A45-1),'Options and results'!$S$24)</f>
        <v>0</v>
      </c>
      <c r="I45" s="10">
        <f t="shared" si="10"/>
        <v>0</v>
      </c>
      <c r="J45" s="10">
        <f>IF(D45&lt;=0,0,IF(A45&lt;='Options and results'!$W$20,IF(C45&gt;0,VLOOKUP(B45,Arablefinance!$Z$6:$AF$105,Arablefinance!$AF$2,FALSE)*C45*D45,VLOOKUP(B45,Arablefinance!$E$6:$X$126,Arablefinance!$R$2,FALSE)*D45),0)*IF(A45&gt;='Options and results'!$J$27,'Options and results'!$J$26,1))*IF(1+'Options and results'!$O$22*(A45-1)&gt;0,1+'Options and results'!$O$22*(A45-1),0)</f>
        <v>0</v>
      </c>
      <c r="K45" s="10">
        <f t="shared" si="11"/>
        <v>0</v>
      </c>
      <c r="L45" s="10">
        <f>IF(D45&lt;=0,0,IF(A45&lt;='Options and results'!$W$20,IF(C45&gt;0,VLOOKUP(B45,Arablefinance!$Z$6:$AG$105,Arablefinance!$AG$2,FALSE)*C45*D45,VLOOKUP(B45,Arablefinance!$E$6:$X$126,Arablefinance!$X$2,FALSE)*D45),0)*IF(A45&gt;='Options and results'!$J$27,'Options and results'!$J$26,1))*IF(1+'Options and results'!$O$22*(A45-1)&gt;0,1+'Options and results'!$O$22*(A45-1),0)</f>
        <v>0</v>
      </c>
      <c r="M45" s="10">
        <f>IF(D45&lt;=0,0,IF(A45&lt;='Options and results'!$W$20,'Options and results'!$C$27*IF(A45&gt;='Options and results'!$J$27,'Options and results'!$J$26,1),0))*IF(1+'Options and results'!$O$21*(A45-1)&gt;0,1+'Options and results'!$O$21*(A45-1),0)</f>
        <v>14.6</v>
      </c>
      <c r="N45" s="10">
        <f>IF(D45&lt;=0,0,IF(A45&lt;='Options and results'!$W$20,IF(C45&gt;0,VLOOKUP(B45,Arablefinance!$Z$6:$AH$105,Arablefinance!$AH$2,FALSE)*C45*D45,VLOOKUP(B45,Arablefinance!$E$6:$W$126,Arablefinance!$V$2,FALSE)*D45),0)*IF(A45&gt;='Options and results'!$J$25,'Options and results'!$J$24,1))</f>
        <v>0</v>
      </c>
      <c r="O45" s="200">
        <f t="shared" si="1"/>
        <v>0</v>
      </c>
      <c r="P45" s="201">
        <f>IF(A45&lt;='Options and results'!$W$20,SUM($O$28:O45),0)</f>
        <v>1474.6409117075832</v>
      </c>
      <c r="Q45" s="36">
        <f t="shared" si="2"/>
        <v>0</v>
      </c>
      <c r="R45" s="108">
        <f t="shared" ca="1" si="3"/>
        <v>0</v>
      </c>
      <c r="S45" s="108">
        <f t="shared" si="4"/>
        <v>10</v>
      </c>
      <c r="T45" s="10" t="str">
        <f t="shared" ca="1" si="12"/>
        <v/>
      </c>
      <c r="U45" s="1" t="str">
        <f>IF(Optimisation!$B$3="Yes",IF(A45&lt;=Optimisation!$B$9,Optimisation!B45,Optimisation!$B$11),B45)</f>
        <v>UK - Agriculture (BPS: from 2015) Agroforestry fallow</v>
      </c>
      <c r="V45" s="202">
        <f t="shared" si="13"/>
        <v>0</v>
      </c>
      <c r="W45" s="203">
        <f t="shared" ca="1" si="5"/>
        <v>0</v>
      </c>
      <c r="X45" s="203">
        <f t="shared" si="6"/>
        <v>2</v>
      </c>
      <c r="Y45" s="10" t="str">
        <f t="shared" ca="1" si="7"/>
        <v/>
      </c>
      <c r="Z45" s="204" t="str">
        <f>IF(Optimisation!$B$3="Yes",IF(Optimisation!A45&lt;=Optimisation!$B$16,Optimisation!B45,Optimisation!$B$18),B45)</f>
        <v>UK - Agriculture (BPS: from 2015) Agroforestry fallow</v>
      </c>
      <c r="AA45" s="205" t="str">
        <f t="shared" si="8"/>
        <v>UK - Agriculture (BPS: from 2015) Agroforestry fallow</v>
      </c>
      <c r="AG45" s="10"/>
    </row>
    <row r="46" spans="1:33" x14ac:dyDescent="0.25">
      <c r="A46" s="196">
        <f t="shared" si="9"/>
        <v>19</v>
      </c>
      <c r="B46" s="197" t="str">
        <f>IF('Options and results'!$C$54="None",0,IF(AND(A46&gt;='Options and results'!$K$57,A45&lt;'Options and results'!$W$20),'Options and results'!$K$56,CONCATENATE('Options and results'!$C$60," ",(HLOOKUP(CONCATENATE('Options and results'!$C$54," ",Agroforestrysystem!$B$12),Agroforestrysystem!$B$11:$IM$74,$A46+4,FALSE)))))</f>
        <v>UK - Agriculture (BPS: from 2015) Agroforestry fallow</v>
      </c>
      <c r="C46" s="198">
        <f>IF(HLOOKUP(CONCATENATE('Options and results'!$C$54," ",Agroforestrysystem!$C$12),Agroforestrysystem!$B$11:$IM$74,$A46+4,FALSE)="T",(VLOOKUP(B46,Arablefinance!$Z$6:$AB$105,Arablefinance!$AB$2,FALSE)*E46+VLOOKUP(B46,Arablefinance!$Z$6:$AC$105,Arablefinance!$AC$2,FALSE)*F46)/VLOOKUP(B46,Arablefinance!$Z$6:$AA$105,Arablefinance!$AA$2,FALSE),0)</f>
        <v>0</v>
      </c>
      <c r="D46" s="199">
        <f>IF(B46=0,0,HLOOKUP(CONCATENATE('Options and results'!$C$54," ",Agroforestrysystem!$D$12),Agroforestrysystem!$B$11:$IM$74,$A46+4,FALSE))</f>
        <v>0.99</v>
      </c>
      <c r="E46" s="42">
        <f>IF(B46=0,0,HLOOKUP(CONCATENATE('Options and results'!$C$54," ",Agroforestrysystem!$E$12),Agroforestrysystem!$B$11:$IM$74,$A46+4,FALSE)*IF(A46&gt;='Options and results'!$J$19,'Options and results'!$J$18,1))</f>
        <v>0</v>
      </c>
      <c r="F46" s="42">
        <f>IF(B46=0,0,HLOOKUP(CONCATENATE('Options and results'!$C$54," ",Agroforestrysystem!$F$12),Agroforestrysystem!$B$11:$IM$74,$A46+4,FALSE)*IF(A46&gt;='Options and results'!$J$19,'Options and results'!$J$18,1))</f>
        <v>0</v>
      </c>
      <c r="G46" s="200">
        <f>IF(D46&lt;=0,0,IF(A46&lt;='Options and results'!$W$20,IF(C46&gt;0,VLOOKUP(B46,Arablefinance!$Z$6:$AE$105,Arablefinance!$AD$2,FALSE)*C46*D46,((VLOOKUP(B46,Arablefinance!$E$6:$H$126,2,FALSE)*E46+VLOOKUP(B46,Arablefinance!$E$6:$H$126,3,FALSE)*F46)*D46)),0)*IF(A46&gt;='Options and results'!$J$21,'Options and results'!$J$20,1))*IF(1+'Options and results'!$O$20*(A46-1)&gt;0,1+'Options and results'!$O$20*(A46-1),0)</f>
        <v>0</v>
      </c>
      <c r="H46" s="10">
        <f>IF(D46&lt;=0,0,IF(C46&gt;0,VLOOKUP(B46,Arablefinance!$Z$6:$AE$105,Arablefinance!$AE$2,FALSE)*C46*D46,IF('Options and results'!$C$62&gt;0,IF(VLOOKUP(B46,Arablefinance!$E$6:$W$126,Arablefinance!$H$2,FALSE)*(1-Plot!AC46*'Options and results'!$C$62)&gt;0,VLOOKUP(B46,Arablefinance!$E$6:$W$126,Arablefinance!$H$2,FALSE)*(1-Plot!AC46*'Options and results'!$C$62),0),IF(A46&lt;='Options and results'!$W$20,(VLOOKUP(B46,Arablefinance!$E$6:$W$126,Arablefinance!$H$2,FALSE)*IF('Options and results'!$C$61="area",D46,'Options and results'!$C$61)),0)))*IF(A46&gt;='Options and results'!$J$23,'Options and results'!$J$22,1))*IF(AND(1+'Options and results'!$O$23*(A46-1)&gt;0,1+'Options and results'!$O$23*(A46-1)&gt;'Options and results'!$S$24),1+'Options and results'!$O$23*(A46-1),'Options and results'!$S$24)</f>
        <v>0</v>
      </c>
      <c r="I46" s="10">
        <f t="shared" si="10"/>
        <v>0</v>
      </c>
      <c r="J46" s="10">
        <f>IF(D46&lt;=0,0,IF(A46&lt;='Options and results'!$W$20,IF(C46&gt;0,VLOOKUP(B46,Arablefinance!$Z$6:$AF$105,Arablefinance!$AF$2,FALSE)*C46*D46,VLOOKUP(B46,Arablefinance!$E$6:$X$126,Arablefinance!$R$2,FALSE)*D46),0)*IF(A46&gt;='Options and results'!$J$27,'Options and results'!$J$26,1))*IF(1+'Options and results'!$O$22*(A46-1)&gt;0,1+'Options and results'!$O$22*(A46-1),0)</f>
        <v>0</v>
      </c>
      <c r="K46" s="10">
        <f t="shared" si="11"/>
        <v>0</v>
      </c>
      <c r="L46" s="10">
        <f>IF(D46&lt;=0,0,IF(A46&lt;='Options and results'!$W$20,IF(C46&gt;0,VLOOKUP(B46,Arablefinance!$Z$6:$AG$105,Arablefinance!$AG$2,FALSE)*C46*D46,VLOOKUP(B46,Arablefinance!$E$6:$X$126,Arablefinance!$X$2,FALSE)*D46),0)*IF(A46&gt;='Options and results'!$J$27,'Options and results'!$J$26,1))*IF(1+'Options and results'!$O$22*(A46-1)&gt;0,1+'Options and results'!$O$22*(A46-1),0)</f>
        <v>0</v>
      </c>
      <c r="M46" s="10">
        <f>IF(D46&lt;=0,0,IF(A46&lt;='Options and results'!$W$20,'Options and results'!$C$27*IF(A46&gt;='Options and results'!$J$27,'Options and results'!$J$26,1),0))*IF(1+'Options and results'!$O$21*(A46-1)&gt;0,1+'Options and results'!$O$21*(A46-1),0)</f>
        <v>14.6</v>
      </c>
      <c r="N46" s="10">
        <f>IF(D46&lt;=0,0,IF(A46&lt;='Options and results'!$W$20,IF(C46&gt;0,VLOOKUP(B46,Arablefinance!$Z$6:$AH$105,Arablefinance!$AH$2,FALSE)*C46*D46,VLOOKUP(B46,Arablefinance!$E$6:$W$126,Arablefinance!$V$2,FALSE)*D46),0)*IF(A46&gt;='Options and results'!$J$25,'Options and results'!$J$24,1))</f>
        <v>0</v>
      </c>
      <c r="O46" s="200">
        <f t="shared" si="1"/>
        <v>0</v>
      </c>
      <c r="P46" s="201">
        <f>IF(A46&lt;='Options and results'!$W$20,SUM($O$28:O46),0)</f>
        <v>1474.6409117075832</v>
      </c>
      <c r="Q46" s="36">
        <f t="shared" si="2"/>
        <v>0</v>
      </c>
      <c r="R46" s="108">
        <f t="shared" ca="1" si="3"/>
        <v>0</v>
      </c>
      <c r="S46" s="108">
        <f t="shared" si="4"/>
        <v>10</v>
      </c>
      <c r="T46" s="10" t="str">
        <f t="shared" ca="1" si="12"/>
        <v/>
      </c>
      <c r="U46" s="1" t="str">
        <f>IF(Optimisation!$B$3="Yes",IF(A46&lt;=Optimisation!$B$9,Optimisation!B46,Optimisation!$B$11),B46)</f>
        <v>UK - Agriculture (BPS: from 2015) Agroforestry fallow</v>
      </c>
      <c r="V46" s="202">
        <f t="shared" si="13"/>
        <v>0</v>
      </c>
      <c r="W46" s="203">
        <f t="shared" ca="1" si="5"/>
        <v>0</v>
      </c>
      <c r="X46" s="203">
        <f t="shared" si="6"/>
        <v>2</v>
      </c>
      <c r="Y46" s="10" t="str">
        <f t="shared" ca="1" si="7"/>
        <v/>
      </c>
      <c r="Z46" s="204" t="str">
        <f>IF(Optimisation!$B$3="Yes",IF(Optimisation!A46&lt;=Optimisation!$B$16,Optimisation!B46,Optimisation!$B$18),B46)</f>
        <v>UK - Agriculture (BPS: from 2015) Agroforestry fallow</v>
      </c>
      <c r="AA46" s="205" t="str">
        <f t="shared" si="8"/>
        <v>UK - Agriculture (BPS: from 2015) Agroforestry fallow</v>
      </c>
      <c r="AG46" s="10"/>
    </row>
    <row r="47" spans="1:33" x14ac:dyDescent="0.25">
      <c r="A47" s="196">
        <f t="shared" si="9"/>
        <v>20</v>
      </c>
      <c r="B47" s="197" t="str">
        <f>IF('Options and results'!$C$54="None",0,IF(AND(A47&gt;='Options and results'!$K$57,A46&lt;'Options and results'!$W$20),'Options and results'!$K$56,CONCATENATE('Options and results'!$C$60," ",(HLOOKUP(CONCATENATE('Options and results'!$C$54," ",Agroforestrysystem!$B$12),Agroforestrysystem!$B$11:$IM$74,$A47+4,FALSE)))))</f>
        <v>UK - Agriculture (BPS: from 2015) Agroforestry fallow</v>
      </c>
      <c r="C47" s="198">
        <f>IF(HLOOKUP(CONCATENATE('Options and results'!$C$54," ",Agroforestrysystem!$C$12),Agroforestrysystem!$B$11:$IM$74,$A47+4,FALSE)="T",(VLOOKUP(B47,Arablefinance!$Z$6:$AB$105,Arablefinance!$AB$2,FALSE)*E47+VLOOKUP(B47,Arablefinance!$Z$6:$AC$105,Arablefinance!$AC$2,FALSE)*F47)/VLOOKUP(B47,Arablefinance!$Z$6:$AA$105,Arablefinance!$AA$2,FALSE),0)</f>
        <v>0</v>
      </c>
      <c r="D47" s="199">
        <f>IF(B47=0,0,HLOOKUP(CONCATENATE('Options and results'!$C$54," ",Agroforestrysystem!$D$12),Agroforestrysystem!$B$11:$IM$74,$A47+4,FALSE))</f>
        <v>0.99</v>
      </c>
      <c r="E47" s="42">
        <f>IF(B47=0,0,HLOOKUP(CONCATENATE('Options and results'!$C$54," ",Agroforestrysystem!$E$12),Agroforestrysystem!$B$11:$IM$74,$A47+4,FALSE)*IF(A47&gt;='Options and results'!$J$19,'Options and results'!$J$18,1))</f>
        <v>0</v>
      </c>
      <c r="F47" s="42">
        <f>IF(B47=0,0,HLOOKUP(CONCATENATE('Options and results'!$C$54," ",Agroforestrysystem!$F$12),Agroforestrysystem!$B$11:$IM$74,$A47+4,FALSE)*IF(A47&gt;='Options and results'!$J$19,'Options and results'!$J$18,1))</f>
        <v>0</v>
      </c>
      <c r="G47" s="200">
        <f>IF(D47&lt;=0,0,IF(A47&lt;='Options and results'!$W$20,IF(C47&gt;0,VLOOKUP(B47,Arablefinance!$Z$6:$AE$105,Arablefinance!$AD$2,FALSE)*C47*D47,((VLOOKUP(B47,Arablefinance!$E$6:$H$126,2,FALSE)*E47+VLOOKUP(B47,Arablefinance!$E$6:$H$126,3,FALSE)*F47)*D47)),0)*IF(A47&gt;='Options and results'!$J$21,'Options and results'!$J$20,1))*IF(1+'Options and results'!$O$20*(A47-1)&gt;0,1+'Options and results'!$O$20*(A47-1),0)</f>
        <v>0</v>
      </c>
      <c r="H47" s="10">
        <f>IF(D47&lt;=0,0,IF(C47&gt;0,VLOOKUP(B47,Arablefinance!$Z$6:$AE$105,Arablefinance!$AE$2,FALSE)*C47*D47,IF('Options and results'!$C$62&gt;0,IF(VLOOKUP(B47,Arablefinance!$E$6:$W$126,Arablefinance!$H$2,FALSE)*(1-Plot!AC47*'Options and results'!$C$62)&gt;0,VLOOKUP(B47,Arablefinance!$E$6:$W$126,Arablefinance!$H$2,FALSE)*(1-Plot!AC47*'Options and results'!$C$62),0),IF(A47&lt;='Options and results'!$W$20,(VLOOKUP(B47,Arablefinance!$E$6:$W$126,Arablefinance!$H$2,FALSE)*IF('Options and results'!$C$61="area",D47,'Options and results'!$C$61)),0)))*IF(A47&gt;='Options and results'!$J$23,'Options and results'!$J$22,1))*IF(AND(1+'Options and results'!$O$23*(A47-1)&gt;0,1+'Options and results'!$O$23*(A47-1)&gt;'Options and results'!$S$24),1+'Options and results'!$O$23*(A47-1),'Options and results'!$S$24)</f>
        <v>0</v>
      </c>
      <c r="I47" s="10">
        <f t="shared" si="10"/>
        <v>0</v>
      </c>
      <c r="J47" s="10">
        <f>IF(D47&lt;=0,0,IF(A47&lt;='Options and results'!$W$20,IF(C47&gt;0,VLOOKUP(B47,Arablefinance!$Z$6:$AF$105,Arablefinance!$AF$2,FALSE)*C47*D47,VLOOKUP(B47,Arablefinance!$E$6:$X$126,Arablefinance!$R$2,FALSE)*D47),0)*IF(A47&gt;='Options and results'!$J$27,'Options and results'!$J$26,1))*IF(1+'Options and results'!$O$22*(A47-1)&gt;0,1+'Options and results'!$O$22*(A47-1),0)</f>
        <v>0</v>
      </c>
      <c r="K47" s="10">
        <f t="shared" si="11"/>
        <v>0</v>
      </c>
      <c r="L47" s="10">
        <f>IF(D47&lt;=0,0,IF(A47&lt;='Options and results'!$W$20,IF(C47&gt;0,VLOOKUP(B47,Arablefinance!$Z$6:$AG$105,Arablefinance!$AG$2,FALSE)*C47*D47,VLOOKUP(B47,Arablefinance!$E$6:$X$126,Arablefinance!$X$2,FALSE)*D47),0)*IF(A47&gt;='Options and results'!$J$27,'Options and results'!$J$26,1))*IF(1+'Options and results'!$O$22*(A47-1)&gt;0,1+'Options and results'!$O$22*(A47-1),0)</f>
        <v>0</v>
      </c>
      <c r="M47" s="10">
        <f>IF(D47&lt;=0,0,IF(A47&lt;='Options and results'!$W$20,'Options and results'!$C$27*IF(A47&gt;='Options and results'!$J$27,'Options and results'!$J$26,1),0))*IF(1+'Options and results'!$O$21*(A47-1)&gt;0,1+'Options and results'!$O$21*(A47-1),0)</f>
        <v>14.6</v>
      </c>
      <c r="N47" s="10">
        <f>IF(D47&lt;=0,0,IF(A47&lt;='Options and results'!$W$20,IF(C47&gt;0,VLOOKUP(B47,Arablefinance!$Z$6:$AH$105,Arablefinance!$AH$2,FALSE)*C47*D47,VLOOKUP(B47,Arablefinance!$E$6:$W$126,Arablefinance!$V$2,FALSE)*D47),0)*IF(A47&gt;='Options and results'!$J$25,'Options and results'!$J$24,1))</f>
        <v>0</v>
      </c>
      <c r="O47" s="200">
        <f t="shared" si="1"/>
        <v>0</v>
      </c>
      <c r="P47" s="201">
        <f>IF(A47&lt;='Options and results'!$W$20,SUM($O$28:O47),0)</f>
        <v>1474.6409117075832</v>
      </c>
      <c r="Q47" s="36">
        <f t="shared" si="2"/>
        <v>0</v>
      </c>
      <c r="R47" s="108">
        <f t="shared" ca="1" si="3"/>
        <v>0</v>
      </c>
      <c r="S47" s="108">
        <f t="shared" si="4"/>
        <v>10</v>
      </c>
      <c r="T47" s="10" t="str">
        <f t="shared" ca="1" si="12"/>
        <v/>
      </c>
      <c r="U47" s="1" t="str">
        <f>IF(Optimisation!$B$3="Yes",IF(A47&lt;=Optimisation!$B$9,Optimisation!B47,Optimisation!$B$11),B47)</f>
        <v>UK - Agriculture (BPS: from 2015) Agroforestry fallow</v>
      </c>
      <c r="V47" s="202">
        <f t="shared" si="13"/>
        <v>0</v>
      </c>
      <c r="W47" s="203">
        <f t="shared" ca="1" si="5"/>
        <v>0</v>
      </c>
      <c r="X47" s="203">
        <f t="shared" si="6"/>
        <v>2</v>
      </c>
      <c r="Y47" s="10" t="str">
        <f t="shared" ca="1" si="7"/>
        <v/>
      </c>
      <c r="Z47" s="204" t="str">
        <f>IF(Optimisation!$B$3="Yes",IF(Optimisation!A47&lt;=Optimisation!$B$16,Optimisation!B47,Optimisation!$B$18),B47)</f>
        <v>UK - Agriculture (BPS: from 2015) Agroforestry fallow</v>
      </c>
      <c r="AA47" s="205" t="str">
        <f t="shared" si="8"/>
        <v>UK - Agriculture (BPS: from 2015) Agroforestry fallow</v>
      </c>
      <c r="AG47" s="10"/>
    </row>
    <row r="48" spans="1:33" x14ac:dyDescent="0.25">
      <c r="A48" s="196">
        <f t="shared" si="9"/>
        <v>21</v>
      </c>
      <c r="B48" s="197" t="str">
        <f>IF('Options and results'!$C$54="None",0,IF(AND(A48&gt;='Options and results'!$K$57,A47&lt;'Options and results'!$W$20),'Options and results'!$K$56,CONCATENATE('Options and results'!$C$60," ",(HLOOKUP(CONCATENATE('Options and results'!$C$54," ",Agroforestrysystem!$B$12),Agroforestrysystem!$B$11:$IM$74,$A48+4,FALSE)))))</f>
        <v>UK - Agriculture (BPS: from 2015) Agroforestry fallow</v>
      </c>
      <c r="C48" s="198">
        <f>IF(HLOOKUP(CONCATENATE('Options and results'!$C$54," ",Agroforestrysystem!$C$12),Agroforestrysystem!$B$11:$IM$74,$A48+4,FALSE)="T",(VLOOKUP(B48,Arablefinance!$Z$6:$AB$105,Arablefinance!$AB$2,FALSE)*E48+VLOOKUP(B48,Arablefinance!$Z$6:$AC$105,Arablefinance!$AC$2,FALSE)*F48)/VLOOKUP(B48,Arablefinance!$Z$6:$AA$105,Arablefinance!$AA$2,FALSE),0)</f>
        <v>0</v>
      </c>
      <c r="D48" s="199">
        <f>IF(B48=0,0,HLOOKUP(CONCATENATE('Options and results'!$C$54," ",Agroforestrysystem!$D$12),Agroforestrysystem!$B$11:$IM$74,$A48+4,FALSE))</f>
        <v>0.99</v>
      </c>
      <c r="E48" s="42">
        <f>IF(B48=0,0,HLOOKUP(CONCATENATE('Options and results'!$C$54," ",Agroforestrysystem!$E$12),Agroforestrysystem!$B$11:$IM$74,$A48+4,FALSE)*IF(A48&gt;='Options and results'!$J$19,'Options and results'!$J$18,1))</f>
        <v>0</v>
      </c>
      <c r="F48" s="42">
        <f>IF(B48=0,0,HLOOKUP(CONCATENATE('Options and results'!$C$54," ",Agroforestrysystem!$F$12),Agroforestrysystem!$B$11:$IM$74,$A48+4,FALSE)*IF(A48&gt;='Options and results'!$J$19,'Options and results'!$J$18,1))</f>
        <v>0</v>
      </c>
      <c r="G48" s="200">
        <f>IF(D48&lt;=0,0,IF(A48&lt;='Options and results'!$W$20,IF(C48&gt;0,VLOOKUP(B48,Arablefinance!$Z$6:$AE$105,Arablefinance!$AD$2,FALSE)*C48*D48,((VLOOKUP(B48,Arablefinance!$E$6:$H$126,2,FALSE)*E48+VLOOKUP(B48,Arablefinance!$E$6:$H$126,3,FALSE)*F48)*D48)),0)*IF(A48&gt;='Options and results'!$J$21,'Options and results'!$J$20,1))*IF(1+'Options and results'!$O$20*(A48-1)&gt;0,1+'Options and results'!$O$20*(A48-1),0)</f>
        <v>0</v>
      </c>
      <c r="H48" s="10">
        <f>IF(D48&lt;=0,0,IF(C48&gt;0,VLOOKUP(B48,Arablefinance!$Z$6:$AE$105,Arablefinance!$AE$2,FALSE)*C48*D48,IF('Options and results'!$C$62&gt;0,IF(VLOOKUP(B48,Arablefinance!$E$6:$W$126,Arablefinance!$H$2,FALSE)*(1-Plot!AC48*'Options and results'!$C$62)&gt;0,VLOOKUP(B48,Arablefinance!$E$6:$W$126,Arablefinance!$H$2,FALSE)*(1-Plot!AC48*'Options and results'!$C$62),0),IF(A48&lt;='Options and results'!$W$20,(VLOOKUP(B48,Arablefinance!$E$6:$W$126,Arablefinance!$H$2,FALSE)*IF('Options and results'!$C$61="area",D48,'Options and results'!$C$61)),0)))*IF(A48&gt;='Options and results'!$J$23,'Options and results'!$J$22,1))*IF(AND(1+'Options and results'!$O$23*(A48-1)&gt;0,1+'Options and results'!$O$23*(A48-1)&gt;'Options and results'!$S$24),1+'Options and results'!$O$23*(A48-1),'Options and results'!$S$24)</f>
        <v>0</v>
      </c>
      <c r="I48" s="10">
        <f t="shared" si="10"/>
        <v>0</v>
      </c>
      <c r="J48" s="10">
        <f>IF(D48&lt;=0,0,IF(A48&lt;='Options and results'!$W$20,IF(C48&gt;0,VLOOKUP(B48,Arablefinance!$Z$6:$AF$105,Arablefinance!$AF$2,FALSE)*C48*D48,VLOOKUP(B48,Arablefinance!$E$6:$X$126,Arablefinance!$R$2,FALSE)*D48),0)*IF(A48&gt;='Options and results'!$J$27,'Options and results'!$J$26,1))*IF(1+'Options and results'!$O$22*(A48-1)&gt;0,1+'Options and results'!$O$22*(A48-1),0)</f>
        <v>0</v>
      </c>
      <c r="K48" s="10">
        <f t="shared" si="11"/>
        <v>0</v>
      </c>
      <c r="L48" s="10">
        <f>IF(D48&lt;=0,0,IF(A48&lt;='Options and results'!$W$20,IF(C48&gt;0,VLOOKUP(B48,Arablefinance!$Z$6:$AG$105,Arablefinance!$AG$2,FALSE)*C48*D48,VLOOKUP(B48,Arablefinance!$E$6:$X$126,Arablefinance!$X$2,FALSE)*D48),0)*IF(A48&gt;='Options and results'!$J$27,'Options and results'!$J$26,1))*IF(1+'Options and results'!$O$22*(A48-1)&gt;0,1+'Options and results'!$O$22*(A48-1),0)</f>
        <v>0</v>
      </c>
      <c r="M48" s="10">
        <f>IF(D48&lt;=0,0,IF(A48&lt;='Options and results'!$W$20,'Options and results'!$C$27*IF(A48&gt;='Options and results'!$J$27,'Options and results'!$J$26,1),0))*IF(1+'Options and results'!$O$21*(A48-1)&gt;0,1+'Options and results'!$O$21*(A48-1),0)</f>
        <v>14.6</v>
      </c>
      <c r="N48" s="10">
        <f>IF(D48&lt;=0,0,IF(A48&lt;='Options and results'!$W$20,IF(C48&gt;0,VLOOKUP(B48,Arablefinance!$Z$6:$AH$105,Arablefinance!$AH$2,FALSE)*C48*D48,VLOOKUP(B48,Arablefinance!$E$6:$W$126,Arablefinance!$V$2,FALSE)*D48),0)*IF(A48&gt;='Options and results'!$J$25,'Options and results'!$J$24,1))</f>
        <v>0</v>
      </c>
      <c r="O48" s="200">
        <f t="shared" si="1"/>
        <v>0</v>
      </c>
      <c r="P48" s="201">
        <f>IF(A48&lt;='Options and results'!$W$20,SUM($O$28:O48),0)</f>
        <v>1474.6409117075832</v>
      </c>
      <c r="Q48" s="36">
        <f t="shared" si="2"/>
        <v>0</v>
      </c>
      <c r="R48" s="108">
        <f t="shared" ca="1" si="3"/>
        <v>0</v>
      </c>
      <c r="S48" s="108">
        <f t="shared" si="4"/>
        <v>10</v>
      </c>
      <c r="T48" s="10" t="str">
        <f t="shared" ca="1" si="12"/>
        <v/>
      </c>
      <c r="U48" s="1" t="str">
        <f>IF(Optimisation!$B$3="Yes",IF(A48&lt;=Optimisation!$B$9,Optimisation!B48,Optimisation!$B$11),B48)</f>
        <v>UK - Agriculture (BPS: from 2015) Agroforestry fallow</v>
      </c>
      <c r="V48" s="202">
        <f t="shared" si="13"/>
        <v>0</v>
      </c>
      <c r="W48" s="203">
        <f t="shared" ca="1" si="5"/>
        <v>0</v>
      </c>
      <c r="X48" s="203">
        <f t="shared" si="6"/>
        <v>2</v>
      </c>
      <c r="Y48" s="10" t="str">
        <f t="shared" ca="1" si="7"/>
        <v/>
      </c>
      <c r="Z48" s="204" t="str">
        <f>IF(Optimisation!$B$3="Yes",IF(Optimisation!A48&lt;=Optimisation!$B$16,Optimisation!B48,Optimisation!$B$18),B48)</f>
        <v>UK - Agriculture (BPS: from 2015) Agroforestry fallow</v>
      </c>
      <c r="AA48" s="205" t="str">
        <f t="shared" si="8"/>
        <v>UK - Agriculture (BPS: from 2015) Agroforestry fallow</v>
      </c>
      <c r="AG48" s="10"/>
    </row>
    <row r="49" spans="1:33" x14ac:dyDescent="0.25">
      <c r="A49" s="196">
        <f t="shared" si="9"/>
        <v>22</v>
      </c>
      <c r="B49" s="197" t="str">
        <f>IF('Options and results'!$C$54="None",0,IF(AND(A49&gt;='Options and results'!$K$57,A48&lt;'Options and results'!$W$20),'Options and results'!$K$56,CONCATENATE('Options and results'!$C$60," ",(HLOOKUP(CONCATENATE('Options and results'!$C$54," ",Agroforestrysystem!$B$12),Agroforestrysystem!$B$11:$IM$74,$A49+4,FALSE)))))</f>
        <v>UK - Agriculture (BPS: from 2015) Agroforestry fallow</v>
      </c>
      <c r="C49" s="198">
        <f>IF(HLOOKUP(CONCATENATE('Options and results'!$C$54," ",Agroforestrysystem!$C$12),Agroforestrysystem!$B$11:$IM$74,$A49+4,FALSE)="T",(VLOOKUP(B49,Arablefinance!$Z$6:$AB$105,Arablefinance!$AB$2,FALSE)*E49+VLOOKUP(B49,Arablefinance!$Z$6:$AC$105,Arablefinance!$AC$2,FALSE)*F49)/VLOOKUP(B49,Arablefinance!$Z$6:$AA$105,Arablefinance!$AA$2,FALSE),0)</f>
        <v>0</v>
      </c>
      <c r="D49" s="199">
        <f>IF(B49=0,0,HLOOKUP(CONCATENATE('Options and results'!$C$54," ",Agroforestrysystem!$D$12),Agroforestrysystem!$B$11:$IM$74,$A49+4,FALSE))</f>
        <v>0.99</v>
      </c>
      <c r="E49" s="42">
        <f>IF(B49=0,0,HLOOKUP(CONCATENATE('Options and results'!$C$54," ",Agroforestrysystem!$E$12),Agroforestrysystem!$B$11:$IM$74,$A49+4,FALSE)*IF(A49&gt;='Options and results'!$J$19,'Options and results'!$J$18,1))</f>
        <v>0</v>
      </c>
      <c r="F49" s="42">
        <f>IF(B49=0,0,HLOOKUP(CONCATENATE('Options and results'!$C$54," ",Agroforestrysystem!$F$12),Agroforestrysystem!$B$11:$IM$74,$A49+4,FALSE)*IF(A49&gt;='Options and results'!$J$19,'Options and results'!$J$18,1))</f>
        <v>0</v>
      </c>
      <c r="G49" s="200">
        <f>IF(D49&lt;=0,0,IF(A49&lt;='Options and results'!$W$20,IF(C49&gt;0,VLOOKUP(B49,Arablefinance!$Z$6:$AE$105,Arablefinance!$AD$2,FALSE)*C49*D49,((VLOOKUP(B49,Arablefinance!$E$6:$H$126,2,FALSE)*E49+VLOOKUP(B49,Arablefinance!$E$6:$H$126,3,FALSE)*F49)*D49)),0)*IF(A49&gt;='Options and results'!$J$21,'Options and results'!$J$20,1))*IF(1+'Options and results'!$O$20*(A49-1)&gt;0,1+'Options and results'!$O$20*(A49-1),0)</f>
        <v>0</v>
      </c>
      <c r="H49" s="10">
        <f>IF(D49&lt;=0,0,IF(C49&gt;0,VLOOKUP(B49,Arablefinance!$Z$6:$AE$105,Arablefinance!$AE$2,FALSE)*C49*D49,IF('Options and results'!$C$62&gt;0,IF(VLOOKUP(B49,Arablefinance!$E$6:$W$126,Arablefinance!$H$2,FALSE)*(1-Plot!AC49*'Options and results'!$C$62)&gt;0,VLOOKUP(B49,Arablefinance!$E$6:$W$126,Arablefinance!$H$2,FALSE)*(1-Plot!AC49*'Options and results'!$C$62),0),IF(A49&lt;='Options and results'!$W$20,(VLOOKUP(B49,Arablefinance!$E$6:$W$126,Arablefinance!$H$2,FALSE)*IF('Options and results'!$C$61="area",D49,'Options and results'!$C$61)),0)))*IF(A49&gt;='Options and results'!$J$23,'Options and results'!$J$22,1))*IF(AND(1+'Options and results'!$O$23*(A49-1)&gt;0,1+'Options and results'!$O$23*(A49-1)&gt;'Options and results'!$S$24),1+'Options and results'!$O$23*(A49-1),'Options and results'!$S$24)</f>
        <v>0</v>
      </c>
      <c r="I49" s="10">
        <f t="shared" si="10"/>
        <v>0</v>
      </c>
      <c r="J49" s="10">
        <f>IF(D49&lt;=0,0,IF(A49&lt;='Options and results'!$W$20,IF(C49&gt;0,VLOOKUP(B49,Arablefinance!$Z$6:$AF$105,Arablefinance!$AF$2,FALSE)*C49*D49,VLOOKUP(B49,Arablefinance!$E$6:$X$126,Arablefinance!$R$2,FALSE)*D49),0)*IF(A49&gt;='Options and results'!$J$27,'Options and results'!$J$26,1))*IF(1+'Options and results'!$O$22*(A49-1)&gt;0,1+'Options and results'!$O$22*(A49-1),0)</f>
        <v>0</v>
      </c>
      <c r="K49" s="10">
        <f t="shared" si="11"/>
        <v>0</v>
      </c>
      <c r="L49" s="10">
        <f>IF(D49&lt;=0,0,IF(A49&lt;='Options and results'!$W$20,IF(C49&gt;0,VLOOKUP(B49,Arablefinance!$Z$6:$AG$105,Arablefinance!$AG$2,FALSE)*C49*D49,VLOOKUP(B49,Arablefinance!$E$6:$X$126,Arablefinance!$X$2,FALSE)*D49),0)*IF(A49&gt;='Options and results'!$J$27,'Options and results'!$J$26,1))*IF(1+'Options and results'!$O$22*(A49-1)&gt;0,1+'Options and results'!$O$22*(A49-1),0)</f>
        <v>0</v>
      </c>
      <c r="M49" s="10">
        <f>IF(D49&lt;=0,0,IF(A49&lt;='Options and results'!$W$20,'Options and results'!$C$27*IF(A49&gt;='Options and results'!$J$27,'Options and results'!$J$26,1),0))*IF(1+'Options and results'!$O$21*(A49-1)&gt;0,1+'Options and results'!$O$21*(A49-1),0)</f>
        <v>14.6</v>
      </c>
      <c r="N49" s="10">
        <f>IF(D49&lt;=0,0,IF(A49&lt;='Options and results'!$W$20,IF(C49&gt;0,VLOOKUP(B49,Arablefinance!$Z$6:$AH$105,Arablefinance!$AH$2,FALSE)*C49*D49,VLOOKUP(B49,Arablefinance!$E$6:$W$126,Arablefinance!$V$2,FALSE)*D49),0)*IF(A49&gt;='Options and results'!$J$25,'Options and results'!$J$24,1))</f>
        <v>0</v>
      </c>
      <c r="O49" s="200">
        <f t="shared" si="1"/>
        <v>0</v>
      </c>
      <c r="P49" s="201">
        <f>IF(A49&lt;='Options and results'!$W$20,SUM($O$28:O49),0)</f>
        <v>1474.6409117075832</v>
      </c>
      <c r="Q49" s="36">
        <f t="shared" si="2"/>
        <v>0</v>
      </c>
      <c r="R49" s="108">
        <f t="shared" ca="1" si="3"/>
        <v>0</v>
      </c>
      <c r="S49" s="108">
        <f t="shared" si="4"/>
        <v>10</v>
      </c>
      <c r="T49" s="10" t="str">
        <f t="shared" ca="1" si="12"/>
        <v/>
      </c>
      <c r="U49" s="1" t="str">
        <f>IF(Optimisation!$B$3="Yes",IF(A49&lt;=Optimisation!$B$9,Optimisation!B49,Optimisation!$B$11),B49)</f>
        <v>UK - Agriculture (BPS: from 2015) Agroforestry fallow</v>
      </c>
      <c r="V49" s="202">
        <f t="shared" si="13"/>
        <v>0</v>
      </c>
      <c r="W49" s="203">
        <f t="shared" ca="1" si="5"/>
        <v>0</v>
      </c>
      <c r="X49" s="203">
        <f t="shared" si="6"/>
        <v>2</v>
      </c>
      <c r="Y49" s="10" t="str">
        <f t="shared" ca="1" si="7"/>
        <v/>
      </c>
      <c r="Z49" s="204" t="str">
        <f>IF(Optimisation!$B$3="Yes",IF(Optimisation!A49&lt;=Optimisation!$B$16,Optimisation!B49,Optimisation!$B$18),B49)</f>
        <v>UK - Agriculture (BPS: from 2015) Agroforestry fallow</v>
      </c>
      <c r="AA49" s="205" t="str">
        <f t="shared" si="8"/>
        <v>UK - Agriculture (BPS: from 2015) Agroforestry fallow</v>
      </c>
      <c r="AG49" s="10"/>
    </row>
    <row r="50" spans="1:33" x14ac:dyDescent="0.25">
      <c r="A50" s="196">
        <f t="shared" si="9"/>
        <v>23</v>
      </c>
      <c r="B50" s="197" t="str">
        <f>IF('Options and results'!$C$54="None",0,IF(AND(A50&gt;='Options and results'!$K$57,A49&lt;'Options and results'!$W$20),'Options and results'!$K$56,CONCATENATE('Options and results'!$C$60," ",(HLOOKUP(CONCATENATE('Options and results'!$C$54," ",Agroforestrysystem!$B$12),Agroforestrysystem!$B$11:$IM$74,$A50+4,FALSE)))))</f>
        <v>UK - Agriculture (BPS: from 2015) Agroforestry fallow</v>
      </c>
      <c r="C50" s="198">
        <f>IF(HLOOKUP(CONCATENATE('Options and results'!$C$54," ",Agroforestrysystem!$C$12),Agroforestrysystem!$B$11:$IM$74,$A50+4,FALSE)="T",(VLOOKUP(B50,Arablefinance!$Z$6:$AB$105,Arablefinance!$AB$2,FALSE)*E50+VLOOKUP(B50,Arablefinance!$Z$6:$AC$105,Arablefinance!$AC$2,FALSE)*F50)/VLOOKUP(B50,Arablefinance!$Z$6:$AA$105,Arablefinance!$AA$2,FALSE),0)</f>
        <v>0</v>
      </c>
      <c r="D50" s="199">
        <f>IF(B50=0,0,HLOOKUP(CONCATENATE('Options and results'!$C$54," ",Agroforestrysystem!$D$12),Agroforestrysystem!$B$11:$IM$74,$A50+4,FALSE))</f>
        <v>0.99</v>
      </c>
      <c r="E50" s="42">
        <f>IF(B50=0,0,HLOOKUP(CONCATENATE('Options and results'!$C$54," ",Agroforestrysystem!$E$12),Agroforestrysystem!$B$11:$IM$74,$A50+4,FALSE)*IF(A50&gt;='Options and results'!$J$19,'Options and results'!$J$18,1))</f>
        <v>0</v>
      </c>
      <c r="F50" s="42">
        <f>IF(B50=0,0,HLOOKUP(CONCATENATE('Options and results'!$C$54," ",Agroforestrysystem!$F$12),Agroforestrysystem!$B$11:$IM$74,$A50+4,FALSE)*IF(A50&gt;='Options and results'!$J$19,'Options and results'!$J$18,1))</f>
        <v>0</v>
      </c>
      <c r="G50" s="200">
        <f>IF(D50&lt;=0,0,IF(A50&lt;='Options and results'!$W$20,IF(C50&gt;0,VLOOKUP(B50,Arablefinance!$Z$6:$AE$105,Arablefinance!$AD$2,FALSE)*C50*D50,((VLOOKUP(B50,Arablefinance!$E$6:$H$126,2,FALSE)*E50+VLOOKUP(B50,Arablefinance!$E$6:$H$126,3,FALSE)*F50)*D50)),0)*IF(A50&gt;='Options and results'!$J$21,'Options and results'!$J$20,1))*IF(1+'Options and results'!$O$20*(A50-1)&gt;0,1+'Options and results'!$O$20*(A50-1),0)</f>
        <v>0</v>
      </c>
      <c r="H50" s="10">
        <f>IF(D50&lt;=0,0,IF(C50&gt;0,VLOOKUP(B50,Arablefinance!$Z$6:$AE$105,Arablefinance!$AE$2,FALSE)*C50*D50,IF('Options and results'!$C$62&gt;0,IF(VLOOKUP(B50,Arablefinance!$E$6:$W$126,Arablefinance!$H$2,FALSE)*(1-Plot!AC50*'Options and results'!$C$62)&gt;0,VLOOKUP(B50,Arablefinance!$E$6:$W$126,Arablefinance!$H$2,FALSE)*(1-Plot!AC50*'Options and results'!$C$62),0),IF(A50&lt;='Options and results'!$W$20,(VLOOKUP(B50,Arablefinance!$E$6:$W$126,Arablefinance!$H$2,FALSE)*IF('Options and results'!$C$61="area",D50,'Options and results'!$C$61)),0)))*IF(A50&gt;='Options and results'!$J$23,'Options and results'!$J$22,1))*IF(AND(1+'Options and results'!$O$23*(A50-1)&gt;0,1+'Options and results'!$O$23*(A50-1)&gt;'Options and results'!$S$24),1+'Options and results'!$O$23*(A50-1),'Options and results'!$S$24)</f>
        <v>0</v>
      </c>
      <c r="I50" s="10">
        <f t="shared" si="10"/>
        <v>0</v>
      </c>
      <c r="J50" s="10">
        <f>IF(D50&lt;=0,0,IF(A50&lt;='Options and results'!$W$20,IF(C50&gt;0,VLOOKUP(B50,Arablefinance!$Z$6:$AF$105,Arablefinance!$AF$2,FALSE)*C50*D50,VLOOKUP(B50,Arablefinance!$E$6:$X$126,Arablefinance!$R$2,FALSE)*D50),0)*IF(A50&gt;='Options and results'!$J$27,'Options and results'!$J$26,1))*IF(1+'Options and results'!$O$22*(A50-1)&gt;0,1+'Options and results'!$O$22*(A50-1),0)</f>
        <v>0</v>
      </c>
      <c r="K50" s="10">
        <f t="shared" si="11"/>
        <v>0</v>
      </c>
      <c r="L50" s="10">
        <f>IF(D50&lt;=0,0,IF(A50&lt;='Options and results'!$W$20,IF(C50&gt;0,VLOOKUP(B50,Arablefinance!$Z$6:$AG$105,Arablefinance!$AG$2,FALSE)*C50*D50,VLOOKUP(B50,Arablefinance!$E$6:$X$126,Arablefinance!$X$2,FALSE)*D50),0)*IF(A50&gt;='Options and results'!$J$27,'Options and results'!$J$26,1))*IF(1+'Options and results'!$O$22*(A50-1)&gt;0,1+'Options and results'!$O$22*(A50-1),0)</f>
        <v>0</v>
      </c>
      <c r="M50" s="10">
        <f>IF(D50&lt;=0,0,IF(A50&lt;='Options and results'!$W$20,'Options and results'!$C$27*IF(A50&gt;='Options and results'!$J$27,'Options and results'!$J$26,1),0))*IF(1+'Options and results'!$O$21*(A50-1)&gt;0,1+'Options and results'!$O$21*(A50-1),0)</f>
        <v>14.6</v>
      </c>
      <c r="N50" s="10">
        <f>IF(D50&lt;=0,0,IF(A50&lt;='Options and results'!$W$20,IF(C50&gt;0,VLOOKUP(B50,Arablefinance!$Z$6:$AH$105,Arablefinance!$AH$2,FALSE)*C50*D50,VLOOKUP(B50,Arablefinance!$E$6:$W$126,Arablefinance!$V$2,FALSE)*D50),0)*IF(A50&gt;='Options and results'!$J$25,'Options and results'!$J$24,1))</f>
        <v>0</v>
      </c>
      <c r="O50" s="200">
        <f t="shared" si="1"/>
        <v>0</v>
      </c>
      <c r="P50" s="201">
        <f>IF(A50&lt;='Options and results'!$W$20,SUM($O$28:O50),0)</f>
        <v>1474.6409117075832</v>
      </c>
      <c r="Q50" s="36">
        <f t="shared" si="2"/>
        <v>0</v>
      </c>
      <c r="R50" s="108">
        <f t="shared" ca="1" si="3"/>
        <v>0</v>
      </c>
      <c r="S50" s="108">
        <f t="shared" si="4"/>
        <v>10</v>
      </c>
      <c r="T50" s="10" t="str">
        <f t="shared" ca="1" si="12"/>
        <v/>
      </c>
      <c r="U50" s="1" t="str">
        <f>IF(Optimisation!$B$3="Yes",IF(A50&lt;=Optimisation!$B$9,Optimisation!B50,Optimisation!$B$11),B50)</f>
        <v>UK - Agriculture (BPS: from 2015) Agroforestry fallow</v>
      </c>
      <c r="V50" s="202">
        <f t="shared" si="13"/>
        <v>0</v>
      </c>
      <c r="W50" s="203">
        <f t="shared" ca="1" si="5"/>
        <v>0</v>
      </c>
      <c r="X50" s="203">
        <f t="shared" si="6"/>
        <v>2</v>
      </c>
      <c r="Y50" s="10" t="str">
        <f t="shared" ca="1" si="7"/>
        <v/>
      </c>
      <c r="Z50" s="204" t="str">
        <f>IF(Optimisation!$B$3="Yes",IF(Optimisation!A50&lt;=Optimisation!$B$16,Optimisation!B50,Optimisation!$B$18),B50)</f>
        <v>UK - Agriculture (BPS: from 2015) Agroforestry fallow</v>
      </c>
      <c r="AA50" s="205" t="str">
        <f t="shared" si="8"/>
        <v>UK - Agriculture (BPS: from 2015) Agroforestry fallow</v>
      </c>
      <c r="AG50" s="10"/>
    </row>
    <row r="51" spans="1:33" x14ac:dyDescent="0.25">
      <c r="A51" s="196">
        <f t="shared" si="9"/>
        <v>24</v>
      </c>
      <c r="B51" s="197" t="str">
        <f>IF('Options and results'!$C$54="None",0,IF(AND(A51&gt;='Options and results'!$K$57,A50&lt;'Options and results'!$W$20),'Options and results'!$K$56,CONCATENATE('Options and results'!$C$60," ",(HLOOKUP(CONCATENATE('Options and results'!$C$54," ",Agroforestrysystem!$B$12),Agroforestrysystem!$B$11:$IM$74,$A51+4,FALSE)))))</f>
        <v>UK - Agriculture (BPS: from 2015) Agroforestry fallow</v>
      </c>
      <c r="C51" s="198">
        <f>IF(HLOOKUP(CONCATENATE('Options and results'!$C$54," ",Agroforestrysystem!$C$12),Agroforestrysystem!$B$11:$IM$74,$A51+4,FALSE)="T",(VLOOKUP(B51,Arablefinance!$Z$6:$AB$105,Arablefinance!$AB$2,FALSE)*E51+VLOOKUP(B51,Arablefinance!$Z$6:$AC$105,Arablefinance!$AC$2,FALSE)*F51)/VLOOKUP(B51,Arablefinance!$Z$6:$AA$105,Arablefinance!$AA$2,FALSE),0)</f>
        <v>0</v>
      </c>
      <c r="D51" s="199">
        <f>IF(B51=0,0,HLOOKUP(CONCATENATE('Options and results'!$C$54," ",Agroforestrysystem!$D$12),Agroforestrysystem!$B$11:$IM$74,$A51+4,FALSE))</f>
        <v>0.99</v>
      </c>
      <c r="E51" s="42">
        <f>IF(B51=0,0,HLOOKUP(CONCATENATE('Options and results'!$C$54," ",Agroforestrysystem!$E$12),Agroforestrysystem!$B$11:$IM$74,$A51+4,FALSE)*IF(A51&gt;='Options and results'!$J$19,'Options and results'!$J$18,1))</f>
        <v>0</v>
      </c>
      <c r="F51" s="42">
        <f>IF(B51=0,0,HLOOKUP(CONCATENATE('Options and results'!$C$54," ",Agroforestrysystem!$F$12),Agroforestrysystem!$B$11:$IM$74,$A51+4,FALSE)*IF(A51&gt;='Options and results'!$J$19,'Options and results'!$J$18,1))</f>
        <v>0</v>
      </c>
      <c r="G51" s="200">
        <f>IF(D51&lt;=0,0,IF(A51&lt;='Options and results'!$W$20,IF(C51&gt;0,VLOOKUP(B51,Arablefinance!$Z$6:$AE$105,Arablefinance!$AD$2,FALSE)*C51*D51,((VLOOKUP(B51,Arablefinance!$E$6:$H$126,2,FALSE)*E51+VLOOKUP(B51,Arablefinance!$E$6:$H$126,3,FALSE)*F51)*D51)),0)*IF(A51&gt;='Options and results'!$J$21,'Options and results'!$J$20,1))*IF(1+'Options and results'!$O$20*(A51-1)&gt;0,1+'Options and results'!$O$20*(A51-1),0)</f>
        <v>0</v>
      </c>
      <c r="H51" s="10">
        <f>IF(D51&lt;=0,0,IF(C51&gt;0,VLOOKUP(B51,Arablefinance!$Z$6:$AE$105,Arablefinance!$AE$2,FALSE)*C51*D51,IF('Options and results'!$C$62&gt;0,IF(VLOOKUP(B51,Arablefinance!$E$6:$W$126,Arablefinance!$H$2,FALSE)*(1-Plot!AC51*'Options and results'!$C$62)&gt;0,VLOOKUP(B51,Arablefinance!$E$6:$W$126,Arablefinance!$H$2,FALSE)*(1-Plot!AC51*'Options and results'!$C$62),0),IF(A51&lt;='Options and results'!$W$20,(VLOOKUP(B51,Arablefinance!$E$6:$W$126,Arablefinance!$H$2,FALSE)*IF('Options and results'!$C$61="area",D51,'Options and results'!$C$61)),0)))*IF(A51&gt;='Options and results'!$J$23,'Options and results'!$J$22,1))*IF(AND(1+'Options and results'!$O$23*(A51-1)&gt;0,1+'Options and results'!$O$23*(A51-1)&gt;'Options and results'!$S$24),1+'Options and results'!$O$23*(A51-1),'Options and results'!$S$24)</f>
        <v>0</v>
      </c>
      <c r="I51" s="10">
        <f t="shared" si="10"/>
        <v>0</v>
      </c>
      <c r="J51" s="10">
        <f>IF(D51&lt;=0,0,IF(A51&lt;='Options and results'!$W$20,IF(C51&gt;0,VLOOKUP(B51,Arablefinance!$Z$6:$AF$105,Arablefinance!$AF$2,FALSE)*C51*D51,VLOOKUP(B51,Arablefinance!$E$6:$X$126,Arablefinance!$R$2,FALSE)*D51),0)*IF(A51&gt;='Options and results'!$J$27,'Options and results'!$J$26,1))*IF(1+'Options and results'!$O$22*(A51-1)&gt;0,1+'Options and results'!$O$22*(A51-1),0)</f>
        <v>0</v>
      </c>
      <c r="K51" s="10">
        <f t="shared" si="11"/>
        <v>0</v>
      </c>
      <c r="L51" s="10">
        <f>IF(D51&lt;=0,0,IF(A51&lt;='Options and results'!$W$20,IF(C51&gt;0,VLOOKUP(B51,Arablefinance!$Z$6:$AG$105,Arablefinance!$AG$2,FALSE)*C51*D51,VLOOKUP(B51,Arablefinance!$E$6:$X$126,Arablefinance!$X$2,FALSE)*D51),0)*IF(A51&gt;='Options and results'!$J$27,'Options and results'!$J$26,1))*IF(1+'Options and results'!$O$22*(A51-1)&gt;0,1+'Options and results'!$O$22*(A51-1),0)</f>
        <v>0</v>
      </c>
      <c r="M51" s="10">
        <f>IF(D51&lt;=0,0,IF(A51&lt;='Options and results'!$W$20,'Options and results'!$C$27*IF(A51&gt;='Options and results'!$J$27,'Options and results'!$J$26,1),0))*IF(1+'Options and results'!$O$21*(A51-1)&gt;0,1+'Options and results'!$O$21*(A51-1),0)</f>
        <v>14.6</v>
      </c>
      <c r="N51" s="10">
        <f>IF(D51&lt;=0,0,IF(A51&lt;='Options and results'!$W$20,IF(C51&gt;0,VLOOKUP(B51,Arablefinance!$Z$6:$AH$105,Arablefinance!$AH$2,FALSE)*C51*D51,VLOOKUP(B51,Arablefinance!$E$6:$W$126,Arablefinance!$V$2,FALSE)*D51),0)*IF(A51&gt;='Options and results'!$J$25,'Options and results'!$J$24,1))</f>
        <v>0</v>
      </c>
      <c r="O51" s="200">
        <f t="shared" si="1"/>
        <v>0</v>
      </c>
      <c r="P51" s="201">
        <f>IF(A51&lt;='Options and results'!$W$20,SUM($O$28:O51),0)</f>
        <v>1474.6409117075832</v>
      </c>
      <c r="Q51" s="36">
        <f t="shared" si="2"/>
        <v>0</v>
      </c>
      <c r="R51" s="108">
        <f t="shared" ca="1" si="3"/>
        <v>0</v>
      </c>
      <c r="S51" s="108">
        <f t="shared" si="4"/>
        <v>10</v>
      </c>
      <c r="T51" s="10" t="str">
        <f t="shared" ca="1" si="12"/>
        <v/>
      </c>
      <c r="U51" s="1" t="str">
        <f>IF(Optimisation!$B$3="Yes",IF(A51&lt;=Optimisation!$B$9,Optimisation!B51,Optimisation!$B$11),B51)</f>
        <v>UK - Agriculture (BPS: from 2015) Agroforestry fallow</v>
      </c>
      <c r="V51" s="202">
        <f t="shared" si="13"/>
        <v>0</v>
      </c>
      <c r="W51" s="203">
        <f t="shared" ca="1" si="5"/>
        <v>0</v>
      </c>
      <c r="X51" s="203">
        <f t="shared" si="6"/>
        <v>2</v>
      </c>
      <c r="Y51" s="10" t="str">
        <f t="shared" ca="1" si="7"/>
        <v/>
      </c>
      <c r="Z51" s="204" t="str">
        <f>IF(Optimisation!$B$3="Yes",IF(Optimisation!A51&lt;=Optimisation!$B$16,Optimisation!B51,Optimisation!$B$18),B51)</f>
        <v>UK - Agriculture (BPS: from 2015) Agroforestry fallow</v>
      </c>
      <c r="AA51" s="205" t="str">
        <f t="shared" si="8"/>
        <v>UK - Agriculture (BPS: from 2015) Agroforestry fallow</v>
      </c>
      <c r="AG51" s="10"/>
    </row>
    <row r="52" spans="1:33" x14ac:dyDescent="0.25">
      <c r="A52" s="196">
        <f t="shared" si="9"/>
        <v>25</v>
      </c>
      <c r="B52" s="197" t="str">
        <f>IF('Options and results'!$C$54="None",0,IF(AND(A52&gt;='Options and results'!$K$57,A51&lt;'Options and results'!$W$20),'Options and results'!$K$56,CONCATENATE('Options and results'!$C$60," ",(HLOOKUP(CONCATENATE('Options and results'!$C$54," ",Agroforestrysystem!$B$12),Agroforestrysystem!$B$11:$IM$74,$A52+4,FALSE)))))</f>
        <v>UK - Agriculture (BPS: from 2015) Agroforestry fallow</v>
      </c>
      <c r="C52" s="198">
        <f>IF(HLOOKUP(CONCATENATE('Options and results'!$C$54," ",Agroforestrysystem!$C$12),Agroforestrysystem!$B$11:$IM$74,$A52+4,FALSE)="T",(VLOOKUP(B52,Arablefinance!$Z$6:$AB$105,Arablefinance!$AB$2,FALSE)*E52+VLOOKUP(B52,Arablefinance!$Z$6:$AC$105,Arablefinance!$AC$2,FALSE)*F52)/VLOOKUP(B52,Arablefinance!$Z$6:$AA$105,Arablefinance!$AA$2,FALSE),0)</f>
        <v>0</v>
      </c>
      <c r="D52" s="199">
        <f>IF(B52=0,0,HLOOKUP(CONCATENATE('Options and results'!$C$54," ",Agroforestrysystem!$D$12),Agroforestrysystem!$B$11:$IM$74,$A52+4,FALSE))</f>
        <v>0.99</v>
      </c>
      <c r="E52" s="42">
        <f>IF(B52=0,0,HLOOKUP(CONCATENATE('Options and results'!$C$54," ",Agroforestrysystem!$E$12),Agroforestrysystem!$B$11:$IM$74,$A52+4,FALSE)*IF(A52&gt;='Options and results'!$J$19,'Options and results'!$J$18,1))</f>
        <v>0</v>
      </c>
      <c r="F52" s="42">
        <f>IF(B52=0,0,HLOOKUP(CONCATENATE('Options and results'!$C$54," ",Agroforestrysystem!$F$12),Agroforestrysystem!$B$11:$IM$74,$A52+4,FALSE)*IF(A52&gt;='Options and results'!$J$19,'Options and results'!$J$18,1))</f>
        <v>0</v>
      </c>
      <c r="G52" s="200">
        <f>IF(D52&lt;=0,0,IF(A52&lt;='Options and results'!$W$20,IF(C52&gt;0,VLOOKUP(B52,Arablefinance!$Z$6:$AE$105,Arablefinance!$AD$2,FALSE)*C52*D52,((VLOOKUP(B52,Arablefinance!$E$6:$H$126,2,FALSE)*E52+VLOOKUP(B52,Arablefinance!$E$6:$H$126,3,FALSE)*F52)*D52)),0)*IF(A52&gt;='Options and results'!$J$21,'Options and results'!$J$20,1))*IF(1+'Options and results'!$O$20*(A52-1)&gt;0,1+'Options and results'!$O$20*(A52-1),0)</f>
        <v>0</v>
      </c>
      <c r="H52" s="10">
        <f>IF(D52&lt;=0,0,IF(C52&gt;0,VLOOKUP(B52,Arablefinance!$Z$6:$AE$105,Arablefinance!$AE$2,FALSE)*C52*D52,IF('Options and results'!$C$62&gt;0,IF(VLOOKUP(B52,Arablefinance!$E$6:$W$126,Arablefinance!$H$2,FALSE)*(1-Plot!AC52*'Options and results'!$C$62)&gt;0,VLOOKUP(B52,Arablefinance!$E$6:$W$126,Arablefinance!$H$2,FALSE)*(1-Plot!AC52*'Options and results'!$C$62),0),IF(A52&lt;='Options and results'!$W$20,(VLOOKUP(B52,Arablefinance!$E$6:$W$126,Arablefinance!$H$2,FALSE)*IF('Options and results'!$C$61="area",D52,'Options and results'!$C$61)),0)))*IF(A52&gt;='Options and results'!$J$23,'Options and results'!$J$22,1))*IF(AND(1+'Options and results'!$O$23*(A52-1)&gt;0,1+'Options and results'!$O$23*(A52-1)&gt;'Options and results'!$S$24),1+'Options and results'!$O$23*(A52-1),'Options and results'!$S$24)</f>
        <v>0</v>
      </c>
      <c r="I52" s="10">
        <f t="shared" si="10"/>
        <v>0</v>
      </c>
      <c r="J52" s="10">
        <f>IF(D52&lt;=0,0,IF(A52&lt;='Options and results'!$W$20,IF(C52&gt;0,VLOOKUP(B52,Arablefinance!$Z$6:$AF$105,Arablefinance!$AF$2,FALSE)*C52*D52,VLOOKUP(B52,Arablefinance!$E$6:$X$126,Arablefinance!$R$2,FALSE)*D52),0)*IF(A52&gt;='Options and results'!$J$27,'Options and results'!$J$26,1))*IF(1+'Options and results'!$O$22*(A52-1)&gt;0,1+'Options and results'!$O$22*(A52-1),0)</f>
        <v>0</v>
      </c>
      <c r="K52" s="10">
        <f t="shared" si="11"/>
        <v>0</v>
      </c>
      <c r="L52" s="10">
        <f>IF(D52&lt;=0,0,IF(A52&lt;='Options and results'!$W$20,IF(C52&gt;0,VLOOKUP(B52,Arablefinance!$Z$6:$AG$105,Arablefinance!$AG$2,FALSE)*C52*D52,VLOOKUP(B52,Arablefinance!$E$6:$X$126,Arablefinance!$X$2,FALSE)*D52),0)*IF(A52&gt;='Options and results'!$J$27,'Options and results'!$J$26,1))*IF(1+'Options and results'!$O$22*(A52-1)&gt;0,1+'Options and results'!$O$22*(A52-1),0)</f>
        <v>0</v>
      </c>
      <c r="M52" s="10">
        <f>IF(D52&lt;=0,0,IF(A52&lt;='Options and results'!$W$20,'Options and results'!$C$27*IF(A52&gt;='Options and results'!$J$27,'Options and results'!$J$26,1),0))*IF(1+'Options and results'!$O$21*(A52-1)&gt;0,1+'Options and results'!$O$21*(A52-1),0)</f>
        <v>14.6</v>
      </c>
      <c r="N52" s="10">
        <f>IF(D52&lt;=0,0,IF(A52&lt;='Options and results'!$W$20,IF(C52&gt;0,VLOOKUP(B52,Arablefinance!$Z$6:$AH$105,Arablefinance!$AH$2,FALSE)*C52*D52,VLOOKUP(B52,Arablefinance!$E$6:$W$126,Arablefinance!$V$2,FALSE)*D52),0)*IF(A52&gt;='Options and results'!$J$25,'Options and results'!$J$24,1))</f>
        <v>0</v>
      </c>
      <c r="O52" s="200">
        <f t="shared" si="1"/>
        <v>0</v>
      </c>
      <c r="P52" s="201">
        <f>IF(A52&lt;='Options and results'!$W$20,SUM($O$28:O52),0)</f>
        <v>1474.6409117075832</v>
      </c>
      <c r="Q52" s="36">
        <f t="shared" si="2"/>
        <v>0</v>
      </c>
      <c r="R52" s="108">
        <f t="shared" ca="1" si="3"/>
        <v>0</v>
      </c>
      <c r="S52" s="108">
        <f t="shared" si="4"/>
        <v>10</v>
      </c>
      <c r="T52" s="10" t="str">
        <f t="shared" ca="1" si="12"/>
        <v/>
      </c>
      <c r="U52" s="1" t="str">
        <f>IF(Optimisation!$B$3="Yes",IF(A52&lt;=Optimisation!$B$9,Optimisation!B52,Optimisation!$B$11),B52)</f>
        <v>UK - Agriculture (BPS: from 2015) Agroforestry fallow</v>
      </c>
      <c r="V52" s="202">
        <f t="shared" si="13"/>
        <v>0</v>
      </c>
      <c r="W52" s="203">
        <f t="shared" ca="1" si="5"/>
        <v>0</v>
      </c>
      <c r="X52" s="203">
        <f t="shared" si="6"/>
        <v>2</v>
      </c>
      <c r="Y52" s="10" t="str">
        <f t="shared" ca="1" si="7"/>
        <v/>
      </c>
      <c r="Z52" s="204" t="str">
        <f>IF(Optimisation!$B$3="Yes",IF(Optimisation!A52&lt;=Optimisation!$B$16,Optimisation!B52,Optimisation!$B$18),B52)</f>
        <v>UK - Agriculture (BPS: from 2015) Agroforestry fallow</v>
      </c>
      <c r="AA52" s="205" t="str">
        <f t="shared" si="8"/>
        <v>UK - Agriculture (BPS: from 2015) Agroforestry fallow</v>
      </c>
      <c r="AG52" s="10"/>
    </row>
    <row r="53" spans="1:33" x14ac:dyDescent="0.25">
      <c r="A53" s="196">
        <f t="shared" si="9"/>
        <v>26</v>
      </c>
      <c r="B53" s="197" t="str">
        <f>IF('Options and results'!$C$54="None",0,IF(AND(A53&gt;='Options and results'!$K$57,A52&lt;'Options and results'!$W$20),'Options and results'!$K$56,CONCATENATE('Options and results'!$C$60," ",(HLOOKUP(CONCATENATE('Options and results'!$C$54," ",Agroforestrysystem!$B$12),Agroforestrysystem!$B$11:$IM$74,$A53+4,FALSE)))))</f>
        <v>UK - Agriculture (BPS: from 2015) Agroforestry fallow</v>
      </c>
      <c r="C53" s="198">
        <f>IF(HLOOKUP(CONCATENATE('Options and results'!$C$54," ",Agroforestrysystem!$C$12),Agroforestrysystem!$B$11:$IM$74,$A53+4,FALSE)="T",(VLOOKUP(B53,Arablefinance!$Z$6:$AB$105,Arablefinance!$AB$2,FALSE)*E53+VLOOKUP(B53,Arablefinance!$Z$6:$AC$105,Arablefinance!$AC$2,FALSE)*F53)/VLOOKUP(B53,Arablefinance!$Z$6:$AA$105,Arablefinance!$AA$2,FALSE),0)</f>
        <v>0</v>
      </c>
      <c r="D53" s="199">
        <f>IF(B53=0,0,HLOOKUP(CONCATENATE('Options and results'!$C$54," ",Agroforestrysystem!$D$12),Agroforestrysystem!$B$11:$IM$74,$A53+4,FALSE))</f>
        <v>0.99</v>
      </c>
      <c r="E53" s="42">
        <f>IF(B53=0,0,HLOOKUP(CONCATENATE('Options and results'!$C$54," ",Agroforestrysystem!$E$12),Agroforestrysystem!$B$11:$IM$74,$A53+4,FALSE)*IF(A53&gt;='Options and results'!$J$19,'Options and results'!$J$18,1))</f>
        <v>0</v>
      </c>
      <c r="F53" s="42">
        <f>IF(B53=0,0,HLOOKUP(CONCATENATE('Options and results'!$C$54," ",Agroforestrysystem!$F$12),Agroforestrysystem!$B$11:$IM$74,$A53+4,FALSE)*IF(A53&gt;='Options and results'!$J$19,'Options and results'!$J$18,1))</f>
        <v>0</v>
      </c>
      <c r="G53" s="200">
        <f>IF(D53&lt;=0,0,IF(A53&lt;='Options and results'!$W$20,IF(C53&gt;0,VLOOKUP(B53,Arablefinance!$Z$6:$AE$105,Arablefinance!$AD$2,FALSE)*C53*D53,((VLOOKUP(B53,Arablefinance!$E$6:$H$126,2,FALSE)*E53+VLOOKUP(B53,Arablefinance!$E$6:$H$126,3,FALSE)*F53)*D53)),0)*IF(A53&gt;='Options and results'!$J$21,'Options and results'!$J$20,1))*IF(1+'Options and results'!$O$20*(A53-1)&gt;0,1+'Options and results'!$O$20*(A53-1),0)</f>
        <v>0</v>
      </c>
      <c r="H53" s="10">
        <f>IF(D53&lt;=0,0,IF(C53&gt;0,VLOOKUP(B53,Arablefinance!$Z$6:$AE$105,Arablefinance!$AE$2,FALSE)*C53*D53,IF('Options and results'!$C$62&gt;0,IF(VLOOKUP(B53,Arablefinance!$E$6:$W$126,Arablefinance!$H$2,FALSE)*(1-Plot!AC53*'Options and results'!$C$62)&gt;0,VLOOKUP(B53,Arablefinance!$E$6:$W$126,Arablefinance!$H$2,FALSE)*(1-Plot!AC53*'Options and results'!$C$62),0),IF(A53&lt;='Options and results'!$W$20,(VLOOKUP(B53,Arablefinance!$E$6:$W$126,Arablefinance!$H$2,FALSE)*IF('Options and results'!$C$61="area",D53,'Options and results'!$C$61)),0)))*IF(A53&gt;='Options and results'!$J$23,'Options and results'!$J$22,1))*IF(AND(1+'Options and results'!$O$23*(A53-1)&gt;0,1+'Options and results'!$O$23*(A53-1)&gt;'Options and results'!$S$24),1+'Options and results'!$O$23*(A53-1),'Options and results'!$S$24)</f>
        <v>0</v>
      </c>
      <c r="I53" s="10">
        <f t="shared" si="10"/>
        <v>0</v>
      </c>
      <c r="J53" s="10">
        <f>IF(D53&lt;=0,0,IF(A53&lt;='Options and results'!$W$20,IF(C53&gt;0,VLOOKUP(B53,Arablefinance!$Z$6:$AF$105,Arablefinance!$AF$2,FALSE)*C53*D53,VLOOKUP(B53,Arablefinance!$E$6:$X$126,Arablefinance!$R$2,FALSE)*D53),0)*IF(A53&gt;='Options and results'!$J$27,'Options and results'!$J$26,1))*IF(1+'Options and results'!$O$22*(A53-1)&gt;0,1+'Options and results'!$O$22*(A53-1),0)</f>
        <v>0</v>
      </c>
      <c r="K53" s="10">
        <f t="shared" si="11"/>
        <v>0</v>
      </c>
      <c r="L53" s="10">
        <f>IF(D53&lt;=0,0,IF(A53&lt;='Options and results'!$W$20,IF(C53&gt;0,VLOOKUP(B53,Arablefinance!$Z$6:$AG$105,Arablefinance!$AG$2,FALSE)*C53*D53,VLOOKUP(B53,Arablefinance!$E$6:$X$126,Arablefinance!$X$2,FALSE)*D53),0)*IF(A53&gt;='Options and results'!$J$27,'Options and results'!$J$26,1))*IF(1+'Options and results'!$O$22*(A53-1)&gt;0,1+'Options and results'!$O$22*(A53-1),0)</f>
        <v>0</v>
      </c>
      <c r="M53" s="10">
        <f>IF(D53&lt;=0,0,IF(A53&lt;='Options and results'!$W$20,'Options and results'!$C$27*IF(A53&gt;='Options and results'!$J$27,'Options and results'!$J$26,1),0))*IF(1+'Options and results'!$O$21*(A53-1)&gt;0,1+'Options and results'!$O$21*(A53-1),0)</f>
        <v>14.6</v>
      </c>
      <c r="N53" s="10">
        <f>IF(D53&lt;=0,0,IF(A53&lt;='Options and results'!$W$20,IF(C53&gt;0,VLOOKUP(B53,Arablefinance!$Z$6:$AH$105,Arablefinance!$AH$2,FALSE)*C53*D53,VLOOKUP(B53,Arablefinance!$E$6:$W$126,Arablefinance!$V$2,FALSE)*D53),0)*IF(A53&gt;='Options and results'!$J$25,'Options and results'!$J$24,1))</f>
        <v>0</v>
      </c>
      <c r="O53" s="200">
        <f t="shared" si="1"/>
        <v>0</v>
      </c>
      <c r="P53" s="201">
        <f>IF(A53&lt;='Options and results'!$W$20,SUM($O$28:O53),0)</f>
        <v>1474.6409117075832</v>
      </c>
      <c r="Q53" s="36">
        <f t="shared" si="2"/>
        <v>0</v>
      </c>
      <c r="R53" s="108">
        <f t="shared" ca="1" si="3"/>
        <v>0</v>
      </c>
      <c r="S53" s="108">
        <f t="shared" si="4"/>
        <v>10</v>
      </c>
      <c r="T53" s="10" t="str">
        <f t="shared" ca="1" si="12"/>
        <v/>
      </c>
      <c r="U53" s="1" t="str">
        <f>IF(Optimisation!$B$3="Yes",IF(A53&lt;=Optimisation!$B$9,Optimisation!B53,Optimisation!$B$11),B53)</f>
        <v>UK - Agriculture (BPS: from 2015) Agroforestry fallow</v>
      </c>
      <c r="V53" s="202">
        <f t="shared" si="13"/>
        <v>0</v>
      </c>
      <c r="W53" s="203">
        <f t="shared" ca="1" si="5"/>
        <v>0</v>
      </c>
      <c r="X53" s="203">
        <f t="shared" si="6"/>
        <v>2</v>
      </c>
      <c r="Y53" s="10" t="str">
        <f t="shared" ca="1" si="7"/>
        <v/>
      </c>
      <c r="Z53" s="204" t="str">
        <f>IF(Optimisation!$B$3="Yes",IF(Optimisation!A53&lt;=Optimisation!$B$16,Optimisation!B53,Optimisation!$B$18),B53)</f>
        <v>UK - Agriculture (BPS: from 2015) Agroforestry fallow</v>
      </c>
      <c r="AA53" s="205" t="str">
        <f t="shared" si="8"/>
        <v>UK - Agriculture (BPS: from 2015) Agroforestry fallow</v>
      </c>
      <c r="AG53" s="10"/>
    </row>
    <row r="54" spans="1:33" x14ac:dyDescent="0.25">
      <c r="A54" s="196">
        <f t="shared" si="9"/>
        <v>27</v>
      </c>
      <c r="B54" s="197" t="str">
        <f>IF('Options and results'!$C$54="None",0,IF(AND(A54&gt;='Options and results'!$K$57,A53&lt;'Options and results'!$W$20),'Options and results'!$K$56,CONCATENATE('Options and results'!$C$60," ",(HLOOKUP(CONCATENATE('Options and results'!$C$54," ",Agroforestrysystem!$B$12),Agroforestrysystem!$B$11:$IM$74,$A54+4,FALSE)))))</f>
        <v>UK - Agriculture (BPS: from 2015) Agroforestry fallow</v>
      </c>
      <c r="C54" s="198">
        <f>IF(HLOOKUP(CONCATENATE('Options and results'!$C$54," ",Agroforestrysystem!$C$12),Agroforestrysystem!$B$11:$IM$74,$A54+4,FALSE)="T",(VLOOKUP(B54,Arablefinance!$Z$6:$AB$105,Arablefinance!$AB$2,FALSE)*E54+VLOOKUP(B54,Arablefinance!$Z$6:$AC$105,Arablefinance!$AC$2,FALSE)*F54)/VLOOKUP(B54,Arablefinance!$Z$6:$AA$105,Arablefinance!$AA$2,FALSE),0)</f>
        <v>0</v>
      </c>
      <c r="D54" s="199">
        <f>IF(B54=0,0,HLOOKUP(CONCATENATE('Options and results'!$C$54," ",Agroforestrysystem!$D$12),Agroforestrysystem!$B$11:$IM$74,$A54+4,FALSE))</f>
        <v>0.99</v>
      </c>
      <c r="E54" s="42">
        <f>IF(B54=0,0,HLOOKUP(CONCATENATE('Options and results'!$C$54," ",Agroforestrysystem!$E$12),Agroforestrysystem!$B$11:$IM$74,$A54+4,FALSE)*IF(A54&gt;='Options and results'!$J$19,'Options and results'!$J$18,1))</f>
        <v>0</v>
      </c>
      <c r="F54" s="42">
        <f>IF(B54=0,0,HLOOKUP(CONCATENATE('Options and results'!$C$54," ",Agroforestrysystem!$F$12),Agroforestrysystem!$B$11:$IM$74,$A54+4,FALSE)*IF(A54&gt;='Options and results'!$J$19,'Options and results'!$J$18,1))</f>
        <v>0</v>
      </c>
      <c r="G54" s="200">
        <f>IF(D54&lt;=0,0,IF(A54&lt;='Options and results'!$W$20,IF(C54&gt;0,VLOOKUP(B54,Arablefinance!$Z$6:$AE$105,Arablefinance!$AD$2,FALSE)*C54*D54,((VLOOKUP(B54,Arablefinance!$E$6:$H$126,2,FALSE)*E54+VLOOKUP(B54,Arablefinance!$E$6:$H$126,3,FALSE)*F54)*D54)),0)*IF(A54&gt;='Options and results'!$J$21,'Options and results'!$J$20,1))*IF(1+'Options and results'!$O$20*(A54-1)&gt;0,1+'Options and results'!$O$20*(A54-1),0)</f>
        <v>0</v>
      </c>
      <c r="H54" s="10">
        <f>IF(D54&lt;=0,0,IF(C54&gt;0,VLOOKUP(B54,Arablefinance!$Z$6:$AE$105,Arablefinance!$AE$2,FALSE)*C54*D54,IF('Options and results'!$C$62&gt;0,IF(VLOOKUP(B54,Arablefinance!$E$6:$W$126,Arablefinance!$H$2,FALSE)*(1-Plot!AC54*'Options and results'!$C$62)&gt;0,VLOOKUP(B54,Arablefinance!$E$6:$W$126,Arablefinance!$H$2,FALSE)*(1-Plot!AC54*'Options and results'!$C$62),0),IF(A54&lt;='Options and results'!$W$20,(VLOOKUP(B54,Arablefinance!$E$6:$W$126,Arablefinance!$H$2,FALSE)*IF('Options and results'!$C$61="area",D54,'Options and results'!$C$61)),0)))*IF(A54&gt;='Options and results'!$J$23,'Options and results'!$J$22,1))*IF(AND(1+'Options and results'!$O$23*(A54-1)&gt;0,1+'Options and results'!$O$23*(A54-1)&gt;'Options and results'!$S$24),1+'Options and results'!$O$23*(A54-1),'Options and results'!$S$24)</f>
        <v>0</v>
      </c>
      <c r="I54" s="10">
        <f t="shared" si="10"/>
        <v>0</v>
      </c>
      <c r="J54" s="10">
        <f>IF(D54&lt;=0,0,IF(A54&lt;='Options and results'!$W$20,IF(C54&gt;0,VLOOKUP(B54,Arablefinance!$Z$6:$AF$105,Arablefinance!$AF$2,FALSE)*C54*D54,VLOOKUP(B54,Arablefinance!$E$6:$X$126,Arablefinance!$R$2,FALSE)*D54),0)*IF(A54&gt;='Options and results'!$J$27,'Options and results'!$J$26,1))*IF(1+'Options and results'!$O$22*(A54-1)&gt;0,1+'Options and results'!$O$22*(A54-1),0)</f>
        <v>0</v>
      </c>
      <c r="K54" s="10">
        <f t="shared" si="11"/>
        <v>0</v>
      </c>
      <c r="L54" s="10">
        <f>IF(D54&lt;=0,0,IF(A54&lt;='Options and results'!$W$20,IF(C54&gt;0,VLOOKUP(B54,Arablefinance!$Z$6:$AG$105,Arablefinance!$AG$2,FALSE)*C54*D54,VLOOKUP(B54,Arablefinance!$E$6:$X$126,Arablefinance!$X$2,FALSE)*D54),0)*IF(A54&gt;='Options and results'!$J$27,'Options and results'!$J$26,1))*IF(1+'Options and results'!$O$22*(A54-1)&gt;0,1+'Options and results'!$O$22*(A54-1),0)</f>
        <v>0</v>
      </c>
      <c r="M54" s="10">
        <f>IF(D54&lt;=0,0,IF(A54&lt;='Options and results'!$W$20,'Options and results'!$C$27*IF(A54&gt;='Options and results'!$J$27,'Options and results'!$J$26,1),0))*IF(1+'Options and results'!$O$21*(A54-1)&gt;0,1+'Options and results'!$O$21*(A54-1),0)</f>
        <v>14.6</v>
      </c>
      <c r="N54" s="10">
        <f>IF(D54&lt;=0,0,IF(A54&lt;='Options and results'!$W$20,IF(C54&gt;0,VLOOKUP(B54,Arablefinance!$Z$6:$AH$105,Arablefinance!$AH$2,FALSE)*C54*D54,VLOOKUP(B54,Arablefinance!$E$6:$W$126,Arablefinance!$V$2,FALSE)*D54),0)*IF(A54&gt;='Options and results'!$J$25,'Options and results'!$J$24,1))</f>
        <v>0</v>
      </c>
      <c r="O54" s="200">
        <f t="shared" si="1"/>
        <v>0</v>
      </c>
      <c r="P54" s="201">
        <f>IF(A54&lt;='Options and results'!$W$20,SUM($O$28:O54),0)</f>
        <v>1474.6409117075832</v>
      </c>
      <c r="Q54" s="36">
        <f t="shared" si="2"/>
        <v>0</v>
      </c>
      <c r="R54" s="108">
        <f t="shared" ca="1" si="3"/>
        <v>0</v>
      </c>
      <c r="S54" s="108">
        <f t="shared" si="4"/>
        <v>10</v>
      </c>
      <c r="T54" s="10" t="str">
        <f t="shared" ca="1" si="12"/>
        <v/>
      </c>
      <c r="U54" s="1" t="str">
        <f>IF(Optimisation!$B$3="Yes",IF(A54&lt;=Optimisation!$B$9,Optimisation!B54,Optimisation!$B$11),B54)</f>
        <v>UK - Agriculture (BPS: from 2015) Agroforestry fallow</v>
      </c>
      <c r="V54" s="202">
        <f t="shared" si="13"/>
        <v>0</v>
      </c>
      <c r="W54" s="203">
        <f t="shared" ca="1" si="5"/>
        <v>0</v>
      </c>
      <c r="X54" s="203">
        <f t="shared" si="6"/>
        <v>2</v>
      </c>
      <c r="Y54" s="10" t="str">
        <f t="shared" ca="1" si="7"/>
        <v/>
      </c>
      <c r="Z54" s="204" t="str">
        <f>IF(Optimisation!$B$3="Yes",IF(Optimisation!A54&lt;=Optimisation!$B$16,Optimisation!B54,Optimisation!$B$18),B54)</f>
        <v>UK - Agriculture (BPS: from 2015) Agroforestry fallow</v>
      </c>
      <c r="AA54" s="205" t="str">
        <f t="shared" si="8"/>
        <v>UK - Agriculture (BPS: from 2015) Agroforestry fallow</v>
      </c>
      <c r="AG54" s="10"/>
    </row>
    <row r="55" spans="1:33" x14ac:dyDescent="0.25">
      <c r="A55" s="196">
        <f t="shared" si="9"/>
        <v>28</v>
      </c>
      <c r="B55" s="197" t="str">
        <f>IF('Options and results'!$C$54="None",0,IF(AND(A55&gt;='Options and results'!$K$57,A54&lt;'Options and results'!$W$20),'Options and results'!$K$56,CONCATENATE('Options and results'!$C$60," ",(HLOOKUP(CONCATENATE('Options and results'!$C$54," ",Agroforestrysystem!$B$12),Agroforestrysystem!$B$11:$IM$74,$A55+4,FALSE)))))</f>
        <v>UK - Agriculture (BPS: from 2015) Agroforestry fallow</v>
      </c>
      <c r="C55" s="198">
        <f>IF(HLOOKUP(CONCATENATE('Options and results'!$C$54," ",Agroforestrysystem!$C$12),Agroforestrysystem!$B$11:$IM$74,$A55+4,FALSE)="T",(VLOOKUP(B55,Arablefinance!$Z$6:$AB$105,Arablefinance!$AB$2,FALSE)*E55+VLOOKUP(B55,Arablefinance!$Z$6:$AC$105,Arablefinance!$AC$2,FALSE)*F55)/VLOOKUP(B55,Arablefinance!$Z$6:$AA$105,Arablefinance!$AA$2,FALSE),0)</f>
        <v>0</v>
      </c>
      <c r="D55" s="199">
        <f>IF(B55=0,0,HLOOKUP(CONCATENATE('Options and results'!$C$54," ",Agroforestrysystem!$D$12),Agroforestrysystem!$B$11:$IM$74,$A55+4,FALSE))</f>
        <v>0.99</v>
      </c>
      <c r="E55" s="42">
        <f>IF(B55=0,0,HLOOKUP(CONCATENATE('Options and results'!$C$54," ",Agroforestrysystem!$E$12),Agroforestrysystem!$B$11:$IM$74,$A55+4,FALSE)*IF(A55&gt;='Options and results'!$J$19,'Options and results'!$J$18,1))</f>
        <v>0</v>
      </c>
      <c r="F55" s="42">
        <f>IF(B55=0,0,HLOOKUP(CONCATENATE('Options and results'!$C$54," ",Agroforestrysystem!$F$12),Agroforestrysystem!$B$11:$IM$74,$A55+4,FALSE)*IF(A55&gt;='Options and results'!$J$19,'Options and results'!$J$18,1))</f>
        <v>0</v>
      </c>
      <c r="G55" s="200">
        <f>IF(D55&lt;=0,0,IF(A55&lt;='Options and results'!$W$20,IF(C55&gt;0,VLOOKUP(B55,Arablefinance!$Z$6:$AE$105,Arablefinance!$AD$2,FALSE)*C55*D55,((VLOOKUP(B55,Arablefinance!$E$6:$H$126,2,FALSE)*E55+VLOOKUP(B55,Arablefinance!$E$6:$H$126,3,FALSE)*F55)*D55)),0)*IF(A55&gt;='Options and results'!$J$21,'Options and results'!$J$20,1))*IF(1+'Options and results'!$O$20*(A55-1)&gt;0,1+'Options and results'!$O$20*(A55-1),0)</f>
        <v>0</v>
      </c>
      <c r="H55" s="10">
        <f>IF(D55&lt;=0,0,IF(C55&gt;0,VLOOKUP(B55,Arablefinance!$Z$6:$AE$105,Arablefinance!$AE$2,FALSE)*C55*D55,IF('Options and results'!$C$62&gt;0,IF(VLOOKUP(B55,Arablefinance!$E$6:$W$126,Arablefinance!$H$2,FALSE)*(1-Plot!AC55*'Options and results'!$C$62)&gt;0,VLOOKUP(B55,Arablefinance!$E$6:$W$126,Arablefinance!$H$2,FALSE)*(1-Plot!AC55*'Options and results'!$C$62),0),IF(A55&lt;='Options and results'!$W$20,(VLOOKUP(B55,Arablefinance!$E$6:$W$126,Arablefinance!$H$2,FALSE)*IF('Options and results'!$C$61="area",D55,'Options and results'!$C$61)),0)))*IF(A55&gt;='Options and results'!$J$23,'Options and results'!$J$22,1))*IF(AND(1+'Options and results'!$O$23*(A55-1)&gt;0,1+'Options and results'!$O$23*(A55-1)&gt;'Options and results'!$S$24),1+'Options and results'!$O$23*(A55-1),'Options and results'!$S$24)</f>
        <v>0</v>
      </c>
      <c r="I55" s="10">
        <f t="shared" si="10"/>
        <v>0</v>
      </c>
      <c r="J55" s="10">
        <f>IF(D55&lt;=0,0,IF(A55&lt;='Options and results'!$W$20,IF(C55&gt;0,VLOOKUP(B55,Arablefinance!$Z$6:$AF$105,Arablefinance!$AF$2,FALSE)*C55*D55,VLOOKUP(B55,Arablefinance!$E$6:$X$126,Arablefinance!$R$2,FALSE)*D55),0)*IF(A55&gt;='Options and results'!$J$27,'Options and results'!$J$26,1))*IF(1+'Options and results'!$O$22*(A55-1)&gt;0,1+'Options and results'!$O$22*(A55-1),0)</f>
        <v>0</v>
      </c>
      <c r="K55" s="10">
        <f t="shared" si="11"/>
        <v>0</v>
      </c>
      <c r="L55" s="10">
        <f>IF(D55&lt;=0,0,IF(A55&lt;='Options and results'!$W$20,IF(C55&gt;0,VLOOKUP(B55,Arablefinance!$Z$6:$AG$105,Arablefinance!$AG$2,FALSE)*C55*D55,VLOOKUP(B55,Arablefinance!$E$6:$X$126,Arablefinance!$X$2,FALSE)*D55),0)*IF(A55&gt;='Options and results'!$J$27,'Options and results'!$J$26,1))*IF(1+'Options and results'!$O$22*(A55-1)&gt;0,1+'Options and results'!$O$22*(A55-1),0)</f>
        <v>0</v>
      </c>
      <c r="M55" s="10">
        <f>IF(D55&lt;=0,0,IF(A55&lt;='Options and results'!$W$20,'Options and results'!$C$27*IF(A55&gt;='Options and results'!$J$27,'Options and results'!$J$26,1),0))*IF(1+'Options and results'!$O$21*(A55-1)&gt;0,1+'Options and results'!$O$21*(A55-1),0)</f>
        <v>14.6</v>
      </c>
      <c r="N55" s="10">
        <f>IF(D55&lt;=0,0,IF(A55&lt;='Options and results'!$W$20,IF(C55&gt;0,VLOOKUP(B55,Arablefinance!$Z$6:$AH$105,Arablefinance!$AH$2,FALSE)*C55*D55,VLOOKUP(B55,Arablefinance!$E$6:$W$126,Arablefinance!$V$2,FALSE)*D55),0)*IF(A55&gt;='Options and results'!$J$25,'Options and results'!$J$24,1))</f>
        <v>0</v>
      </c>
      <c r="O55" s="200">
        <f t="shared" si="1"/>
        <v>0</v>
      </c>
      <c r="P55" s="201">
        <f>IF(A55&lt;='Options and results'!$W$20,SUM($O$28:O55),0)</f>
        <v>1474.6409117075832</v>
      </c>
      <c r="Q55" s="36">
        <f t="shared" si="2"/>
        <v>0</v>
      </c>
      <c r="R55" s="108">
        <f t="shared" ca="1" si="3"/>
        <v>0</v>
      </c>
      <c r="S55" s="108">
        <f t="shared" si="4"/>
        <v>10</v>
      </c>
      <c r="T55" s="10" t="str">
        <f t="shared" ca="1" si="12"/>
        <v/>
      </c>
      <c r="U55" s="1" t="str">
        <f>IF(Optimisation!$B$3="Yes",IF(A55&lt;=Optimisation!$B$9,Optimisation!B55,Optimisation!$B$11),B55)</f>
        <v>UK - Agriculture (BPS: from 2015) Agroforestry fallow</v>
      </c>
      <c r="V55" s="202">
        <f t="shared" si="13"/>
        <v>0</v>
      </c>
      <c r="W55" s="203">
        <f t="shared" ca="1" si="5"/>
        <v>0</v>
      </c>
      <c r="X55" s="203">
        <f t="shared" si="6"/>
        <v>2</v>
      </c>
      <c r="Y55" s="10" t="str">
        <f t="shared" ca="1" si="7"/>
        <v/>
      </c>
      <c r="Z55" s="204" t="str">
        <f>IF(Optimisation!$B$3="Yes",IF(Optimisation!A55&lt;=Optimisation!$B$16,Optimisation!B55,Optimisation!$B$18),B55)</f>
        <v>UK - Agriculture (BPS: from 2015) Agroforestry fallow</v>
      </c>
      <c r="AA55" s="205" t="str">
        <f t="shared" si="8"/>
        <v>UK - Agriculture (BPS: from 2015) Agroforestry fallow</v>
      </c>
      <c r="AG55" s="10"/>
    </row>
    <row r="56" spans="1:33" x14ac:dyDescent="0.25">
      <c r="A56" s="196">
        <f t="shared" si="9"/>
        <v>29</v>
      </c>
      <c r="B56" s="197" t="str">
        <f>IF('Options and results'!$C$54="None",0,IF(AND(A56&gt;='Options and results'!$K$57,A55&lt;'Options and results'!$W$20),'Options and results'!$K$56,CONCATENATE('Options and results'!$C$60," ",(HLOOKUP(CONCATENATE('Options and results'!$C$54," ",Agroforestrysystem!$B$12),Agroforestrysystem!$B$11:$IM$74,$A56+4,FALSE)))))</f>
        <v>UK - Agriculture (BPS: from 2015) Agroforestry fallow</v>
      </c>
      <c r="C56" s="198">
        <f>IF(HLOOKUP(CONCATENATE('Options and results'!$C$54," ",Agroforestrysystem!$C$12),Agroforestrysystem!$B$11:$IM$74,$A56+4,FALSE)="T",(VLOOKUP(B56,Arablefinance!$Z$6:$AB$105,Arablefinance!$AB$2,FALSE)*E56+VLOOKUP(B56,Arablefinance!$Z$6:$AC$105,Arablefinance!$AC$2,FALSE)*F56)/VLOOKUP(B56,Arablefinance!$Z$6:$AA$105,Arablefinance!$AA$2,FALSE),0)</f>
        <v>0</v>
      </c>
      <c r="D56" s="199">
        <f>IF(B56=0,0,HLOOKUP(CONCATENATE('Options and results'!$C$54," ",Agroforestrysystem!$D$12),Agroforestrysystem!$B$11:$IM$74,$A56+4,FALSE))</f>
        <v>0.99</v>
      </c>
      <c r="E56" s="42">
        <f>IF(B56=0,0,HLOOKUP(CONCATENATE('Options and results'!$C$54," ",Agroforestrysystem!$E$12),Agroforestrysystem!$B$11:$IM$74,$A56+4,FALSE)*IF(A56&gt;='Options and results'!$J$19,'Options and results'!$J$18,1))</f>
        <v>0</v>
      </c>
      <c r="F56" s="42">
        <f>IF(B56=0,0,HLOOKUP(CONCATENATE('Options and results'!$C$54," ",Agroforestrysystem!$F$12),Agroforestrysystem!$B$11:$IM$74,$A56+4,FALSE)*IF(A56&gt;='Options and results'!$J$19,'Options and results'!$J$18,1))</f>
        <v>0</v>
      </c>
      <c r="G56" s="200">
        <f>IF(D56&lt;=0,0,IF(A56&lt;='Options and results'!$W$20,IF(C56&gt;0,VLOOKUP(B56,Arablefinance!$Z$6:$AE$105,Arablefinance!$AD$2,FALSE)*C56*D56,((VLOOKUP(B56,Arablefinance!$E$6:$H$126,2,FALSE)*E56+VLOOKUP(B56,Arablefinance!$E$6:$H$126,3,FALSE)*F56)*D56)),0)*IF(A56&gt;='Options and results'!$J$21,'Options and results'!$J$20,1))*IF(1+'Options and results'!$O$20*(A56-1)&gt;0,1+'Options and results'!$O$20*(A56-1),0)</f>
        <v>0</v>
      </c>
      <c r="H56" s="10">
        <f>IF(D56&lt;=0,0,IF(C56&gt;0,VLOOKUP(B56,Arablefinance!$Z$6:$AE$105,Arablefinance!$AE$2,FALSE)*C56*D56,IF('Options and results'!$C$62&gt;0,IF(VLOOKUP(B56,Arablefinance!$E$6:$W$126,Arablefinance!$H$2,FALSE)*(1-Plot!AC56*'Options and results'!$C$62)&gt;0,VLOOKUP(B56,Arablefinance!$E$6:$W$126,Arablefinance!$H$2,FALSE)*(1-Plot!AC56*'Options and results'!$C$62),0),IF(A56&lt;='Options and results'!$W$20,(VLOOKUP(B56,Arablefinance!$E$6:$W$126,Arablefinance!$H$2,FALSE)*IF('Options and results'!$C$61="area",D56,'Options and results'!$C$61)),0)))*IF(A56&gt;='Options and results'!$J$23,'Options and results'!$J$22,1))*IF(AND(1+'Options and results'!$O$23*(A56-1)&gt;0,1+'Options and results'!$O$23*(A56-1)&gt;'Options and results'!$S$24),1+'Options and results'!$O$23*(A56-1),'Options and results'!$S$24)</f>
        <v>0</v>
      </c>
      <c r="I56" s="10">
        <f t="shared" si="10"/>
        <v>0</v>
      </c>
      <c r="J56" s="10">
        <f>IF(D56&lt;=0,0,IF(A56&lt;='Options and results'!$W$20,IF(C56&gt;0,VLOOKUP(B56,Arablefinance!$Z$6:$AF$105,Arablefinance!$AF$2,FALSE)*C56*D56,VLOOKUP(B56,Arablefinance!$E$6:$X$126,Arablefinance!$R$2,FALSE)*D56),0)*IF(A56&gt;='Options and results'!$J$27,'Options and results'!$J$26,1))*IF(1+'Options and results'!$O$22*(A56-1)&gt;0,1+'Options and results'!$O$22*(A56-1),0)</f>
        <v>0</v>
      </c>
      <c r="K56" s="10">
        <f t="shared" si="11"/>
        <v>0</v>
      </c>
      <c r="L56" s="10">
        <f>IF(D56&lt;=0,0,IF(A56&lt;='Options and results'!$W$20,IF(C56&gt;0,VLOOKUP(B56,Arablefinance!$Z$6:$AG$105,Arablefinance!$AG$2,FALSE)*C56*D56,VLOOKUP(B56,Arablefinance!$E$6:$X$126,Arablefinance!$X$2,FALSE)*D56),0)*IF(A56&gt;='Options and results'!$J$27,'Options and results'!$J$26,1))*IF(1+'Options and results'!$O$22*(A56-1)&gt;0,1+'Options and results'!$O$22*(A56-1),0)</f>
        <v>0</v>
      </c>
      <c r="M56" s="10">
        <f>IF(D56&lt;=0,0,IF(A56&lt;='Options and results'!$W$20,'Options and results'!$C$27*IF(A56&gt;='Options and results'!$J$27,'Options and results'!$J$26,1),0))*IF(1+'Options and results'!$O$21*(A56-1)&gt;0,1+'Options and results'!$O$21*(A56-1),0)</f>
        <v>14.6</v>
      </c>
      <c r="N56" s="10">
        <f>IF(D56&lt;=0,0,IF(A56&lt;='Options and results'!$W$20,IF(C56&gt;0,VLOOKUP(B56,Arablefinance!$Z$6:$AH$105,Arablefinance!$AH$2,FALSE)*C56*D56,VLOOKUP(B56,Arablefinance!$E$6:$W$126,Arablefinance!$V$2,FALSE)*D56),0)*IF(A56&gt;='Options and results'!$J$25,'Options and results'!$J$24,1))</f>
        <v>0</v>
      </c>
      <c r="O56" s="200">
        <f t="shared" si="1"/>
        <v>0</v>
      </c>
      <c r="P56" s="201">
        <f>IF(A56&lt;='Options and results'!$W$20,SUM($O$28:O56),0)</f>
        <v>1474.6409117075832</v>
      </c>
      <c r="Q56" s="36">
        <f t="shared" si="2"/>
        <v>0</v>
      </c>
      <c r="R56" s="108">
        <f t="shared" ca="1" si="3"/>
        <v>0</v>
      </c>
      <c r="S56" s="108">
        <f t="shared" si="4"/>
        <v>10</v>
      </c>
      <c r="T56" s="10" t="str">
        <f t="shared" ca="1" si="12"/>
        <v/>
      </c>
      <c r="U56" s="1" t="str">
        <f>IF(Optimisation!$B$3="Yes",IF(A56&lt;=Optimisation!$B$9,Optimisation!B56,Optimisation!$B$11),B56)</f>
        <v>UK - Agriculture (BPS: from 2015) Agroforestry fallow</v>
      </c>
      <c r="V56" s="202">
        <f t="shared" si="13"/>
        <v>0</v>
      </c>
      <c r="W56" s="203">
        <f t="shared" ca="1" si="5"/>
        <v>0</v>
      </c>
      <c r="X56" s="203">
        <f t="shared" si="6"/>
        <v>2</v>
      </c>
      <c r="Y56" s="10" t="str">
        <f t="shared" ca="1" si="7"/>
        <v/>
      </c>
      <c r="Z56" s="204" t="str">
        <f>IF(Optimisation!$B$3="Yes",IF(Optimisation!A56&lt;=Optimisation!$B$16,Optimisation!B56,Optimisation!$B$18),B56)</f>
        <v>UK - Agriculture (BPS: from 2015) Agroforestry fallow</v>
      </c>
      <c r="AA56" s="205" t="str">
        <f t="shared" si="8"/>
        <v>UK - Agriculture (BPS: from 2015) Agroforestry fallow</v>
      </c>
      <c r="AG56" s="10"/>
    </row>
    <row r="57" spans="1:33" x14ac:dyDescent="0.25">
      <c r="A57" s="196">
        <f t="shared" si="9"/>
        <v>30</v>
      </c>
      <c r="B57" s="197" t="str">
        <f>IF('Options and results'!$C$54="None",0,IF(AND(A57&gt;='Options and results'!$K$57,A56&lt;'Options and results'!$W$20),'Options and results'!$K$56,CONCATENATE('Options and results'!$C$60," ",(HLOOKUP(CONCATENATE('Options and results'!$C$54," ",Agroforestrysystem!$B$12),Agroforestrysystem!$B$11:$IM$74,$A57+4,FALSE)))))</f>
        <v>UK - Agriculture (BPS: from 2015) Agroforestry fallow</v>
      </c>
      <c r="C57" s="198">
        <f>IF(HLOOKUP(CONCATENATE('Options and results'!$C$54," ",Agroforestrysystem!$C$12),Agroforestrysystem!$B$11:$IM$74,$A57+4,FALSE)="T",(VLOOKUP(B57,Arablefinance!$Z$6:$AB$105,Arablefinance!$AB$2,FALSE)*E57+VLOOKUP(B57,Arablefinance!$Z$6:$AC$105,Arablefinance!$AC$2,FALSE)*F57)/VLOOKUP(B57,Arablefinance!$Z$6:$AA$105,Arablefinance!$AA$2,FALSE),0)</f>
        <v>0</v>
      </c>
      <c r="D57" s="199">
        <f>IF(B57=0,0,HLOOKUP(CONCATENATE('Options and results'!$C$54," ",Agroforestrysystem!$D$12),Agroforestrysystem!$B$11:$IM$74,$A57+4,FALSE))</f>
        <v>0.99</v>
      </c>
      <c r="E57" s="42">
        <f>IF(B57=0,0,HLOOKUP(CONCATENATE('Options and results'!$C$54," ",Agroforestrysystem!$E$12),Agroforestrysystem!$B$11:$IM$74,$A57+4,FALSE)*IF(A57&gt;='Options and results'!$J$19,'Options and results'!$J$18,1))</f>
        <v>0</v>
      </c>
      <c r="F57" s="42">
        <f>IF(B57=0,0,HLOOKUP(CONCATENATE('Options and results'!$C$54," ",Agroforestrysystem!$F$12),Agroforestrysystem!$B$11:$IM$74,$A57+4,FALSE)*IF(A57&gt;='Options and results'!$J$19,'Options and results'!$J$18,1))</f>
        <v>0</v>
      </c>
      <c r="G57" s="200">
        <f>IF(D57&lt;=0,0,IF(A57&lt;='Options and results'!$W$20,IF(C57&gt;0,VLOOKUP(B57,Arablefinance!$Z$6:$AE$105,Arablefinance!$AD$2,FALSE)*C57*D57,((VLOOKUP(B57,Arablefinance!$E$6:$H$126,2,FALSE)*E57+VLOOKUP(B57,Arablefinance!$E$6:$H$126,3,FALSE)*F57)*D57)),0)*IF(A57&gt;='Options and results'!$J$21,'Options and results'!$J$20,1))*IF(1+'Options and results'!$O$20*(A57-1)&gt;0,1+'Options and results'!$O$20*(A57-1),0)</f>
        <v>0</v>
      </c>
      <c r="H57" s="10">
        <f>IF(D57&lt;=0,0,IF(C57&gt;0,VLOOKUP(B57,Arablefinance!$Z$6:$AE$105,Arablefinance!$AE$2,FALSE)*C57*D57,IF('Options and results'!$C$62&gt;0,IF(VLOOKUP(B57,Arablefinance!$E$6:$W$126,Arablefinance!$H$2,FALSE)*(1-Plot!AC57*'Options and results'!$C$62)&gt;0,VLOOKUP(B57,Arablefinance!$E$6:$W$126,Arablefinance!$H$2,FALSE)*(1-Plot!AC57*'Options and results'!$C$62),0),IF(A57&lt;='Options and results'!$W$20,(VLOOKUP(B57,Arablefinance!$E$6:$W$126,Arablefinance!$H$2,FALSE)*IF('Options and results'!$C$61="area",D57,'Options and results'!$C$61)),0)))*IF(A57&gt;='Options and results'!$J$23,'Options and results'!$J$22,1))*IF(AND(1+'Options and results'!$O$23*(A57-1)&gt;0,1+'Options and results'!$O$23*(A57-1)&gt;'Options and results'!$S$24),1+'Options and results'!$O$23*(A57-1),'Options and results'!$S$24)</f>
        <v>0</v>
      </c>
      <c r="I57" s="10">
        <f t="shared" si="10"/>
        <v>0</v>
      </c>
      <c r="J57" s="10">
        <f>IF(D57&lt;=0,0,IF(A57&lt;='Options and results'!$W$20,IF(C57&gt;0,VLOOKUP(B57,Arablefinance!$Z$6:$AF$105,Arablefinance!$AF$2,FALSE)*C57*D57,VLOOKUP(B57,Arablefinance!$E$6:$X$126,Arablefinance!$R$2,FALSE)*D57),0)*IF(A57&gt;='Options and results'!$J$27,'Options and results'!$J$26,1))*IF(1+'Options and results'!$O$22*(A57-1)&gt;0,1+'Options and results'!$O$22*(A57-1),0)</f>
        <v>0</v>
      </c>
      <c r="K57" s="10">
        <f t="shared" si="11"/>
        <v>0</v>
      </c>
      <c r="L57" s="10">
        <f>IF(D57&lt;=0,0,IF(A57&lt;='Options and results'!$W$20,IF(C57&gt;0,VLOOKUP(B57,Arablefinance!$Z$6:$AG$105,Arablefinance!$AG$2,FALSE)*C57*D57,VLOOKUP(B57,Arablefinance!$E$6:$X$126,Arablefinance!$X$2,FALSE)*D57),0)*IF(A57&gt;='Options and results'!$J$27,'Options and results'!$J$26,1))*IF(1+'Options and results'!$O$22*(A57-1)&gt;0,1+'Options and results'!$O$22*(A57-1),0)</f>
        <v>0</v>
      </c>
      <c r="M57" s="10">
        <f>IF(D57&lt;=0,0,IF(A57&lt;='Options and results'!$W$20,'Options and results'!$C$27*IF(A57&gt;='Options and results'!$J$27,'Options and results'!$J$26,1),0))*IF(1+'Options and results'!$O$21*(A57-1)&gt;0,1+'Options and results'!$O$21*(A57-1),0)</f>
        <v>14.6</v>
      </c>
      <c r="N57" s="10">
        <f>IF(D57&lt;=0,0,IF(A57&lt;='Options and results'!$W$20,IF(C57&gt;0,VLOOKUP(B57,Arablefinance!$Z$6:$AH$105,Arablefinance!$AH$2,FALSE)*C57*D57,VLOOKUP(B57,Arablefinance!$E$6:$W$126,Arablefinance!$V$2,FALSE)*D57),0)*IF(A57&gt;='Options and results'!$J$25,'Options and results'!$J$24,1))</f>
        <v>0</v>
      </c>
      <c r="O57" s="200">
        <f t="shared" si="1"/>
        <v>0</v>
      </c>
      <c r="P57" s="201">
        <f>IF(A57&lt;='Options and results'!$W$20,SUM($O$28:O57),0)</f>
        <v>1474.6409117075832</v>
      </c>
      <c r="Q57" s="36">
        <f t="shared" si="2"/>
        <v>0</v>
      </c>
      <c r="R57" s="108">
        <f t="shared" ca="1" si="3"/>
        <v>49.651209148403467</v>
      </c>
      <c r="S57" s="108">
        <f t="shared" si="4"/>
        <v>10</v>
      </c>
      <c r="T57" s="10" t="str">
        <f t="shared" ca="1" si="12"/>
        <v/>
      </c>
      <c r="U57" s="1" t="str">
        <f>IF(Optimisation!$B$3="Yes",IF(A57&lt;=Optimisation!$B$9,Optimisation!B57,Optimisation!$B$11),B57)</f>
        <v>UK - Agriculture (BPS: from 2015) Agroforestry fallow</v>
      </c>
      <c r="V57" s="202">
        <f t="shared" si="13"/>
        <v>0</v>
      </c>
      <c r="W57" s="203">
        <f t="shared" ca="1" si="5"/>
        <v>2.9829999999999997</v>
      </c>
      <c r="X57" s="203">
        <f t="shared" si="6"/>
        <v>2</v>
      </c>
      <c r="Y57" s="10" t="str">
        <f t="shared" ca="1" si="7"/>
        <v/>
      </c>
      <c r="Z57" s="204" t="str">
        <f>IF(Optimisation!$B$3="Yes",IF(Optimisation!A57&lt;=Optimisation!$B$16,Optimisation!B57,Optimisation!$B$18),B57)</f>
        <v>UK - Agriculture (BPS: from 2015) Agroforestry fallow</v>
      </c>
      <c r="AA57" s="205" t="str">
        <f t="shared" si="8"/>
        <v>UK - Agriculture (BPS: from 2015) Agroforestry fallow</v>
      </c>
      <c r="AG57" s="10"/>
    </row>
    <row r="58" spans="1:33" x14ac:dyDescent="0.25">
      <c r="A58" s="196">
        <f t="shared" si="9"/>
        <v>31</v>
      </c>
      <c r="B58" s="197" t="str">
        <f>IF('Options and results'!$C$54="None",0,IF(AND(A58&gt;='Options and results'!$K$57,A57&lt;'Options and results'!$W$20),'Options and results'!$K$56,CONCATENATE('Options and results'!$C$60," ",(HLOOKUP(CONCATENATE('Options and results'!$C$54," ",Agroforestrysystem!$B$12),Agroforestrysystem!$B$11:$IM$74,$A58+4,FALSE)))))</f>
        <v xml:space="preserve">UK - Agriculture (BPS: from 2015) </v>
      </c>
      <c r="C58" s="198">
        <f>IF(HLOOKUP(CONCATENATE('Options and results'!$C$54," ",Agroforestrysystem!$C$12),Agroforestrysystem!$B$11:$IM$74,$A58+4,FALSE)="T",(VLOOKUP(B58,Arablefinance!$Z$6:$AB$105,Arablefinance!$AB$2,FALSE)*E58+VLOOKUP(B58,Arablefinance!$Z$6:$AC$105,Arablefinance!$AC$2,FALSE)*F58)/VLOOKUP(B58,Arablefinance!$Z$6:$AA$105,Arablefinance!$AA$2,FALSE),0)</f>
        <v>0</v>
      </c>
      <c r="D58" s="199">
        <f>IF(B58=0,0,HLOOKUP(CONCATENATE('Options and results'!$C$54," ",Agroforestrysystem!$D$12),Agroforestrysystem!$B$11:$IM$74,$A58+4,FALSE))</f>
        <v>0</v>
      </c>
      <c r="E58" s="42">
        <f>IF(B58=0,0,HLOOKUP(CONCATENATE('Options and results'!$C$54," ",Agroforestrysystem!$E$12),Agroforestrysystem!$B$11:$IM$74,$A58+4,FALSE)*IF(A58&gt;='Options and results'!$J$19,'Options and results'!$J$18,1))</f>
        <v>0</v>
      </c>
      <c r="F58" s="42">
        <f>IF(B58=0,0,HLOOKUP(CONCATENATE('Options and results'!$C$54," ",Agroforestrysystem!$F$12),Agroforestrysystem!$B$11:$IM$74,$A58+4,FALSE)*IF(A58&gt;='Options and results'!$J$19,'Options and results'!$J$18,1))</f>
        <v>0</v>
      </c>
      <c r="G58" s="200">
        <f>IF(D58&lt;=0,0,IF(A58&lt;='Options and results'!$W$20,IF(C58&gt;0,VLOOKUP(B58,Arablefinance!$Z$6:$AE$105,Arablefinance!$AD$2,FALSE)*C58*D58,((VLOOKUP(B58,Arablefinance!$E$6:$H$126,2,FALSE)*E58+VLOOKUP(B58,Arablefinance!$E$6:$H$126,3,FALSE)*F58)*D58)),0)*IF(A58&gt;='Options and results'!$J$21,'Options and results'!$J$20,1))*IF(1+'Options and results'!$O$20*(A58-1)&gt;0,1+'Options and results'!$O$20*(A58-1),0)</f>
        <v>0</v>
      </c>
      <c r="H58" s="10">
        <f>IF(D58&lt;=0,0,IF(C58&gt;0,VLOOKUP(B58,Arablefinance!$Z$6:$AE$105,Arablefinance!$AE$2,FALSE)*C58*D58,IF('Options and results'!$C$62&gt;0,IF(VLOOKUP(B58,Arablefinance!$E$6:$W$126,Arablefinance!$H$2,FALSE)*(1-Plot!AC58*'Options and results'!$C$62)&gt;0,VLOOKUP(B58,Arablefinance!$E$6:$W$126,Arablefinance!$H$2,FALSE)*(1-Plot!AC58*'Options and results'!$C$62),0),IF(A58&lt;='Options and results'!$W$20,(VLOOKUP(B58,Arablefinance!$E$6:$W$126,Arablefinance!$H$2,FALSE)*IF('Options and results'!$C$61="area",D58,'Options and results'!$C$61)),0)))*IF(A58&gt;='Options and results'!$J$23,'Options and results'!$J$22,1))*IF(AND(1+'Options and results'!$O$23*(A58-1)&gt;0,1+'Options and results'!$O$23*(A58-1)&gt;'Options and results'!$S$24),1+'Options and results'!$O$23*(A58-1),'Options and results'!$S$24)</f>
        <v>0</v>
      </c>
      <c r="I58" s="10">
        <f t="shared" si="10"/>
        <v>0</v>
      </c>
      <c r="J58" s="10">
        <f>IF(D58&lt;=0,0,IF(A58&lt;='Options and results'!$W$20,IF(C58&gt;0,VLOOKUP(B58,Arablefinance!$Z$6:$AF$105,Arablefinance!$AF$2,FALSE)*C58*D58,VLOOKUP(B58,Arablefinance!$E$6:$X$126,Arablefinance!$R$2,FALSE)*D58),0)*IF(A58&gt;='Options and results'!$J$27,'Options and results'!$J$26,1))*IF(1+'Options and results'!$O$22*(A58-1)&gt;0,1+'Options and results'!$O$22*(A58-1),0)</f>
        <v>0</v>
      </c>
      <c r="K58" s="10">
        <f t="shared" si="11"/>
        <v>0</v>
      </c>
      <c r="L58" s="10">
        <f>IF(D58&lt;=0,0,IF(A58&lt;='Options and results'!$W$20,IF(C58&gt;0,VLOOKUP(B58,Arablefinance!$Z$6:$AG$105,Arablefinance!$AG$2,FALSE)*C58*D58,VLOOKUP(B58,Arablefinance!$E$6:$X$126,Arablefinance!$X$2,FALSE)*D58),0)*IF(A58&gt;='Options and results'!$J$27,'Options and results'!$J$26,1))*IF(1+'Options and results'!$O$22*(A58-1)&gt;0,1+'Options and results'!$O$22*(A58-1),0)</f>
        <v>0</v>
      </c>
      <c r="M58" s="10">
        <f>IF(D58&lt;=0,0,IF(A58&lt;='Options and results'!$W$20,'Options and results'!$C$27*IF(A58&gt;='Options and results'!$J$27,'Options and results'!$J$26,1),0))*IF(1+'Options and results'!$O$21*(A58-1)&gt;0,1+'Options and results'!$O$21*(A58-1),0)</f>
        <v>0</v>
      </c>
      <c r="N58" s="10">
        <f>IF(D58&lt;=0,0,IF(A58&lt;='Options and results'!$W$20,IF(C58&gt;0,VLOOKUP(B58,Arablefinance!$Z$6:$AH$105,Arablefinance!$AH$2,FALSE)*C58*D58,VLOOKUP(B58,Arablefinance!$E$6:$W$126,Arablefinance!$V$2,FALSE)*D58),0)*IF(A58&gt;='Options and results'!$J$25,'Options and results'!$J$24,1))</f>
        <v>0</v>
      </c>
      <c r="O58" s="200">
        <f t="shared" si="1"/>
        <v>0</v>
      </c>
      <c r="P58" s="201">
        <f>IF(A58&lt;='Options and results'!$W$20,SUM($O$28:O58),0)</f>
        <v>0</v>
      </c>
      <c r="Q58" s="36">
        <f t="shared" si="2"/>
        <v>0</v>
      </c>
      <c r="R58" s="108">
        <f t="shared" ca="1" si="3"/>
        <v>27.833262726277617</v>
      </c>
      <c r="S58" s="108">
        <f t="shared" si="4"/>
        <v>10</v>
      </c>
      <c r="T58" s="10" t="str">
        <f t="shared" ca="1" si="12"/>
        <v/>
      </c>
      <c r="U58" s="1" t="str">
        <f>IF(Optimisation!$B$3="Yes",IF(A58&lt;=Optimisation!$B$9,Optimisation!B58,Optimisation!$B$11),B58)</f>
        <v xml:space="preserve">UK - Agriculture (BPS: from 2015) </v>
      </c>
      <c r="V58" s="202">
        <f t="shared" si="13"/>
        <v>0</v>
      </c>
      <c r="W58" s="203">
        <f t="shared" ca="1" si="5"/>
        <v>2.6433333333333335</v>
      </c>
      <c r="X58" s="203">
        <f t="shared" si="6"/>
        <v>2</v>
      </c>
      <c r="Y58" s="10" t="str">
        <f t="shared" ca="1" si="7"/>
        <v/>
      </c>
      <c r="Z58" s="204" t="str">
        <f>IF(Optimisation!$B$3="Yes",IF(Optimisation!A58&lt;=Optimisation!$B$16,Optimisation!B58,Optimisation!$B$18),B58)</f>
        <v xml:space="preserve">UK - Agriculture (BPS: from 2015) </v>
      </c>
      <c r="AA58" s="205" t="str">
        <f t="shared" si="8"/>
        <v xml:space="preserve">UK - Agriculture (BPS: from 2015) </v>
      </c>
      <c r="AG58" s="10"/>
    </row>
    <row r="59" spans="1:33" x14ac:dyDescent="0.25">
      <c r="A59" s="196">
        <f t="shared" si="9"/>
        <v>32</v>
      </c>
      <c r="B59" s="197" t="str">
        <f>IF('Options and results'!$C$54="None",0,IF(AND(A59&gt;='Options and results'!$K$57,A58&lt;'Options and results'!$W$20),'Options and results'!$K$56,CONCATENATE('Options and results'!$C$60," ",(HLOOKUP(CONCATENATE('Options and results'!$C$54," ",Agroforestrysystem!$B$12),Agroforestrysystem!$B$11:$IM$74,$A59+4,FALSE)))))</f>
        <v xml:space="preserve">UK - Agriculture (BPS: from 2015) </v>
      </c>
      <c r="C59" s="198">
        <f>IF(HLOOKUP(CONCATENATE('Options and results'!$C$54," ",Agroforestrysystem!$C$12),Agroforestrysystem!$B$11:$IM$74,$A59+4,FALSE)="T",(VLOOKUP(B59,Arablefinance!$Z$6:$AB$105,Arablefinance!$AB$2,FALSE)*E59+VLOOKUP(B59,Arablefinance!$Z$6:$AC$105,Arablefinance!$AC$2,FALSE)*F59)/VLOOKUP(B59,Arablefinance!$Z$6:$AA$105,Arablefinance!$AA$2,FALSE),0)</f>
        <v>0</v>
      </c>
      <c r="D59" s="199">
        <f>IF(B59=0,0,HLOOKUP(CONCATENATE('Options and results'!$C$54," ",Agroforestrysystem!$D$12),Agroforestrysystem!$B$11:$IM$74,$A59+4,FALSE))</f>
        <v>0</v>
      </c>
      <c r="E59" s="42">
        <f>IF(B59=0,0,HLOOKUP(CONCATENATE('Options and results'!$C$54," ",Agroforestrysystem!$E$12),Agroforestrysystem!$B$11:$IM$74,$A59+4,FALSE)*IF(A59&gt;='Options and results'!$J$19,'Options and results'!$J$18,1))</f>
        <v>0</v>
      </c>
      <c r="F59" s="42">
        <f>IF(B59=0,0,HLOOKUP(CONCATENATE('Options and results'!$C$54," ",Agroforestrysystem!$F$12),Agroforestrysystem!$B$11:$IM$74,$A59+4,FALSE)*IF(A59&gt;='Options and results'!$J$19,'Options and results'!$J$18,1))</f>
        <v>0</v>
      </c>
      <c r="G59" s="200">
        <f>IF(D59&lt;=0,0,IF(A59&lt;='Options and results'!$W$20,IF(C59&gt;0,VLOOKUP(B59,Arablefinance!$Z$6:$AE$105,Arablefinance!$AD$2,FALSE)*C59*D59,((VLOOKUP(B59,Arablefinance!$E$6:$H$126,2,FALSE)*E59+VLOOKUP(B59,Arablefinance!$E$6:$H$126,3,FALSE)*F59)*D59)),0)*IF(A59&gt;='Options and results'!$J$21,'Options and results'!$J$20,1))*IF(1+'Options and results'!$O$20*(A59-1)&gt;0,1+'Options and results'!$O$20*(A59-1),0)</f>
        <v>0</v>
      </c>
      <c r="H59" s="10">
        <f>IF(D59&lt;=0,0,IF(C59&gt;0,VLOOKUP(B59,Arablefinance!$Z$6:$AE$105,Arablefinance!$AE$2,FALSE)*C59*D59,IF('Options and results'!$C$62&gt;0,IF(VLOOKUP(B59,Arablefinance!$E$6:$W$126,Arablefinance!$H$2,FALSE)*(1-Plot!AC59*'Options and results'!$C$62)&gt;0,VLOOKUP(B59,Arablefinance!$E$6:$W$126,Arablefinance!$H$2,FALSE)*(1-Plot!AC59*'Options and results'!$C$62),0),IF(A59&lt;='Options and results'!$W$20,(VLOOKUP(B59,Arablefinance!$E$6:$W$126,Arablefinance!$H$2,FALSE)*IF('Options and results'!$C$61="area",D59,'Options and results'!$C$61)),0)))*IF(A59&gt;='Options and results'!$J$23,'Options and results'!$J$22,1))*IF(AND(1+'Options and results'!$O$23*(A59-1)&gt;0,1+'Options and results'!$O$23*(A59-1)&gt;'Options and results'!$S$24),1+'Options and results'!$O$23*(A59-1),'Options and results'!$S$24)</f>
        <v>0</v>
      </c>
      <c r="I59" s="10">
        <f t="shared" si="10"/>
        <v>0</v>
      </c>
      <c r="J59" s="10">
        <f>IF(D59&lt;=0,0,IF(A59&lt;='Options and results'!$W$20,IF(C59&gt;0,VLOOKUP(B59,Arablefinance!$Z$6:$AF$105,Arablefinance!$AF$2,FALSE)*C59*D59,VLOOKUP(B59,Arablefinance!$E$6:$X$126,Arablefinance!$R$2,FALSE)*D59),0)*IF(A59&gt;='Options and results'!$J$27,'Options and results'!$J$26,1))*IF(1+'Options and results'!$O$22*(A59-1)&gt;0,1+'Options and results'!$O$22*(A59-1),0)</f>
        <v>0</v>
      </c>
      <c r="K59" s="10">
        <f t="shared" si="11"/>
        <v>0</v>
      </c>
      <c r="L59" s="10">
        <f>IF(D59&lt;=0,0,IF(A59&lt;='Options and results'!$W$20,IF(C59&gt;0,VLOOKUP(B59,Arablefinance!$Z$6:$AG$105,Arablefinance!$AG$2,FALSE)*C59*D59,VLOOKUP(B59,Arablefinance!$E$6:$X$126,Arablefinance!$X$2,FALSE)*D59),0)*IF(A59&gt;='Options and results'!$J$27,'Options and results'!$J$26,1))*IF(1+'Options and results'!$O$22*(A59-1)&gt;0,1+'Options and results'!$O$22*(A59-1),0)</f>
        <v>0</v>
      </c>
      <c r="M59" s="10">
        <f>IF(D59&lt;=0,0,IF(A59&lt;='Options and results'!$W$20,'Options and results'!$C$27*IF(A59&gt;='Options and results'!$J$27,'Options and results'!$J$26,1),0))*IF(1+'Options and results'!$O$21*(A59-1)&gt;0,1+'Options and results'!$O$21*(A59-1),0)</f>
        <v>0</v>
      </c>
      <c r="N59" s="10">
        <f>IF(D59&lt;=0,0,IF(A59&lt;='Options and results'!$W$20,IF(C59&gt;0,VLOOKUP(B59,Arablefinance!$Z$6:$AH$105,Arablefinance!$AH$2,FALSE)*C59*D59,VLOOKUP(B59,Arablefinance!$E$6:$W$126,Arablefinance!$V$2,FALSE)*D59),0)*IF(A59&gt;='Options and results'!$J$25,'Options and results'!$J$24,1))</f>
        <v>0</v>
      </c>
      <c r="O59" s="200">
        <f t="shared" si="1"/>
        <v>0</v>
      </c>
      <c r="P59" s="201">
        <f>IF(A59&lt;='Options and results'!$W$20,SUM($O$28:O59),0)</f>
        <v>0</v>
      </c>
      <c r="Q59" s="36">
        <f t="shared" si="2"/>
        <v>0</v>
      </c>
      <c r="R59" s="108">
        <f t="shared" ca="1" si="3"/>
        <v>17.897816304151757</v>
      </c>
      <c r="S59" s="108">
        <f t="shared" si="4"/>
        <v>10</v>
      </c>
      <c r="T59" s="10" t="str">
        <f t="shared" ca="1" si="12"/>
        <v/>
      </c>
      <c r="U59" s="1" t="str">
        <f>IF(Optimisation!$B$3="Yes",IF(A59&lt;=Optimisation!$B$9,Optimisation!B59,Optimisation!$B$11),B59)</f>
        <v xml:space="preserve">UK - Agriculture (BPS: from 2015) </v>
      </c>
      <c r="V59" s="202">
        <f t="shared" si="13"/>
        <v>0</v>
      </c>
      <c r="W59" s="203">
        <f t="shared" ca="1" si="5"/>
        <v>2.3666666666666671</v>
      </c>
      <c r="X59" s="203">
        <f t="shared" si="6"/>
        <v>2</v>
      </c>
      <c r="Y59" s="10" t="str">
        <f t="shared" ca="1" si="7"/>
        <v/>
      </c>
      <c r="Z59" s="204" t="str">
        <f>IF(Optimisation!$B$3="Yes",IF(Optimisation!A59&lt;=Optimisation!$B$16,Optimisation!B59,Optimisation!$B$18),B59)</f>
        <v xml:space="preserve">UK - Agriculture (BPS: from 2015) </v>
      </c>
      <c r="AA59" s="205" t="str">
        <f t="shared" si="8"/>
        <v xml:space="preserve">UK - Agriculture (BPS: from 2015) </v>
      </c>
      <c r="AG59" s="10"/>
    </row>
    <row r="60" spans="1:33" x14ac:dyDescent="0.25">
      <c r="A60" s="196">
        <f t="shared" si="9"/>
        <v>33</v>
      </c>
      <c r="B60" s="197" t="str">
        <f>IF('Options and results'!$C$54="None",0,IF(AND(A60&gt;='Options and results'!$K$57,A59&lt;'Options and results'!$W$20),'Options and results'!$K$56,CONCATENATE('Options and results'!$C$60," ",(HLOOKUP(CONCATENATE('Options and results'!$C$54," ",Agroforestrysystem!$B$12),Agroforestrysystem!$B$11:$IM$74,$A60+4,FALSE)))))</f>
        <v xml:space="preserve">UK - Agriculture (BPS: from 2015) </v>
      </c>
      <c r="C60" s="198">
        <f>IF(HLOOKUP(CONCATENATE('Options and results'!$C$54," ",Agroforestrysystem!$C$12),Agroforestrysystem!$B$11:$IM$74,$A60+4,FALSE)="T",(VLOOKUP(B60,Arablefinance!$Z$6:$AB$105,Arablefinance!$AB$2,FALSE)*E60+VLOOKUP(B60,Arablefinance!$Z$6:$AC$105,Arablefinance!$AC$2,FALSE)*F60)/VLOOKUP(B60,Arablefinance!$Z$6:$AA$105,Arablefinance!$AA$2,FALSE),0)</f>
        <v>0</v>
      </c>
      <c r="D60" s="199">
        <f>IF(B60=0,0,HLOOKUP(CONCATENATE('Options and results'!$C$54," ",Agroforestrysystem!$D$12),Agroforestrysystem!$B$11:$IM$74,$A60+4,FALSE))</f>
        <v>0</v>
      </c>
      <c r="E60" s="42">
        <f>IF(B60=0,0,HLOOKUP(CONCATENATE('Options and results'!$C$54," ",Agroforestrysystem!$E$12),Agroforestrysystem!$B$11:$IM$74,$A60+4,FALSE)*IF(A60&gt;='Options and results'!$J$19,'Options and results'!$J$18,1))</f>
        <v>0</v>
      </c>
      <c r="F60" s="42">
        <f>IF(B60=0,0,HLOOKUP(CONCATENATE('Options and results'!$C$54," ",Agroforestrysystem!$F$12),Agroforestrysystem!$B$11:$IM$74,$A60+4,FALSE)*IF(A60&gt;='Options and results'!$J$19,'Options and results'!$J$18,1))</f>
        <v>0</v>
      </c>
      <c r="G60" s="200">
        <f>IF(D60&lt;=0,0,IF(A60&lt;='Options and results'!$W$20,IF(C60&gt;0,VLOOKUP(B60,Arablefinance!$Z$6:$AE$105,Arablefinance!$AD$2,FALSE)*C60*D60,((VLOOKUP(B60,Arablefinance!$E$6:$H$126,2,FALSE)*E60+VLOOKUP(B60,Arablefinance!$E$6:$H$126,3,FALSE)*F60)*D60)),0)*IF(A60&gt;='Options and results'!$J$21,'Options and results'!$J$20,1))*IF(1+'Options and results'!$O$20*(A60-1)&gt;0,1+'Options and results'!$O$20*(A60-1),0)</f>
        <v>0</v>
      </c>
      <c r="H60" s="10">
        <f>IF(D60&lt;=0,0,IF(C60&gt;0,VLOOKUP(B60,Arablefinance!$Z$6:$AE$105,Arablefinance!$AE$2,FALSE)*C60*D60,IF('Options and results'!$C$62&gt;0,IF(VLOOKUP(B60,Arablefinance!$E$6:$W$126,Arablefinance!$H$2,FALSE)*(1-Plot!AC60*'Options and results'!$C$62)&gt;0,VLOOKUP(B60,Arablefinance!$E$6:$W$126,Arablefinance!$H$2,FALSE)*(1-Plot!AC60*'Options and results'!$C$62),0),IF(A60&lt;='Options and results'!$W$20,(VLOOKUP(B60,Arablefinance!$E$6:$W$126,Arablefinance!$H$2,FALSE)*IF('Options and results'!$C$61="area",D60,'Options and results'!$C$61)),0)))*IF(A60&gt;='Options and results'!$J$23,'Options and results'!$J$22,1))*IF(AND(1+'Options and results'!$O$23*(A60-1)&gt;0,1+'Options and results'!$O$23*(A60-1)&gt;'Options and results'!$S$24),1+'Options and results'!$O$23*(A60-1),'Options and results'!$S$24)</f>
        <v>0</v>
      </c>
      <c r="I60" s="10">
        <f t="shared" si="10"/>
        <v>0</v>
      </c>
      <c r="J60" s="10">
        <f>IF(D60&lt;=0,0,IF(A60&lt;='Options and results'!$W$20,IF(C60&gt;0,VLOOKUP(B60,Arablefinance!$Z$6:$AF$105,Arablefinance!$AF$2,FALSE)*C60*D60,VLOOKUP(B60,Arablefinance!$E$6:$X$126,Arablefinance!$R$2,FALSE)*D60),0)*IF(A60&gt;='Options and results'!$J$27,'Options and results'!$J$26,1))*IF(1+'Options and results'!$O$22*(A60-1)&gt;0,1+'Options and results'!$O$22*(A60-1),0)</f>
        <v>0</v>
      </c>
      <c r="K60" s="10">
        <f t="shared" si="11"/>
        <v>0</v>
      </c>
      <c r="L60" s="10">
        <f>IF(D60&lt;=0,0,IF(A60&lt;='Options and results'!$W$20,IF(C60&gt;0,VLOOKUP(B60,Arablefinance!$Z$6:$AG$105,Arablefinance!$AG$2,FALSE)*C60*D60,VLOOKUP(B60,Arablefinance!$E$6:$X$126,Arablefinance!$X$2,FALSE)*D60),0)*IF(A60&gt;='Options and results'!$J$27,'Options and results'!$J$26,1))*IF(1+'Options and results'!$O$22*(A60-1)&gt;0,1+'Options and results'!$O$22*(A60-1),0)</f>
        <v>0</v>
      </c>
      <c r="M60" s="10">
        <f>IF(D60&lt;=0,0,IF(A60&lt;='Options and results'!$W$20,'Options and results'!$C$27*IF(A60&gt;='Options and results'!$J$27,'Options and results'!$J$26,1),0))*IF(1+'Options and results'!$O$21*(A60-1)&gt;0,1+'Options and results'!$O$21*(A60-1),0)</f>
        <v>0</v>
      </c>
      <c r="N60" s="10">
        <f>IF(D60&lt;=0,0,IF(A60&lt;='Options and results'!$W$20,IF(C60&gt;0,VLOOKUP(B60,Arablefinance!$Z$6:$AH$105,Arablefinance!$AH$2,FALSE)*C60*D60,VLOOKUP(B60,Arablefinance!$E$6:$W$126,Arablefinance!$V$2,FALSE)*D60),0)*IF(A60&gt;='Options and results'!$J$25,'Options and results'!$J$24,1))</f>
        <v>0</v>
      </c>
      <c r="O60" s="200">
        <f t="shared" si="1"/>
        <v>0</v>
      </c>
      <c r="P60" s="201">
        <f>IF(A60&lt;='Options and results'!$W$20,SUM($O$28:O60),0)</f>
        <v>0</v>
      </c>
      <c r="Q60" s="36">
        <f t="shared" si="2"/>
        <v>0</v>
      </c>
      <c r="R60" s="108">
        <f t="shared" ref="R60:R87" ca="1" si="14">IF(ROW()-ROW($A$27)&gt;=$B$8,AVERAGE(OFFSET(Q60,0,0,COUNTA($BF:$BF)-$B$8,1)),0)</f>
        <v>7.1937489318300569</v>
      </c>
      <c r="S60" s="108">
        <f t="shared" ref="S60:S87" si="15">$B$7</f>
        <v>10</v>
      </c>
      <c r="T60" s="10">
        <f t="shared" ca="1" si="12"/>
        <v>33</v>
      </c>
      <c r="U60" s="1" t="str">
        <f>IF(Optimisation!$B$3="Yes",IF(A60&lt;=Optimisation!$B$9,Optimisation!B60,Optimisation!$B$11),B60)</f>
        <v xml:space="preserve">UK - Agriculture (BPS: from 2015) </v>
      </c>
      <c r="V60" s="202">
        <f t="shared" si="13"/>
        <v>0</v>
      </c>
      <c r="W60" s="203">
        <f t="shared" ref="W60:W87" ca="1" si="16">IF(ROW()-ROW($A$27)&gt;=$B$15,AVERAGE(OFFSET(V60,0,0,COUNTA($BF:$BF)-$B$15,1)),0)</f>
        <v>2.1166666666666667</v>
      </c>
      <c r="X60" s="203">
        <f t="shared" ref="X60:X87" si="17">$B$14</f>
        <v>2</v>
      </c>
      <c r="Y60" s="10" t="str">
        <f t="shared" ref="Y60:Y87" ca="1" si="18">IF(AND(A60&gt;=$B$15,W60&lt;=$B$14),A60,"")</f>
        <v/>
      </c>
      <c r="Z60" s="204" t="str">
        <f>IF(Optimisation!$B$3="Yes",IF(Optimisation!A60&lt;=Optimisation!$B$16,Optimisation!B60,Optimisation!$B$18),B60)</f>
        <v xml:space="preserve">UK - Agriculture (BPS: from 2015) </v>
      </c>
      <c r="AA60" s="205" t="str">
        <f t="shared" ref="AA60:AA87" si="19">IF($B$4=1,U60,Z60)</f>
        <v xml:space="preserve">UK - Agriculture (BPS: from 2015) </v>
      </c>
      <c r="AG60" s="10"/>
    </row>
    <row r="61" spans="1:33" x14ac:dyDescent="0.25">
      <c r="A61" s="196">
        <f t="shared" si="9"/>
        <v>34</v>
      </c>
      <c r="B61" s="197" t="str">
        <f>IF('Options and results'!$C$54="None",0,IF(AND(A61&gt;='Options and results'!$K$57,A60&lt;'Options and results'!$W$20),'Options and results'!$K$56,CONCATENATE('Options and results'!$C$60," ",(HLOOKUP(CONCATENATE('Options and results'!$C$54," ",Agroforestrysystem!$B$12),Agroforestrysystem!$B$11:$IM$74,$A61+4,FALSE)))))</f>
        <v xml:space="preserve">UK - Agriculture (BPS: from 2015) </v>
      </c>
      <c r="C61" s="198">
        <f>IF(HLOOKUP(CONCATENATE('Options and results'!$C$54," ",Agroforestrysystem!$C$12),Agroforestrysystem!$B$11:$IM$74,$A61+4,FALSE)="T",(VLOOKUP(B61,Arablefinance!$Z$6:$AB$105,Arablefinance!$AB$2,FALSE)*E61+VLOOKUP(B61,Arablefinance!$Z$6:$AC$105,Arablefinance!$AC$2,FALSE)*F61)/VLOOKUP(B61,Arablefinance!$Z$6:$AA$105,Arablefinance!$AA$2,FALSE),0)</f>
        <v>0</v>
      </c>
      <c r="D61" s="199">
        <f>IF(B61=0,0,HLOOKUP(CONCATENATE('Options and results'!$C$54," ",Agroforestrysystem!$D$12),Agroforestrysystem!$B$11:$IM$74,$A61+4,FALSE))</f>
        <v>0</v>
      </c>
      <c r="E61" s="42">
        <f>IF(B61=0,0,HLOOKUP(CONCATENATE('Options and results'!$C$54," ",Agroforestrysystem!$E$12),Agroforestrysystem!$B$11:$IM$74,$A61+4,FALSE)*IF(A61&gt;='Options and results'!$J$19,'Options and results'!$J$18,1))</f>
        <v>0</v>
      </c>
      <c r="F61" s="42">
        <f>IF(B61=0,0,HLOOKUP(CONCATENATE('Options and results'!$C$54," ",Agroforestrysystem!$F$12),Agroforestrysystem!$B$11:$IM$74,$A61+4,FALSE)*IF(A61&gt;='Options and results'!$J$19,'Options and results'!$J$18,1))</f>
        <v>0</v>
      </c>
      <c r="G61" s="200">
        <f>IF(D61&lt;=0,0,IF(A61&lt;='Options and results'!$W$20,IF(C61&gt;0,VLOOKUP(B61,Arablefinance!$Z$6:$AE$105,Arablefinance!$AD$2,FALSE)*C61*D61,((VLOOKUP(B61,Arablefinance!$E$6:$H$126,2,FALSE)*E61+VLOOKUP(B61,Arablefinance!$E$6:$H$126,3,FALSE)*F61)*D61)),0)*IF(A61&gt;='Options and results'!$J$21,'Options and results'!$J$20,1))*IF(1+'Options and results'!$O$20*(A61-1)&gt;0,1+'Options and results'!$O$20*(A61-1),0)</f>
        <v>0</v>
      </c>
      <c r="H61" s="10">
        <f>IF(D61&lt;=0,0,IF(C61&gt;0,VLOOKUP(B61,Arablefinance!$Z$6:$AE$105,Arablefinance!$AE$2,FALSE)*C61*D61,IF('Options and results'!$C$62&gt;0,IF(VLOOKUP(B61,Arablefinance!$E$6:$W$126,Arablefinance!$H$2,FALSE)*(1-Plot!AC61*'Options and results'!$C$62)&gt;0,VLOOKUP(B61,Arablefinance!$E$6:$W$126,Arablefinance!$H$2,FALSE)*(1-Plot!AC61*'Options and results'!$C$62),0),IF(A61&lt;='Options and results'!$W$20,(VLOOKUP(B61,Arablefinance!$E$6:$W$126,Arablefinance!$H$2,FALSE)*IF('Options and results'!$C$61="area",D61,'Options and results'!$C$61)),0)))*IF(A61&gt;='Options and results'!$J$23,'Options and results'!$J$22,1))*IF(AND(1+'Options and results'!$O$23*(A61-1)&gt;0,1+'Options and results'!$O$23*(A61-1)&gt;'Options and results'!$S$24),1+'Options and results'!$O$23*(A61-1),'Options and results'!$S$24)</f>
        <v>0</v>
      </c>
      <c r="I61" s="10">
        <f t="shared" si="10"/>
        <v>0</v>
      </c>
      <c r="J61" s="10">
        <f>IF(D61&lt;=0,0,IF(A61&lt;='Options and results'!$W$20,IF(C61&gt;0,VLOOKUP(B61,Arablefinance!$Z$6:$AF$105,Arablefinance!$AF$2,FALSE)*C61*D61,VLOOKUP(B61,Arablefinance!$E$6:$X$126,Arablefinance!$R$2,FALSE)*D61),0)*IF(A61&gt;='Options and results'!$J$27,'Options and results'!$J$26,1))*IF(1+'Options and results'!$O$22*(A61-1)&gt;0,1+'Options and results'!$O$22*(A61-1),0)</f>
        <v>0</v>
      </c>
      <c r="K61" s="10">
        <f t="shared" si="11"/>
        <v>0</v>
      </c>
      <c r="L61" s="10">
        <f>IF(D61&lt;=0,0,IF(A61&lt;='Options and results'!$W$20,IF(C61&gt;0,VLOOKUP(B61,Arablefinance!$Z$6:$AG$105,Arablefinance!$AG$2,FALSE)*C61*D61,VLOOKUP(B61,Arablefinance!$E$6:$X$126,Arablefinance!$X$2,FALSE)*D61),0)*IF(A61&gt;='Options and results'!$J$27,'Options and results'!$J$26,1))*IF(1+'Options and results'!$O$22*(A61-1)&gt;0,1+'Options and results'!$O$22*(A61-1),0)</f>
        <v>0</v>
      </c>
      <c r="M61" s="10">
        <f>IF(D61&lt;=0,0,IF(A61&lt;='Options and results'!$W$20,'Options and results'!$C$27*IF(A61&gt;='Options and results'!$J$27,'Options and results'!$J$26,1),0))*IF(1+'Options and results'!$O$21*(A61-1)&gt;0,1+'Options and results'!$O$21*(A61-1),0)</f>
        <v>0</v>
      </c>
      <c r="N61" s="10">
        <f>IF(D61&lt;=0,0,IF(A61&lt;='Options and results'!$W$20,IF(C61&gt;0,VLOOKUP(B61,Arablefinance!$Z$6:$AH$105,Arablefinance!$AH$2,FALSE)*C61*D61,VLOOKUP(B61,Arablefinance!$E$6:$W$126,Arablefinance!$V$2,FALSE)*D61),0)*IF(A61&gt;='Options and results'!$J$25,'Options and results'!$J$24,1))</f>
        <v>0</v>
      </c>
      <c r="O61" s="200">
        <f t="shared" si="1"/>
        <v>0</v>
      </c>
      <c r="P61" s="201">
        <f>IF(A61&lt;='Options and results'!$W$20,SUM($O$28:O61),0)</f>
        <v>0</v>
      </c>
      <c r="Q61" s="36">
        <f t="shared" si="2"/>
        <v>0</v>
      </c>
      <c r="R61" s="108">
        <f t="shared" ca="1" si="14"/>
        <v>6.4442209976368323</v>
      </c>
      <c r="S61" s="108">
        <f t="shared" si="15"/>
        <v>10</v>
      </c>
      <c r="T61" s="10">
        <f t="shared" ca="1" si="12"/>
        <v>34</v>
      </c>
      <c r="U61" s="1" t="str">
        <f>IF(Optimisation!$B$3="Yes",IF(A61&lt;=Optimisation!$B$9,Optimisation!B61,Optimisation!$B$11),B61)</f>
        <v xml:space="preserve">UK - Agriculture (BPS: from 2015) </v>
      </c>
      <c r="V61" s="202">
        <f t="shared" si="13"/>
        <v>0</v>
      </c>
      <c r="W61" s="203">
        <f t="shared" ca="1" si="16"/>
        <v>2.0050000000000003</v>
      </c>
      <c r="X61" s="203">
        <f t="shared" si="17"/>
        <v>2</v>
      </c>
      <c r="Y61" s="10" t="str">
        <f t="shared" ca="1" si="18"/>
        <v/>
      </c>
      <c r="Z61" s="204" t="str">
        <f>IF(Optimisation!$B$3="Yes",IF(Optimisation!A61&lt;=Optimisation!$B$16,Optimisation!B61,Optimisation!$B$18),B61)</f>
        <v xml:space="preserve">UK - Agriculture (BPS: from 2015) </v>
      </c>
      <c r="AA61" s="205" t="str">
        <f t="shared" si="19"/>
        <v xml:space="preserve">UK - Agriculture (BPS: from 2015) </v>
      </c>
      <c r="AG61" s="10"/>
    </row>
    <row r="62" spans="1:33" x14ac:dyDescent="0.25">
      <c r="A62" s="196">
        <f t="shared" si="9"/>
        <v>35</v>
      </c>
      <c r="B62" s="197" t="str">
        <f>IF('Options and results'!$C$54="None",0,IF(AND(A62&gt;='Options and results'!$K$57,A61&lt;'Options and results'!$W$20),'Options and results'!$K$56,CONCATENATE('Options and results'!$C$60," ",(HLOOKUP(CONCATENATE('Options and results'!$C$54," ",Agroforestrysystem!$B$12),Agroforestrysystem!$B$11:$IM$74,$A62+4,FALSE)))))</f>
        <v xml:space="preserve">UK - Agriculture (BPS: from 2015) </v>
      </c>
      <c r="C62" s="198">
        <f>IF(HLOOKUP(CONCATENATE('Options and results'!$C$54," ",Agroforestrysystem!$C$12),Agroforestrysystem!$B$11:$IM$74,$A62+4,FALSE)="T",(VLOOKUP(B62,Arablefinance!$Z$6:$AB$105,Arablefinance!$AB$2,FALSE)*E62+VLOOKUP(B62,Arablefinance!$Z$6:$AC$105,Arablefinance!$AC$2,FALSE)*F62)/VLOOKUP(B62,Arablefinance!$Z$6:$AA$105,Arablefinance!$AA$2,FALSE),0)</f>
        <v>0</v>
      </c>
      <c r="D62" s="199">
        <f>IF(B62=0,0,HLOOKUP(CONCATENATE('Options and results'!$C$54," ",Agroforestrysystem!$D$12),Agroforestrysystem!$B$11:$IM$74,$A62+4,FALSE))</f>
        <v>0</v>
      </c>
      <c r="E62" s="42">
        <f>IF(B62=0,0,HLOOKUP(CONCATENATE('Options and results'!$C$54," ",Agroforestrysystem!$E$12),Agroforestrysystem!$B$11:$IM$74,$A62+4,FALSE)*IF(A62&gt;='Options and results'!$J$19,'Options and results'!$J$18,1))</f>
        <v>0</v>
      </c>
      <c r="F62" s="42">
        <f>IF(B62=0,0,HLOOKUP(CONCATENATE('Options and results'!$C$54," ",Agroforestrysystem!$F$12),Agroforestrysystem!$B$11:$IM$74,$A62+4,FALSE)*IF(A62&gt;='Options and results'!$J$19,'Options and results'!$J$18,1))</f>
        <v>0</v>
      </c>
      <c r="G62" s="200">
        <f>IF(D62&lt;=0,0,IF(A62&lt;='Options and results'!$W$20,IF(C62&gt;0,VLOOKUP(B62,Arablefinance!$Z$6:$AE$105,Arablefinance!$AD$2,FALSE)*C62*D62,((VLOOKUP(B62,Arablefinance!$E$6:$H$126,2,FALSE)*E62+VLOOKUP(B62,Arablefinance!$E$6:$H$126,3,FALSE)*F62)*D62)),0)*IF(A62&gt;='Options and results'!$J$21,'Options and results'!$J$20,1))*IF(1+'Options and results'!$O$20*(A62-1)&gt;0,1+'Options and results'!$O$20*(A62-1),0)</f>
        <v>0</v>
      </c>
      <c r="H62" s="10">
        <f>IF(D62&lt;=0,0,IF(C62&gt;0,VLOOKUP(B62,Arablefinance!$Z$6:$AE$105,Arablefinance!$AE$2,FALSE)*C62*D62,IF('Options and results'!$C$62&gt;0,IF(VLOOKUP(B62,Arablefinance!$E$6:$W$126,Arablefinance!$H$2,FALSE)*(1-Plot!AC62*'Options and results'!$C$62)&gt;0,VLOOKUP(B62,Arablefinance!$E$6:$W$126,Arablefinance!$H$2,FALSE)*(1-Plot!AC62*'Options and results'!$C$62),0),IF(A62&lt;='Options and results'!$W$20,(VLOOKUP(B62,Arablefinance!$E$6:$W$126,Arablefinance!$H$2,FALSE)*IF('Options and results'!$C$61="area",D62,'Options and results'!$C$61)),0)))*IF(A62&gt;='Options and results'!$J$23,'Options and results'!$J$22,1))*IF(AND(1+'Options and results'!$O$23*(A62-1)&gt;0,1+'Options and results'!$O$23*(A62-1)&gt;'Options and results'!$S$24),1+'Options and results'!$O$23*(A62-1),'Options and results'!$S$24)</f>
        <v>0</v>
      </c>
      <c r="I62" s="10">
        <f t="shared" si="10"/>
        <v>0</v>
      </c>
      <c r="J62" s="10">
        <f>IF(D62&lt;=0,0,IF(A62&lt;='Options and results'!$W$20,IF(C62&gt;0,VLOOKUP(B62,Arablefinance!$Z$6:$AF$105,Arablefinance!$AF$2,FALSE)*C62*D62,VLOOKUP(B62,Arablefinance!$E$6:$X$126,Arablefinance!$R$2,FALSE)*D62),0)*IF(A62&gt;='Options and results'!$J$27,'Options and results'!$J$26,1))*IF(1+'Options and results'!$O$22*(A62-1)&gt;0,1+'Options and results'!$O$22*(A62-1),0)</f>
        <v>0</v>
      </c>
      <c r="K62" s="10">
        <f t="shared" si="11"/>
        <v>0</v>
      </c>
      <c r="L62" s="10">
        <f>IF(D62&lt;=0,0,IF(A62&lt;='Options and results'!$W$20,IF(C62&gt;0,VLOOKUP(B62,Arablefinance!$Z$6:$AG$105,Arablefinance!$AG$2,FALSE)*C62*D62,VLOOKUP(B62,Arablefinance!$E$6:$X$126,Arablefinance!$X$2,FALSE)*D62),0)*IF(A62&gt;='Options and results'!$J$27,'Options and results'!$J$26,1))*IF(1+'Options and results'!$O$22*(A62-1)&gt;0,1+'Options and results'!$O$22*(A62-1),0)</f>
        <v>0</v>
      </c>
      <c r="M62" s="10">
        <f>IF(D62&lt;=0,0,IF(A62&lt;='Options and results'!$W$20,'Options and results'!$C$27*IF(A62&gt;='Options and results'!$J$27,'Options and results'!$J$26,1),0))*IF(1+'Options and results'!$O$21*(A62-1)&gt;0,1+'Options and results'!$O$21*(A62-1),0)</f>
        <v>0</v>
      </c>
      <c r="N62" s="10">
        <f>IF(D62&lt;=0,0,IF(A62&lt;='Options and results'!$W$20,IF(C62&gt;0,VLOOKUP(B62,Arablefinance!$Z$6:$AH$105,Arablefinance!$AH$2,FALSE)*C62*D62,VLOOKUP(B62,Arablefinance!$E$6:$W$126,Arablefinance!$V$2,FALSE)*D62),0)*IF(A62&gt;='Options and results'!$J$25,'Options and results'!$J$24,1))</f>
        <v>0</v>
      </c>
      <c r="O62" s="200">
        <f t="shared" si="1"/>
        <v>0</v>
      </c>
      <c r="P62" s="201">
        <f>IF(A62&lt;='Options and results'!$W$20,SUM($O$28:O62),0)</f>
        <v>0</v>
      </c>
      <c r="Q62" s="36">
        <f t="shared" si="2"/>
        <v>0</v>
      </c>
      <c r="R62" s="108">
        <f t="shared" ca="1" si="14"/>
        <v>-8.6137254244890222</v>
      </c>
      <c r="S62" s="108">
        <f t="shared" si="15"/>
        <v>10</v>
      </c>
      <c r="T62" s="10">
        <f t="shared" ca="1" si="12"/>
        <v>35</v>
      </c>
      <c r="U62" s="1" t="str">
        <f>IF(Optimisation!$B$3="Yes",IF(A62&lt;=Optimisation!$B$9,Optimisation!B62,Optimisation!$B$11),B62)</f>
        <v xml:space="preserve">UK - Agriculture (BPS: from 2015) </v>
      </c>
      <c r="V62" s="202">
        <f t="shared" si="13"/>
        <v>0</v>
      </c>
      <c r="W62" s="203">
        <f t="shared" ca="1" si="16"/>
        <v>1.7013333333333334</v>
      </c>
      <c r="X62" s="203">
        <f t="shared" si="17"/>
        <v>2</v>
      </c>
      <c r="Y62" s="10">
        <f t="shared" ca="1" si="18"/>
        <v>35</v>
      </c>
      <c r="Z62" s="204" t="str">
        <f>IF(Optimisation!$B$3="Yes",IF(Optimisation!A62&lt;=Optimisation!$B$16,Optimisation!B62,Optimisation!$B$18),B62)</f>
        <v xml:space="preserve">UK - Agriculture (BPS: from 2015) </v>
      </c>
      <c r="AA62" s="205" t="str">
        <f t="shared" si="19"/>
        <v xml:space="preserve">UK - Agriculture (BPS: from 2015) </v>
      </c>
      <c r="AG62" s="10"/>
    </row>
    <row r="63" spans="1:33" x14ac:dyDescent="0.25">
      <c r="A63" s="196">
        <f t="shared" si="9"/>
        <v>36</v>
      </c>
      <c r="B63" s="197" t="str">
        <f>IF('Options and results'!$C$54="None",0,IF(AND(A63&gt;='Options and results'!$K$57,A62&lt;'Options and results'!$W$20),'Options and results'!$K$56,CONCATENATE('Options and results'!$C$60," ",(HLOOKUP(CONCATENATE('Options and results'!$C$54," ",Agroforestrysystem!$B$12),Agroforestrysystem!$B$11:$IM$74,$A63+4,FALSE)))))</f>
        <v xml:space="preserve">UK - Agriculture (BPS: from 2015) </v>
      </c>
      <c r="C63" s="198">
        <f>IF(HLOOKUP(CONCATENATE('Options and results'!$C$54," ",Agroforestrysystem!$C$12),Agroforestrysystem!$B$11:$IM$74,$A63+4,FALSE)="T",(VLOOKUP(B63,Arablefinance!$Z$6:$AB$105,Arablefinance!$AB$2,FALSE)*E63+VLOOKUP(B63,Arablefinance!$Z$6:$AC$105,Arablefinance!$AC$2,FALSE)*F63)/VLOOKUP(B63,Arablefinance!$Z$6:$AA$105,Arablefinance!$AA$2,FALSE),0)</f>
        <v>0</v>
      </c>
      <c r="D63" s="199">
        <f>IF(B63=0,0,HLOOKUP(CONCATENATE('Options and results'!$C$54," ",Agroforestrysystem!$D$12),Agroforestrysystem!$B$11:$IM$74,$A63+4,FALSE))</f>
        <v>0</v>
      </c>
      <c r="E63" s="42">
        <f>IF(B63=0,0,HLOOKUP(CONCATENATE('Options and results'!$C$54," ",Agroforestrysystem!$E$12),Agroforestrysystem!$B$11:$IM$74,$A63+4,FALSE)*IF(A63&gt;='Options and results'!$J$19,'Options and results'!$J$18,1))</f>
        <v>0</v>
      </c>
      <c r="F63" s="42">
        <f>IF(B63=0,0,HLOOKUP(CONCATENATE('Options and results'!$C$54," ",Agroforestrysystem!$F$12),Agroforestrysystem!$B$11:$IM$74,$A63+4,FALSE)*IF(A63&gt;='Options and results'!$J$19,'Options and results'!$J$18,1))</f>
        <v>0</v>
      </c>
      <c r="G63" s="200">
        <f>IF(D63&lt;=0,0,IF(A63&lt;='Options and results'!$W$20,IF(C63&gt;0,VLOOKUP(B63,Arablefinance!$Z$6:$AE$105,Arablefinance!$AD$2,FALSE)*C63*D63,((VLOOKUP(B63,Arablefinance!$E$6:$H$126,2,FALSE)*E63+VLOOKUP(B63,Arablefinance!$E$6:$H$126,3,FALSE)*F63)*D63)),0)*IF(A63&gt;='Options and results'!$J$21,'Options and results'!$J$20,1))*IF(1+'Options and results'!$O$20*(A63-1)&gt;0,1+'Options and results'!$O$20*(A63-1),0)</f>
        <v>0</v>
      </c>
      <c r="H63" s="10">
        <f>IF(D63&lt;=0,0,IF(C63&gt;0,VLOOKUP(B63,Arablefinance!$Z$6:$AE$105,Arablefinance!$AE$2,FALSE)*C63*D63,IF('Options and results'!$C$62&gt;0,IF(VLOOKUP(B63,Arablefinance!$E$6:$W$126,Arablefinance!$H$2,FALSE)*(1-Plot!AC63*'Options and results'!$C$62)&gt;0,VLOOKUP(B63,Arablefinance!$E$6:$W$126,Arablefinance!$H$2,FALSE)*(1-Plot!AC63*'Options and results'!$C$62),0),IF(A63&lt;='Options and results'!$W$20,(VLOOKUP(B63,Arablefinance!$E$6:$W$126,Arablefinance!$H$2,FALSE)*IF('Options and results'!$C$61="area",D63,'Options and results'!$C$61)),0)))*IF(A63&gt;='Options and results'!$J$23,'Options and results'!$J$22,1))*IF(AND(1+'Options and results'!$O$23*(A63-1)&gt;0,1+'Options and results'!$O$23*(A63-1)&gt;'Options and results'!$S$24),1+'Options and results'!$O$23*(A63-1),'Options and results'!$S$24)</f>
        <v>0</v>
      </c>
      <c r="I63" s="10">
        <f t="shared" si="10"/>
        <v>0</v>
      </c>
      <c r="J63" s="10">
        <f>IF(D63&lt;=0,0,IF(A63&lt;='Options and results'!$W$20,IF(C63&gt;0,VLOOKUP(B63,Arablefinance!$Z$6:$AF$105,Arablefinance!$AF$2,FALSE)*C63*D63,VLOOKUP(B63,Arablefinance!$E$6:$X$126,Arablefinance!$R$2,FALSE)*D63),0)*IF(A63&gt;='Options and results'!$J$27,'Options and results'!$J$26,1))*IF(1+'Options and results'!$O$22*(A63-1)&gt;0,1+'Options and results'!$O$22*(A63-1),0)</f>
        <v>0</v>
      </c>
      <c r="K63" s="10">
        <f t="shared" si="11"/>
        <v>0</v>
      </c>
      <c r="L63" s="10">
        <f>IF(D63&lt;=0,0,IF(A63&lt;='Options and results'!$W$20,IF(C63&gt;0,VLOOKUP(B63,Arablefinance!$Z$6:$AG$105,Arablefinance!$AG$2,FALSE)*C63*D63,VLOOKUP(B63,Arablefinance!$E$6:$X$126,Arablefinance!$X$2,FALSE)*D63),0)*IF(A63&gt;='Options and results'!$J$27,'Options and results'!$J$26,1))*IF(1+'Options and results'!$O$22*(A63-1)&gt;0,1+'Options and results'!$O$22*(A63-1),0)</f>
        <v>0</v>
      </c>
      <c r="M63" s="10">
        <f>IF(D63&lt;=0,0,IF(A63&lt;='Options and results'!$W$20,'Options and results'!$C$27*IF(A63&gt;='Options and results'!$J$27,'Options and results'!$J$26,1),0))*IF(1+'Options and results'!$O$21*(A63-1)&gt;0,1+'Options and results'!$O$21*(A63-1),0)</f>
        <v>0</v>
      </c>
      <c r="N63" s="10">
        <f>IF(D63&lt;=0,0,IF(A63&lt;='Options and results'!$W$20,IF(C63&gt;0,VLOOKUP(B63,Arablefinance!$Z$6:$AH$105,Arablefinance!$AH$2,FALSE)*C63*D63,VLOOKUP(B63,Arablefinance!$E$6:$W$126,Arablefinance!$V$2,FALSE)*D63),0)*IF(A63&gt;='Options and results'!$J$25,'Options and results'!$J$24,1))</f>
        <v>0</v>
      </c>
      <c r="O63" s="200">
        <f t="shared" si="1"/>
        <v>0</v>
      </c>
      <c r="P63" s="201">
        <f>IF(A63&lt;='Options and results'!$W$20,SUM($O$28:O63),0)</f>
        <v>0</v>
      </c>
      <c r="Q63" s="36">
        <f t="shared" si="2"/>
        <v>0</v>
      </c>
      <c r="R63" s="108">
        <f t="shared" ca="1" si="14"/>
        <v>-17.098153328096373</v>
      </c>
      <c r="S63" s="108">
        <f t="shared" si="15"/>
        <v>10</v>
      </c>
      <c r="T63" s="10">
        <f t="shared" ca="1" si="12"/>
        <v>36</v>
      </c>
      <c r="U63" s="1" t="str">
        <f>IF(Optimisation!$B$3="Yes",IF(A63&lt;=Optimisation!$B$9,Optimisation!B63,Optimisation!$B$11),B63)</f>
        <v xml:space="preserve">UK - Agriculture (BPS: from 2015) </v>
      </c>
      <c r="V63" s="202">
        <f t="shared" si="13"/>
        <v>0</v>
      </c>
      <c r="W63" s="203">
        <f t="shared" ca="1" si="16"/>
        <v>1.4323333333333332</v>
      </c>
      <c r="X63" s="203">
        <f t="shared" si="17"/>
        <v>2</v>
      </c>
      <c r="Y63" s="10">
        <f t="shared" ca="1" si="18"/>
        <v>36</v>
      </c>
      <c r="Z63" s="204" t="str">
        <f>IF(Optimisation!$B$3="Yes",IF(Optimisation!A63&lt;=Optimisation!$B$16,Optimisation!B63,Optimisation!$B$18),B63)</f>
        <v xml:space="preserve">UK - Agriculture (BPS: from 2015) </v>
      </c>
      <c r="AA63" s="205" t="str">
        <f t="shared" si="19"/>
        <v xml:space="preserve">UK - Agriculture (BPS: from 2015) </v>
      </c>
      <c r="AG63" s="10"/>
    </row>
    <row r="64" spans="1:33" x14ac:dyDescent="0.25">
      <c r="A64" s="196">
        <f t="shared" si="9"/>
        <v>37</v>
      </c>
      <c r="B64" s="197" t="str">
        <f>IF('Options and results'!$C$54="None",0,IF(AND(A64&gt;='Options and results'!$K$57,A63&lt;'Options and results'!$W$20),'Options and results'!$K$56,CONCATENATE('Options and results'!$C$60," ",(HLOOKUP(CONCATENATE('Options and results'!$C$54," ",Agroforestrysystem!$B$12),Agroforestrysystem!$B$11:$IM$74,$A64+4,FALSE)))))</f>
        <v xml:space="preserve">UK - Agriculture (BPS: from 2015) </v>
      </c>
      <c r="C64" s="198">
        <f>IF(HLOOKUP(CONCATENATE('Options and results'!$C$54," ",Agroforestrysystem!$C$12),Agroforestrysystem!$B$11:$IM$74,$A64+4,FALSE)="T",(VLOOKUP(B64,Arablefinance!$Z$6:$AB$105,Arablefinance!$AB$2,FALSE)*E64+VLOOKUP(B64,Arablefinance!$Z$6:$AC$105,Arablefinance!$AC$2,FALSE)*F64)/VLOOKUP(B64,Arablefinance!$Z$6:$AA$105,Arablefinance!$AA$2,FALSE),0)</f>
        <v>0</v>
      </c>
      <c r="D64" s="199">
        <f>IF(B64=0,0,HLOOKUP(CONCATENATE('Options and results'!$C$54," ",Agroforestrysystem!$D$12),Agroforestrysystem!$B$11:$IM$74,$A64+4,FALSE))</f>
        <v>0</v>
      </c>
      <c r="E64" s="42">
        <f>IF(B64=0,0,HLOOKUP(CONCATENATE('Options and results'!$C$54," ",Agroforestrysystem!$E$12),Agroforestrysystem!$B$11:$IM$74,$A64+4,FALSE)*IF(A64&gt;='Options and results'!$J$19,'Options and results'!$J$18,1))</f>
        <v>0</v>
      </c>
      <c r="F64" s="42">
        <f>IF(B64=0,0,HLOOKUP(CONCATENATE('Options and results'!$C$54," ",Agroforestrysystem!$F$12),Agroforestrysystem!$B$11:$IM$74,$A64+4,FALSE)*IF(A64&gt;='Options and results'!$J$19,'Options and results'!$J$18,1))</f>
        <v>0</v>
      </c>
      <c r="G64" s="200">
        <f>IF(D64&lt;=0,0,IF(A64&lt;='Options and results'!$W$20,IF(C64&gt;0,VLOOKUP(B64,Arablefinance!$Z$6:$AE$105,Arablefinance!$AD$2,FALSE)*C64*D64,((VLOOKUP(B64,Arablefinance!$E$6:$H$126,2,FALSE)*E64+VLOOKUP(B64,Arablefinance!$E$6:$H$126,3,FALSE)*F64)*D64)),0)*IF(A64&gt;='Options and results'!$J$21,'Options and results'!$J$20,1))*IF(1+'Options and results'!$O$20*(A64-1)&gt;0,1+'Options and results'!$O$20*(A64-1),0)</f>
        <v>0</v>
      </c>
      <c r="H64" s="10">
        <f>IF(D64&lt;=0,0,IF(C64&gt;0,VLOOKUP(B64,Arablefinance!$Z$6:$AE$105,Arablefinance!$AE$2,FALSE)*C64*D64,IF('Options and results'!$C$62&gt;0,IF(VLOOKUP(B64,Arablefinance!$E$6:$W$126,Arablefinance!$H$2,FALSE)*(1-Plot!AC64*'Options and results'!$C$62)&gt;0,VLOOKUP(B64,Arablefinance!$E$6:$W$126,Arablefinance!$H$2,FALSE)*(1-Plot!AC64*'Options and results'!$C$62),0),IF(A64&lt;='Options and results'!$W$20,(VLOOKUP(B64,Arablefinance!$E$6:$W$126,Arablefinance!$H$2,FALSE)*IF('Options and results'!$C$61="area",D64,'Options and results'!$C$61)),0)))*IF(A64&gt;='Options and results'!$J$23,'Options and results'!$J$22,1))*IF(AND(1+'Options and results'!$O$23*(A64-1)&gt;0,1+'Options and results'!$O$23*(A64-1)&gt;'Options and results'!$S$24),1+'Options and results'!$O$23*(A64-1),'Options and results'!$S$24)</f>
        <v>0</v>
      </c>
      <c r="I64" s="10">
        <f t="shared" si="10"/>
        <v>0</v>
      </c>
      <c r="J64" s="10">
        <f>IF(D64&lt;=0,0,IF(A64&lt;='Options and results'!$W$20,IF(C64&gt;0,VLOOKUP(B64,Arablefinance!$Z$6:$AF$105,Arablefinance!$AF$2,FALSE)*C64*D64,VLOOKUP(B64,Arablefinance!$E$6:$X$126,Arablefinance!$R$2,FALSE)*D64),0)*IF(A64&gt;='Options and results'!$J$27,'Options and results'!$J$26,1))*IF(1+'Options and results'!$O$22*(A64-1)&gt;0,1+'Options and results'!$O$22*(A64-1),0)</f>
        <v>0</v>
      </c>
      <c r="K64" s="10">
        <f t="shared" si="11"/>
        <v>0</v>
      </c>
      <c r="L64" s="10">
        <f>IF(D64&lt;=0,0,IF(A64&lt;='Options and results'!$W$20,IF(C64&gt;0,VLOOKUP(B64,Arablefinance!$Z$6:$AG$105,Arablefinance!$AG$2,FALSE)*C64*D64,VLOOKUP(B64,Arablefinance!$E$6:$X$126,Arablefinance!$X$2,FALSE)*D64),0)*IF(A64&gt;='Options and results'!$J$27,'Options and results'!$J$26,1))*IF(1+'Options and results'!$O$22*(A64-1)&gt;0,1+'Options and results'!$O$22*(A64-1),0)</f>
        <v>0</v>
      </c>
      <c r="M64" s="10">
        <f>IF(D64&lt;=0,0,IF(A64&lt;='Options and results'!$W$20,'Options and results'!$C$27*IF(A64&gt;='Options and results'!$J$27,'Options and results'!$J$26,1),0))*IF(1+'Options and results'!$O$21*(A64-1)&gt;0,1+'Options and results'!$O$21*(A64-1),0)</f>
        <v>0</v>
      </c>
      <c r="N64" s="10">
        <f>IF(D64&lt;=0,0,IF(A64&lt;='Options and results'!$W$20,IF(C64&gt;0,VLOOKUP(B64,Arablefinance!$Z$6:$AH$105,Arablefinance!$AH$2,FALSE)*C64*D64,VLOOKUP(B64,Arablefinance!$E$6:$W$126,Arablefinance!$V$2,FALSE)*D64),0)*IF(A64&gt;='Options and results'!$J$25,'Options and results'!$J$24,1))</f>
        <v>0</v>
      </c>
      <c r="O64" s="200">
        <f t="shared" si="1"/>
        <v>0</v>
      </c>
      <c r="P64" s="201">
        <f>IF(A64&lt;='Options and results'!$W$20,SUM($O$28:O64),0)</f>
        <v>0</v>
      </c>
      <c r="Q64" s="36">
        <f t="shared" si="2"/>
        <v>0</v>
      </c>
      <c r="R64" s="108">
        <f t="shared" ca="1" si="14"/>
        <v>-13.475220700418056</v>
      </c>
      <c r="S64" s="108">
        <f t="shared" si="15"/>
        <v>10</v>
      </c>
      <c r="T64" s="10">
        <f t="shared" ca="1" si="12"/>
        <v>37</v>
      </c>
      <c r="U64" s="1" t="str">
        <f>IF(Optimisation!$B$3="Yes",IF(A64&lt;=Optimisation!$B$9,Optimisation!B64,Optimisation!$B$11),B64)</f>
        <v xml:space="preserve">UK - Agriculture (BPS: from 2015) </v>
      </c>
      <c r="V64" s="202">
        <f t="shared" si="13"/>
        <v>0</v>
      </c>
      <c r="W64" s="203">
        <f t="shared" ca="1" si="16"/>
        <v>1.2543333333333331</v>
      </c>
      <c r="X64" s="203">
        <f t="shared" si="17"/>
        <v>2</v>
      </c>
      <c r="Y64" s="10">
        <f t="shared" ca="1" si="18"/>
        <v>37</v>
      </c>
      <c r="Z64" s="204" t="str">
        <f>IF(Optimisation!$B$3="Yes",IF(Optimisation!A64&lt;=Optimisation!$B$16,Optimisation!B64,Optimisation!$B$18),B64)</f>
        <v xml:space="preserve">UK - Agriculture (BPS: from 2015) </v>
      </c>
      <c r="AA64" s="205" t="str">
        <f t="shared" si="19"/>
        <v xml:space="preserve">UK - Agriculture (BPS: from 2015) </v>
      </c>
      <c r="AG64" s="10"/>
    </row>
    <row r="65" spans="1:33" x14ac:dyDescent="0.25">
      <c r="A65" s="196">
        <f t="shared" si="9"/>
        <v>38</v>
      </c>
      <c r="B65" s="197" t="str">
        <f>IF('Options and results'!$C$54="None",0,IF(AND(A65&gt;='Options and results'!$K$57,A64&lt;'Options and results'!$W$20),'Options and results'!$K$56,CONCATENATE('Options and results'!$C$60," ",(HLOOKUP(CONCATENATE('Options and results'!$C$54," ",Agroforestrysystem!$B$12),Agroforestrysystem!$B$11:$IM$74,$A65+4,FALSE)))))</f>
        <v xml:space="preserve">UK - Agriculture (BPS: from 2015) </v>
      </c>
      <c r="C65" s="198">
        <f>IF(HLOOKUP(CONCATENATE('Options and results'!$C$54," ",Agroforestrysystem!$C$12),Agroforestrysystem!$B$11:$IM$74,$A65+4,FALSE)="T",(VLOOKUP(B65,Arablefinance!$Z$6:$AB$105,Arablefinance!$AB$2,FALSE)*E65+VLOOKUP(B65,Arablefinance!$Z$6:$AC$105,Arablefinance!$AC$2,FALSE)*F65)/VLOOKUP(B65,Arablefinance!$Z$6:$AA$105,Arablefinance!$AA$2,FALSE),0)</f>
        <v>0</v>
      </c>
      <c r="D65" s="199">
        <f>IF(B65=0,0,HLOOKUP(CONCATENATE('Options and results'!$C$54," ",Agroforestrysystem!$D$12),Agroforestrysystem!$B$11:$IM$74,$A65+4,FALSE))</f>
        <v>0</v>
      </c>
      <c r="E65" s="42">
        <f>IF(B65=0,0,HLOOKUP(CONCATENATE('Options and results'!$C$54," ",Agroforestrysystem!$E$12),Agroforestrysystem!$B$11:$IM$74,$A65+4,FALSE)*IF(A65&gt;='Options and results'!$J$19,'Options and results'!$J$18,1))</f>
        <v>0</v>
      </c>
      <c r="F65" s="42">
        <f>IF(B65=0,0,HLOOKUP(CONCATENATE('Options and results'!$C$54," ",Agroforestrysystem!$F$12),Agroforestrysystem!$B$11:$IM$74,$A65+4,FALSE)*IF(A65&gt;='Options and results'!$J$19,'Options and results'!$J$18,1))</f>
        <v>0</v>
      </c>
      <c r="G65" s="200">
        <f>IF(D65&lt;=0,0,IF(A65&lt;='Options and results'!$W$20,IF(C65&gt;0,VLOOKUP(B65,Arablefinance!$Z$6:$AE$105,Arablefinance!$AD$2,FALSE)*C65*D65,((VLOOKUP(B65,Arablefinance!$E$6:$H$126,2,FALSE)*E65+VLOOKUP(B65,Arablefinance!$E$6:$H$126,3,FALSE)*F65)*D65)),0)*IF(A65&gt;='Options and results'!$J$21,'Options and results'!$J$20,1))*IF(1+'Options and results'!$O$20*(A65-1)&gt;0,1+'Options and results'!$O$20*(A65-1),0)</f>
        <v>0</v>
      </c>
      <c r="H65" s="10">
        <f>IF(D65&lt;=0,0,IF(C65&gt;0,VLOOKUP(B65,Arablefinance!$Z$6:$AE$105,Arablefinance!$AE$2,FALSE)*C65*D65,IF('Options and results'!$C$62&gt;0,IF(VLOOKUP(B65,Arablefinance!$E$6:$W$126,Arablefinance!$H$2,FALSE)*(1-Plot!AC65*'Options and results'!$C$62)&gt;0,VLOOKUP(B65,Arablefinance!$E$6:$W$126,Arablefinance!$H$2,FALSE)*(1-Plot!AC65*'Options and results'!$C$62),0),IF(A65&lt;='Options and results'!$W$20,(VLOOKUP(B65,Arablefinance!$E$6:$W$126,Arablefinance!$H$2,FALSE)*IF('Options and results'!$C$61="area",D65,'Options and results'!$C$61)),0)))*IF(A65&gt;='Options and results'!$J$23,'Options and results'!$J$22,1))*IF(AND(1+'Options and results'!$O$23*(A65-1)&gt;0,1+'Options and results'!$O$23*(A65-1)&gt;'Options and results'!$S$24),1+'Options and results'!$O$23*(A65-1),'Options and results'!$S$24)</f>
        <v>0</v>
      </c>
      <c r="I65" s="10">
        <f t="shared" si="10"/>
        <v>0</v>
      </c>
      <c r="J65" s="10">
        <f>IF(D65&lt;=0,0,IF(A65&lt;='Options and results'!$W$20,IF(C65&gt;0,VLOOKUP(B65,Arablefinance!$Z$6:$AF$105,Arablefinance!$AF$2,FALSE)*C65*D65,VLOOKUP(B65,Arablefinance!$E$6:$X$126,Arablefinance!$R$2,FALSE)*D65),0)*IF(A65&gt;='Options and results'!$J$27,'Options and results'!$J$26,1))*IF(1+'Options and results'!$O$22*(A65-1)&gt;0,1+'Options and results'!$O$22*(A65-1),0)</f>
        <v>0</v>
      </c>
      <c r="K65" s="10">
        <f t="shared" si="11"/>
        <v>0</v>
      </c>
      <c r="L65" s="10">
        <f>IF(D65&lt;=0,0,IF(A65&lt;='Options and results'!$W$20,IF(C65&gt;0,VLOOKUP(B65,Arablefinance!$Z$6:$AG$105,Arablefinance!$AG$2,FALSE)*C65*D65,VLOOKUP(B65,Arablefinance!$E$6:$X$126,Arablefinance!$X$2,FALSE)*D65),0)*IF(A65&gt;='Options and results'!$J$27,'Options and results'!$J$26,1))*IF(1+'Options and results'!$O$22*(A65-1)&gt;0,1+'Options and results'!$O$22*(A65-1),0)</f>
        <v>0</v>
      </c>
      <c r="M65" s="10">
        <f>IF(D65&lt;=0,0,IF(A65&lt;='Options and results'!$W$20,'Options and results'!$C$27*IF(A65&gt;='Options and results'!$J$27,'Options and results'!$J$26,1),0))*IF(1+'Options and results'!$O$21*(A65-1)&gt;0,1+'Options and results'!$O$21*(A65-1),0)</f>
        <v>0</v>
      </c>
      <c r="N65" s="10">
        <f>IF(D65&lt;=0,0,IF(A65&lt;='Options and results'!$W$20,IF(C65&gt;0,VLOOKUP(B65,Arablefinance!$Z$6:$AH$105,Arablefinance!$AH$2,FALSE)*C65*D65,VLOOKUP(B65,Arablefinance!$E$6:$W$126,Arablefinance!$V$2,FALSE)*D65),0)*IF(A65&gt;='Options and results'!$J$25,'Options and results'!$J$24,1))</f>
        <v>0</v>
      </c>
      <c r="O65" s="200">
        <f t="shared" si="1"/>
        <v>0</v>
      </c>
      <c r="P65" s="201">
        <f>IF(A65&lt;='Options and results'!$W$20,SUM($O$28:O65),0)</f>
        <v>0</v>
      </c>
      <c r="Q65" s="36">
        <f t="shared" si="2"/>
        <v>0</v>
      </c>
      <c r="R65" s="108">
        <f t="shared" ca="1" si="14"/>
        <v>-9.0488227086853499</v>
      </c>
      <c r="S65" s="108">
        <f t="shared" si="15"/>
        <v>10</v>
      </c>
      <c r="T65" s="10">
        <f t="shared" ca="1" si="12"/>
        <v>38</v>
      </c>
      <c r="U65" s="1" t="str">
        <f>IF(Optimisation!$B$3="Yes",IF(A65&lt;=Optimisation!$B$9,Optimisation!B65,Optimisation!$B$11),B65)</f>
        <v xml:space="preserve">UK - Agriculture (BPS: from 2015) </v>
      </c>
      <c r="V65" s="202">
        <f t="shared" si="13"/>
        <v>0</v>
      </c>
      <c r="W65" s="203">
        <f t="shared" ca="1" si="16"/>
        <v>1.157</v>
      </c>
      <c r="X65" s="203">
        <f t="shared" si="17"/>
        <v>2</v>
      </c>
      <c r="Y65" s="10">
        <f t="shared" ca="1" si="18"/>
        <v>38</v>
      </c>
      <c r="Z65" s="204" t="str">
        <f>IF(Optimisation!$B$3="Yes",IF(Optimisation!A65&lt;=Optimisation!$B$16,Optimisation!B65,Optimisation!$B$18),B65)</f>
        <v xml:space="preserve">UK - Agriculture (BPS: from 2015) </v>
      </c>
      <c r="AA65" s="205" t="str">
        <f t="shared" si="19"/>
        <v xml:space="preserve">UK - Agriculture (BPS: from 2015) </v>
      </c>
      <c r="AG65" s="10"/>
    </row>
    <row r="66" spans="1:33" x14ac:dyDescent="0.25">
      <c r="A66" s="196">
        <f t="shared" si="9"/>
        <v>39</v>
      </c>
      <c r="B66" s="197" t="str">
        <f>IF('Options and results'!$C$54="None",0,IF(AND(A66&gt;='Options and results'!$K$57,A65&lt;'Options and results'!$W$20),'Options and results'!$K$56,CONCATENATE('Options and results'!$C$60," ",(HLOOKUP(CONCATENATE('Options and results'!$C$54," ",Agroforestrysystem!$B$12),Agroforestrysystem!$B$11:$IM$74,$A66+4,FALSE)))))</f>
        <v xml:space="preserve">UK - Agriculture (BPS: from 2015) </v>
      </c>
      <c r="C66" s="198">
        <f>IF(HLOOKUP(CONCATENATE('Options and results'!$C$54," ",Agroforestrysystem!$C$12),Agroforestrysystem!$B$11:$IM$74,$A66+4,FALSE)="T",(VLOOKUP(B66,Arablefinance!$Z$6:$AB$105,Arablefinance!$AB$2,FALSE)*E66+VLOOKUP(B66,Arablefinance!$Z$6:$AC$105,Arablefinance!$AC$2,FALSE)*F66)/VLOOKUP(B66,Arablefinance!$Z$6:$AA$105,Arablefinance!$AA$2,FALSE),0)</f>
        <v>0</v>
      </c>
      <c r="D66" s="199">
        <f>IF(B66=0,0,HLOOKUP(CONCATENATE('Options and results'!$C$54," ",Agroforestrysystem!$D$12),Agroforestrysystem!$B$11:$IM$74,$A66+4,FALSE))</f>
        <v>0</v>
      </c>
      <c r="E66" s="42">
        <f>IF(B66=0,0,HLOOKUP(CONCATENATE('Options and results'!$C$54," ",Agroforestrysystem!$E$12),Agroforestrysystem!$B$11:$IM$74,$A66+4,FALSE)*IF(A66&gt;='Options and results'!$J$19,'Options and results'!$J$18,1))</f>
        <v>0</v>
      </c>
      <c r="F66" s="42">
        <f>IF(B66=0,0,HLOOKUP(CONCATENATE('Options and results'!$C$54," ",Agroforestrysystem!$F$12),Agroforestrysystem!$B$11:$IM$74,$A66+4,FALSE)*IF(A66&gt;='Options and results'!$J$19,'Options and results'!$J$18,1))</f>
        <v>0</v>
      </c>
      <c r="G66" s="200">
        <f>IF(D66&lt;=0,0,IF(A66&lt;='Options and results'!$W$20,IF(C66&gt;0,VLOOKUP(B66,Arablefinance!$Z$6:$AE$105,Arablefinance!$AD$2,FALSE)*C66*D66,((VLOOKUP(B66,Arablefinance!$E$6:$H$126,2,FALSE)*E66+VLOOKUP(B66,Arablefinance!$E$6:$H$126,3,FALSE)*F66)*D66)),0)*IF(A66&gt;='Options and results'!$J$21,'Options and results'!$J$20,1))*IF(1+'Options and results'!$O$20*(A66-1)&gt;0,1+'Options and results'!$O$20*(A66-1),0)</f>
        <v>0</v>
      </c>
      <c r="H66" s="10">
        <f>IF(D66&lt;=0,0,IF(C66&gt;0,VLOOKUP(B66,Arablefinance!$Z$6:$AE$105,Arablefinance!$AE$2,FALSE)*C66*D66,IF('Options and results'!$C$62&gt;0,IF(VLOOKUP(B66,Arablefinance!$E$6:$W$126,Arablefinance!$H$2,FALSE)*(1-Plot!AC66*'Options and results'!$C$62)&gt;0,VLOOKUP(B66,Arablefinance!$E$6:$W$126,Arablefinance!$H$2,FALSE)*(1-Plot!AC66*'Options and results'!$C$62),0),IF(A66&lt;='Options and results'!$W$20,(VLOOKUP(B66,Arablefinance!$E$6:$W$126,Arablefinance!$H$2,FALSE)*IF('Options and results'!$C$61="area",D66,'Options and results'!$C$61)),0)))*IF(A66&gt;='Options and results'!$J$23,'Options and results'!$J$22,1))*IF(AND(1+'Options and results'!$O$23*(A66-1)&gt;0,1+'Options and results'!$O$23*(A66-1)&gt;'Options and results'!$S$24),1+'Options and results'!$O$23*(A66-1),'Options and results'!$S$24)</f>
        <v>0</v>
      </c>
      <c r="I66" s="10">
        <f t="shared" si="10"/>
        <v>0</v>
      </c>
      <c r="J66" s="10">
        <f>IF(D66&lt;=0,0,IF(A66&lt;='Options and results'!$W$20,IF(C66&gt;0,VLOOKUP(B66,Arablefinance!$Z$6:$AF$105,Arablefinance!$AF$2,FALSE)*C66*D66,VLOOKUP(B66,Arablefinance!$E$6:$X$126,Arablefinance!$R$2,FALSE)*D66),0)*IF(A66&gt;='Options and results'!$J$27,'Options and results'!$J$26,1))*IF(1+'Options and results'!$O$22*(A66-1)&gt;0,1+'Options and results'!$O$22*(A66-1),0)</f>
        <v>0</v>
      </c>
      <c r="K66" s="10">
        <f t="shared" si="11"/>
        <v>0</v>
      </c>
      <c r="L66" s="10">
        <f>IF(D66&lt;=0,0,IF(A66&lt;='Options and results'!$W$20,IF(C66&gt;0,VLOOKUP(B66,Arablefinance!$Z$6:$AG$105,Arablefinance!$AG$2,FALSE)*C66*D66,VLOOKUP(B66,Arablefinance!$E$6:$X$126,Arablefinance!$X$2,FALSE)*D66),0)*IF(A66&gt;='Options and results'!$J$27,'Options and results'!$J$26,1))*IF(1+'Options and results'!$O$22*(A66-1)&gt;0,1+'Options and results'!$O$22*(A66-1),0)</f>
        <v>0</v>
      </c>
      <c r="M66" s="10">
        <f>IF(D66&lt;=0,0,IF(A66&lt;='Options and results'!$W$20,'Options and results'!$C$27*IF(A66&gt;='Options and results'!$J$27,'Options and results'!$J$26,1),0))*IF(1+'Options and results'!$O$21*(A66-1)&gt;0,1+'Options and results'!$O$21*(A66-1),0)</f>
        <v>0</v>
      </c>
      <c r="N66" s="10">
        <f>IF(D66&lt;=0,0,IF(A66&lt;='Options and results'!$W$20,IF(C66&gt;0,VLOOKUP(B66,Arablefinance!$Z$6:$AH$105,Arablefinance!$AH$2,FALSE)*C66*D66,VLOOKUP(B66,Arablefinance!$E$6:$W$126,Arablefinance!$V$2,FALSE)*D66),0)*IF(A66&gt;='Options and results'!$J$25,'Options and results'!$J$24,1))</f>
        <v>0</v>
      </c>
      <c r="O66" s="200">
        <f t="shared" si="1"/>
        <v>0</v>
      </c>
      <c r="P66" s="201">
        <f>IF(A66&lt;='Options and results'!$W$20,SUM($O$28:O66),0)</f>
        <v>0</v>
      </c>
      <c r="Q66" s="36">
        <f t="shared" si="2"/>
        <v>0</v>
      </c>
      <c r="R66" s="108">
        <f t="shared" ca="1" si="14"/>
        <v>-14.834824686366764</v>
      </c>
      <c r="S66" s="108">
        <f t="shared" si="15"/>
        <v>10</v>
      </c>
      <c r="T66" s="10">
        <f t="shared" ca="1" si="12"/>
        <v>39</v>
      </c>
      <c r="U66" s="1" t="str">
        <f>IF(Optimisation!$B$3="Yes",IF(A66&lt;=Optimisation!$B$9,Optimisation!B66,Optimisation!$B$11),B66)</f>
        <v xml:space="preserve">UK - Agriculture (BPS: from 2015) </v>
      </c>
      <c r="V66" s="202">
        <f t="shared" si="13"/>
        <v>0</v>
      </c>
      <c r="W66" s="203">
        <f t="shared" ca="1" si="16"/>
        <v>0.90233333333333332</v>
      </c>
      <c r="X66" s="203">
        <f t="shared" si="17"/>
        <v>2</v>
      </c>
      <c r="Y66" s="10">
        <f t="shared" ca="1" si="18"/>
        <v>39</v>
      </c>
      <c r="Z66" s="204" t="str">
        <f>IF(Optimisation!$B$3="Yes",IF(Optimisation!A66&lt;=Optimisation!$B$16,Optimisation!B66,Optimisation!$B$18),B66)</f>
        <v xml:space="preserve">UK - Agriculture (BPS: from 2015) </v>
      </c>
      <c r="AA66" s="205" t="str">
        <f t="shared" si="19"/>
        <v xml:space="preserve">UK - Agriculture (BPS: from 2015) </v>
      </c>
      <c r="AG66" s="10"/>
    </row>
    <row r="67" spans="1:33" x14ac:dyDescent="0.25">
      <c r="A67" s="196">
        <f t="shared" si="9"/>
        <v>40</v>
      </c>
      <c r="B67" s="197" t="str">
        <f>IF('Options and results'!$C$54="None",0,IF(AND(A67&gt;='Options and results'!$K$57,A66&lt;'Options and results'!$W$20),'Options and results'!$K$56,CONCATENATE('Options and results'!$C$60," ",(HLOOKUP(CONCATENATE('Options and results'!$C$54," ",Agroforestrysystem!$B$12),Agroforestrysystem!$B$11:$IM$74,$A67+4,FALSE)))))</f>
        <v xml:space="preserve">UK - Agriculture (BPS: from 2015) </v>
      </c>
      <c r="C67" s="198">
        <f>IF(HLOOKUP(CONCATENATE('Options and results'!$C$54," ",Agroforestrysystem!$C$12),Agroforestrysystem!$B$11:$IM$74,$A67+4,FALSE)="T",(VLOOKUP(B67,Arablefinance!$Z$6:$AB$105,Arablefinance!$AB$2,FALSE)*E67+VLOOKUP(B67,Arablefinance!$Z$6:$AC$105,Arablefinance!$AC$2,FALSE)*F67)/VLOOKUP(B67,Arablefinance!$Z$6:$AA$105,Arablefinance!$AA$2,FALSE),0)</f>
        <v>0</v>
      </c>
      <c r="D67" s="199">
        <f>IF(B67=0,0,HLOOKUP(CONCATENATE('Options and results'!$C$54," ",Agroforestrysystem!$D$12),Agroforestrysystem!$B$11:$IM$74,$A67+4,FALSE))</f>
        <v>0</v>
      </c>
      <c r="E67" s="42">
        <f>IF(B67=0,0,HLOOKUP(CONCATENATE('Options and results'!$C$54," ",Agroforestrysystem!$E$12),Agroforestrysystem!$B$11:$IM$74,$A67+4,FALSE)*IF(A67&gt;='Options and results'!$J$19,'Options and results'!$J$18,1))</f>
        <v>0</v>
      </c>
      <c r="F67" s="42">
        <f>IF(B67=0,0,HLOOKUP(CONCATENATE('Options and results'!$C$54," ",Agroforestrysystem!$F$12),Agroforestrysystem!$B$11:$IM$74,$A67+4,FALSE)*IF(A67&gt;='Options and results'!$J$19,'Options and results'!$J$18,1))</f>
        <v>0</v>
      </c>
      <c r="G67" s="200">
        <f>IF(D67&lt;=0,0,IF(A67&lt;='Options and results'!$W$20,IF(C67&gt;0,VLOOKUP(B67,Arablefinance!$Z$6:$AE$105,Arablefinance!$AD$2,FALSE)*C67*D67,((VLOOKUP(B67,Arablefinance!$E$6:$H$126,2,FALSE)*E67+VLOOKUP(B67,Arablefinance!$E$6:$H$126,3,FALSE)*F67)*D67)),0)*IF(A67&gt;='Options and results'!$J$21,'Options and results'!$J$20,1))*IF(1+'Options and results'!$O$20*(A67-1)&gt;0,1+'Options and results'!$O$20*(A67-1),0)</f>
        <v>0</v>
      </c>
      <c r="H67" s="10">
        <f>IF(D67&lt;=0,0,IF(C67&gt;0,VLOOKUP(B67,Arablefinance!$Z$6:$AE$105,Arablefinance!$AE$2,FALSE)*C67*D67,IF('Options and results'!$C$62&gt;0,IF(VLOOKUP(B67,Arablefinance!$E$6:$W$126,Arablefinance!$H$2,FALSE)*(1-Plot!AC67*'Options and results'!$C$62)&gt;0,VLOOKUP(B67,Arablefinance!$E$6:$W$126,Arablefinance!$H$2,FALSE)*(1-Plot!AC67*'Options and results'!$C$62),0),IF(A67&lt;='Options and results'!$W$20,(VLOOKUP(B67,Arablefinance!$E$6:$W$126,Arablefinance!$H$2,FALSE)*IF('Options and results'!$C$61="area",D67,'Options and results'!$C$61)),0)))*IF(A67&gt;='Options and results'!$J$23,'Options and results'!$J$22,1))*IF(AND(1+'Options and results'!$O$23*(A67-1)&gt;0,1+'Options and results'!$O$23*(A67-1)&gt;'Options and results'!$S$24),1+'Options and results'!$O$23*(A67-1),'Options and results'!$S$24)</f>
        <v>0</v>
      </c>
      <c r="I67" s="10">
        <f t="shared" si="10"/>
        <v>0</v>
      </c>
      <c r="J67" s="10">
        <f>IF(D67&lt;=0,0,IF(A67&lt;='Options and results'!$W$20,IF(C67&gt;0,VLOOKUP(B67,Arablefinance!$Z$6:$AF$105,Arablefinance!$AF$2,FALSE)*C67*D67,VLOOKUP(B67,Arablefinance!$E$6:$X$126,Arablefinance!$R$2,FALSE)*D67),0)*IF(A67&gt;='Options and results'!$J$27,'Options and results'!$J$26,1))*IF(1+'Options and results'!$O$22*(A67-1)&gt;0,1+'Options and results'!$O$22*(A67-1),0)</f>
        <v>0</v>
      </c>
      <c r="K67" s="10">
        <f t="shared" si="11"/>
        <v>0</v>
      </c>
      <c r="L67" s="10">
        <f>IF(D67&lt;=0,0,IF(A67&lt;='Options and results'!$W$20,IF(C67&gt;0,VLOOKUP(B67,Arablefinance!$Z$6:$AG$105,Arablefinance!$AG$2,FALSE)*C67*D67,VLOOKUP(B67,Arablefinance!$E$6:$X$126,Arablefinance!$X$2,FALSE)*D67),0)*IF(A67&gt;='Options and results'!$J$27,'Options and results'!$J$26,1))*IF(1+'Options and results'!$O$22*(A67-1)&gt;0,1+'Options and results'!$O$22*(A67-1),0)</f>
        <v>0</v>
      </c>
      <c r="M67" s="10">
        <f>IF(D67&lt;=0,0,IF(A67&lt;='Options and results'!$W$20,'Options and results'!$C$27*IF(A67&gt;='Options and results'!$J$27,'Options and results'!$J$26,1),0))*IF(1+'Options and results'!$O$21*(A67-1)&gt;0,1+'Options and results'!$O$21*(A67-1),0)</f>
        <v>0</v>
      </c>
      <c r="N67" s="10">
        <f>IF(D67&lt;=0,0,IF(A67&lt;='Options and results'!$W$20,IF(C67&gt;0,VLOOKUP(B67,Arablefinance!$Z$6:$AH$105,Arablefinance!$AH$2,FALSE)*C67*D67,VLOOKUP(B67,Arablefinance!$E$6:$W$126,Arablefinance!$V$2,FALSE)*D67),0)*IF(A67&gt;='Options and results'!$J$25,'Options and results'!$J$24,1))</f>
        <v>0</v>
      </c>
      <c r="O67" s="200">
        <f t="shared" si="1"/>
        <v>0</v>
      </c>
      <c r="P67" s="201">
        <f>IF(A67&lt;='Options and results'!$W$20,SUM($O$28:O67),0)</f>
        <v>0</v>
      </c>
      <c r="Q67" s="36">
        <f t="shared" si="2"/>
        <v>0</v>
      </c>
      <c r="R67" s="108">
        <f t="shared" ca="1" si="14"/>
        <v>-13.830826664048182</v>
      </c>
      <c r="S67" s="108">
        <f t="shared" si="15"/>
        <v>10</v>
      </c>
      <c r="T67" s="10">
        <f t="shared" ca="1" si="12"/>
        <v>40</v>
      </c>
      <c r="U67" s="1" t="str">
        <f>IF(Optimisation!$B$3="Yes",IF(A67&lt;=Optimisation!$B$9,Optimisation!B67,Optimisation!$B$11),B67)</f>
        <v xml:space="preserve">UK - Agriculture (BPS: from 2015) </v>
      </c>
      <c r="V67" s="202">
        <f t="shared" si="13"/>
        <v>0</v>
      </c>
      <c r="W67" s="203">
        <f t="shared" ca="1" si="16"/>
        <v>0.68366666666666664</v>
      </c>
      <c r="X67" s="203">
        <f t="shared" si="17"/>
        <v>2</v>
      </c>
      <c r="Y67" s="10">
        <f t="shared" ca="1" si="18"/>
        <v>40</v>
      </c>
      <c r="Z67" s="204" t="str">
        <f>IF(Optimisation!$B$3="Yes",IF(Optimisation!A67&lt;=Optimisation!$B$16,Optimisation!B67,Optimisation!$B$18),B67)</f>
        <v xml:space="preserve">UK - Agriculture (BPS: from 2015) </v>
      </c>
      <c r="AA67" s="205" t="str">
        <f t="shared" si="19"/>
        <v xml:space="preserve">UK - Agriculture (BPS: from 2015) </v>
      </c>
      <c r="AG67" s="10"/>
    </row>
    <row r="68" spans="1:33" x14ac:dyDescent="0.25">
      <c r="A68" s="196">
        <f t="shared" si="9"/>
        <v>41</v>
      </c>
      <c r="B68" s="197" t="str">
        <f>IF('Options and results'!$C$54="None",0,IF(AND(A68&gt;='Options and results'!$K$57,A67&lt;'Options and results'!$W$20),'Options and results'!$K$56,CONCATENATE('Options and results'!$C$60," ",(HLOOKUP(CONCATENATE('Options and results'!$C$54," ",Agroforestrysystem!$B$12),Agroforestrysystem!$B$11:$IM$74,$A68+4,FALSE)))))</f>
        <v xml:space="preserve">UK - Agriculture (BPS: from 2015) </v>
      </c>
      <c r="C68" s="198">
        <f>IF(HLOOKUP(CONCATENATE('Options and results'!$C$54," ",Agroforestrysystem!$C$12),Agroforestrysystem!$B$11:$IM$74,$A68+4,FALSE)="T",(VLOOKUP(B68,Arablefinance!$Z$6:$AB$105,Arablefinance!$AB$2,FALSE)*E68+VLOOKUP(B68,Arablefinance!$Z$6:$AC$105,Arablefinance!$AC$2,FALSE)*F68)/VLOOKUP(B68,Arablefinance!$Z$6:$AA$105,Arablefinance!$AA$2,FALSE),0)</f>
        <v>0</v>
      </c>
      <c r="D68" s="199">
        <f>IF(B68=0,0,HLOOKUP(CONCATENATE('Options and results'!$C$54," ",Agroforestrysystem!$D$12),Agroforestrysystem!$B$11:$IM$74,$A68+4,FALSE))</f>
        <v>0</v>
      </c>
      <c r="E68" s="42">
        <f>IF(B68=0,0,HLOOKUP(CONCATENATE('Options and results'!$C$54," ",Agroforestrysystem!$E$12),Agroforestrysystem!$B$11:$IM$74,$A68+4,FALSE)*IF(A68&gt;='Options and results'!$J$19,'Options and results'!$J$18,1))</f>
        <v>0</v>
      </c>
      <c r="F68" s="42">
        <f>IF(B68=0,0,HLOOKUP(CONCATENATE('Options and results'!$C$54," ",Agroforestrysystem!$F$12),Agroforestrysystem!$B$11:$IM$74,$A68+4,FALSE)*IF(A68&gt;='Options and results'!$J$19,'Options and results'!$J$18,1))</f>
        <v>0</v>
      </c>
      <c r="G68" s="200">
        <f>IF(D68&lt;=0,0,IF(A68&lt;='Options and results'!$W$20,IF(C68&gt;0,VLOOKUP(B68,Arablefinance!$Z$6:$AE$105,Arablefinance!$AD$2,FALSE)*C68*D68,((VLOOKUP(B68,Arablefinance!$E$6:$H$126,2,FALSE)*E68+VLOOKUP(B68,Arablefinance!$E$6:$H$126,3,FALSE)*F68)*D68)),0)*IF(A68&gt;='Options and results'!$J$21,'Options and results'!$J$20,1))*IF(1+'Options and results'!$O$20*(A68-1)&gt;0,1+'Options and results'!$O$20*(A68-1),0)</f>
        <v>0</v>
      </c>
      <c r="H68" s="10">
        <f>IF(D68&lt;=0,0,IF(C68&gt;0,VLOOKUP(B68,Arablefinance!$Z$6:$AE$105,Arablefinance!$AE$2,FALSE)*C68*D68,IF('Options and results'!$C$62&gt;0,IF(VLOOKUP(B68,Arablefinance!$E$6:$W$126,Arablefinance!$H$2,FALSE)*(1-Plot!AC68*'Options and results'!$C$62)&gt;0,VLOOKUP(B68,Arablefinance!$E$6:$W$126,Arablefinance!$H$2,FALSE)*(1-Plot!AC68*'Options and results'!$C$62),0),IF(A68&lt;='Options and results'!$W$20,(VLOOKUP(B68,Arablefinance!$E$6:$W$126,Arablefinance!$H$2,FALSE)*IF('Options and results'!$C$61="area",D68,'Options and results'!$C$61)),0)))*IF(A68&gt;='Options and results'!$J$23,'Options and results'!$J$22,1))*IF(AND(1+'Options and results'!$O$23*(A68-1)&gt;0,1+'Options and results'!$O$23*(A68-1)&gt;'Options and results'!$S$24),1+'Options and results'!$O$23*(A68-1),'Options and results'!$S$24)</f>
        <v>0</v>
      </c>
      <c r="I68" s="10">
        <f t="shared" si="10"/>
        <v>0</v>
      </c>
      <c r="J68" s="10">
        <f>IF(D68&lt;=0,0,IF(A68&lt;='Options and results'!$W$20,IF(C68&gt;0,VLOOKUP(B68,Arablefinance!$Z$6:$AF$105,Arablefinance!$AF$2,FALSE)*C68*D68,VLOOKUP(B68,Arablefinance!$E$6:$X$126,Arablefinance!$R$2,FALSE)*D68),0)*IF(A68&gt;='Options and results'!$J$27,'Options and results'!$J$26,1))*IF(1+'Options and results'!$O$22*(A68-1)&gt;0,1+'Options and results'!$O$22*(A68-1),0)</f>
        <v>0</v>
      </c>
      <c r="K68" s="10">
        <f t="shared" si="11"/>
        <v>0</v>
      </c>
      <c r="L68" s="10">
        <f>IF(D68&lt;=0,0,IF(A68&lt;='Options and results'!$W$20,IF(C68&gt;0,VLOOKUP(B68,Arablefinance!$Z$6:$AG$105,Arablefinance!$AG$2,FALSE)*C68*D68,VLOOKUP(B68,Arablefinance!$E$6:$X$126,Arablefinance!$X$2,FALSE)*D68),0)*IF(A68&gt;='Options and results'!$J$27,'Options and results'!$J$26,1))*IF(1+'Options and results'!$O$22*(A68-1)&gt;0,1+'Options and results'!$O$22*(A68-1),0)</f>
        <v>0</v>
      </c>
      <c r="M68" s="10">
        <f>IF(D68&lt;=0,0,IF(A68&lt;='Options and results'!$W$20,'Options and results'!$C$27*IF(A68&gt;='Options and results'!$J$27,'Options and results'!$J$26,1),0))*IF(1+'Options and results'!$O$21*(A68-1)&gt;0,1+'Options and results'!$O$21*(A68-1),0)</f>
        <v>0</v>
      </c>
      <c r="N68" s="10">
        <f>IF(D68&lt;=0,0,IF(A68&lt;='Options and results'!$W$20,IF(C68&gt;0,VLOOKUP(B68,Arablefinance!$Z$6:$AH$105,Arablefinance!$AH$2,FALSE)*C68*D68,VLOOKUP(B68,Arablefinance!$E$6:$W$126,Arablefinance!$V$2,FALSE)*D68),0)*IF(A68&gt;='Options and results'!$J$25,'Options and results'!$J$24,1))</f>
        <v>0</v>
      </c>
      <c r="O68" s="200">
        <f t="shared" si="1"/>
        <v>0</v>
      </c>
      <c r="P68" s="201">
        <f>IF(A68&lt;='Options and results'!$W$20,SUM($O$28:O68),0)</f>
        <v>0</v>
      </c>
      <c r="Q68" s="36">
        <f t="shared" si="2"/>
        <v>0</v>
      </c>
      <c r="R68" s="108">
        <f t="shared" ca="1" si="14"/>
        <v>-8.858838480814315</v>
      </c>
      <c r="S68" s="108">
        <f t="shared" si="15"/>
        <v>10</v>
      </c>
      <c r="T68" s="10">
        <f t="shared" ca="1" si="12"/>
        <v>41</v>
      </c>
      <c r="U68" s="1" t="str">
        <f>IF(Optimisation!$B$3="Yes",IF(A68&lt;=Optimisation!$B$9,Optimisation!B68,Optimisation!$B$11),B68)</f>
        <v xml:space="preserve">UK - Agriculture (BPS: from 2015) </v>
      </c>
      <c r="V68" s="202">
        <f t="shared" si="13"/>
        <v>0</v>
      </c>
      <c r="W68" s="203">
        <f t="shared" ca="1" si="16"/>
        <v>0.51266666666666671</v>
      </c>
      <c r="X68" s="203">
        <f t="shared" si="17"/>
        <v>2</v>
      </c>
      <c r="Y68" s="10">
        <f t="shared" ca="1" si="18"/>
        <v>41</v>
      </c>
      <c r="Z68" s="204" t="str">
        <f>IF(Optimisation!$B$3="Yes",IF(Optimisation!A68&lt;=Optimisation!$B$16,Optimisation!B68,Optimisation!$B$18),B68)</f>
        <v xml:space="preserve">UK - Agriculture (BPS: from 2015) </v>
      </c>
      <c r="AA68" s="205" t="str">
        <f t="shared" si="19"/>
        <v xml:space="preserve">UK - Agriculture (BPS: from 2015) </v>
      </c>
      <c r="AG68" s="10"/>
    </row>
    <row r="69" spans="1:33" x14ac:dyDescent="0.25">
      <c r="A69" s="196">
        <f t="shared" si="9"/>
        <v>42</v>
      </c>
      <c r="B69" s="197" t="str">
        <f>IF('Options and results'!$C$54="None",0,IF(AND(A69&gt;='Options and results'!$K$57,A68&lt;'Options and results'!$W$20),'Options and results'!$K$56,CONCATENATE('Options and results'!$C$60," ",(HLOOKUP(CONCATENATE('Options and results'!$C$54," ",Agroforestrysystem!$B$12),Agroforestrysystem!$B$11:$IM$74,$A69+4,FALSE)))))</f>
        <v xml:space="preserve">UK - Agriculture (BPS: from 2015) </v>
      </c>
      <c r="C69" s="198">
        <f>IF(HLOOKUP(CONCATENATE('Options and results'!$C$54," ",Agroforestrysystem!$C$12),Agroforestrysystem!$B$11:$IM$74,$A69+4,FALSE)="T",(VLOOKUP(B69,Arablefinance!$Z$6:$AB$105,Arablefinance!$AB$2,FALSE)*E69+VLOOKUP(B69,Arablefinance!$Z$6:$AC$105,Arablefinance!$AC$2,FALSE)*F69)/VLOOKUP(B69,Arablefinance!$Z$6:$AA$105,Arablefinance!$AA$2,FALSE),0)</f>
        <v>0</v>
      </c>
      <c r="D69" s="199">
        <f>IF(B69=0,0,HLOOKUP(CONCATENATE('Options and results'!$C$54," ",Agroforestrysystem!$D$12),Agroforestrysystem!$B$11:$IM$74,$A69+4,FALSE))</f>
        <v>0</v>
      </c>
      <c r="E69" s="42">
        <f>IF(B69=0,0,HLOOKUP(CONCATENATE('Options and results'!$C$54," ",Agroforestrysystem!$E$12),Agroforestrysystem!$B$11:$IM$74,$A69+4,FALSE)*IF(A69&gt;='Options and results'!$J$19,'Options and results'!$J$18,1))</f>
        <v>0</v>
      </c>
      <c r="F69" s="42">
        <f>IF(B69=0,0,HLOOKUP(CONCATENATE('Options and results'!$C$54," ",Agroforestrysystem!$F$12),Agroforestrysystem!$B$11:$IM$74,$A69+4,FALSE)*IF(A69&gt;='Options and results'!$J$19,'Options and results'!$J$18,1))</f>
        <v>0</v>
      </c>
      <c r="G69" s="200">
        <f>IF(D69&lt;=0,0,IF(A69&lt;='Options and results'!$W$20,IF(C69&gt;0,VLOOKUP(B69,Arablefinance!$Z$6:$AE$105,Arablefinance!$AD$2,FALSE)*C69*D69,((VLOOKUP(B69,Arablefinance!$E$6:$H$126,2,FALSE)*E69+VLOOKUP(B69,Arablefinance!$E$6:$H$126,3,FALSE)*F69)*D69)),0)*IF(A69&gt;='Options and results'!$J$21,'Options and results'!$J$20,1))*IF(1+'Options and results'!$O$20*(A69-1)&gt;0,1+'Options and results'!$O$20*(A69-1),0)</f>
        <v>0</v>
      </c>
      <c r="H69" s="10">
        <f>IF(D69&lt;=0,0,IF(C69&gt;0,VLOOKUP(B69,Arablefinance!$Z$6:$AE$105,Arablefinance!$AE$2,FALSE)*C69*D69,IF('Options and results'!$C$62&gt;0,IF(VLOOKUP(B69,Arablefinance!$E$6:$W$126,Arablefinance!$H$2,FALSE)*(1-Plot!AC69*'Options and results'!$C$62)&gt;0,VLOOKUP(B69,Arablefinance!$E$6:$W$126,Arablefinance!$H$2,FALSE)*(1-Plot!AC69*'Options and results'!$C$62),0),IF(A69&lt;='Options and results'!$W$20,(VLOOKUP(B69,Arablefinance!$E$6:$W$126,Arablefinance!$H$2,FALSE)*IF('Options and results'!$C$61="area",D69,'Options and results'!$C$61)),0)))*IF(A69&gt;='Options and results'!$J$23,'Options and results'!$J$22,1))*IF(AND(1+'Options and results'!$O$23*(A69-1)&gt;0,1+'Options and results'!$O$23*(A69-1)&gt;'Options and results'!$S$24),1+'Options and results'!$O$23*(A69-1),'Options and results'!$S$24)</f>
        <v>0</v>
      </c>
      <c r="I69" s="10">
        <f t="shared" si="10"/>
        <v>0</v>
      </c>
      <c r="J69" s="10">
        <f>IF(D69&lt;=0,0,IF(A69&lt;='Options and results'!$W$20,IF(C69&gt;0,VLOOKUP(B69,Arablefinance!$Z$6:$AF$105,Arablefinance!$AF$2,FALSE)*C69*D69,VLOOKUP(B69,Arablefinance!$E$6:$X$126,Arablefinance!$R$2,FALSE)*D69),0)*IF(A69&gt;='Options and results'!$J$27,'Options and results'!$J$26,1))*IF(1+'Options and results'!$O$22*(A69-1)&gt;0,1+'Options and results'!$O$22*(A69-1),0)</f>
        <v>0</v>
      </c>
      <c r="K69" s="10">
        <f t="shared" si="11"/>
        <v>0</v>
      </c>
      <c r="L69" s="10">
        <f>IF(D69&lt;=0,0,IF(A69&lt;='Options and results'!$W$20,IF(C69&gt;0,VLOOKUP(B69,Arablefinance!$Z$6:$AG$105,Arablefinance!$AG$2,FALSE)*C69*D69,VLOOKUP(B69,Arablefinance!$E$6:$X$126,Arablefinance!$X$2,FALSE)*D69),0)*IF(A69&gt;='Options and results'!$J$27,'Options and results'!$J$26,1))*IF(1+'Options and results'!$O$22*(A69-1)&gt;0,1+'Options and results'!$O$22*(A69-1),0)</f>
        <v>0</v>
      </c>
      <c r="M69" s="10">
        <f>IF(D69&lt;=0,0,IF(A69&lt;='Options and results'!$W$20,'Options and results'!$C$27*IF(A69&gt;='Options and results'!$J$27,'Options and results'!$J$26,1),0))*IF(1+'Options and results'!$O$21*(A69-1)&gt;0,1+'Options and results'!$O$21*(A69-1),0)</f>
        <v>0</v>
      </c>
      <c r="N69" s="10">
        <f>IF(D69&lt;=0,0,IF(A69&lt;='Options and results'!$W$20,IF(C69&gt;0,VLOOKUP(B69,Arablefinance!$Z$6:$AH$105,Arablefinance!$AH$2,FALSE)*C69*D69,VLOOKUP(B69,Arablefinance!$E$6:$W$126,Arablefinance!$V$2,FALSE)*D69),0)*IF(A69&gt;='Options and results'!$J$25,'Options and results'!$J$24,1))</f>
        <v>0</v>
      </c>
      <c r="O69" s="200">
        <f t="shared" si="1"/>
        <v>0</v>
      </c>
      <c r="P69" s="201">
        <f>IF(A69&lt;='Options and results'!$W$20,SUM($O$28:O69),0)</f>
        <v>0</v>
      </c>
      <c r="Q69" s="36">
        <f t="shared" si="2"/>
        <v>0</v>
      </c>
      <c r="R69" s="108">
        <f t="shared" ca="1" si="14"/>
        <v>-8.0435516001927283</v>
      </c>
      <c r="S69" s="108">
        <f t="shared" si="15"/>
        <v>10</v>
      </c>
      <c r="T69" s="10">
        <f t="shared" ca="1" si="12"/>
        <v>42</v>
      </c>
      <c r="U69" s="1" t="str">
        <f>IF(Optimisation!$B$3="Yes",IF(A69&lt;=Optimisation!$B$9,Optimisation!B69,Optimisation!$B$11),B69)</f>
        <v xml:space="preserve">UK - Agriculture (BPS: from 2015) </v>
      </c>
      <c r="V69" s="202">
        <f t="shared" si="13"/>
        <v>0</v>
      </c>
      <c r="W69" s="203">
        <f t="shared" ca="1" si="16"/>
        <v>0.40533333333333332</v>
      </c>
      <c r="X69" s="203">
        <f t="shared" si="17"/>
        <v>2</v>
      </c>
      <c r="Y69" s="10">
        <f t="shared" ca="1" si="18"/>
        <v>42</v>
      </c>
      <c r="Z69" s="204" t="str">
        <f>IF(Optimisation!$B$3="Yes",IF(Optimisation!A69&lt;=Optimisation!$B$16,Optimisation!B69,Optimisation!$B$18),B69)</f>
        <v xml:space="preserve">UK - Agriculture (BPS: from 2015) </v>
      </c>
      <c r="AA69" s="205" t="str">
        <f t="shared" si="19"/>
        <v xml:space="preserve">UK - Agriculture (BPS: from 2015) </v>
      </c>
      <c r="AG69" s="10"/>
    </row>
    <row r="70" spans="1:33" x14ac:dyDescent="0.25">
      <c r="A70" s="196">
        <f t="shared" si="9"/>
        <v>43</v>
      </c>
      <c r="B70" s="197" t="str">
        <f>IF('Options and results'!$C$54="None",0,IF(AND(A70&gt;='Options and results'!$K$57,A69&lt;'Options and results'!$W$20),'Options and results'!$K$56,CONCATENATE('Options and results'!$C$60," ",(HLOOKUP(CONCATENATE('Options and results'!$C$54," ",Agroforestrysystem!$B$12),Agroforestrysystem!$B$11:$IM$74,$A70+4,FALSE)))))</f>
        <v xml:space="preserve">UK - Agriculture (BPS: from 2015) </v>
      </c>
      <c r="C70" s="198">
        <f>IF(HLOOKUP(CONCATENATE('Options and results'!$C$54," ",Agroforestrysystem!$C$12),Agroforestrysystem!$B$11:$IM$74,$A70+4,FALSE)="T",(VLOOKUP(B70,Arablefinance!$Z$6:$AB$105,Arablefinance!$AB$2,FALSE)*E70+VLOOKUP(B70,Arablefinance!$Z$6:$AC$105,Arablefinance!$AC$2,FALSE)*F70)/VLOOKUP(B70,Arablefinance!$Z$6:$AA$105,Arablefinance!$AA$2,FALSE),0)</f>
        <v>0</v>
      </c>
      <c r="D70" s="199">
        <f>IF(B70=0,0,HLOOKUP(CONCATENATE('Options and results'!$C$54," ",Agroforestrysystem!$D$12),Agroforestrysystem!$B$11:$IM$74,$A70+4,FALSE))</f>
        <v>0</v>
      </c>
      <c r="E70" s="42">
        <f>IF(B70=0,0,HLOOKUP(CONCATENATE('Options and results'!$C$54," ",Agroforestrysystem!$E$12),Agroforestrysystem!$B$11:$IM$74,$A70+4,FALSE)*IF(A70&gt;='Options and results'!$J$19,'Options and results'!$J$18,1))</f>
        <v>0</v>
      </c>
      <c r="F70" s="42">
        <f>IF(B70=0,0,HLOOKUP(CONCATENATE('Options and results'!$C$54," ",Agroforestrysystem!$F$12),Agroforestrysystem!$B$11:$IM$74,$A70+4,FALSE)*IF(A70&gt;='Options and results'!$J$19,'Options and results'!$J$18,1))</f>
        <v>0</v>
      </c>
      <c r="G70" s="200">
        <f>IF(D70&lt;=0,0,IF(A70&lt;='Options and results'!$W$20,IF(C70&gt;0,VLOOKUP(B70,Arablefinance!$Z$6:$AE$105,Arablefinance!$AD$2,FALSE)*C70*D70,((VLOOKUP(B70,Arablefinance!$E$6:$H$126,2,FALSE)*E70+VLOOKUP(B70,Arablefinance!$E$6:$H$126,3,FALSE)*F70)*D70)),0)*IF(A70&gt;='Options and results'!$J$21,'Options and results'!$J$20,1))*IF(1+'Options and results'!$O$20*(A70-1)&gt;0,1+'Options and results'!$O$20*(A70-1),0)</f>
        <v>0</v>
      </c>
      <c r="H70" s="10">
        <f>IF(D70&lt;=0,0,IF(C70&gt;0,VLOOKUP(B70,Arablefinance!$Z$6:$AE$105,Arablefinance!$AE$2,FALSE)*C70*D70,IF('Options and results'!$C$62&gt;0,IF(VLOOKUP(B70,Arablefinance!$E$6:$W$126,Arablefinance!$H$2,FALSE)*(1-Plot!AC70*'Options and results'!$C$62)&gt;0,VLOOKUP(B70,Arablefinance!$E$6:$W$126,Arablefinance!$H$2,FALSE)*(1-Plot!AC70*'Options and results'!$C$62),0),IF(A70&lt;='Options and results'!$W$20,(VLOOKUP(B70,Arablefinance!$E$6:$W$126,Arablefinance!$H$2,FALSE)*IF('Options and results'!$C$61="area",D70,'Options and results'!$C$61)),0)))*IF(A70&gt;='Options and results'!$J$23,'Options and results'!$J$22,1))*IF(AND(1+'Options and results'!$O$23*(A70-1)&gt;0,1+'Options and results'!$O$23*(A70-1)&gt;'Options and results'!$S$24),1+'Options and results'!$O$23*(A70-1),'Options and results'!$S$24)</f>
        <v>0</v>
      </c>
      <c r="I70" s="10">
        <f t="shared" si="10"/>
        <v>0</v>
      </c>
      <c r="J70" s="10">
        <f>IF(D70&lt;=0,0,IF(A70&lt;='Options and results'!$W$20,IF(C70&gt;0,VLOOKUP(B70,Arablefinance!$Z$6:$AF$105,Arablefinance!$AF$2,FALSE)*C70*D70,VLOOKUP(B70,Arablefinance!$E$6:$X$126,Arablefinance!$R$2,FALSE)*D70),0)*IF(A70&gt;='Options and results'!$J$27,'Options and results'!$J$26,1))*IF(1+'Options and results'!$O$22*(A70-1)&gt;0,1+'Options and results'!$O$22*(A70-1),0)</f>
        <v>0</v>
      </c>
      <c r="K70" s="10">
        <f t="shared" si="11"/>
        <v>0</v>
      </c>
      <c r="L70" s="10">
        <f>IF(D70&lt;=0,0,IF(A70&lt;='Options and results'!$W$20,IF(C70&gt;0,VLOOKUP(B70,Arablefinance!$Z$6:$AG$105,Arablefinance!$AG$2,FALSE)*C70*D70,VLOOKUP(B70,Arablefinance!$E$6:$X$126,Arablefinance!$X$2,FALSE)*D70),0)*IF(A70&gt;='Options and results'!$J$27,'Options and results'!$J$26,1))*IF(1+'Options and results'!$O$22*(A70-1)&gt;0,1+'Options and results'!$O$22*(A70-1),0)</f>
        <v>0</v>
      </c>
      <c r="M70" s="10">
        <f>IF(D70&lt;=0,0,IF(A70&lt;='Options and results'!$W$20,'Options and results'!$C$27*IF(A70&gt;='Options and results'!$J$27,'Options and results'!$J$26,1),0))*IF(1+'Options and results'!$O$21*(A70-1)&gt;0,1+'Options and results'!$O$21*(A70-1),0)</f>
        <v>0</v>
      </c>
      <c r="N70" s="10">
        <f>IF(D70&lt;=0,0,IF(A70&lt;='Options and results'!$W$20,IF(C70&gt;0,VLOOKUP(B70,Arablefinance!$Z$6:$AH$105,Arablefinance!$AH$2,FALSE)*C70*D70,VLOOKUP(B70,Arablefinance!$E$6:$W$126,Arablefinance!$V$2,FALSE)*D70),0)*IF(A70&gt;='Options and results'!$J$25,'Options and results'!$J$24,1))</f>
        <v>0</v>
      </c>
      <c r="O70" s="200">
        <f t="shared" si="1"/>
        <v>0</v>
      </c>
      <c r="P70" s="201">
        <f>IF(A70&lt;='Options and results'!$W$20,SUM($O$28:O70),0)</f>
        <v>0</v>
      </c>
      <c r="Q70" s="36">
        <f t="shared" si="2"/>
        <v>0</v>
      </c>
      <c r="R70" s="108">
        <f t="shared" ca="1" si="14"/>
        <v>-3.4559424667630272</v>
      </c>
      <c r="S70" s="108">
        <f t="shared" si="15"/>
        <v>10</v>
      </c>
      <c r="T70" s="10">
        <f t="shared" ca="1" si="12"/>
        <v>43</v>
      </c>
      <c r="U70" s="1" t="str">
        <f>IF(Optimisation!$B$3="Yes",IF(A70&lt;=Optimisation!$B$9,Optimisation!B70,Optimisation!$B$11),B70)</f>
        <v xml:space="preserve">UK - Agriculture (BPS: from 2015) </v>
      </c>
      <c r="V70" s="202">
        <f t="shared" si="13"/>
        <v>0</v>
      </c>
      <c r="W70" s="203">
        <f t="shared" ca="1" si="16"/>
        <v>0.20566666666666666</v>
      </c>
      <c r="X70" s="203">
        <f t="shared" si="17"/>
        <v>2</v>
      </c>
      <c r="Y70" s="10">
        <f t="shared" ca="1" si="18"/>
        <v>43</v>
      </c>
      <c r="Z70" s="204" t="str">
        <f>IF(Optimisation!$B$3="Yes",IF(Optimisation!A70&lt;=Optimisation!$B$16,Optimisation!B70,Optimisation!$B$18),B70)</f>
        <v xml:space="preserve">UK - Agriculture (BPS: from 2015) </v>
      </c>
      <c r="AA70" s="205" t="str">
        <f t="shared" si="19"/>
        <v xml:space="preserve">UK - Agriculture (BPS: from 2015) </v>
      </c>
      <c r="AG70" s="10"/>
    </row>
    <row r="71" spans="1:33" x14ac:dyDescent="0.25">
      <c r="A71" s="196">
        <f t="shared" si="9"/>
        <v>44</v>
      </c>
      <c r="B71" s="197" t="str">
        <f>IF('Options and results'!$C$54="None",0,IF(AND(A71&gt;='Options and results'!$K$57,A70&lt;'Options and results'!$W$20),'Options and results'!$K$56,CONCATENATE('Options and results'!$C$60," ",(HLOOKUP(CONCATENATE('Options and results'!$C$54," ",Agroforestrysystem!$B$12),Agroforestrysystem!$B$11:$IM$74,$A71+4,FALSE)))))</f>
        <v xml:space="preserve">UK - Agriculture (BPS: from 2015) </v>
      </c>
      <c r="C71" s="198">
        <f>IF(HLOOKUP(CONCATENATE('Options and results'!$C$54," ",Agroforestrysystem!$C$12),Agroforestrysystem!$B$11:$IM$74,$A71+4,FALSE)="T",(VLOOKUP(B71,Arablefinance!$Z$6:$AB$105,Arablefinance!$AB$2,FALSE)*E71+VLOOKUP(B71,Arablefinance!$Z$6:$AC$105,Arablefinance!$AC$2,FALSE)*F71)/VLOOKUP(B71,Arablefinance!$Z$6:$AA$105,Arablefinance!$AA$2,FALSE),0)</f>
        <v>0</v>
      </c>
      <c r="D71" s="199">
        <f>IF(B71=0,0,HLOOKUP(CONCATENATE('Options and results'!$C$54," ",Agroforestrysystem!$D$12),Agroforestrysystem!$B$11:$IM$74,$A71+4,FALSE))</f>
        <v>0</v>
      </c>
      <c r="E71" s="42">
        <f>IF(B71=0,0,HLOOKUP(CONCATENATE('Options and results'!$C$54," ",Agroforestrysystem!$E$12),Agroforestrysystem!$B$11:$IM$74,$A71+4,FALSE)*IF(A71&gt;='Options and results'!$J$19,'Options and results'!$J$18,1))</f>
        <v>0</v>
      </c>
      <c r="F71" s="42">
        <f>IF(B71=0,0,HLOOKUP(CONCATENATE('Options and results'!$C$54," ",Agroforestrysystem!$F$12),Agroforestrysystem!$B$11:$IM$74,$A71+4,FALSE)*IF(A71&gt;='Options and results'!$J$19,'Options and results'!$J$18,1))</f>
        <v>0</v>
      </c>
      <c r="G71" s="200">
        <f>IF(D71&lt;=0,0,IF(A71&lt;='Options and results'!$W$20,IF(C71&gt;0,VLOOKUP(B71,Arablefinance!$Z$6:$AE$105,Arablefinance!$AD$2,FALSE)*C71*D71,((VLOOKUP(B71,Arablefinance!$E$6:$H$126,2,FALSE)*E71+VLOOKUP(B71,Arablefinance!$E$6:$H$126,3,FALSE)*F71)*D71)),0)*IF(A71&gt;='Options and results'!$J$21,'Options and results'!$J$20,1))*IF(1+'Options and results'!$O$20*(A71-1)&gt;0,1+'Options and results'!$O$20*(A71-1),0)</f>
        <v>0</v>
      </c>
      <c r="H71" s="10">
        <f>IF(D71&lt;=0,0,IF(C71&gt;0,VLOOKUP(B71,Arablefinance!$Z$6:$AE$105,Arablefinance!$AE$2,FALSE)*C71*D71,IF('Options and results'!$C$62&gt;0,IF(VLOOKUP(B71,Arablefinance!$E$6:$W$126,Arablefinance!$H$2,FALSE)*(1-Plot!AC71*'Options and results'!$C$62)&gt;0,VLOOKUP(B71,Arablefinance!$E$6:$W$126,Arablefinance!$H$2,FALSE)*(1-Plot!AC71*'Options and results'!$C$62),0),IF(A71&lt;='Options and results'!$W$20,(VLOOKUP(B71,Arablefinance!$E$6:$W$126,Arablefinance!$H$2,FALSE)*IF('Options and results'!$C$61="area",D71,'Options and results'!$C$61)),0)))*IF(A71&gt;='Options and results'!$J$23,'Options and results'!$J$22,1))*IF(AND(1+'Options and results'!$O$23*(A71-1)&gt;0,1+'Options and results'!$O$23*(A71-1)&gt;'Options and results'!$S$24),1+'Options and results'!$O$23*(A71-1),'Options and results'!$S$24)</f>
        <v>0</v>
      </c>
      <c r="I71" s="10">
        <f t="shared" si="10"/>
        <v>0</v>
      </c>
      <c r="J71" s="10">
        <f>IF(D71&lt;=0,0,IF(A71&lt;='Options and results'!$W$20,IF(C71&gt;0,VLOOKUP(B71,Arablefinance!$Z$6:$AF$105,Arablefinance!$AF$2,FALSE)*C71*D71,VLOOKUP(B71,Arablefinance!$E$6:$X$126,Arablefinance!$R$2,FALSE)*D71),0)*IF(A71&gt;='Options and results'!$J$27,'Options and results'!$J$26,1))*IF(1+'Options and results'!$O$22*(A71-1)&gt;0,1+'Options and results'!$O$22*(A71-1),0)</f>
        <v>0</v>
      </c>
      <c r="K71" s="10">
        <f t="shared" si="11"/>
        <v>0</v>
      </c>
      <c r="L71" s="10">
        <f>IF(D71&lt;=0,0,IF(A71&lt;='Options and results'!$W$20,IF(C71&gt;0,VLOOKUP(B71,Arablefinance!$Z$6:$AG$105,Arablefinance!$AG$2,FALSE)*C71*D71,VLOOKUP(B71,Arablefinance!$E$6:$X$126,Arablefinance!$X$2,FALSE)*D71),0)*IF(A71&gt;='Options and results'!$J$27,'Options and results'!$J$26,1))*IF(1+'Options and results'!$O$22*(A71-1)&gt;0,1+'Options and results'!$O$22*(A71-1),0)</f>
        <v>0</v>
      </c>
      <c r="M71" s="10">
        <f>IF(D71&lt;=0,0,IF(A71&lt;='Options and results'!$W$20,'Options and results'!$C$27*IF(A71&gt;='Options and results'!$J$27,'Options and results'!$J$26,1),0))*IF(1+'Options and results'!$O$21*(A71-1)&gt;0,1+'Options and results'!$O$21*(A71-1),0)</f>
        <v>0</v>
      </c>
      <c r="N71" s="10">
        <f>IF(D71&lt;=0,0,IF(A71&lt;='Options and results'!$W$20,IF(C71&gt;0,VLOOKUP(B71,Arablefinance!$Z$6:$AH$105,Arablefinance!$AH$2,FALSE)*C71*D71,VLOOKUP(B71,Arablefinance!$E$6:$W$126,Arablefinance!$V$2,FALSE)*D71),0)*IF(A71&gt;='Options and results'!$J$25,'Options and results'!$J$24,1))</f>
        <v>0</v>
      </c>
      <c r="O71" s="200">
        <f t="shared" si="1"/>
        <v>0</v>
      </c>
      <c r="P71" s="201">
        <f>IF(A71&lt;='Options and results'!$W$20,SUM($O$28:O71),0)</f>
        <v>0</v>
      </c>
      <c r="Q71" s="36">
        <f t="shared" si="2"/>
        <v>0</v>
      </c>
      <c r="R71" s="108">
        <f t="shared" ca="1" si="14"/>
        <v>0</v>
      </c>
      <c r="S71" s="108">
        <f t="shared" si="15"/>
        <v>10</v>
      </c>
      <c r="T71" s="10">
        <f t="shared" ca="1" si="12"/>
        <v>44</v>
      </c>
      <c r="U71" s="1" t="str">
        <f>IF(Optimisation!$B$3="Yes",IF(A71&lt;=Optimisation!$B$9,Optimisation!B71,Optimisation!$B$11),B71)</f>
        <v xml:space="preserve">UK - Agriculture (BPS: from 2015) </v>
      </c>
      <c r="V71" s="202">
        <f t="shared" si="13"/>
        <v>0</v>
      </c>
      <c r="W71" s="203">
        <f t="shared" ca="1" si="16"/>
        <v>0</v>
      </c>
      <c r="X71" s="203">
        <f t="shared" si="17"/>
        <v>2</v>
      </c>
      <c r="Y71" s="10">
        <f t="shared" ca="1" si="18"/>
        <v>44</v>
      </c>
      <c r="Z71" s="204" t="str">
        <f>IF(Optimisation!$B$3="Yes",IF(Optimisation!A71&lt;=Optimisation!$B$16,Optimisation!B71,Optimisation!$B$18),B71)</f>
        <v xml:space="preserve">UK - Agriculture (BPS: from 2015) </v>
      </c>
      <c r="AA71" s="205" t="str">
        <f t="shared" si="19"/>
        <v xml:space="preserve">UK - Agriculture (BPS: from 2015) </v>
      </c>
      <c r="AG71" s="10"/>
    </row>
    <row r="72" spans="1:33" x14ac:dyDescent="0.25">
      <c r="A72" s="196">
        <f t="shared" si="9"/>
        <v>45</v>
      </c>
      <c r="B72" s="197" t="str">
        <f>IF('Options and results'!$C$54="None",0,IF(AND(A72&gt;='Options and results'!$K$57,A71&lt;'Options and results'!$W$20),'Options and results'!$K$56,CONCATENATE('Options and results'!$C$60," ",(HLOOKUP(CONCATENATE('Options and results'!$C$54," ",Agroforestrysystem!$B$12),Agroforestrysystem!$B$11:$IM$74,$A72+4,FALSE)))))</f>
        <v xml:space="preserve">UK - Agriculture (BPS: from 2015) </v>
      </c>
      <c r="C72" s="198">
        <f>IF(HLOOKUP(CONCATENATE('Options and results'!$C$54," ",Agroforestrysystem!$C$12),Agroforestrysystem!$B$11:$IM$74,$A72+4,FALSE)="T",(VLOOKUP(B72,Arablefinance!$Z$6:$AB$105,Arablefinance!$AB$2,FALSE)*E72+VLOOKUP(B72,Arablefinance!$Z$6:$AC$105,Arablefinance!$AC$2,FALSE)*F72)/VLOOKUP(B72,Arablefinance!$Z$6:$AA$105,Arablefinance!$AA$2,FALSE),0)</f>
        <v>0</v>
      </c>
      <c r="D72" s="199">
        <f>IF(B72=0,0,HLOOKUP(CONCATENATE('Options and results'!$C$54," ",Agroforestrysystem!$D$12),Agroforestrysystem!$B$11:$IM$74,$A72+4,FALSE))</f>
        <v>0</v>
      </c>
      <c r="E72" s="42">
        <f>IF(B72=0,0,HLOOKUP(CONCATENATE('Options and results'!$C$54," ",Agroforestrysystem!$E$12),Agroforestrysystem!$B$11:$IM$74,$A72+4,FALSE)*IF(A72&gt;='Options and results'!$J$19,'Options and results'!$J$18,1))</f>
        <v>0</v>
      </c>
      <c r="F72" s="42">
        <f>IF(B72=0,0,HLOOKUP(CONCATENATE('Options and results'!$C$54," ",Agroforestrysystem!$F$12),Agroforestrysystem!$B$11:$IM$74,$A72+4,FALSE)*IF(A72&gt;='Options and results'!$J$19,'Options and results'!$J$18,1))</f>
        <v>0</v>
      </c>
      <c r="G72" s="200">
        <f>IF(D72&lt;=0,0,IF(A72&lt;='Options and results'!$W$20,IF(C72&gt;0,VLOOKUP(B72,Arablefinance!$Z$6:$AE$105,Arablefinance!$AD$2,FALSE)*C72*D72,((VLOOKUP(B72,Arablefinance!$E$6:$H$126,2,FALSE)*E72+VLOOKUP(B72,Arablefinance!$E$6:$H$126,3,FALSE)*F72)*D72)),0)*IF(A72&gt;='Options and results'!$J$21,'Options and results'!$J$20,1))*IF(1+'Options and results'!$O$20*(A72-1)&gt;0,1+'Options and results'!$O$20*(A72-1),0)</f>
        <v>0</v>
      </c>
      <c r="H72" s="10">
        <f>IF(D72&lt;=0,0,IF(C72&gt;0,VLOOKUP(B72,Arablefinance!$Z$6:$AE$105,Arablefinance!$AE$2,FALSE)*C72*D72,IF('Options and results'!$C$62&gt;0,IF(VLOOKUP(B72,Arablefinance!$E$6:$W$126,Arablefinance!$H$2,FALSE)*(1-Plot!AC72*'Options and results'!$C$62)&gt;0,VLOOKUP(B72,Arablefinance!$E$6:$W$126,Arablefinance!$H$2,FALSE)*(1-Plot!AC72*'Options and results'!$C$62),0),IF(A72&lt;='Options and results'!$W$20,(VLOOKUP(B72,Arablefinance!$E$6:$W$126,Arablefinance!$H$2,FALSE)*IF('Options and results'!$C$61="area",D72,'Options and results'!$C$61)),0)))*IF(A72&gt;='Options and results'!$J$23,'Options and results'!$J$22,1))*IF(AND(1+'Options and results'!$O$23*(A72-1)&gt;0,1+'Options and results'!$O$23*(A72-1)&gt;'Options and results'!$S$24),1+'Options and results'!$O$23*(A72-1),'Options and results'!$S$24)</f>
        <v>0</v>
      </c>
      <c r="I72" s="10">
        <f t="shared" si="10"/>
        <v>0</v>
      </c>
      <c r="J72" s="10">
        <f>IF(D72&lt;=0,0,IF(A72&lt;='Options and results'!$W$20,IF(C72&gt;0,VLOOKUP(B72,Arablefinance!$Z$6:$AF$105,Arablefinance!$AF$2,FALSE)*C72*D72,VLOOKUP(B72,Arablefinance!$E$6:$X$126,Arablefinance!$R$2,FALSE)*D72),0)*IF(A72&gt;='Options and results'!$J$27,'Options and results'!$J$26,1))*IF(1+'Options and results'!$O$22*(A72-1)&gt;0,1+'Options and results'!$O$22*(A72-1),0)</f>
        <v>0</v>
      </c>
      <c r="K72" s="10">
        <f t="shared" si="11"/>
        <v>0</v>
      </c>
      <c r="L72" s="10">
        <f>IF(D72&lt;=0,0,IF(A72&lt;='Options and results'!$W$20,IF(C72&gt;0,VLOOKUP(B72,Arablefinance!$Z$6:$AG$105,Arablefinance!$AG$2,FALSE)*C72*D72,VLOOKUP(B72,Arablefinance!$E$6:$X$126,Arablefinance!$X$2,FALSE)*D72),0)*IF(A72&gt;='Options and results'!$J$27,'Options and results'!$J$26,1))*IF(1+'Options and results'!$O$22*(A72-1)&gt;0,1+'Options and results'!$O$22*(A72-1),0)</f>
        <v>0</v>
      </c>
      <c r="M72" s="10">
        <f>IF(D72&lt;=0,0,IF(A72&lt;='Options and results'!$W$20,'Options and results'!$C$27*IF(A72&gt;='Options and results'!$J$27,'Options and results'!$J$26,1),0))*IF(1+'Options and results'!$O$21*(A72-1)&gt;0,1+'Options and results'!$O$21*(A72-1),0)</f>
        <v>0</v>
      </c>
      <c r="N72" s="10">
        <f>IF(D72&lt;=0,0,IF(A72&lt;='Options and results'!$W$20,IF(C72&gt;0,VLOOKUP(B72,Arablefinance!$Z$6:$AH$105,Arablefinance!$AH$2,FALSE)*C72*D72,VLOOKUP(B72,Arablefinance!$E$6:$W$126,Arablefinance!$V$2,FALSE)*D72),0)*IF(A72&gt;='Options and results'!$J$25,'Options and results'!$J$24,1))</f>
        <v>0</v>
      </c>
      <c r="O72" s="200">
        <f t="shared" si="1"/>
        <v>0</v>
      </c>
      <c r="P72" s="201">
        <f>IF(A72&lt;='Options and results'!$W$20,SUM($O$28:O72),0)</f>
        <v>0</v>
      </c>
      <c r="Q72" s="36">
        <f t="shared" si="2"/>
        <v>0</v>
      </c>
      <c r="R72" s="108">
        <f t="shared" ca="1" si="14"/>
        <v>0</v>
      </c>
      <c r="S72" s="108">
        <f t="shared" si="15"/>
        <v>10</v>
      </c>
      <c r="T72" s="10">
        <f t="shared" ca="1" si="12"/>
        <v>45</v>
      </c>
      <c r="U72" s="1" t="str">
        <f>IF(Optimisation!$B$3="Yes",IF(A72&lt;=Optimisation!$B$9,Optimisation!B72,Optimisation!$B$11),B72)</f>
        <v xml:space="preserve">UK - Agriculture (BPS: from 2015) </v>
      </c>
      <c r="V72" s="202">
        <f t="shared" si="13"/>
        <v>0</v>
      </c>
      <c r="W72" s="203">
        <f t="shared" ca="1" si="16"/>
        <v>0</v>
      </c>
      <c r="X72" s="203">
        <f t="shared" si="17"/>
        <v>2</v>
      </c>
      <c r="Y72" s="10">
        <f t="shared" ca="1" si="18"/>
        <v>45</v>
      </c>
      <c r="Z72" s="204" t="str">
        <f>IF(Optimisation!$B$3="Yes",IF(Optimisation!A72&lt;=Optimisation!$B$16,Optimisation!B72,Optimisation!$B$18),B72)</f>
        <v xml:space="preserve">UK - Agriculture (BPS: from 2015) </v>
      </c>
      <c r="AA72" s="205" t="str">
        <f t="shared" si="19"/>
        <v xml:space="preserve">UK - Agriculture (BPS: from 2015) </v>
      </c>
      <c r="AG72" s="10"/>
    </row>
    <row r="73" spans="1:33" x14ac:dyDescent="0.25">
      <c r="A73" s="196">
        <f t="shared" si="9"/>
        <v>46</v>
      </c>
      <c r="B73" s="197" t="str">
        <f>IF('Options and results'!$C$54="None",0,IF(AND(A73&gt;='Options and results'!$K$57,A72&lt;'Options and results'!$W$20),'Options and results'!$K$56,CONCATENATE('Options and results'!$C$60," ",(HLOOKUP(CONCATENATE('Options and results'!$C$54," ",Agroforestrysystem!$B$12),Agroforestrysystem!$B$11:$IM$74,$A73+4,FALSE)))))</f>
        <v xml:space="preserve">UK - Agriculture (BPS: from 2015) </v>
      </c>
      <c r="C73" s="198">
        <f>IF(HLOOKUP(CONCATENATE('Options and results'!$C$54," ",Agroforestrysystem!$C$12),Agroforestrysystem!$B$11:$IM$74,$A73+4,FALSE)="T",(VLOOKUP(B73,Arablefinance!$Z$6:$AB$105,Arablefinance!$AB$2,FALSE)*E73+VLOOKUP(B73,Arablefinance!$Z$6:$AC$105,Arablefinance!$AC$2,FALSE)*F73)/VLOOKUP(B73,Arablefinance!$Z$6:$AA$105,Arablefinance!$AA$2,FALSE),0)</f>
        <v>0</v>
      </c>
      <c r="D73" s="199">
        <f>IF(B73=0,0,HLOOKUP(CONCATENATE('Options and results'!$C$54," ",Agroforestrysystem!$D$12),Agroforestrysystem!$B$11:$IM$74,$A73+4,FALSE))</f>
        <v>0</v>
      </c>
      <c r="E73" s="42">
        <f>IF(B73=0,0,HLOOKUP(CONCATENATE('Options and results'!$C$54," ",Agroforestrysystem!$E$12),Agroforestrysystem!$B$11:$IM$74,$A73+4,FALSE)*IF(A73&gt;='Options and results'!$J$19,'Options and results'!$J$18,1))</f>
        <v>0</v>
      </c>
      <c r="F73" s="42">
        <f>IF(B73=0,0,HLOOKUP(CONCATENATE('Options and results'!$C$54," ",Agroforestrysystem!$F$12),Agroforestrysystem!$B$11:$IM$74,$A73+4,FALSE)*IF(A73&gt;='Options and results'!$J$19,'Options and results'!$J$18,1))</f>
        <v>0</v>
      </c>
      <c r="G73" s="200">
        <f>IF(D73&lt;=0,0,IF(A73&lt;='Options and results'!$W$20,IF(C73&gt;0,VLOOKUP(B73,Arablefinance!$Z$6:$AE$105,Arablefinance!$AD$2,FALSE)*C73*D73,((VLOOKUP(B73,Arablefinance!$E$6:$H$126,2,FALSE)*E73+VLOOKUP(B73,Arablefinance!$E$6:$H$126,3,FALSE)*F73)*D73)),0)*IF(A73&gt;='Options and results'!$J$21,'Options and results'!$J$20,1))*IF(1+'Options and results'!$O$20*(A73-1)&gt;0,1+'Options and results'!$O$20*(A73-1),0)</f>
        <v>0</v>
      </c>
      <c r="H73" s="10">
        <f>IF(D73&lt;=0,0,IF(C73&gt;0,VLOOKUP(B73,Arablefinance!$Z$6:$AE$105,Arablefinance!$AE$2,FALSE)*C73*D73,IF('Options and results'!$C$62&gt;0,IF(VLOOKUP(B73,Arablefinance!$E$6:$W$126,Arablefinance!$H$2,FALSE)*(1-Plot!AC73*'Options and results'!$C$62)&gt;0,VLOOKUP(B73,Arablefinance!$E$6:$W$126,Arablefinance!$H$2,FALSE)*(1-Plot!AC73*'Options and results'!$C$62),0),IF(A73&lt;='Options and results'!$W$20,(VLOOKUP(B73,Arablefinance!$E$6:$W$126,Arablefinance!$H$2,FALSE)*IF('Options and results'!$C$61="area",D73,'Options and results'!$C$61)),0)))*IF(A73&gt;='Options and results'!$J$23,'Options and results'!$J$22,1))*IF(AND(1+'Options and results'!$O$23*(A73-1)&gt;0,1+'Options and results'!$O$23*(A73-1)&gt;'Options and results'!$S$24),1+'Options and results'!$O$23*(A73-1),'Options and results'!$S$24)</f>
        <v>0</v>
      </c>
      <c r="I73" s="10">
        <f t="shared" si="10"/>
        <v>0</v>
      </c>
      <c r="J73" s="10">
        <f>IF(D73&lt;=0,0,IF(A73&lt;='Options and results'!$W$20,IF(C73&gt;0,VLOOKUP(B73,Arablefinance!$Z$6:$AF$105,Arablefinance!$AF$2,FALSE)*C73*D73,VLOOKUP(B73,Arablefinance!$E$6:$X$126,Arablefinance!$R$2,FALSE)*D73),0)*IF(A73&gt;='Options and results'!$J$27,'Options and results'!$J$26,1))*IF(1+'Options and results'!$O$22*(A73-1)&gt;0,1+'Options and results'!$O$22*(A73-1),0)</f>
        <v>0</v>
      </c>
      <c r="K73" s="10">
        <f t="shared" si="11"/>
        <v>0</v>
      </c>
      <c r="L73" s="10">
        <f>IF(D73&lt;=0,0,IF(A73&lt;='Options and results'!$W$20,IF(C73&gt;0,VLOOKUP(B73,Arablefinance!$Z$6:$AG$105,Arablefinance!$AG$2,FALSE)*C73*D73,VLOOKUP(B73,Arablefinance!$E$6:$X$126,Arablefinance!$X$2,FALSE)*D73),0)*IF(A73&gt;='Options and results'!$J$27,'Options and results'!$J$26,1))*IF(1+'Options and results'!$O$22*(A73-1)&gt;0,1+'Options and results'!$O$22*(A73-1),0)</f>
        <v>0</v>
      </c>
      <c r="M73" s="10">
        <f>IF(D73&lt;=0,0,IF(A73&lt;='Options and results'!$W$20,'Options and results'!$C$27*IF(A73&gt;='Options and results'!$J$27,'Options and results'!$J$26,1),0))*IF(1+'Options and results'!$O$21*(A73-1)&gt;0,1+'Options and results'!$O$21*(A73-1),0)</f>
        <v>0</v>
      </c>
      <c r="N73" s="10">
        <f>IF(D73&lt;=0,0,IF(A73&lt;='Options and results'!$W$20,IF(C73&gt;0,VLOOKUP(B73,Arablefinance!$Z$6:$AH$105,Arablefinance!$AH$2,FALSE)*C73*D73,VLOOKUP(B73,Arablefinance!$E$6:$W$126,Arablefinance!$V$2,FALSE)*D73),0)*IF(A73&gt;='Options and results'!$J$25,'Options and results'!$J$24,1))</f>
        <v>0</v>
      </c>
      <c r="O73" s="200">
        <f t="shared" si="1"/>
        <v>0</v>
      </c>
      <c r="P73" s="201">
        <f>IF(A73&lt;='Options and results'!$W$20,SUM($O$28:O73),0)</f>
        <v>0</v>
      </c>
      <c r="Q73" s="36">
        <f t="shared" si="2"/>
        <v>0</v>
      </c>
      <c r="R73" s="108">
        <f t="shared" ca="1" si="14"/>
        <v>0</v>
      </c>
      <c r="S73" s="108">
        <f t="shared" si="15"/>
        <v>10</v>
      </c>
      <c r="T73" s="10">
        <f t="shared" ca="1" si="12"/>
        <v>46</v>
      </c>
      <c r="U73" s="1" t="str">
        <f>IF(Optimisation!$B$3="Yes",IF(A73&lt;=Optimisation!$B$9,Optimisation!B73,Optimisation!$B$11),B73)</f>
        <v xml:space="preserve">UK - Agriculture (BPS: from 2015) </v>
      </c>
      <c r="V73" s="202">
        <f t="shared" si="13"/>
        <v>0</v>
      </c>
      <c r="W73" s="203">
        <f t="shared" ca="1" si="16"/>
        <v>0</v>
      </c>
      <c r="X73" s="203">
        <f t="shared" si="17"/>
        <v>2</v>
      </c>
      <c r="Y73" s="10">
        <f t="shared" ca="1" si="18"/>
        <v>46</v>
      </c>
      <c r="Z73" s="204" t="str">
        <f>IF(Optimisation!$B$3="Yes",IF(Optimisation!A73&lt;=Optimisation!$B$16,Optimisation!B73,Optimisation!$B$18),B73)</f>
        <v xml:space="preserve">UK - Agriculture (BPS: from 2015) </v>
      </c>
      <c r="AA73" s="205" t="str">
        <f t="shared" si="19"/>
        <v xml:space="preserve">UK - Agriculture (BPS: from 2015) </v>
      </c>
      <c r="AG73" s="10"/>
    </row>
    <row r="74" spans="1:33" x14ac:dyDescent="0.25">
      <c r="A74" s="196">
        <f t="shared" si="9"/>
        <v>47</v>
      </c>
      <c r="B74" s="197" t="str">
        <f>IF('Options and results'!$C$54="None",0,IF(AND(A74&gt;='Options and results'!$K$57,A73&lt;'Options and results'!$W$20),'Options and results'!$K$56,CONCATENATE('Options and results'!$C$60," ",(HLOOKUP(CONCATENATE('Options and results'!$C$54," ",Agroforestrysystem!$B$12),Agroforestrysystem!$B$11:$IM$74,$A74+4,FALSE)))))</f>
        <v xml:space="preserve">UK - Agriculture (BPS: from 2015) </v>
      </c>
      <c r="C74" s="198">
        <f>IF(HLOOKUP(CONCATENATE('Options and results'!$C$54," ",Agroforestrysystem!$C$12),Agroforestrysystem!$B$11:$IM$74,$A74+4,FALSE)="T",(VLOOKUP(B74,Arablefinance!$Z$6:$AB$105,Arablefinance!$AB$2,FALSE)*E74+VLOOKUP(B74,Arablefinance!$Z$6:$AC$105,Arablefinance!$AC$2,FALSE)*F74)/VLOOKUP(B74,Arablefinance!$Z$6:$AA$105,Arablefinance!$AA$2,FALSE),0)</f>
        <v>0</v>
      </c>
      <c r="D74" s="199">
        <f>IF(B74=0,0,HLOOKUP(CONCATENATE('Options and results'!$C$54," ",Agroforestrysystem!$D$12),Agroforestrysystem!$B$11:$IM$74,$A74+4,FALSE))</f>
        <v>0</v>
      </c>
      <c r="E74" s="42">
        <f>IF(B74=0,0,HLOOKUP(CONCATENATE('Options and results'!$C$54," ",Agroforestrysystem!$E$12),Agroforestrysystem!$B$11:$IM$74,$A74+4,FALSE)*IF(A74&gt;='Options and results'!$J$19,'Options and results'!$J$18,1))</f>
        <v>0</v>
      </c>
      <c r="F74" s="42">
        <f>IF(B74=0,0,HLOOKUP(CONCATENATE('Options and results'!$C$54," ",Agroforestrysystem!$F$12),Agroforestrysystem!$B$11:$IM$74,$A74+4,FALSE)*IF(A74&gt;='Options and results'!$J$19,'Options and results'!$J$18,1))</f>
        <v>0</v>
      </c>
      <c r="G74" s="200">
        <f>IF(D74&lt;=0,0,IF(A74&lt;='Options and results'!$W$20,IF(C74&gt;0,VLOOKUP(B74,Arablefinance!$Z$6:$AE$105,Arablefinance!$AD$2,FALSE)*C74*D74,((VLOOKUP(B74,Arablefinance!$E$6:$H$126,2,FALSE)*E74+VLOOKUP(B74,Arablefinance!$E$6:$H$126,3,FALSE)*F74)*D74)),0)*IF(A74&gt;='Options and results'!$J$21,'Options and results'!$J$20,1))*IF(1+'Options and results'!$O$20*(A74-1)&gt;0,1+'Options and results'!$O$20*(A74-1),0)</f>
        <v>0</v>
      </c>
      <c r="H74" s="10">
        <f>IF(D74&lt;=0,0,IF(C74&gt;0,VLOOKUP(B74,Arablefinance!$Z$6:$AE$105,Arablefinance!$AE$2,FALSE)*C74*D74,IF('Options and results'!$C$62&gt;0,IF(VLOOKUP(B74,Arablefinance!$E$6:$W$126,Arablefinance!$H$2,FALSE)*(1-Plot!AC74*'Options and results'!$C$62)&gt;0,VLOOKUP(B74,Arablefinance!$E$6:$W$126,Arablefinance!$H$2,FALSE)*(1-Plot!AC74*'Options and results'!$C$62),0),IF(A74&lt;='Options and results'!$W$20,(VLOOKUP(B74,Arablefinance!$E$6:$W$126,Arablefinance!$H$2,FALSE)*IF('Options and results'!$C$61="area",D74,'Options and results'!$C$61)),0)))*IF(A74&gt;='Options and results'!$J$23,'Options and results'!$J$22,1))*IF(AND(1+'Options and results'!$O$23*(A74-1)&gt;0,1+'Options and results'!$O$23*(A74-1)&gt;'Options and results'!$S$24),1+'Options and results'!$O$23*(A74-1),'Options and results'!$S$24)</f>
        <v>0</v>
      </c>
      <c r="I74" s="10">
        <f t="shared" si="10"/>
        <v>0</v>
      </c>
      <c r="J74" s="10">
        <f>IF(D74&lt;=0,0,IF(A74&lt;='Options and results'!$W$20,IF(C74&gt;0,VLOOKUP(B74,Arablefinance!$Z$6:$AF$105,Arablefinance!$AF$2,FALSE)*C74*D74,VLOOKUP(B74,Arablefinance!$E$6:$X$126,Arablefinance!$R$2,FALSE)*D74),0)*IF(A74&gt;='Options and results'!$J$27,'Options and results'!$J$26,1))*IF(1+'Options and results'!$O$22*(A74-1)&gt;0,1+'Options and results'!$O$22*(A74-1),0)</f>
        <v>0</v>
      </c>
      <c r="K74" s="10">
        <f t="shared" si="11"/>
        <v>0</v>
      </c>
      <c r="L74" s="10">
        <f>IF(D74&lt;=0,0,IF(A74&lt;='Options and results'!$W$20,IF(C74&gt;0,VLOOKUP(B74,Arablefinance!$Z$6:$AG$105,Arablefinance!$AG$2,FALSE)*C74*D74,VLOOKUP(B74,Arablefinance!$E$6:$X$126,Arablefinance!$X$2,FALSE)*D74),0)*IF(A74&gt;='Options and results'!$J$27,'Options and results'!$J$26,1))*IF(1+'Options and results'!$O$22*(A74-1)&gt;0,1+'Options and results'!$O$22*(A74-1),0)</f>
        <v>0</v>
      </c>
      <c r="M74" s="10">
        <f>IF(D74&lt;=0,0,IF(A74&lt;='Options and results'!$W$20,'Options and results'!$C$27*IF(A74&gt;='Options and results'!$J$27,'Options and results'!$J$26,1),0))*IF(1+'Options and results'!$O$21*(A74-1)&gt;0,1+'Options and results'!$O$21*(A74-1),0)</f>
        <v>0</v>
      </c>
      <c r="N74" s="10">
        <f>IF(D74&lt;=0,0,IF(A74&lt;='Options and results'!$W$20,IF(C74&gt;0,VLOOKUP(B74,Arablefinance!$Z$6:$AH$105,Arablefinance!$AH$2,FALSE)*C74*D74,VLOOKUP(B74,Arablefinance!$E$6:$W$126,Arablefinance!$V$2,FALSE)*D74),0)*IF(A74&gt;='Options and results'!$J$25,'Options and results'!$J$24,1))</f>
        <v>0</v>
      </c>
      <c r="O74" s="200">
        <f t="shared" si="1"/>
        <v>0</v>
      </c>
      <c r="P74" s="201">
        <f>IF(A74&lt;='Options and results'!$W$20,SUM($O$28:O74),0)</f>
        <v>0</v>
      </c>
      <c r="Q74" s="36">
        <f t="shared" si="2"/>
        <v>0</v>
      </c>
      <c r="R74" s="108">
        <f t="shared" ca="1" si="14"/>
        <v>0</v>
      </c>
      <c r="S74" s="108">
        <f t="shared" si="15"/>
        <v>10</v>
      </c>
      <c r="T74" s="10">
        <f t="shared" ca="1" si="12"/>
        <v>47</v>
      </c>
      <c r="U74" s="1" t="str">
        <f>IF(Optimisation!$B$3="Yes",IF(A74&lt;=Optimisation!$B$9,Optimisation!B74,Optimisation!$B$11),B74)</f>
        <v xml:space="preserve">UK - Agriculture (BPS: from 2015) </v>
      </c>
      <c r="V74" s="202">
        <f t="shared" si="13"/>
        <v>0</v>
      </c>
      <c r="W74" s="203">
        <f t="shared" ca="1" si="16"/>
        <v>0</v>
      </c>
      <c r="X74" s="203">
        <f t="shared" si="17"/>
        <v>2</v>
      </c>
      <c r="Y74" s="10">
        <f t="shared" ca="1" si="18"/>
        <v>47</v>
      </c>
      <c r="Z74" s="204" t="str">
        <f>IF(Optimisation!$B$3="Yes",IF(Optimisation!A74&lt;=Optimisation!$B$16,Optimisation!B74,Optimisation!$B$18),B74)</f>
        <v xml:space="preserve">UK - Agriculture (BPS: from 2015) </v>
      </c>
      <c r="AA74" s="205" t="str">
        <f t="shared" si="19"/>
        <v xml:space="preserve">UK - Agriculture (BPS: from 2015) </v>
      </c>
      <c r="AG74" s="10"/>
    </row>
    <row r="75" spans="1:33" x14ac:dyDescent="0.25">
      <c r="A75" s="196">
        <f t="shared" si="9"/>
        <v>48</v>
      </c>
      <c r="B75" s="197" t="str">
        <f>IF('Options and results'!$C$54="None",0,IF(AND(A75&gt;='Options and results'!$K$57,A74&lt;'Options and results'!$W$20),'Options and results'!$K$56,CONCATENATE('Options and results'!$C$60," ",(HLOOKUP(CONCATENATE('Options and results'!$C$54," ",Agroforestrysystem!$B$12),Agroforestrysystem!$B$11:$IM$74,$A75+4,FALSE)))))</f>
        <v xml:space="preserve">UK - Agriculture (BPS: from 2015) </v>
      </c>
      <c r="C75" s="198">
        <f>IF(HLOOKUP(CONCATENATE('Options and results'!$C$54," ",Agroforestrysystem!$C$12),Agroforestrysystem!$B$11:$IM$74,$A75+4,FALSE)="T",(VLOOKUP(B75,Arablefinance!$Z$6:$AB$105,Arablefinance!$AB$2,FALSE)*E75+VLOOKUP(B75,Arablefinance!$Z$6:$AC$105,Arablefinance!$AC$2,FALSE)*F75)/VLOOKUP(B75,Arablefinance!$Z$6:$AA$105,Arablefinance!$AA$2,FALSE),0)</f>
        <v>0</v>
      </c>
      <c r="D75" s="199">
        <f>IF(B75=0,0,HLOOKUP(CONCATENATE('Options and results'!$C$54," ",Agroforestrysystem!$D$12),Agroforestrysystem!$B$11:$IM$74,$A75+4,FALSE))</f>
        <v>0</v>
      </c>
      <c r="E75" s="42">
        <f>IF(B75=0,0,HLOOKUP(CONCATENATE('Options and results'!$C$54," ",Agroforestrysystem!$E$12),Agroforestrysystem!$B$11:$IM$74,$A75+4,FALSE)*IF(A75&gt;='Options and results'!$J$19,'Options and results'!$J$18,1))</f>
        <v>0</v>
      </c>
      <c r="F75" s="42">
        <f>IF(B75=0,0,HLOOKUP(CONCATENATE('Options and results'!$C$54," ",Agroforestrysystem!$F$12),Agroforestrysystem!$B$11:$IM$74,$A75+4,FALSE)*IF(A75&gt;='Options and results'!$J$19,'Options and results'!$J$18,1))</f>
        <v>0</v>
      </c>
      <c r="G75" s="200">
        <f>IF(D75&lt;=0,0,IF(A75&lt;='Options and results'!$W$20,IF(C75&gt;0,VLOOKUP(B75,Arablefinance!$Z$6:$AE$105,Arablefinance!$AD$2,FALSE)*C75*D75,((VLOOKUP(B75,Arablefinance!$E$6:$H$126,2,FALSE)*E75+VLOOKUP(B75,Arablefinance!$E$6:$H$126,3,FALSE)*F75)*D75)),0)*IF(A75&gt;='Options and results'!$J$21,'Options and results'!$J$20,1))*IF(1+'Options and results'!$O$20*(A75-1)&gt;0,1+'Options and results'!$O$20*(A75-1),0)</f>
        <v>0</v>
      </c>
      <c r="H75" s="10">
        <f>IF(D75&lt;=0,0,IF(C75&gt;0,VLOOKUP(B75,Arablefinance!$Z$6:$AE$105,Arablefinance!$AE$2,FALSE)*C75*D75,IF('Options and results'!$C$62&gt;0,IF(VLOOKUP(B75,Arablefinance!$E$6:$W$126,Arablefinance!$H$2,FALSE)*(1-Plot!AC75*'Options and results'!$C$62)&gt;0,VLOOKUP(B75,Arablefinance!$E$6:$W$126,Arablefinance!$H$2,FALSE)*(1-Plot!AC75*'Options and results'!$C$62),0),IF(A75&lt;='Options and results'!$W$20,(VLOOKUP(B75,Arablefinance!$E$6:$W$126,Arablefinance!$H$2,FALSE)*IF('Options and results'!$C$61="area",D75,'Options and results'!$C$61)),0)))*IF(A75&gt;='Options and results'!$J$23,'Options and results'!$J$22,1))*IF(AND(1+'Options and results'!$O$23*(A75-1)&gt;0,1+'Options and results'!$O$23*(A75-1)&gt;'Options and results'!$S$24),1+'Options and results'!$O$23*(A75-1),'Options and results'!$S$24)</f>
        <v>0</v>
      </c>
      <c r="I75" s="10">
        <f t="shared" si="10"/>
        <v>0</v>
      </c>
      <c r="J75" s="10">
        <f>IF(D75&lt;=0,0,IF(A75&lt;='Options and results'!$W$20,IF(C75&gt;0,VLOOKUP(B75,Arablefinance!$Z$6:$AF$105,Arablefinance!$AF$2,FALSE)*C75*D75,VLOOKUP(B75,Arablefinance!$E$6:$X$126,Arablefinance!$R$2,FALSE)*D75),0)*IF(A75&gt;='Options and results'!$J$27,'Options and results'!$J$26,1))*IF(1+'Options and results'!$O$22*(A75-1)&gt;0,1+'Options and results'!$O$22*(A75-1),0)</f>
        <v>0</v>
      </c>
      <c r="K75" s="10">
        <f t="shared" si="11"/>
        <v>0</v>
      </c>
      <c r="L75" s="10">
        <f>IF(D75&lt;=0,0,IF(A75&lt;='Options and results'!$W$20,IF(C75&gt;0,VLOOKUP(B75,Arablefinance!$Z$6:$AG$105,Arablefinance!$AG$2,FALSE)*C75*D75,VLOOKUP(B75,Arablefinance!$E$6:$X$126,Arablefinance!$X$2,FALSE)*D75),0)*IF(A75&gt;='Options and results'!$J$27,'Options and results'!$J$26,1))*IF(1+'Options and results'!$O$22*(A75-1)&gt;0,1+'Options and results'!$O$22*(A75-1),0)</f>
        <v>0</v>
      </c>
      <c r="M75" s="10">
        <f>IF(D75&lt;=0,0,IF(A75&lt;='Options and results'!$W$20,'Options and results'!$C$27*IF(A75&gt;='Options and results'!$J$27,'Options and results'!$J$26,1),0))*IF(1+'Options and results'!$O$21*(A75-1)&gt;0,1+'Options and results'!$O$21*(A75-1),0)</f>
        <v>0</v>
      </c>
      <c r="N75" s="10">
        <f>IF(D75&lt;=0,0,IF(A75&lt;='Options and results'!$W$20,IF(C75&gt;0,VLOOKUP(B75,Arablefinance!$Z$6:$AH$105,Arablefinance!$AH$2,FALSE)*C75*D75,VLOOKUP(B75,Arablefinance!$E$6:$W$126,Arablefinance!$V$2,FALSE)*D75),0)*IF(A75&gt;='Options and results'!$J$25,'Options and results'!$J$24,1))</f>
        <v>0</v>
      </c>
      <c r="O75" s="200">
        <f t="shared" si="1"/>
        <v>0</v>
      </c>
      <c r="P75" s="201">
        <f>IF(A75&lt;='Options and results'!$W$20,SUM($O$28:O75),0)</f>
        <v>0</v>
      </c>
      <c r="Q75" s="36">
        <f t="shared" si="2"/>
        <v>0</v>
      </c>
      <c r="R75" s="108">
        <f t="shared" ca="1" si="14"/>
        <v>0</v>
      </c>
      <c r="S75" s="108">
        <f t="shared" si="15"/>
        <v>10</v>
      </c>
      <c r="T75" s="10">
        <f t="shared" ca="1" si="12"/>
        <v>48</v>
      </c>
      <c r="U75" s="1" t="str">
        <f>IF(Optimisation!$B$3="Yes",IF(A75&lt;=Optimisation!$B$9,Optimisation!B75,Optimisation!$B$11),B75)</f>
        <v xml:space="preserve">UK - Agriculture (BPS: from 2015) </v>
      </c>
      <c r="V75" s="202">
        <f t="shared" si="13"/>
        <v>0</v>
      </c>
      <c r="W75" s="203">
        <f t="shared" ca="1" si="16"/>
        <v>0</v>
      </c>
      <c r="X75" s="203">
        <f t="shared" si="17"/>
        <v>2</v>
      </c>
      <c r="Y75" s="10">
        <f t="shared" ca="1" si="18"/>
        <v>48</v>
      </c>
      <c r="Z75" s="204" t="str">
        <f>IF(Optimisation!$B$3="Yes",IF(Optimisation!A75&lt;=Optimisation!$B$16,Optimisation!B75,Optimisation!$B$18),B75)</f>
        <v xml:space="preserve">UK - Agriculture (BPS: from 2015) </v>
      </c>
      <c r="AA75" s="205" t="str">
        <f t="shared" si="19"/>
        <v xml:space="preserve">UK - Agriculture (BPS: from 2015) </v>
      </c>
      <c r="AG75" s="10"/>
    </row>
    <row r="76" spans="1:33" x14ac:dyDescent="0.25">
      <c r="A76" s="196">
        <f t="shared" si="9"/>
        <v>49</v>
      </c>
      <c r="B76" s="197" t="str">
        <f>IF('Options and results'!$C$54="None",0,IF(AND(A76&gt;='Options and results'!$K$57,A75&lt;'Options and results'!$W$20),'Options and results'!$K$56,CONCATENATE('Options and results'!$C$60," ",(HLOOKUP(CONCATENATE('Options and results'!$C$54," ",Agroforestrysystem!$B$12),Agroforestrysystem!$B$11:$IM$74,$A76+4,FALSE)))))</f>
        <v xml:space="preserve">UK - Agriculture (BPS: from 2015) </v>
      </c>
      <c r="C76" s="198">
        <f>IF(HLOOKUP(CONCATENATE('Options and results'!$C$54," ",Agroforestrysystem!$C$12),Agroforestrysystem!$B$11:$IM$74,$A76+4,FALSE)="T",(VLOOKUP(B76,Arablefinance!$Z$6:$AB$105,Arablefinance!$AB$2,FALSE)*E76+VLOOKUP(B76,Arablefinance!$Z$6:$AC$105,Arablefinance!$AC$2,FALSE)*F76)/VLOOKUP(B76,Arablefinance!$Z$6:$AA$105,Arablefinance!$AA$2,FALSE),0)</f>
        <v>0</v>
      </c>
      <c r="D76" s="199">
        <f>IF(B76=0,0,HLOOKUP(CONCATENATE('Options and results'!$C$54," ",Agroforestrysystem!$D$12),Agroforestrysystem!$B$11:$IM$74,$A76+4,FALSE))</f>
        <v>0</v>
      </c>
      <c r="E76" s="42">
        <f>IF(B76=0,0,HLOOKUP(CONCATENATE('Options and results'!$C$54," ",Agroforestrysystem!$E$12),Agroforestrysystem!$B$11:$IM$74,$A76+4,FALSE)*IF(A76&gt;='Options and results'!$J$19,'Options and results'!$J$18,1))</f>
        <v>0</v>
      </c>
      <c r="F76" s="42">
        <f>IF(B76=0,0,HLOOKUP(CONCATENATE('Options and results'!$C$54," ",Agroforestrysystem!$F$12),Agroforestrysystem!$B$11:$IM$74,$A76+4,FALSE)*IF(A76&gt;='Options and results'!$J$19,'Options and results'!$J$18,1))</f>
        <v>0</v>
      </c>
      <c r="G76" s="200">
        <f>IF(D76&lt;=0,0,IF(A76&lt;='Options and results'!$W$20,IF(C76&gt;0,VLOOKUP(B76,Arablefinance!$Z$6:$AE$105,Arablefinance!$AD$2,FALSE)*C76*D76,((VLOOKUP(B76,Arablefinance!$E$6:$H$126,2,FALSE)*E76+VLOOKUP(B76,Arablefinance!$E$6:$H$126,3,FALSE)*F76)*D76)),0)*IF(A76&gt;='Options and results'!$J$21,'Options and results'!$J$20,1))*IF(1+'Options and results'!$O$20*(A76-1)&gt;0,1+'Options and results'!$O$20*(A76-1),0)</f>
        <v>0</v>
      </c>
      <c r="H76" s="10">
        <f>IF(D76&lt;=0,0,IF(C76&gt;0,VLOOKUP(B76,Arablefinance!$Z$6:$AE$105,Arablefinance!$AE$2,FALSE)*C76*D76,IF('Options and results'!$C$62&gt;0,IF(VLOOKUP(B76,Arablefinance!$E$6:$W$126,Arablefinance!$H$2,FALSE)*(1-Plot!AC76*'Options and results'!$C$62)&gt;0,VLOOKUP(B76,Arablefinance!$E$6:$W$126,Arablefinance!$H$2,FALSE)*(1-Plot!AC76*'Options and results'!$C$62),0),IF(A76&lt;='Options and results'!$W$20,(VLOOKUP(B76,Arablefinance!$E$6:$W$126,Arablefinance!$H$2,FALSE)*IF('Options and results'!$C$61="area",D76,'Options and results'!$C$61)),0)))*IF(A76&gt;='Options and results'!$J$23,'Options and results'!$J$22,1))*IF(AND(1+'Options and results'!$O$23*(A76-1)&gt;0,1+'Options and results'!$O$23*(A76-1)&gt;'Options and results'!$S$24),1+'Options and results'!$O$23*(A76-1),'Options and results'!$S$24)</f>
        <v>0</v>
      </c>
      <c r="I76" s="10">
        <f t="shared" si="10"/>
        <v>0</v>
      </c>
      <c r="J76" s="10">
        <f>IF(D76&lt;=0,0,IF(A76&lt;='Options and results'!$W$20,IF(C76&gt;0,VLOOKUP(B76,Arablefinance!$Z$6:$AF$105,Arablefinance!$AF$2,FALSE)*C76*D76,VLOOKUP(B76,Arablefinance!$E$6:$X$126,Arablefinance!$R$2,FALSE)*D76),0)*IF(A76&gt;='Options and results'!$J$27,'Options and results'!$J$26,1))*IF(1+'Options and results'!$O$22*(A76-1)&gt;0,1+'Options and results'!$O$22*(A76-1),0)</f>
        <v>0</v>
      </c>
      <c r="K76" s="10">
        <f t="shared" si="11"/>
        <v>0</v>
      </c>
      <c r="L76" s="10">
        <f>IF(D76&lt;=0,0,IF(A76&lt;='Options and results'!$W$20,IF(C76&gt;0,VLOOKUP(B76,Arablefinance!$Z$6:$AG$105,Arablefinance!$AG$2,FALSE)*C76*D76,VLOOKUP(B76,Arablefinance!$E$6:$X$126,Arablefinance!$X$2,FALSE)*D76),0)*IF(A76&gt;='Options and results'!$J$27,'Options and results'!$J$26,1))*IF(1+'Options and results'!$O$22*(A76-1)&gt;0,1+'Options and results'!$O$22*(A76-1),0)</f>
        <v>0</v>
      </c>
      <c r="M76" s="10">
        <f>IF(D76&lt;=0,0,IF(A76&lt;='Options and results'!$W$20,'Options and results'!$C$27*IF(A76&gt;='Options and results'!$J$27,'Options and results'!$J$26,1),0))*IF(1+'Options and results'!$O$21*(A76-1)&gt;0,1+'Options and results'!$O$21*(A76-1),0)</f>
        <v>0</v>
      </c>
      <c r="N76" s="10">
        <f>IF(D76&lt;=0,0,IF(A76&lt;='Options and results'!$W$20,IF(C76&gt;0,VLOOKUP(B76,Arablefinance!$Z$6:$AH$105,Arablefinance!$AH$2,FALSE)*C76*D76,VLOOKUP(B76,Arablefinance!$E$6:$W$126,Arablefinance!$V$2,FALSE)*D76),0)*IF(A76&gt;='Options and results'!$J$25,'Options and results'!$J$24,1))</f>
        <v>0</v>
      </c>
      <c r="O76" s="200">
        <f t="shared" si="1"/>
        <v>0</v>
      </c>
      <c r="P76" s="201">
        <f>IF(A76&lt;='Options and results'!$W$20,SUM($O$28:O76),0)</f>
        <v>0</v>
      </c>
      <c r="Q76" s="36">
        <f t="shared" si="2"/>
        <v>0</v>
      </c>
      <c r="R76" s="108">
        <f t="shared" ca="1" si="14"/>
        <v>0</v>
      </c>
      <c r="S76" s="108">
        <f t="shared" si="15"/>
        <v>10</v>
      </c>
      <c r="T76" s="10">
        <f t="shared" ca="1" si="12"/>
        <v>49</v>
      </c>
      <c r="U76" s="1" t="str">
        <f>IF(Optimisation!$B$3="Yes",IF(A76&lt;=Optimisation!$B$9,Optimisation!B76,Optimisation!$B$11),B76)</f>
        <v xml:space="preserve">UK - Agriculture (BPS: from 2015) </v>
      </c>
      <c r="V76" s="202">
        <f t="shared" si="13"/>
        <v>0</v>
      </c>
      <c r="W76" s="203">
        <f t="shared" ca="1" si="16"/>
        <v>0</v>
      </c>
      <c r="X76" s="203">
        <f t="shared" si="17"/>
        <v>2</v>
      </c>
      <c r="Y76" s="10">
        <f t="shared" ca="1" si="18"/>
        <v>49</v>
      </c>
      <c r="Z76" s="204" t="str">
        <f>IF(Optimisation!$B$3="Yes",IF(Optimisation!A76&lt;=Optimisation!$B$16,Optimisation!B76,Optimisation!$B$18),B76)</f>
        <v xml:space="preserve">UK - Agriculture (BPS: from 2015) </v>
      </c>
      <c r="AA76" s="205" t="str">
        <f t="shared" si="19"/>
        <v xml:space="preserve">UK - Agriculture (BPS: from 2015) </v>
      </c>
      <c r="AG76" s="10"/>
    </row>
    <row r="77" spans="1:33" x14ac:dyDescent="0.25">
      <c r="A77" s="196">
        <f t="shared" si="9"/>
        <v>50</v>
      </c>
      <c r="B77" s="197" t="str">
        <f>IF('Options and results'!$C$54="None",0,IF(AND(A77&gt;='Options and results'!$K$57,A76&lt;'Options and results'!$W$20),'Options and results'!$K$56,CONCATENATE('Options and results'!$C$60," ",(HLOOKUP(CONCATENATE('Options and results'!$C$54," ",Agroforestrysystem!$B$12),Agroforestrysystem!$B$11:$IM$74,$A77+4,FALSE)))))</f>
        <v xml:space="preserve">UK - Agriculture (BPS: from 2015) </v>
      </c>
      <c r="C77" s="198">
        <f>IF(HLOOKUP(CONCATENATE('Options and results'!$C$54," ",Agroforestrysystem!$C$12),Agroforestrysystem!$B$11:$IM$74,$A77+4,FALSE)="T",(VLOOKUP(B77,Arablefinance!$Z$6:$AB$105,Arablefinance!$AB$2,FALSE)*E77+VLOOKUP(B77,Arablefinance!$Z$6:$AC$105,Arablefinance!$AC$2,FALSE)*F77)/VLOOKUP(B77,Arablefinance!$Z$6:$AA$105,Arablefinance!$AA$2,FALSE),0)</f>
        <v>0</v>
      </c>
      <c r="D77" s="199">
        <f>IF(B77=0,0,HLOOKUP(CONCATENATE('Options and results'!$C$54," ",Agroforestrysystem!$D$12),Agroforestrysystem!$B$11:$IM$74,$A77+4,FALSE))</f>
        <v>0</v>
      </c>
      <c r="E77" s="42">
        <f>IF(B77=0,0,HLOOKUP(CONCATENATE('Options and results'!$C$54," ",Agroforestrysystem!$E$12),Agroforestrysystem!$B$11:$IM$74,$A77+4,FALSE)*IF(A77&gt;='Options and results'!$J$19,'Options and results'!$J$18,1))</f>
        <v>0</v>
      </c>
      <c r="F77" s="42">
        <f>IF(B77=0,0,HLOOKUP(CONCATENATE('Options and results'!$C$54," ",Agroforestrysystem!$F$12),Agroforestrysystem!$B$11:$IM$74,$A77+4,FALSE)*IF(A77&gt;='Options and results'!$J$19,'Options and results'!$J$18,1))</f>
        <v>0</v>
      </c>
      <c r="G77" s="200">
        <f>IF(D77&lt;=0,0,IF(A77&lt;='Options and results'!$W$20,IF(C77&gt;0,VLOOKUP(B77,Arablefinance!$Z$6:$AE$105,Arablefinance!$AD$2,FALSE)*C77*D77,((VLOOKUP(B77,Arablefinance!$E$6:$H$126,2,FALSE)*E77+VLOOKUP(B77,Arablefinance!$E$6:$H$126,3,FALSE)*F77)*D77)),0)*IF(A77&gt;='Options and results'!$J$21,'Options and results'!$J$20,1))*IF(1+'Options and results'!$O$20*(A77-1)&gt;0,1+'Options and results'!$O$20*(A77-1),0)</f>
        <v>0</v>
      </c>
      <c r="H77" s="10">
        <f>IF(D77&lt;=0,0,IF(C77&gt;0,VLOOKUP(B77,Arablefinance!$Z$6:$AE$105,Arablefinance!$AE$2,FALSE)*C77*D77,IF('Options and results'!$C$62&gt;0,IF(VLOOKUP(B77,Arablefinance!$E$6:$W$126,Arablefinance!$H$2,FALSE)*(1-Plot!AC77*'Options and results'!$C$62)&gt;0,VLOOKUP(B77,Arablefinance!$E$6:$W$126,Arablefinance!$H$2,FALSE)*(1-Plot!AC77*'Options and results'!$C$62),0),IF(A77&lt;='Options and results'!$W$20,(VLOOKUP(B77,Arablefinance!$E$6:$W$126,Arablefinance!$H$2,FALSE)*IF('Options and results'!$C$61="area",D77,'Options and results'!$C$61)),0)))*IF(A77&gt;='Options and results'!$J$23,'Options and results'!$J$22,1))*IF(AND(1+'Options and results'!$O$23*(A77-1)&gt;0,1+'Options and results'!$O$23*(A77-1)&gt;'Options and results'!$S$24),1+'Options and results'!$O$23*(A77-1),'Options and results'!$S$24)</f>
        <v>0</v>
      </c>
      <c r="I77" s="10">
        <f t="shared" si="10"/>
        <v>0</v>
      </c>
      <c r="J77" s="10">
        <f>IF(D77&lt;=0,0,IF(A77&lt;='Options and results'!$W$20,IF(C77&gt;0,VLOOKUP(B77,Arablefinance!$Z$6:$AF$105,Arablefinance!$AF$2,FALSE)*C77*D77,VLOOKUP(B77,Arablefinance!$E$6:$X$126,Arablefinance!$R$2,FALSE)*D77),0)*IF(A77&gt;='Options and results'!$J$27,'Options and results'!$J$26,1))*IF(1+'Options and results'!$O$22*(A77-1)&gt;0,1+'Options and results'!$O$22*(A77-1),0)</f>
        <v>0</v>
      </c>
      <c r="K77" s="10">
        <f t="shared" si="11"/>
        <v>0</v>
      </c>
      <c r="L77" s="10">
        <f>IF(D77&lt;=0,0,IF(A77&lt;='Options and results'!$W$20,IF(C77&gt;0,VLOOKUP(B77,Arablefinance!$Z$6:$AG$105,Arablefinance!$AG$2,FALSE)*C77*D77,VLOOKUP(B77,Arablefinance!$E$6:$X$126,Arablefinance!$X$2,FALSE)*D77),0)*IF(A77&gt;='Options and results'!$J$27,'Options and results'!$J$26,1))*IF(1+'Options and results'!$O$22*(A77-1)&gt;0,1+'Options and results'!$O$22*(A77-1),0)</f>
        <v>0</v>
      </c>
      <c r="M77" s="10">
        <f>IF(D77&lt;=0,0,IF(A77&lt;='Options and results'!$W$20,'Options and results'!$C$27*IF(A77&gt;='Options and results'!$J$27,'Options and results'!$J$26,1),0))*IF(1+'Options and results'!$O$21*(A77-1)&gt;0,1+'Options and results'!$O$21*(A77-1),0)</f>
        <v>0</v>
      </c>
      <c r="N77" s="10">
        <f>IF(D77&lt;=0,0,IF(A77&lt;='Options and results'!$W$20,IF(C77&gt;0,VLOOKUP(B77,Arablefinance!$Z$6:$AH$105,Arablefinance!$AH$2,FALSE)*C77*D77,VLOOKUP(B77,Arablefinance!$E$6:$W$126,Arablefinance!$V$2,FALSE)*D77),0)*IF(A77&gt;='Options and results'!$J$25,'Options and results'!$J$24,1))</f>
        <v>0</v>
      </c>
      <c r="O77" s="200">
        <f t="shared" si="1"/>
        <v>0</v>
      </c>
      <c r="P77" s="201">
        <f>IF(A77&lt;='Options and results'!$W$20,SUM($O$28:O77),0)</f>
        <v>0</v>
      </c>
      <c r="Q77" s="36">
        <f t="shared" si="2"/>
        <v>0</v>
      </c>
      <c r="R77" s="108">
        <f t="shared" ca="1" si="14"/>
        <v>0</v>
      </c>
      <c r="S77" s="108">
        <f t="shared" si="15"/>
        <v>10</v>
      </c>
      <c r="T77" s="10">
        <f t="shared" ca="1" si="12"/>
        <v>50</v>
      </c>
      <c r="U77" s="1" t="str">
        <f>IF(Optimisation!$B$3="Yes",IF(A77&lt;=Optimisation!$B$9,Optimisation!B77,Optimisation!$B$11),B77)</f>
        <v xml:space="preserve">UK - Agriculture (BPS: from 2015) </v>
      </c>
      <c r="V77" s="202">
        <f t="shared" si="13"/>
        <v>0</v>
      </c>
      <c r="W77" s="203">
        <f t="shared" ca="1" si="16"/>
        <v>0</v>
      </c>
      <c r="X77" s="203">
        <f t="shared" si="17"/>
        <v>2</v>
      </c>
      <c r="Y77" s="10">
        <f t="shared" ca="1" si="18"/>
        <v>50</v>
      </c>
      <c r="Z77" s="204" t="str">
        <f>IF(Optimisation!$B$3="Yes",IF(Optimisation!A77&lt;=Optimisation!$B$16,Optimisation!B77,Optimisation!$B$18),B77)</f>
        <v xml:space="preserve">UK - Agriculture (BPS: from 2015) </v>
      </c>
      <c r="AA77" s="205" t="str">
        <f t="shared" si="19"/>
        <v xml:space="preserve">UK - Agriculture (BPS: from 2015) </v>
      </c>
      <c r="AG77" s="10"/>
    </row>
    <row r="78" spans="1:33" x14ac:dyDescent="0.25">
      <c r="A78" s="196">
        <f t="shared" si="9"/>
        <v>51</v>
      </c>
      <c r="B78" s="197" t="str">
        <f>IF('Options and results'!$C$54="None",0,IF(AND(A78&gt;='Options and results'!$K$57,A77&lt;'Options and results'!$W$20),'Options and results'!$K$56,CONCATENATE('Options and results'!$C$60," ",(HLOOKUP(CONCATENATE('Options and results'!$C$54," ",Agroforestrysystem!$B$12),Agroforestrysystem!$B$11:$IM$74,$A78+4,FALSE)))))</f>
        <v xml:space="preserve">UK - Agriculture (BPS: from 2015) </v>
      </c>
      <c r="C78" s="198">
        <f>IF(HLOOKUP(CONCATENATE('Options and results'!$C$54," ",Agroforestrysystem!$C$12),Agroforestrysystem!$B$11:$IM$74,$A78+4,FALSE)="T",(VLOOKUP(B78,Arablefinance!$Z$6:$AB$105,Arablefinance!$AB$2,FALSE)*E78+VLOOKUP(B78,Arablefinance!$Z$6:$AC$105,Arablefinance!$AC$2,FALSE)*F78)/VLOOKUP(B78,Arablefinance!$Z$6:$AA$105,Arablefinance!$AA$2,FALSE),0)</f>
        <v>0</v>
      </c>
      <c r="D78" s="199">
        <f>IF(B78=0,0,HLOOKUP(CONCATENATE('Options and results'!$C$54," ",Agroforestrysystem!$D$12),Agroforestrysystem!$B$11:$IM$74,$A78+4,FALSE))</f>
        <v>0</v>
      </c>
      <c r="E78" s="42">
        <f>IF(B78=0,0,HLOOKUP(CONCATENATE('Options and results'!$C$54," ",Agroforestrysystem!$E$12),Agroforestrysystem!$B$11:$IM$74,$A78+4,FALSE)*IF(A78&gt;='Options and results'!$J$19,'Options and results'!$J$18,1))</f>
        <v>0</v>
      </c>
      <c r="F78" s="42">
        <f>IF(B78=0,0,HLOOKUP(CONCATENATE('Options and results'!$C$54," ",Agroforestrysystem!$F$12),Agroforestrysystem!$B$11:$IM$74,$A78+4,FALSE)*IF(A78&gt;='Options and results'!$J$19,'Options and results'!$J$18,1))</f>
        <v>0</v>
      </c>
      <c r="G78" s="200">
        <f>IF(D78&lt;=0,0,IF(A78&lt;='Options and results'!$W$20,IF(C78&gt;0,VLOOKUP(B78,Arablefinance!$Z$6:$AE$105,Arablefinance!$AD$2,FALSE)*C78*D78,((VLOOKUP(B78,Arablefinance!$E$6:$H$126,2,FALSE)*E78+VLOOKUP(B78,Arablefinance!$E$6:$H$126,3,FALSE)*F78)*D78)),0)*IF(A78&gt;='Options and results'!$J$21,'Options and results'!$J$20,1))*IF(1+'Options and results'!$O$20*(A78-1)&gt;0,1+'Options and results'!$O$20*(A78-1),0)</f>
        <v>0</v>
      </c>
      <c r="H78" s="10">
        <f>IF(D78&lt;=0,0,IF(C78&gt;0,VLOOKUP(B78,Arablefinance!$Z$6:$AE$105,Arablefinance!$AE$2,FALSE)*C78*D78,IF('Options and results'!$C$62&gt;0,IF(VLOOKUP(B78,Arablefinance!$E$6:$W$126,Arablefinance!$H$2,FALSE)*(1-Plot!AC78*'Options and results'!$C$62)&gt;0,VLOOKUP(B78,Arablefinance!$E$6:$W$126,Arablefinance!$H$2,FALSE)*(1-Plot!AC78*'Options and results'!$C$62),0),IF(A78&lt;='Options and results'!$W$20,(VLOOKUP(B78,Arablefinance!$E$6:$W$126,Arablefinance!$H$2,FALSE)*IF('Options and results'!$C$61="area",D78,'Options and results'!$C$61)),0)))*IF(A78&gt;='Options and results'!$J$23,'Options and results'!$J$22,1))*IF(AND(1+'Options and results'!$O$23*(A78-1)&gt;0,1+'Options and results'!$O$23*(A78-1)&gt;'Options and results'!$S$24),1+'Options and results'!$O$23*(A78-1),'Options and results'!$S$24)</f>
        <v>0</v>
      </c>
      <c r="I78" s="10">
        <f t="shared" si="10"/>
        <v>0</v>
      </c>
      <c r="J78" s="10">
        <f>IF(D78&lt;=0,0,IF(A78&lt;='Options and results'!$W$20,IF(C78&gt;0,VLOOKUP(B78,Arablefinance!$Z$6:$AF$105,Arablefinance!$AF$2,FALSE)*C78*D78,VLOOKUP(B78,Arablefinance!$E$6:$X$126,Arablefinance!$R$2,FALSE)*D78),0)*IF(A78&gt;='Options and results'!$J$27,'Options and results'!$J$26,1))*IF(1+'Options and results'!$O$22*(A78-1)&gt;0,1+'Options and results'!$O$22*(A78-1),0)</f>
        <v>0</v>
      </c>
      <c r="K78" s="10">
        <f t="shared" si="11"/>
        <v>0</v>
      </c>
      <c r="L78" s="10">
        <f>IF(D78&lt;=0,0,IF(A78&lt;='Options and results'!$W$20,IF(C78&gt;0,VLOOKUP(B78,Arablefinance!$Z$6:$AG$105,Arablefinance!$AG$2,FALSE)*C78*D78,VLOOKUP(B78,Arablefinance!$E$6:$X$126,Arablefinance!$X$2,FALSE)*D78),0)*IF(A78&gt;='Options and results'!$J$27,'Options and results'!$J$26,1))*IF(1+'Options and results'!$O$22*(A78-1)&gt;0,1+'Options and results'!$O$22*(A78-1),0)</f>
        <v>0</v>
      </c>
      <c r="M78" s="10">
        <f>IF(D78&lt;=0,0,IF(A78&lt;='Options and results'!$W$20,'Options and results'!$C$27*IF(A78&gt;='Options and results'!$J$27,'Options and results'!$J$26,1),0))*IF(1+'Options and results'!$O$21*(A78-1)&gt;0,1+'Options and results'!$O$21*(A78-1),0)</f>
        <v>0</v>
      </c>
      <c r="N78" s="10">
        <f>IF(D78&lt;=0,0,IF(A78&lt;='Options and results'!$W$20,IF(C78&gt;0,VLOOKUP(B78,Arablefinance!$Z$6:$AH$105,Arablefinance!$AH$2,FALSE)*C78*D78,VLOOKUP(B78,Arablefinance!$E$6:$W$126,Arablefinance!$V$2,FALSE)*D78),0)*IF(A78&gt;='Options and results'!$J$25,'Options and results'!$J$24,1))</f>
        <v>0</v>
      </c>
      <c r="O78" s="200">
        <f t="shared" si="1"/>
        <v>0</v>
      </c>
      <c r="P78" s="201">
        <f>IF(A78&lt;='Options and results'!$W$20,SUM($O$28:O78),0)</f>
        <v>0</v>
      </c>
      <c r="Q78" s="36">
        <f t="shared" si="2"/>
        <v>0</v>
      </c>
      <c r="R78" s="108">
        <f t="shared" ca="1" si="14"/>
        <v>0</v>
      </c>
      <c r="S78" s="108">
        <f t="shared" si="15"/>
        <v>10</v>
      </c>
      <c r="T78" s="10">
        <f t="shared" ca="1" si="12"/>
        <v>51</v>
      </c>
      <c r="U78" s="1" t="str">
        <f>IF(Optimisation!$B$3="Yes",IF(A78&lt;=Optimisation!$B$9,Optimisation!B78,Optimisation!$B$11),B78)</f>
        <v xml:space="preserve">UK - Agriculture (BPS: from 2015) </v>
      </c>
      <c r="V78" s="202">
        <f t="shared" si="13"/>
        <v>0</v>
      </c>
      <c r="W78" s="203">
        <f t="shared" ca="1" si="16"/>
        <v>0</v>
      </c>
      <c r="X78" s="203">
        <f t="shared" si="17"/>
        <v>2</v>
      </c>
      <c r="Y78" s="10">
        <f t="shared" ca="1" si="18"/>
        <v>51</v>
      </c>
      <c r="Z78" s="204" t="str">
        <f>IF(Optimisation!$B$3="Yes",IF(Optimisation!A78&lt;=Optimisation!$B$16,Optimisation!B78,Optimisation!$B$18),B78)</f>
        <v xml:space="preserve">UK - Agriculture (BPS: from 2015) </v>
      </c>
      <c r="AA78" s="205" t="str">
        <f t="shared" si="19"/>
        <v xml:space="preserve">UK - Agriculture (BPS: from 2015) </v>
      </c>
      <c r="AG78" s="10"/>
    </row>
    <row r="79" spans="1:33" x14ac:dyDescent="0.25">
      <c r="A79" s="196">
        <f t="shared" si="9"/>
        <v>52</v>
      </c>
      <c r="B79" s="197" t="str">
        <f>IF('Options and results'!$C$54="None",0,IF(AND(A79&gt;='Options and results'!$K$57,A78&lt;'Options and results'!$W$20),'Options and results'!$K$56,CONCATENATE('Options and results'!$C$60," ",(HLOOKUP(CONCATENATE('Options and results'!$C$54," ",Agroforestrysystem!$B$12),Agroforestrysystem!$B$11:$IM$74,$A79+4,FALSE)))))</f>
        <v xml:space="preserve">UK - Agriculture (BPS: from 2015) </v>
      </c>
      <c r="C79" s="198">
        <f>IF(HLOOKUP(CONCATENATE('Options and results'!$C$54," ",Agroforestrysystem!$C$12),Agroforestrysystem!$B$11:$IM$74,$A79+4,FALSE)="T",(VLOOKUP(B79,Arablefinance!$Z$6:$AB$105,Arablefinance!$AB$2,FALSE)*E79+VLOOKUP(B79,Arablefinance!$Z$6:$AC$105,Arablefinance!$AC$2,FALSE)*F79)/VLOOKUP(B79,Arablefinance!$Z$6:$AA$105,Arablefinance!$AA$2,FALSE),0)</f>
        <v>0</v>
      </c>
      <c r="D79" s="199">
        <f>IF(B79=0,0,HLOOKUP(CONCATENATE('Options and results'!$C$54," ",Agroforestrysystem!$D$12),Agroforestrysystem!$B$11:$IM$74,$A79+4,FALSE))</f>
        <v>0</v>
      </c>
      <c r="E79" s="42">
        <f>IF(B79=0,0,HLOOKUP(CONCATENATE('Options and results'!$C$54," ",Agroforestrysystem!$E$12),Agroforestrysystem!$B$11:$IM$74,$A79+4,FALSE)*IF(A79&gt;='Options and results'!$J$19,'Options and results'!$J$18,1))</f>
        <v>0</v>
      </c>
      <c r="F79" s="42">
        <f>IF(B79=0,0,HLOOKUP(CONCATENATE('Options and results'!$C$54," ",Agroforestrysystem!$F$12),Agroforestrysystem!$B$11:$IM$74,$A79+4,FALSE)*IF(A79&gt;='Options and results'!$J$19,'Options and results'!$J$18,1))</f>
        <v>0</v>
      </c>
      <c r="G79" s="200">
        <f>IF(D79&lt;=0,0,IF(A79&lt;='Options and results'!$W$20,IF(C79&gt;0,VLOOKUP(B79,Arablefinance!$Z$6:$AE$105,Arablefinance!$AD$2,FALSE)*C79*D79,((VLOOKUP(B79,Arablefinance!$E$6:$H$126,2,FALSE)*E79+VLOOKUP(B79,Arablefinance!$E$6:$H$126,3,FALSE)*F79)*D79)),0)*IF(A79&gt;='Options and results'!$J$21,'Options and results'!$J$20,1))*IF(1+'Options and results'!$O$20*(A79-1)&gt;0,1+'Options and results'!$O$20*(A79-1),0)</f>
        <v>0</v>
      </c>
      <c r="H79" s="10">
        <f>IF(D79&lt;=0,0,IF(C79&gt;0,VLOOKUP(B79,Arablefinance!$Z$6:$AE$105,Arablefinance!$AE$2,FALSE)*C79*D79,IF('Options and results'!$C$62&gt;0,IF(VLOOKUP(B79,Arablefinance!$E$6:$W$126,Arablefinance!$H$2,FALSE)*(1-Plot!AC79*'Options and results'!$C$62)&gt;0,VLOOKUP(B79,Arablefinance!$E$6:$W$126,Arablefinance!$H$2,FALSE)*(1-Plot!AC79*'Options and results'!$C$62),0),IF(A79&lt;='Options and results'!$W$20,(VLOOKUP(B79,Arablefinance!$E$6:$W$126,Arablefinance!$H$2,FALSE)*IF('Options and results'!$C$61="area",D79,'Options and results'!$C$61)),0)))*IF(A79&gt;='Options and results'!$J$23,'Options and results'!$J$22,1))*IF(AND(1+'Options and results'!$O$23*(A79-1)&gt;0,1+'Options and results'!$O$23*(A79-1)&gt;'Options and results'!$S$24),1+'Options and results'!$O$23*(A79-1),'Options and results'!$S$24)</f>
        <v>0</v>
      </c>
      <c r="I79" s="10">
        <f t="shared" si="10"/>
        <v>0</v>
      </c>
      <c r="J79" s="10">
        <f>IF(D79&lt;=0,0,IF(A79&lt;='Options and results'!$W$20,IF(C79&gt;0,VLOOKUP(B79,Arablefinance!$Z$6:$AF$105,Arablefinance!$AF$2,FALSE)*C79*D79,VLOOKUP(B79,Arablefinance!$E$6:$X$126,Arablefinance!$R$2,FALSE)*D79),0)*IF(A79&gt;='Options and results'!$J$27,'Options and results'!$J$26,1))*IF(1+'Options and results'!$O$22*(A79-1)&gt;0,1+'Options and results'!$O$22*(A79-1),0)</f>
        <v>0</v>
      </c>
      <c r="K79" s="10">
        <f t="shared" si="11"/>
        <v>0</v>
      </c>
      <c r="L79" s="10">
        <f>IF(D79&lt;=0,0,IF(A79&lt;='Options and results'!$W$20,IF(C79&gt;0,VLOOKUP(B79,Arablefinance!$Z$6:$AG$105,Arablefinance!$AG$2,FALSE)*C79*D79,VLOOKUP(B79,Arablefinance!$E$6:$X$126,Arablefinance!$X$2,FALSE)*D79),0)*IF(A79&gt;='Options and results'!$J$27,'Options and results'!$J$26,1))*IF(1+'Options and results'!$O$22*(A79-1)&gt;0,1+'Options and results'!$O$22*(A79-1),0)</f>
        <v>0</v>
      </c>
      <c r="M79" s="10">
        <f>IF(D79&lt;=0,0,IF(A79&lt;='Options and results'!$W$20,'Options and results'!$C$27*IF(A79&gt;='Options and results'!$J$27,'Options and results'!$J$26,1),0))*IF(1+'Options and results'!$O$21*(A79-1)&gt;0,1+'Options and results'!$O$21*(A79-1),0)</f>
        <v>0</v>
      </c>
      <c r="N79" s="10">
        <f>IF(D79&lt;=0,0,IF(A79&lt;='Options and results'!$W$20,IF(C79&gt;0,VLOOKUP(B79,Arablefinance!$Z$6:$AH$105,Arablefinance!$AH$2,FALSE)*C79*D79,VLOOKUP(B79,Arablefinance!$E$6:$W$126,Arablefinance!$V$2,FALSE)*D79),0)*IF(A79&gt;='Options and results'!$J$25,'Options and results'!$J$24,1))</f>
        <v>0</v>
      </c>
      <c r="O79" s="200">
        <f t="shared" si="1"/>
        <v>0</v>
      </c>
      <c r="P79" s="201">
        <f>IF(A79&lt;='Options and results'!$W$20,SUM($O$28:O79),0)</f>
        <v>0</v>
      </c>
      <c r="Q79" s="36">
        <f t="shared" si="2"/>
        <v>0</v>
      </c>
      <c r="R79" s="108">
        <f t="shared" ca="1" si="14"/>
        <v>0</v>
      </c>
      <c r="S79" s="108">
        <f t="shared" si="15"/>
        <v>10</v>
      </c>
      <c r="T79" s="10">
        <f t="shared" ca="1" si="12"/>
        <v>52</v>
      </c>
      <c r="U79" s="1" t="str">
        <f>IF(Optimisation!$B$3="Yes",IF(A79&lt;=Optimisation!$B$9,Optimisation!B79,Optimisation!$B$11),B79)</f>
        <v xml:space="preserve">UK - Agriculture (BPS: from 2015) </v>
      </c>
      <c r="V79" s="202">
        <f t="shared" si="13"/>
        <v>0</v>
      </c>
      <c r="W79" s="203">
        <f t="shared" ca="1" si="16"/>
        <v>0</v>
      </c>
      <c r="X79" s="203">
        <f t="shared" si="17"/>
        <v>2</v>
      </c>
      <c r="Y79" s="10">
        <f t="shared" ca="1" si="18"/>
        <v>52</v>
      </c>
      <c r="Z79" s="204" t="str">
        <f>IF(Optimisation!$B$3="Yes",IF(Optimisation!A79&lt;=Optimisation!$B$16,Optimisation!B79,Optimisation!$B$18),B79)</f>
        <v xml:space="preserve">UK - Agriculture (BPS: from 2015) </v>
      </c>
      <c r="AA79" s="205" t="str">
        <f t="shared" si="19"/>
        <v xml:space="preserve">UK - Agriculture (BPS: from 2015) </v>
      </c>
      <c r="AG79" s="10"/>
    </row>
    <row r="80" spans="1:33" x14ac:dyDescent="0.25">
      <c r="A80" s="196">
        <f t="shared" si="9"/>
        <v>53</v>
      </c>
      <c r="B80" s="197" t="str">
        <f>IF('Options and results'!$C$54="None",0,IF(AND(A80&gt;='Options and results'!$K$57,A79&lt;'Options and results'!$W$20),'Options and results'!$K$56,CONCATENATE('Options and results'!$C$60," ",(HLOOKUP(CONCATENATE('Options and results'!$C$54," ",Agroforestrysystem!$B$12),Agroforestrysystem!$B$11:$IM$74,$A80+4,FALSE)))))</f>
        <v xml:space="preserve">UK - Agriculture (BPS: from 2015) </v>
      </c>
      <c r="C80" s="198">
        <f>IF(HLOOKUP(CONCATENATE('Options and results'!$C$54," ",Agroforestrysystem!$C$12),Agroforestrysystem!$B$11:$IM$74,$A80+4,FALSE)="T",(VLOOKUP(B80,Arablefinance!$Z$6:$AB$105,Arablefinance!$AB$2,FALSE)*E80+VLOOKUP(B80,Arablefinance!$Z$6:$AC$105,Arablefinance!$AC$2,FALSE)*F80)/VLOOKUP(B80,Arablefinance!$Z$6:$AA$105,Arablefinance!$AA$2,FALSE),0)</f>
        <v>0</v>
      </c>
      <c r="D80" s="199">
        <f>IF(B80=0,0,HLOOKUP(CONCATENATE('Options and results'!$C$54," ",Agroforestrysystem!$D$12),Agroforestrysystem!$B$11:$IM$74,$A80+4,FALSE))</f>
        <v>0</v>
      </c>
      <c r="E80" s="42">
        <f>IF(B80=0,0,HLOOKUP(CONCATENATE('Options and results'!$C$54," ",Agroforestrysystem!$E$12),Agroforestrysystem!$B$11:$IM$74,$A80+4,FALSE)*IF(A80&gt;='Options and results'!$J$19,'Options and results'!$J$18,1))</f>
        <v>0</v>
      </c>
      <c r="F80" s="42">
        <f>IF(B80=0,0,HLOOKUP(CONCATENATE('Options and results'!$C$54," ",Agroforestrysystem!$F$12),Agroforestrysystem!$B$11:$IM$74,$A80+4,FALSE)*IF(A80&gt;='Options and results'!$J$19,'Options and results'!$J$18,1))</f>
        <v>0</v>
      </c>
      <c r="G80" s="200">
        <f>IF(D80&lt;=0,0,IF(A80&lt;='Options and results'!$W$20,IF(C80&gt;0,VLOOKUP(B80,Arablefinance!$Z$6:$AE$105,Arablefinance!$AD$2,FALSE)*C80*D80,((VLOOKUP(B80,Arablefinance!$E$6:$H$126,2,FALSE)*E80+VLOOKUP(B80,Arablefinance!$E$6:$H$126,3,FALSE)*F80)*D80)),0)*IF(A80&gt;='Options and results'!$J$21,'Options and results'!$J$20,1))*IF(1+'Options and results'!$O$20*(A80-1)&gt;0,1+'Options and results'!$O$20*(A80-1),0)</f>
        <v>0</v>
      </c>
      <c r="H80" s="10">
        <f>IF(D80&lt;=0,0,IF(C80&gt;0,VLOOKUP(B80,Arablefinance!$Z$6:$AE$105,Arablefinance!$AE$2,FALSE)*C80*D80,IF('Options and results'!$C$62&gt;0,IF(VLOOKUP(B80,Arablefinance!$E$6:$W$126,Arablefinance!$H$2,FALSE)*(1-Plot!AC80*'Options and results'!$C$62)&gt;0,VLOOKUP(B80,Arablefinance!$E$6:$W$126,Arablefinance!$H$2,FALSE)*(1-Plot!AC80*'Options and results'!$C$62),0),IF(A80&lt;='Options and results'!$W$20,(VLOOKUP(B80,Arablefinance!$E$6:$W$126,Arablefinance!$H$2,FALSE)*IF('Options and results'!$C$61="area",D80,'Options and results'!$C$61)),0)))*IF(A80&gt;='Options and results'!$J$23,'Options and results'!$J$22,1))*IF(AND(1+'Options and results'!$O$23*(A80-1)&gt;0,1+'Options and results'!$O$23*(A80-1)&gt;'Options and results'!$S$24),1+'Options and results'!$O$23*(A80-1),'Options and results'!$S$24)</f>
        <v>0</v>
      </c>
      <c r="I80" s="10">
        <f t="shared" si="10"/>
        <v>0</v>
      </c>
      <c r="J80" s="10">
        <f>IF(D80&lt;=0,0,IF(A80&lt;='Options and results'!$W$20,IF(C80&gt;0,VLOOKUP(B80,Arablefinance!$Z$6:$AF$105,Arablefinance!$AF$2,FALSE)*C80*D80,VLOOKUP(B80,Arablefinance!$E$6:$X$126,Arablefinance!$R$2,FALSE)*D80),0)*IF(A80&gt;='Options and results'!$J$27,'Options and results'!$J$26,1))*IF(1+'Options and results'!$O$22*(A80-1)&gt;0,1+'Options and results'!$O$22*(A80-1),0)</f>
        <v>0</v>
      </c>
      <c r="K80" s="10">
        <f t="shared" si="11"/>
        <v>0</v>
      </c>
      <c r="L80" s="10">
        <f>IF(D80&lt;=0,0,IF(A80&lt;='Options and results'!$W$20,IF(C80&gt;0,VLOOKUP(B80,Arablefinance!$Z$6:$AG$105,Arablefinance!$AG$2,FALSE)*C80*D80,VLOOKUP(B80,Arablefinance!$E$6:$X$126,Arablefinance!$X$2,FALSE)*D80),0)*IF(A80&gt;='Options and results'!$J$27,'Options and results'!$J$26,1))*IF(1+'Options and results'!$O$22*(A80-1)&gt;0,1+'Options and results'!$O$22*(A80-1),0)</f>
        <v>0</v>
      </c>
      <c r="M80" s="10">
        <f>IF(D80&lt;=0,0,IF(A80&lt;='Options and results'!$W$20,'Options and results'!$C$27*IF(A80&gt;='Options and results'!$J$27,'Options and results'!$J$26,1),0))*IF(1+'Options and results'!$O$21*(A80-1)&gt;0,1+'Options and results'!$O$21*(A80-1),0)</f>
        <v>0</v>
      </c>
      <c r="N80" s="10">
        <f>IF(D80&lt;=0,0,IF(A80&lt;='Options and results'!$W$20,IF(C80&gt;0,VLOOKUP(B80,Arablefinance!$Z$6:$AH$105,Arablefinance!$AH$2,FALSE)*C80*D80,VLOOKUP(B80,Arablefinance!$E$6:$W$126,Arablefinance!$V$2,FALSE)*D80),0)*IF(A80&gt;='Options and results'!$J$25,'Options and results'!$J$24,1))</f>
        <v>0</v>
      </c>
      <c r="O80" s="200">
        <f t="shared" si="1"/>
        <v>0</v>
      </c>
      <c r="P80" s="201">
        <f>IF(A80&lt;='Options and results'!$W$20,SUM($O$28:O80),0)</f>
        <v>0</v>
      </c>
      <c r="Q80" s="36">
        <f t="shared" si="2"/>
        <v>0</v>
      </c>
      <c r="R80" s="108">
        <f t="shared" ca="1" si="14"/>
        <v>0</v>
      </c>
      <c r="S80" s="108">
        <f t="shared" si="15"/>
        <v>10</v>
      </c>
      <c r="T80" s="10">
        <f t="shared" ca="1" si="12"/>
        <v>53</v>
      </c>
      <c r="U80" s="1" t="str">
        <f>IF(Optimisation!$B$3="Yes",IF(A80&lt;=Optimisation!$B$9,Optimisation!B80,Optimisation!$B$11),B80)</f>
        <v xml:space="preserve">UK - Agriculture (BPS: from 2015) </v>
      </c>
      <c r="V80" s="202">
        <f t="shared" si="13"/>
        <v>0</v>
      </c>
      <c r="W80" s="203">
        <f t="shared" ca="1" si="16"/>
        <v>0</v>
      </c>
      <c r="X80" s="203">
        <f t="shared" si="17"/>
        <v>2</v>
      </c>
      <c r="Y80" s="10">
        <f t="shared" ca="1" si="18"/>
        <v>53</v>
      </c>
      <c r="Z80" s="204" t="str">
        <f>IF(Optimisation!$B$3="Yes",IF(Optimisation!A80&lt;=Optimisation!$B$16,Optimisation!B80,Optimisation!$B$18),B80)</f>
        <v xml:space="preserve">UK - Agriculture (BPS: from 2015) </v>
      </c>
      <c r="AA80" s="205" t="str">
        <f t="shared" si="19"/>
        <v xml:space="preserve">UK - Agriculture (BPS: from 2015) </v>
      </c>
      <c r="AG80" s="10"/>
    </row>
    <row r="81" spans="1:33" x14ac:dyDescent="0.25">
      <c r="A81" s="196">
        <f t="shared" si="9"/>
        <v>54</v>
      </c>
      <c r="B81" s="197" t="str">
        <f>IF('Options and results'!$C$54="None",0,IF(AND(A81&gt;='Options and results'!$K$57,A80&lt;'Options and results'!$W$20),'Options and results'!$K$56,CONCATENATE('Options and results'!$C$60," ",(HLOOKUP(CONCATENATE('Options and results'!$C$54," ",Agroforestrysystem!$B$12),Agroforestrysystem!$B$11:$IM$74,$A81+4,FALSE)))))</f>
        <v xml:space="preserve">UK - Agriculture (BPS: from 2015) </v>
      </c>
      <c r="C81" s="198">
        <f>IF(HLOOKUP(CONCATENATE('Options and results'!$C$54," ",Agroforestrysystem!$C$12),Agroforestrysystem!$B$11:$IM$74,$A81+4,FALSE)="T",(VLOOKUP(B81,Arablefinance!$Z$6:$AB$105,Arablefinance!$AB$2,FALSE)*E81+VLOOKUP(B81,Arablefinance!$Z$6:$AC$105,Arablefinance!$AC$2,FALSE)*F81)/VLOOKUP(B81,Arablefinance!$Z$6:$AA$105,Arablefinance!$AA$2,FALSE),0)</f>
        <v>0</v>
      </c>
      <c r="D81" s="199">
        <f>IF(B81=0,0,HLOOKUP(CONCATENATE('Options and results'!$C$54," ",Agroforestrysystem!$D$12),Agroforestrysystem!$B$11:$IM$74,$A81+4,FALSE))</f>
        <v>0</v>
      </c>
      <c r="E81" s="42">
        <f>IF(B81=0,0,HLOOKUP(CONCATENATE('Options and results'!$C$54," ",Agroforestrysystem!$E$12),Agroforestrysystem!$B$11:$IM$74,$A81+4,FALSE)*IF(A81&gt;='Options and results'!$J$19,'Options and results'!$J$18,1))</f>
        <v>0</v>
      </c>
      <c r="F81" s="42">
        <f>IF(B81=0,0,HLOOKUP(CONCATENATE('Options and results'!$C$54," ",Agroforestrysystem!$F$12),Agroforestrysystem!$B$11:$IM$74,$A81+4,FALSE)*IF(A81&gt;='Options and results'!$J$19,'Options and results'!$J$18,1))</f>
        <v>0</v>
      </c>
      <c r="G81" s="200">
        <f>IF(D81&lt;=0,0,IF(A81&lt;='Options and results'!$W$20,IF(C81&gt;0,VLOOKUP(B81,Arablefinance!$Z$6:$AE$105,Arablefinance!$AD$2,FALSE)*C81*D81,((VLOOKUP(B81,Arablefinance!$E$6:$H$126,2,FALSE)*E81+VLOOKUP(B81,Arablefinance!$E$6:$H$126,3,FALSE)*F81)*D81)),0)*IF(A81&gt;='Options and results'!$J$21,'Options and results'!$J$20,1))*IF(1+'Options and results'!$O$20*(A81-1)&gt;0,1+'Options and results'!$O$20*(A81-1),0)</f>
        <v>0</v>
      </c>
      <c r="H81" s="10">
        <f>IF(D81&lt;=0,0,IF(C81&gt;0,VLOOKUP(B81,Arablefinance!$Z$6:$AE$105,Arablefinance!$AE$2,FALSE)*C81*D81,IF('Options and results'!$C$62&gt;0,IF(VLOOKUP(B81,Arablefinance!$E$6:$W$126,Arablefinance!$H$2,FALSE)*(1-Plot!AC81*'Options and results'!$C$62)&gt;0,VLOOKUP(B81,Arablefinance!$E$6:$W$126,Arablefinance!$H$2,FALSE)*(1-Plot!AC81*'Options and results'!$C$62),0),IF(A81&lt;='Options and results'!$W$20,(VLOOKUP(B81,Arablefinance!$E$6:$W$126,Arablefinance!$H$2,FALSE)*IF('Options and results'!$C$61="area",D81,'Options and results'!$C$61)),0)))*IF(A81&gt;='Options and results'!$J$23,'Options and results'!$J$22,1))*IF(AND(1+'Options and results'!$O$23*(A81-1)&gt;0,1+'Options and results'!$O$23*(A81-1)&gt;'Options and results'!$S$24),1+'Options and results'!$O$23*(A81-1),'Options and results'!$S$24)</f>
        <v>0</v>
      </c>
      <c r="I81" s="10">
        <f t="shared" si="10"/>
        <v>0</v>
      </c>
      <c r="J81" s="10">
        <f>IF(D81&lt;=0,0,IF(A81&lt;='Options and results'!$W$20,IF(C81&gt;0,VLOOKUP(B81,Arablefinance!$Z$6:$AF$105,Arablefinance!$AF$2,FALSE)*C81*D81,VLOOKUP(B81,Arablefinance!$E$6:$X$126,Arablefinance!$R$2,FALSE)*D81),0)*IF(A81&gt;='Options and results'!$J$27,'Options and results'!$J$26,1))*IF(1+'Options and results'!$O$22*(A81-1)&gt;0,1+'Options and results'!$O$22*(A81-1),0)</f>
        <v>0</v>
      </c>
      <c r="K81" s="10">
        <f t="shared" si="11"/>
        <v>0</v>
      </c>
      <c r="L81" s="10">
        <f>IF(D81&lt;=0,0,IF(A81&lt;='Options and results'!$W$20,IF(C81&gt;0,VLOOKUP(B81,Arablefinance!$Z$6:$AG$105,Arablefinance!$AG$2,FALSE)*C81*D81,VLOOKUP(B81,Arablefinance!$E$6:$X$126,Arablefinance!$X$2,FALSE)*D81),0)*IF(A81&gt;='Options and results'!$J$27,'Options and results'!$J$26,1))*IF(1+'Options and results'!$O$22*(A81-1)&gt;0,1+'Options and results'!$O$22*(A81-1),0)</f>
        <v>0</v>
      </c>
      <c r="M81" s="10">
        <f>IF(D81&lt;=0,0,IF(A81&lt;='Options and results'!$W$20,'Options and results'!$C$27*IF(A81&gt;='Options and results'!$J$27,'Options and results'!$J$26,1),0))*IF(1+'Options and results'!$O$21*(A81-1)&gt;0,1+'Options and results'!$O$21*(A81-1),0)</f>
        <v>0</v>
      </c>
      <c r="N81" s="10">
        <f>IF(D81&lt;=0,0,IF(A81&lt;='Options and results'!$W$20,IF(C81&gt;0,VLOOKUP(B81,Arablefinance!$Z$6:$AH$105,Arablefinance!$AH$2,FALSE)*C81*D81,VLOOKUP(B81,Arablefinance!$E$6:$W$126,Arablefinance!$V$2,FALSE)*D81),0)*IF(A81&gt;='Options and results'!$J$25,'Options and results'!$J$24,1))</f>
        <v>0</v>
      </c>
      <c r="O81" s="200">
        <f t="shared" si="1"/>
        <v>0</v>
      </c>
      <c r="P81" s="201">
        <f>IF(A81&lt;='Options and results'!$W$20,SUM($O$28:O81),0)</f>
        <v>0</v>
      </c>
      <c r="Q81" s="36">
        <f t="shared" si="2"/>
        <v>0</v>
      </c>
      <c r="R81" s="108">
        <f t="shared" ca="1" si="14"/>
        <v>0</v>
      </c>
      <c r="S81" s="108">
        <f t="shared" si="15"/>
        <v>10</v>
      </c>
      <c r="T81" s="10">
        <f t="shared" ca="1" si="12"/>
        <v>54</v>
      </c>
      <c r="U81" s="1" t="str">
        <f>IF(Optimisation!$B$3="Yes",IF(A81&lt;=Optimisation!$B$9,Optimisation!B81,Optimisation!$B$11),B81)</f>
        <v xml:space="preserve">UK - Agriculture (BPS: from 2015) </v>
      </c>
      <c r="V81" s="202">
        <f t="shared" si="13"/>
        <v>0</v>
      </c>
      <c r="W81" s="203">
        <f t="shared" ca="1" si="16"/>
        <v>0</v>
      </c>
      <c r="X81" s="203">
        <f t="shared" si="17"/>
        <v>2</v>
      </c>
      <c r="Y81" s="10">
        <f t="shared" ca="1" si="18"/>
        <v>54</v>
      </c>
      <c r="Z81" s="204" t="str">
        <f>IF(Optimisation!$B$3="Yes",IF(Optimisation!A81&lt;=Optimisation!$B$16,Optimisation!B81,Optimisation!$B$18),B81)</f>
        <v xml:space="preserve">UK - Agriculture (BPS: from 2015) </v>
      </c>
      <c r="AA81" s="205" t="str">
        <f t="shared" si="19"/>
        <v xml:space="preserve">UK - Agriculture (BPS: from 2015) </v>
      </c>
      <c r="AG81" s="10"/>
    </row>
    <row r="82" spans="1:33" x14ac:dyDescent="0.25">
      <c r="A82" s="196">
        <f t="shared" si="9"/>
        <v>55</v>
      </c>
      <c r="B82" s="197" t="str">
        <f>IF('Options and results'!$C$54="None",0,IF(AND(A82&gt;='Options and results'!$K$57,A81&lt;'Options and results'!$W$20),'Options and results'!$K$56,CONCATENATE('Options and results'!$C$60," ",(HLOOKUP(CONCATENATE('Options and results'!$C$54," ",Agroforestrysystem!$B$12),Agroforestrysystem!$B$11:$IM$74,$A82+4,FALSE)))))</f>
        <v xml:space="preserve">UK - Agriculture (BPS: from 2015) </v>
      </c>
      <c r="C82" s="198">
        <f>IF(HLOOKUP(CONCATENATE('Options and results'!$C$54," ",Agroforestrysystem!$C$12),Agroforestrysystem!$B$11:$IM$74,$A82+4,FALSE)="T",(VLOOKUP(B82,Arablefinance!$Z$6:$AB$105,Arablefinance!$AB$2,FALSE)*E82+VLOOKUP(B82,Arablefinance!$Z$6:$AC$105,Arablefinance!$AC$2,FALSE)*F82)/VLOOKUP(B82,Arablefinance!$Z$6:$AA$105,Arablefinance!$AA$2,FALSE),0)</f>
        <v>0</v>
      </c>
      <c r="D82" s="199">
        <f>IF(B82=0,0,HLOOKUP(CONCATENATE('Options and results'!$C$54," ",Agroforestrysystem!$D$12),Agroforestrysystem!$B$11:$IM$74,$A82+4,FALSE))</f>
        <v>0</v>
      </c>
      <c r="E82" s="42">
        <f>IF(B82=0,0,HLOOKUP(CONCATENATE('Options and results'!$C$54," ",Agroforestrysystem!$E$12),Agroforestrysystem!$B$11:$IM$74,$A82+4,FALSE)*IF(A82&gt;='Options and results'!$J$19,'Options and results'!$J$18,1))</f>
        <v>0</v>
      </c>
      <c r="F82" s="42">
        <f>IF(B82=0,0,HLOOKUP(CONCATENATE('Options and results'!$C$54," ",Agroforestrysystem!$F$12),Agroforestrysystem!$B$11:$IM$74,$A82+4,FALSE)*IF(A82&gt;='Options and results'!$J$19,'Options and results'!$J$18,1))</f>
        <v>0</v>
      </c>
      <c r="G82" s="200">
        <f>IF(D82&lt;=0,0,IF(A82&lt;='Options and results'!$W$20,IF(C82&gt;0,VLOOKUP(B82,Arablefinance!$Z$6:$AE$105,Arablefinance!$AD$2,FALSE)*C82*D82,((VLOOKUP(B82,Arablefinance!$E$6:$H$126,2,FALSE)*E82+VLOOKUP(B82,Arablefinance!$E$6:$H$126,3,FALSE)*F82)*D82)),0)*IF(A82&gt;='Options and results'!$J$21,'Options and results'!$J$20,1))*IF(1+'Options and results'!$O$20*(A82-1)&gt;0,1+'Options and results'!$O$20*(A82-1),0)</f>
        <v>0</v>
      </c>
      <c r="H82" s="10">
        <f>IF(D82&lt;=0,0,IF(C82&gt;0,VLOOKUP(B82,Arablefinance!$Z$6:$AE$105,Arablefinance!$AE$2,FALSE)*C82*D82,IF('Options and results'!$C$62&gt;0,IF(VLOOKUP(B82,Arablefinance!$E$6:$W$126,Arablefinance!$H$2,FALSE)*(1-Plot!AC82*'Options and results'!$C$62)&gt;0,VLOOKUP(B82,Arablefinance!$E$6:$W$126,Arablefinance!$H$2,FALSE)*(1-Plot!AC82*'Options and results'!$C$62),0),IF(A82&lt;='Options and results'!$W$20,(VLOOKUP(B82,Arablefinance!$E$6:$W$126,Arablefinance!$H$2,FALSE)*IF('Options and results'!$C$61="area",D82,'Options and results'!$C$61)),0)))*IF(A82&gt;='Options and results'!$J$23,'Options and results'!$J$22,1))*IF(AND(1+'Options and results'!$O$23*(A82-1)&gt;0,1+'Options and results'!$O$23*(A82-1)&gt;'Options and results'!$S$24),1+'Options and results'!$O$23*(A82-1),'Options and results'!$S$24)</f>
        <v>0</v>
      </c>
      <c r="I82" s="10">
        <f t="shared" si="10"/>
        <v>0</v>
      </c>
      <c r="J82" s="10">
        <f>IF(D82&lt;=0,0,IF(A82&lt;='Options and results'!$W$20,IF(C82&gt;0,VLOOKUP(B82,Arablefinance!$Z$6:$AF$105,Arablefinance!$AF$2,FALSE)*C82*D82,VLOOKUP(B82,Arablefinance!$E$6:$X$126,Arablefinance!$R$2,FALSE)*D82),0)*IF(A82&gt;='Options and results'!$J$27,'Options and results'!$J$26,1))*IF(1+'Options and results'!$O$22*(A82-1)&gt;0,1+'Options and results'!$O$22*(A82-1),0)</f>
        <v>0</v>
      </c>
      <c r="K82" s="10">
        <f t="shared" si="11"/>
        <v>0</v>
      </c>
      <c r="L82" s="10">
        <f>IF(D82&lt;=0,0,IF(A82&lt;='Options and results'!$W$20,IF(C82&gt;0,VLOOKUP(B82,Arablefinance!$Z$6:$AG$105,Arablefinance!$AG$2,FALSE)*C82*D82,VLOOKUP(B82,Arablefinance!$E$6:$X$126,Arablefinance!$X$2,FALSE)*D82),0)*IF(A82&gt;='Options and results'!$J$27,'Options and results'!$J$26,1))*IF(1+'Options and results'!$O$22*(A82-1)&gt;0,1+'Options and results'!$O$22*(A82-1),0)</f>
        <v>0</v>
      </c>
      <c r="M82" s="10">
        <f>IF(D82&lt;=0,0,IF(A82&lt;='Options and results'!$W$20,'Options and results'!$C$27*IF(A82&gt;='Options and results'!$J$27,'Options and results'!$J$26,1),0))*IF(1+'Options and results'!$O$21*(A82-1)&gt;0,1+'Options and results'!$O$21*(A82-1),0)</f>
        <v>0</v>
      </c>
      <c r="N82" s="10">
        <f>IF(D82&lt;=0,0,IF(A82&lt;='Options and results'!$W$20,IF(C82&gt;0,VLOOKUP(B82,Arablefinance!$Z$6:$AH$105,Arablefinance!$AH$2,FALSE)*C82*D82,VLOOKUP(B82,Arablefinance!$E$6:$W$126,Arablefinance!$V$2,FALSE)*D82),0)*IF(A82&gt;='Options and results'!$J$25,'Options and results'!$J$24,1))</f>
        <v>0</v>
      </c>
      <c r="O82" s="200">
        <f t="shared" si="1"/>
        <v>0</v>
      </c>
      <c r="P82" s="201">
        <f>IF(A82&lt;='Options and results'!$W$20,SUM($O$28:O82),0)</f>
        <v>0</v>
      </c>
      <c r="Q82" s="36">
        <f t="shared" si="2"/>
        <v>0</v>
      </c>
      <c r="R82" s="108">
        <f t="shared" ca="1" si="14"/>
        <v>0</v>
      </c>
      <c r="S82" s="108">
        <f t="shared" si="15"/>
        <v>10</v>
      </c>
      <c r="T82" s="10">
        <f t="shared" ca="1" si="12"/>
        <v>55</v>
      </c>
      <c r="U82" s="1" t="str">
        <f>IF(Optimisation!$B$3="Yes",IF(A82&lt;=Optimisation!$B$9,Optimisation!B82,Optimisation!$B$11),B82)</f>
        <v xml:space="preserve">UK - Agriculture (BPS: from 2015) </v>
      </c>
      <c r="V82" s="202">
        <f t="shared" si="13"/>
        <v>0</v>
      </c>
      <c r="W82" s="203">
        <f t="shared" ca="1" si="16"/>
        <v>0</v>
      </c>
      <c r="X82" s="203">
        <f t="shared" si="17"/>
        <v>2</v>
      </c>
      <c r="Y82" s="10">
        <f t="shared" ca="1" si="18"/>
        <v>55</v>
      </c>
      <c r="Z82" s="204" t="str">
        <f>IF(Optimisation!$B$3="Yes",IF(Optimisation!A82&lt;=Optimisation!$B$16,Optimisation!B82,Optimisation!$B$18),B82)</f>
        <v xml:space="preserve">UK - Agriculture (BPS: from 2015) </v>
      </c>
      <c r="AA82" s="205" t="str">
        <f t="shared" si="19"/>
        <v xml:space="preserve">UK - Agriculture (BPS: from 2015) </v>
      </c>
      <c r="AG82" s="10"/>
    </row>
    <row r="83" spans="1:33" x14ac:dyDescent="0.25">
      <c r="A83" s="196">
        <f t="shared" si="9"/>
        <v>56</v>
      </c>
      <c r="B83" s="197" t="str">
        <f>IF('Options and results'!$C$54="None",0,IF(AND(A83&gt;='Options and results'!$K$57,A82&lt;'Options and results'!$W$20),'Options and results'!$K$56,CONCATENATE('Options and results'!$C$60," ",(HLOOKUP(CONCATENATE('Options and results'!$C$54," ",Agroforestrysystem!$B$12),Agroforestrysystem!$B$11:$IM$74,$A83+4,FALSE)))))</f>
        <v xml:space="preserve">UK - Agriculture (BPS: from 2015) </v>
      </c>
      <c r="C83" s="198">
        <f>IF(HLOOKUP(CONCATENATE('Options and results'!$C$54," ",Agroforestrysystem!$C$12),Agroforestrysystem!$B$11:$IM$74,$A83+4,FALSE)="T",(VLOOKUP(B83,Arablefinance!$Z$6:$AB$105,Arablefinance!$AB$2,FALSE)*E83+VLOOKUP(B83,Arablefinance!$Z$6:$AC$105,Arablefinance!$AC$2,FALSE)*F83)/VLOOKUP(B83,Arablefinance!$Z$6:$AA$105,Arablefinance!$AA$2,FALSE),0)</f>
        <v>0</v>
      </c>
      <c r="D83" s="199">
        <f>IF(B83=0,0,HLOOKUP(CONCATENATE('Options and results'!$C$54," ",Agroforestrysystem!$D$12),Agroforestrysystem!$B$11:$IM$74,$A83+4,FALSE))</f>
        <v>0</v>
      </c>
      <c r="E83" s="42">
        <f>IF(B83=0,0,HLOOKUP(CONCATENATE('Options and results'!$C$54," ",Agroforestrysystem!$E$12),Agroforestrysystem!$B$11:$IM$74,$A83+4,FALSE)*IF(A83&gt;='Options and results'!$J$19,'Options and results'!$J$18,1))</f>
        <v>0</v>
      </c>
      <c r="F83" s="42">
        <f>IF(B83=0,0,HLOOKUP(CONCATENATE('Options and results'!$C$54," ",Agroforestrysystem!$F$12),Agroforestrysystem!$B$11:$IM$74,$A83+4,FALSE)*IF(A83&gt;='Options and results'!$J$19,'Options and results'!$J$18,1))</f>
        <v>0</v>
      </c>
      <c r="G83" s="200">
        <f>IF(D83&lt;=0,0,IF(A83&lt;='Options and results'!$W$20,IF(C83&gt;0,VLOOKUP(B83,Arablefinance!$Z$6:$AE$105,Arablefinance!$AD$2,FALSE)*C83*D83,((VLOOKUP(B83,Arablefinance!$E$6:$H$126,2,FALSE)*E83+VLOOKUP(B83,Arablefinance!$E$6:$H$126,3,FALSE)*F83)*D83)),0)*IF(A83&gt;='Options and results'!$J$21,'Options and results'!$J$20,1))*IF(1+'Options and results'!$O$20*(A83-1)&gt;0,1+'Options and results'!$O$20*(A83-1),0)</f>
        <v>0</v>
      </c>
      <c r="H83" s="10">
        <f>IF(D83&lt;=0,0,IF(C83&gt;0,VLOOKUP(B83,Arablefinance!$Z$6:$AE$105,Arablefinance!$AE$2,FALSE)*C83*D83,IF('Options and results'!$C$62&gt;0,IF(VLOOKUP(B83,Arablefinance!$E$6:$W$126,Arablefinance!$H$2,FALSE)*(1-Plot!AC83*'Options and results'!$C$62)&gt;0,VLOOKUP(B83,Arablefinance!$E$6:$W$126,Arablefinance!$H$2,FALSE)*(1-Plot!AC83*'Options and results'!$C$62),0),IF(A83&lt;='Options and results'!$W$20,(VLOOKUP(B83,Arablefinance!$E$6:$W$126,Arablefinance!$H$2,FALSE)*IF('Options and results'!$C$61="area",D83,'Options and results'!$C$61)),0)))*IF(A83&gt;='Options and results'!$J$23,'Options and results'!$J$22,1))*IF(AND(1+'Options and results'!$O$23*(A83-1)&gt;0,1+'Options and results'!$O$23*(A83-1)&gt;'Options and results'!$S$24),1+'Options and results'!$O$23*(A83-1),'Options and results'!$S$24)</f>
        <v>0</v>
      </c>
      <c r="I83" s="10">
        <f t="shared" si="10"/>
        <v>0</v>
      </c>
      <c r="J83" s="10">
        <f>IF(D83&lt;=0,0,IF(A83&lt;='Options and results'!$W$20,IF(C83&gt;0,VLOOKUP(B83,Arablefinance!$Z$6:$AF$105,Arablefinance!$AF$2,FALSE)*C83*D83,VLOOKUP(B83,Arablefinance!$E$6:$X$126,Arablefinance!$R$2,FALSE)*D83),0)*IF(A83&gt;='Options and results'!$J$27,'Options and results'!$J$26,1))*IF(1+'Options and results'!$O$22*(A83-1)&gt;0,1+'Options and results'!$O$22*(A83-1),0)</f>
        <v>0</v>
      </c>
      <c r="K83" s="10">
        <f t="shared" si="11"/>
        <v>0</v>
      </c>
      <c r="L83" s="10">
        <f>IF(D83&lt;=0,0,IF(A83&lt;='Options and results'!$W$20,IF(C83&gt;0,VLOOKUP(B83,Arablefinance!$Z$6:$AG$105,Arablefinance!$AG$2,FALSE)*C83*D83,VLOOKUP(B83,Arablefinance!$E$6:$X$126,Arablefinance!$X$2,FALSE)*D83),0)*IF(A83&gt;='Options and results'!$J$27,'Options and results'!$J$26,1))*IF(1+'Options and results'!$O$22*(A83-1)&gt;0,1+'Options and results'!$O$22*(A83-1),0)</f>
        <v>0</v>
      </c>
      <c r="M83" s="10">
        <f>IF(D83&lt;=0,0,IF(A83&lt;='Options and results'!$W$20,'Options and results'!$C$27*IF(A83&gt;='Options and results'!$J$27,'Options and results'!$J$26,1),0))*IF(1+'Options and results'!$O$21*(A83-1)&gt;0,1+'Options and results'!$O$21*(A83-1),0)</f>
        <v>0</v>
      </c>
      <c r="N83" s="10">
        <f>IF(D83&lt;=0,0,IF(A83&lt;='Options and results'!$W$20,IF(C83&gt;0,VLOOKUP(B83,Arablefinance!$Z$6:$AH$105,Arablefinance!$AH$2,FALSE)*C83*D83,VLOOKUP(B83,Arablefinance!$E$6:$W$126,Arablefinance!$V$2,FALSE)*D83),0)*IF(A83&gt;='Options and results'!$J$25,'Options and results'!$J$24,1))</f>
        <v>0</v>
      </c>
      <c r="O83" s="200">
        <f t="shared" si="1"/>
        <v>0</v>
      </c>
      <c r="P83" s="201">
        <f>IF(A83&lt;='Options and results'!$W$20,SUM($O$28:O83),0)</f>
        <v>0</v>
      </c>
      <c r="Q83" s="36">
        <f t="shared" si="2"/>
        <v>0</v>
      </c>
      <c r="R83" s="108">
        <f t="shared" ca="1" si="14"/>
        <v>0</v>
      </c>
      <c r="S83" s="108">
        <f t="shared" si="15"/>
        <v>10</v>
      </c>
      <c r="T83" s="10">
        <f t="shared" ca="1" si="12"/>
        <v>56</v>
      </c>
      <c r="U83" s="1" t="str">
        <f>IF(Optimisation!$B$3="Yes",IF(A83&lt;=Optimisation!$B$9,Optimisation!B83,Optimisation!$B$11),B83)</f>
        <v xml:space="preserve">UK - Agriculture (BPS: from 2015) </v>
      </c>
      <c r="V83" s="202">
        <f t="shared" si="13"/>
        <v>0</v>
      </c>
      <c r="W83" s="203">
        <f t="shared" ca="1" si="16"/>
        <v>0</v>
      </c>
      <c r="X83" s="203">
        <f t="shared" si="17"/>
        <v>2</v>
      </c>
      <c r="Y83" s="10">
        <f t="shared" ca="1" si="18"/>
        <v>56</v>
      </c>
      <c r="Z83" s="204" t="str">
        <f>IF(Optimisation!$B$3="Yes",IF(Optimisation!A83&lt;=Optimisation!$B$16,Optimisation!B83,Optimisation!$B$18),B83)</f>
        <v xml:space="preserve">UK - Agriculture (BPS: from 2015) </v>
      </c>
      <c r="AA83" s="205" t="str">
        <f t="shared" si="19"/>
        <v xml:space="preserve">UK - Agriculture (BPS: from 2015) </v>
      </c>
      <c r="AG83" s="10"/>
    </row>
    <row r="84" spans="1:33" x14ac:dyDescent="0.25">
      <c r="A84" s="196">
        <f t="shared" si="9"/>
        <v>57</v>
      </c>
      <c r="B84" s="197" t="str">
        <f>IF('Options and results'!$C$54="None",0,IF(AND(A84&gt;='Options and results'!$K$57,A83&lt;'Options and results'!$W$20),'Options and results'!$K$56,CONCATENATE('Options and results'!$C$60," ",(HLOOKUP(CONCATENATE('Options and results'!$C$54," ",Agroforestrysystem!$B$12),Agroforestrysystem!$B$11:$IM$74,$A84+4,FALSE)))))</f>
        <v xml:space="preserve">UK - Agriculture (BPS: from 2015) </v>
      </c>
      <c r="C84" s="198">
        <f>IF(HLOOKUP(CONCATENATE('Options and results'!$C$54," ",Agroforestrysystem!$C$12),Agroforestrysystem!$B$11:$IM$74,$A84+4,FALSE)="T",(VLOOKUP(B84,Arablefinance!$Z$6:$AB$105,Arablefinance!$AB$2,FALSE)*E84+VLOOKUP(B84,Arablefinance!$Z$6:$AC$105,Arablefinance!$AC$2,FALSE)*F84)/VLOOKUP(B84,Arablefinance!$Z$6:$AA$105,Arablefinance!$AA$2,FALSE),0)</f>
        <v>0</v>
      </c>
      <c r="D84" s="199">
        <f>IF(B84=0,0,HLOOKUP(CONCATENATE('Options and results'!$C$54," ",Agroforestrysystem!$D$12),Agroforestrysystem!$B$11:$IM$74,$A84+4,FALSE))</f>
        <v>0</v>
      </c>
      <c r="E84" s="42">
        <f>IF(B84=0,0,HLOOKUP(CONCATENATE('Options and results'!$C$54," ",Agroforestrysystem!$E$12),Agroforestrysystem!$B$11:$IM$74,$A84+4,FALSE)*IF(A84&gt;='Options and results'!$J$19,'Options and results'!$J$18,1))</f>
        <v>0</v>
      </c>
      <c r="F84" s="42">
        <f>IF(B84=0,0,HLOOKUP(CONCATENATE('Options and results'!$C$54," ",Agroforestrysystem!$F$12),Agroforestrysystem!$B$11:$IM$74,$A84+4,FALSE)*IF(A84&gt;='Options and results'!$J$19,'Options and results'!$J$18,1))</f>
        <v>0</v>
      </c>
      <c r="G84" s="200">
        <f>IF(D84&lt;=0,0,IF(A84&lt;='Options and results'!$W$20,IF(C84&gt;0,VLOOKUP(B84,Arablefinance!$Z$6:$AE$105,Arablefinance!$AD$2,FALSE)*C84*D84,((VLOOKUP(B84,Arablefinance!$E$6:$H$126,2,FALSE)*E84+VLOOKUP(B84,Arablefinance!$E$6:$H$126,3,FALSE)*F84)*D84)),0)*IF(A84&gt;='Options and results'!$J$21,'Options and results'!$J$20,1))*IF(1+'Options and results'!$O$20*(A84-1)&gt;0,1+'Options and results'!$O$20*(A84-1),0)</f>
        <v>0</v>
      </c>
      <c r="H84" s="10">
        <f>IF(D84&lt;=0,0,IF(C84&gt;0,VLOOKUP(B84,Arablefinance!$Z$6:$AE$105,Arablefinance!$AE$2,FALSE)*C84*D84,IF('Options and results'!$C$62&gt;0,IF(VLOOKUP(B84,Arablefinance!$E$6:$W$126,Arablefinance!$H$2,FALSE)*(1-Plot!AC84*'Options and results'!$C$62)&gt;0,VLOOKUP(B84,Arablefinance!$E$6:$W$126,Arablefinance!$H$2,FALSE)*(1-Plot!AC84*'Options and results'!$C$62),0),IF(A84&lt;='Options and results'!$W$20,(VLOOKUP(B84,Arablefinance!$E$6:$W$126,Arablefinance!$H$2,FALSE)*IF('Options and results'!$C$61="area",D84,'Options and results'!$C$61)),0)))*IF(A84&gt;='Options and results'!$J$23,'Options and results'!$J$22,1))*IF(AND(1+'Options and results'!$O$23*(A84-1)&gt;0,1+'Options and results'!$O$23*(A84-1)&gt;'Options and results'!$S$24),1+'Options and results'!$O$23*(A84-1),'Options and results'!$S$24)</f>
        <v>0</v>
      </c>
      <c r="I84" s="10">
        <f t="shared" si="10"/>
        <v>0</v>
      </c>
      <c r="J84" s="10">
        <f>IF(D84&lt;=0,0,IF(A84&lt;='Options and results'!$W$20,IF(C84&gt;0,VLOOKUP(B84,Arablefinance!$Z$6:$AF$105,Arablefinance!$AF$2,FALSE)*C84*D84,VLOOKUP(B84,Arablefinance!$E$6:$X$126,Arablefinance!$R$2,FALSE)*D84),0)*IF(A84&gt;='Options and results'!$J$27,'Options and results'!$J$26,1))*IF(1+'Options and results'!$O$22*(A84-1)&gt;0,1+'Options and results'!$O$22*(A84-1),0)</f>
        <v>0</v>
      </c>
      <c r="K84" s="10">
        <f t="shared" si="11"/>
        <v>0</v>
      </c>
      <c r="L84" s="10">
        <f>IF(D84&lt;=0,0,IF(A84&lt;='Options and results'!$W$20,IF(C84&gt;0,VLOOKUP(B84,Arablefinance!$Z$6:$AG$105,Arablefinance!$AG$2,FALSE)*C84*D84,VLOOKUP(B84,Arablefinance!$E$6:$X$126,Arablefinance!$X$2,FALSE)*D84),0)*IF(A84&gt;='Options and results'!$J$27,'Options and results'!$J$26,1))*IF(1+'Options and results'!$O$22*(A84-1)&gt;0,1+'Options and results'!$O$22*(A84-1),0)</f>
        <v>0</v>
      </c>
      <c r="M84" s="10">
        <f>IF(D84&lt;=0,0,IF(A84&lt;='Options and results'!$W$20,'Options and results'!$C$27*IF(A84&gt;='Options and results'!$J$27,'Options and results'!$J$26,1),0))*IF(1+'Options and results'!$O$21*(A84-1)&gt;0,1+'Options and results'!$O$21*(A84-1),0)</f>
        <v>0</v>
      </c>
      <c r="N84" s="10">
        <f>IF(D84&lt;=0,0,IF(A84&lt;='Options and results'!$W$20,IF(C84&gt;0,VLOOKUP(B84,Arablefinance!$Z$6:$AH$105,Arablefinance!$AH$2,FALSE)*C84*D84,VLOOKUP(B84,Arablefinance!$E$6:$W$126,Arablefinance!$V$2,FALSE)*D84),0)*IF(A84&gt;='Options and results'!$J$25,'Options and results'!$J$24,1))</f>
        <v>0</v>
      </c>
      <c r="O84" s="200">
        <f t="shared" si="1"/>
        <v>0</v>
      </c>
      <c r="P84" s="201">
        <f>IF(A84&lt;='Options and results'!$W$20,SUM($O$28:O84),0)</f>
        <v>0</v>
      </c>
      <c r="Q84" s="36">
        <f t="shared" si="2"/>
        <v>0</v>
      </c>
      <c r="R84" s="108">
        <f t="shared" ca="1" si="14"/>
        <v>0</v>
      </c>
      <c r="S84" s="108">
        <f t="shared" si="15"/>
        <v>10</v>
      </c>
      <c r="T84" s="10">
        <f t="shared" ca="1" si="12"/>
        <v>57</v>
      </c>
      <c r="U84" s="1" t="str">
        <f>IF(Optimisation!$B$3="Yes",IF(A84&lt;=Optimisation!$B$9,Optimisation!B84,Optimisation!$B$11),B84)</f>
        <v xml:space="preserve">UK - Agriculture (BPS: from 2015) </v>
      </c>
      <c r="V84" s="202">
        <f t="shared" si="13"/>
        <v>0</v>
      </c>
      <c r="W84" s="203">
        <f t="shared" ca="1" si="16"/>
        <v>0</v>
      </c>
      <c r="X84" s="203">
        <f t="shared" si="17"/>
        <v>2</v>
      </c>
      <c r="Y84" s="10">
        <f t="shared" ca="1" si="18"/>
        <v>57</v>
      </c>
      <c r="Z84" s="204" t="str">
        <f>IF(Optimisation!$B$3="Yes",IF(Optimisation!A84&lt;=Optimisation!$B$16,Optimisation!B84,Optimisation!$B$18),B84)</f>
        <v xml:space="preserve">UK - Agriculture (BPS: from 2015) </v>
      </c>
      <c r="AA84" s="205" t="str">
        <f t="shared" si="19"/>
        <v xml:space="preserve">UK - Agriculture (BPS: from 2015) </v>
      </c>
      <c r="AG84" s="10"/>
    </row>
    <row r="85" spans="1:33" x14ac:dyDescent="0.25">
      <c r="A85" s="196">
        <f t="shared" si="9"/>
        <v>58</v>
      </c>
      <c r="B85" s="197" t="str">
        <f>IF('Options and results'!$C$54="None",0,IF(AND(A85&gt;='Options and results'!$K$57,A84&lt;'Options and results'!$W$20),'Options and results'!$K$56,CONCATENATE('Options and results'!$C$60," ",(HLOOKUP(CONCATENATE('Options and results'!$C$54," ",Agroforestrysystem!$B$12),Agroforestrysystem!$B$11:$IM$74,$A85+4,FALSE)))))</f>
        <v xml:space="preserve">UK - Agriculture (BPS: from 2015) </v>
      </c>
      <c r="C85" s="198">
        <f>IF(HLOOKUP(CONCATENATE('Options and results'!$C$54," ",Agroforestrysystem!$C$12),Agroforestrysystem!$B$11:$IM$74,$A85+4,FALSE)="T",(VLOOKUP(B85,Arablefinance!$Z$6:$AB$105,Arablefinance!$AB$2,FALSE)*E85+VLOOKUP(B85,Arablefinance!$Z$6:$AC$105,Arablefinance!$AC$2,FALSE)*F85)/VLOOKUP(B85,Arablefinance!$Z$6:$AA$105,Arablefinance!$AA$2,FALSE),0)</f>
        <v>0</v>
      </c>
      <c r="D85" s="199">
        <f>IF(B85=0,0,HLOOKUP(CONCATENATE('Options and results'!$C$54," ",Agroforestrysystem!$D$12),Agroforestrysystem!$B$11:$IM$74,$A85+4,FALSE))</f>
        <v>0</v>
      </c>
      <c r="E85" s="42">
        <f>IF(B85=0,0,HLOOKUP(CONCATENATE('Options and results'!$C$54," ",Agroforestrysystem!$E$12),Agroforestrysystem!$B$11:$IM$74,$A85+4,FALSE)*IF(A85&gt;='Options and results'!$J$19,'Options and results'!$J$18,1))</f>
        <v>0</v>
      </c>
      <c r="F85" s="42">
        <f>IF(B85=0,0,HLOOKUP(CONCATENATE('Options and results'!$C$54," ",Agroforestrysystem!$F$12),Agroforestrysystem!$B$11:$IM$74,$A85+4,FALSE)*IF(A85&gt;='Options and results'!$J$19,'Options and results'!$J$18,1))</f>
        <v>0</v>
      </c>
      <c r="G85" s="200">
        <f>IF(D85&lt;=0,0,IF(A85&lt;='Options and results'!$W$20,IF(C85&gt;0,VLOOKUP(B85,Arablefinance!$Z$6:$AE$105,Arablefinance!$AD$2,FALSE)*C85*D85,((VLOOKUP(B85,Arablefinance!$E$6:$H$126,2,FALSE)*E85+VLOOKUP(B85,Arablefinance!$E$6:$H$126,3,FALSE)*F85)*D85)),0)*IF(A85&gt;='Options and results'!$J$21,'Options and results'!$J$20,1))*IF(1+'Options and results'!$O$20*(A85-1)&gt;0,1+'Options and results'!$O$20*(A85-1),0)</f>
        <v>0</v>
      </c>
      <c r="H85" s="10">
        <f>IF(D85&lt;=0,0,IF(C85&gt;0,VLOOKUP(B85,Arablefinance!$Z$6:$AE$105,Arablefinance!$AE$2,FALSE)*C85*D85,IF('Options and results'!$C$62&gt;0,IF(VLOOKUP(B85,Arablefinance!$E$6:$W$126,Arablefinance!$H$2,FALSE)*(1-Plot!AC85*'Options and results'!$C$62)&gt;0,VLOOKUP(B85,Arablefinance!$E$6:$W$126,Arablefinance!$H$2,FALSE)*(1-Plot!AC85*'Options and results'!$C$62),0),IF(A85&lt;='Options and results'!$W$20,(VLOOKUP(B85,Arablefinance!$E$6:$W$126,Arablefinance!$H$2,FALSE)*IF('Options and results'!$C$61="area",D85,'Options and results'!$C$61)),0)))*IF(A85&gt;='Options and results'!$J$23,'Options and results'!$J$22,1))*IF(AND(1+'Options and results'!$O$23*(A85-1)&gt;0,1+'Options and results'!$O$23*(A85-1)&gt;'Options and results'!$S$24),1+'Options and results'!$O$23*(A85-1),'Options and results'!$S$24)</f>
        <v>0</v>
      </c>
      <c r="I85" s="10">
        <f t="shared" si="10"/>
        <v>0</v>
      </c>
      <c r="J85" s="10">
        <f>IF(D85&lt;=0,0,IF(A85&lt;='Options and results'!$W$20,IF(C85&gt;0,VLOOKUP(B85,Arablefinance!$Z$6:$AF$105,Arablefinance!$AF$2,FALSE)*C85*D85,VLOOKUP(B85,Arablefinance!$E$6:$X$126,Arablefinance!$R$2,FALSE)*D85),0)*IF(A85&gt;='Options and results'!$J$27,'Options and results'!$J$26,1))*IF(1+'Options and results'!$O$22*(A85-1)&gt;0,1+'Options and results'!$O$22*(A85-1),0)</f>
        <v>0</v>
      </c>
      <c r="K85" s="10">
        <f t="shared" si="11"/>
        <v>0</v>
      </c>
      <c r="L85" s="10">
        <f>IF(D85&lt;=0,0,IF(A85&lt;='Options and results'!$W$20,IF(C85&gt;0,VLOOKUP(B85,Arablefinance!$Z$6:$AG$105,Arablefinance!$AG$2,FALSE)*C85*D85,VLOOKUP(B85,Arablefinance!$E$6:$X$126,Arablefinance!$X$2,FALSE)*D85),0)*IF(A85&gt;='Options and results'!$J$27,'Options and results'!$J$26,1))*IF(1+'Options and results'!$O$22*(A85-1)&gt;0,1+'Options and results'!$O$22*(A85-1),0)</f>
        <v>0</v>
      </c>
      <c r="M85" s="10">
        <f>IF(D85&lt;=0,0,IF(A85&lt;='Options and results'!$W$20,'Options and results'!$C$27*IF(A85&gt;='Options and results'!$J$27,'Options and results'!$J$26,1),0))*IF(1+'Options and results'!$O$21*(A85-1)&gt;0,1+'Options and results'!$O$21*(A85-1),0)</f>
        <v>0</v>
      </c>
      <c r="N85" s="10">
        <f>IF(D85&lt;=0,0,IF(A85&lt;='Options and results'!$W$20,IF(C85&gt;0,VLOOKUP(B85,Arablefinance!$Z$6:$AH$105,Arablefinance!$AH$2,FALSE)*C85*D85,VLOOKUP(B85,Arablefinance!$E$6:$W$126,Arablefinance!$V$2,FALSE)*D85),0)*IF(A85&gt;='Options and results'!$J$25,'Options and results'!$J$24,1))</f>
        <v>0</v>
      </c>
      <c r="O85" s="200">
        <f t="shared" si="1"/>
        <v>0</v>
      </c>
      <c r="P85" s="201">
        <f>IF(A85&lt;='Options and results'!$W$20,SUM($O$28:O85),0)</f>
        <v>0</v>
      </c>
      <c r="Q85" s="36">
        <f t="shared" si="2"/>
        <v>0</v>
      </c>
      <c r="R85" s="108">
        <f t="shared" ca="1" si="14"/>
        <v>0</v>
      </c>
      <c r="S85" s="108">
        <f t="shared" si="15"/>
        <v>10</v>
      </c>
      <c r="T85" s="10">
        <f t="shared" ca="1" si="12"/>
        <v>58</v>
      </c>
      <c r="U85" s="1" t="str">
        <f>IF(Optimisation!$B$3="Yes",IF(A85&lt;=Optimisation!$B$9,Optimisation!B85,Optimisation!$B$11),B85)</f>
        <v xml:space="preserve">UK - Agriculture (BPS: from 2015) </v>
      </c>
      <c r="V85" s="202">
        <f t="shared" si="13"/>
        <v>0</v>
      </c>
      <c r="W85" s="203">
        <f t="shared" ca="1" si="16"/>
        <v>0</v>
      </c>
      <c r="X85" s="203">
        <f t="shared" si="17"/>
        <v>2</v>
      </c>
      <c r="Y85" s="10">
        <f t="shared" ca="1" si="18"/>
        <v>58</v>
      </c>
      <c r="Z85" s="204" t="str">
        <f>IF(Optimisation!$B$3="Yes",IF(Optimisation!A85&lt;=Optimisation!$B$16,Optimisation!B85,Optimisation!$B$18),B85)</f>
        <v xml:space="preserve">UK - Agriculture (BPS: from 2015) </v>
      </c>
      <c r="AA85" s="205" t="str">
        <f t="shared" si="19"/>
        <v xml:space="preserve">UK - Agriculture (BPS: from 2015) </v>
      </c>
      <c r="AG85" s="10"/>
    </row>
    <row r="86" spans="1:33" x14ac:dyDescent="0.25">
      <c r="A86" s="196">
        <f t="shared" si="9"/>
        <v>59</v>
      </c>
      <c r="B86" s="197" t="str">
        <f>IF('Options and results'!$C$54="None",0,IF(AND(A86&gt;='Options and results'!$K$57,A85&lt;'Options and results'!$W$20),'Options and results'!$K$56,CONCATENATE('Options and results'!$C$60," ",(HLOOKUP(CONCATENATE('Options and results'!$C$54," ",Agroforestrysystem!$B$12),Agroforestrysystem!$B$11:$IM$74,$A86+4,FALSE)))))</f>
        <v xml:space="preserve">UK - Agriculture (BPS: from 2015) </v>
      </c>
      <c r="C86" s="198">
        <f>IF(HLOOKUP(CONCATENATE('Options and results'!$C$54," ",Agroforestrysystem!$C$12),Agroforestrysystem!$B$11:$IM$74,$A86+4,FALSE)="T",(VLOOKUP(B86,Arablefinance!$Z$6:$AB$105,Arablefinance!$AB$2,FALSE)*E86+VLOOKUP(B86,Arablefinance!$Z$6:$AC$105,Arablefinance!$AC$2,FALSE)*F86)/VLOOKUP(B86,Arablefinance!$Z$6:$AA$105,Arablefinance!$AA$2,FALSE),0)</f>
        <v>0</v>
      </c>
      <c r="D86" s="199">
        <f>IF(B86=0,0,HLOOKUP(CONCATENATE('Options and results'!$C$54," ",Agroforestrysystem!$D$12),Agroforestrysystem!$B$11:$IM$74,$A86+4,FALSE))</f>
        <v>0</v>
      </c>
      <c r="E86" s="42">
        <f>IF(B86=0,0,HLOOKUP(CONCATENATE('Options and results'!$C$54," ",Agroforestrysystem!$E$12),Agroforestrysystem!$B$11:$IM$74,$A86+4,FALSE)*IF(A86&gt;='Options and results'!$J$19,'Options and results'!$J$18,1))</f>
        <v>0</v>
      </c>
      <c r="F86" s="42">
        <f>IF(B86=0,0,HLOOKUP(CONCATENATE('Options and results'!$C$54," ",Agroforestrysystem!$F$12),Agroforestrysystem!$B$11:$IM$74,$A86+4,FALSE)*IF(A86&gt;='Options and results'!$J$19,'Options and results'!$J$18,1))</f>
        <v>0</v>
      </c>
      <c r="G86" s="200">
        <f>IF(D86&lt;=0,0,IF(A86&lt;='Options and results'!$W$20,IF(C86&gt;0,VLOOKUP(B86,Arablefinance!$Z$6:$AE$105,Arablefinance!$AD$2,FALSE)*C86*D86,((VLOOKUP(B86,Arablefinance!$E$6:$H$126,2,FALSE)*E86+VLOOKUP(B86,Arablefinance!$E$6:$H$126,3,FALSE)*F86)*D86)),0)*IF(A86&gt;='Options and results'!$J$21,'Options and results'!$J$20,1))*IF(1+'Options and results'!$O$20*(A86-1)&gt;0,1+'Options and results'!$O$20*(A86-1),0)</f>
        <v>0</v>
      </c>
      <c r="H86" s="10">
        <f>IF(D86&lt;=0,0,IF(C86&gt;0,VLOOKUP(B86,Arablefinance!$Z$6:$AE$105,Arablefinance!$AE$2,FALSE)*C86*D86,IF('Options and results'!$C$62&gt;0,IF(VLOOKUP(B86,Arablefinance!$E$6:$W$126,Arablefinance!$H$2,FALSE)*(1-Plot!AC86*'Options and results'!$C$62)&gt;0,VLOOKUP(B86,Arablefinance!$E$6:$W$126,Arablefinance!$H$2,FALSE)*(1-Plot!AC86*'Options and results'!$C$62),0),IF(A86&lt;='Options and results'!$W$20,(VLOOKUP(B86,Arablefinance!$E$6:$W$126,Arablefinance!$H$2,FALSE)*IF('Options and results'!$C$61="area",D86,'Options and results'!$C$61)),0)))*IF(A86&gt;='Options and results'!$J$23,'Options and results'!$J$22,1))*IF(AND(1+'Options and results'!$O$23*(A86-1)&gt;0,1+'Options and results'!$O$23*(A86-1)&gt;'Options and results'!$S$24),1+'Options and results'!$O$23*(A86-1),'Options and results'!$S$24)</f>
        <v>0</v>
      </c>
      <c r="I86" s="10">
        <f t="shared" si="10"/>
        <v>0</v>
      </c>
      <c r="J86" s="10">
        <f>IF(D86&lt;=0,0,IF(A86&lt;='Options and results'!$W$20,IF(C86&gt;0,VLOOKUP(B86,Arablefinance!$Z$6:$AF$105,Arablefinance!$AF$2,FALSE)*C86*D86,VLOOKUP(B86,Arablefinance!$E$6:$X$126,Arablefinance!$R$2,FALSE)*D86),0)*IF(A86&gt;='Options and results'!$J$27,'Options and results'!$J$26,1))*IF(1+'Options and results'!$O$22*(A86-1)&gt;0,1+'Options and results'!$O$22*(A86-1),0)</f>
        <v>0</v>
      </c>
      <c r="K86" s="10">
        <f t="shared" si="11"/>
        <v>0</v>
      </c>
      <c r="L86" s="10">
        <f>IF(D86&lt;=0,0,IF(A86&lt;='Options and results'!$W$20,IF(C86&gt;0,VLOOKUP(B86,Arablefinance!$Z$6:$AG$105,Arablefinance!$AG$2,FALSE)*C86*D86,VLOOKUP(B86,Arablefinance!$E$6:$X$126,Arablefinance!$X$2,FALSE)*D86),0)*IF(A86&gt;='Options and results'!$J$27,'Options and results'!$J$26,1))*IF(1+'Options and results'!$O$22*(A86-1)&gt;0,1+'Options and results'!$O$22*(A86-1),0)</f>
        <v>0</v>
      </c>
      <c r="M86" s="10">
        <f>IF(D86&lt;=0,0,IF(A86&lt;='Options and results'!$W$20,'Options and results'!$C$27*IF(A86&gt;='Options and results'!$J$27,'Options and results'!$J$26,1),0))*IF(1+'Options and results'!$O$21*(A86-1)&gt;0,1+'Options and results'!$O$21*(A86-1),0)</f>
        <v>0</v>
      </c>
      <c r="N86" s="10">
        <f>IF(D86&lt;=0,0,IF(A86&lt;='Options and results'!$W$20,IF(C86&gt;0,VLOOKUP(B86,Arablefinance!$Z$6:$AH$105,Arablefinance!$AH$2,FALSE)*C86*D86,VLOOKUP(B86,Arablefinance!$E$6:$W$126,Arablefinance!$V$2,FALSE)*D86),0)*IF(A86&gt;='Options and results'!$J$25,'Options and results'!$J$24,1))</f>
        <v>0</v>
      </c>
      <c r="O86" s="200">
        <f t="shared" si="1"/>
        <v>0</v>
      </c>
      <c r="P86" s="201">
        <f>IF(A86&lt;='Options and results'!$W$20,SUM($O$28:O86),0)</f>
        <v>0</v>
      </c>
      <c r="Q86" s="36">
        <f t="shared" si="2"/>
        <v>0</v>
      </c>
      <c r="R86" s="108">
        <f t="shared" ca="1" si="14"/>
        <v>0</v>
      </c>
      <c r="S86" s="108">
        <f t="shared" si="15"/>
        <v>10</v>
      </c>
      <c r="T86" s="10">
        <f t="shared" ca="1" si="12"/>
        <v>59</v>
      </c>
      <c r="U86" s="1" t="str">
        <f>IF(Optimisation!$B$3="Yes",IF(A86&lt;=Optimisation!$B$9,Optimisation!B86,Optimisation!$B$11),B86)</f>
        <v xml:space="preserve">UK - Agriculture (BPS: from 2015) </v>
      </c>
      <c r="V86" s="202">
        <f t="shared" si="13"/>
        <v>0</v>
      </c>
      <c r="W86" s="203">
        <f t="shared" ca="1" si="16"/>
        <v>0</v>
      </c>
      <c r="X86" s="203">
        <f t="shared" si="17"/>
        <v>2</v>
      </c>
      <c r="Y86" s="10">
        <f t="shared" ca="1" si="18"/>
        <v>59</v>
      </c>
      <c r="Z86" s="204" t="str">
        <f>IF(Optimisation!$B$3="Yes",IF(Optimisation!A86&lt;=Optimisation!$B$16,Optimisation!B86,Optimisation!$B$18),B86)</f>
        <v xml:space="preserve">UK - Agriculture (BPS: from 2015) </v>
      </c>
      <c r="AA86" s="205" t="str">
        <f t="shared" si="19"/>
        <v xml:space="preserve">UK - Agriculture (BPS: from 2015) </v>
      </c>
      <c r="AG86" s="10"/>
    </row>
    <row r="87" spans="1:33" ht="15.75" thickBot="1" x14ac:dyDescent="0.3">
      <c r="A87" s="206">
        <f t="shared" si="9"/>
        <v>60</v>
      </c>
      <c r="B87" s="207" t="str">
        <f>IF('Options and results'!$C$54="None",0,IF(AND(A87&gt;='Options and results'!$K$57,A86&lt;'Options and results'!$W$20),'Options and results'!$K$56,CONCATENATE('Options and results'!$C$60," ",(HLOOKUP(CONCATENATE('Options and results'!$C$54," ",Agroforestrysystem!$B$12),Agroforestrysystem!$B$11:$IM$74,$A87+4,FALSE)))))</f>
        <v xml:space="preserve">UK - Agriculture (BPS: from 2015) </v>
      </c>
      <c r="C87" s="208">
        <f>IF(HLOOKUP(CONCATENATE('Options and results'!$C$54," ",Agroforestrysystem!$C$12),Agroforestrysystem!$B$11:$IM$74,$A87+4,FALSE)="T",(VLOOKUP(B87,Arablefinance!$Z$6:$AB$105,Arablefinance!$AB$2,FALSE)*E87+VLOOKUP(B87,Arablefinance!$Z$6:$AC$105,Arablefinance!$AC$2,FALSE)*F87)/VLOOKUP(B87,Arablefinance!$Z$6:$AA$105,Arablefinance!$AA$2,FALSE),0)</f>
        <v>0</v>
      </c>
      <c r="D87" s="209">
        <f>IF(B87=0,0,HLOOKUP(CONCATENATE('Options and results'!$C$54," ",Agroforestrysystem!$D$12),Agroforestrysystem!$B$11:$IM$74,$A87+4,FALSE))</f>
        <v>0</v>
      </c>
      <c r="E87" s="46">
        <f>IF(B87=0,0,HLOOKUP(CONCATENATE('Options and results'!$C$54," ",Agroforestrysystem!$E$12),Agroforestrysystem!$B$11:$IM$74,$A87+4,FALSE)*IF(A87&gt;='Options and results'!$J$19,'Options and results'!$J$18,1))</f>
        <v>0</v>
      </c>
      <c r="F87" s="46">
        <f>IF(B87=0,0,HLOOKUP(CONCATENATE('Options and results'!$C$54," ",Agroforestrysystem!$F$12),Agroforestrysystem!$B$11:$IM$74,$A87+4,FALSE)*IF(A87&gt;='Options and results'!$J$19,'Options and results'!$J$18,1))</f>
        <v>0</v>
      </c>
      <c r="G87" s="210">
        <f>IF(D87&lt;=0,0,IF(A87&lt;='Options and results'!$W$20,IF(C87&gt;0,VLOOKUP(B87,Arablefinance!$Z$6:$AE$105,Arablefinance!$AD$2,FALSE)*C87*D87,((VLOOKUP(B87,Arablefinance!$E$6:$H$126,2,FALSE)*E87+VLOOKUP(B87,Arablefinance!$E$6:$H$126,3,FALSE)*F87)*D87)),0)*IF(A87&gt;='Options and results'!$J$21,'Options and results'!$J$20,1))*IF(1+'Options and results'!$O$20*(A87-1)&gt;0,1+'Options and results'!$O$20*(A87-1),0)</f>
        <v>0</v>
      </c>
      <c r="H87" s="45">
        <f>IF(D87&lt;=0,0,IF(C87&gt;0,VLOOKUP(B87,Arablefinance!$Z$6:$AE$105,Arablefinance!$AE$2,FALSE)*C87*D87,IF('Options and results'!$C$62&gt;0,IF(VLOOKUP(B87,Arablefinance!$E$6:$W$126,Arablefinance!$H$2,FALSE)*(1-Plot!AC87*'Options and results'!$C$62)&gt;0,VLOOKUP(B87,Arablefinance!$E$6:$W$126,Arablefinance!$H$2,FALSE)*(1-Plot!AC87*'Options and results'!$C$62),0),IF(A87&lt;='Options and results'!$W$20,(VLOOKUP(B87,Arablefinance!$E$6:$W$126,Arablefinance!$H$2,FALSE)*IF('Options and results'!$C$61="area",D87,'Options and results'!$C$61)),0)))*IF(A87&gt;='Options and results'!$J$23,'Options and results'!$J$22,1))*IF(AND(1+'Options and results'!$O$23*(A87-1)&gt;0,1+'Options and results'!$O$23*(A87-1)&gt;'Options and results'!$S$24),1+'Options and results'!$O$23*(A87-1),'Options and results'!$S$24)</f>
        <v>0</v>
      </c>
      <c r="I87" s="45">
        <f t="shared" si="10"/>
        <v>0</v>
      </c>
      <c r="J87" s="45">
        <f>IF(D87&lt;=0,0,IF(A87&lt;='Options and results'!$W$20,IF(C87&gt;0,VLOOKUP(B87,Arablefinance!$Z$6:$AF$105,Arablefinance!$AF$2,FALSE)*C87*D87,VLOOKUP(B87,Arablefinance!$E$6:$X$126,Arablefinance!$R$2,FALSE)*D87),0)*IF(A87&gt;='Options and results'!$J$27,'Options and results'!$J$26,1))*IF(1+'Options and results'!$O$22*(A87-1)&gt;0,1+'Options and results'!$O$22*(A87-1),0)</f>
        <v>0</v>
      </c>
      <c r="K87" s="45">
        <f t="shared" si="11"/>
        <v>0</v>
      </c>
      <c r="L87" s="45">
        <f>IF(D87&lt;=0,0,IF(A87&lt;='Options and results'!$W$20,IF(C87&gt;0,VLOOKUP(B87,Arablefinance!$Z$6:$AG$105,Arablefinance!$AG$2,FALSE)*C87*D87,VLOOKUP(B87,Arablefinance!$E$6:$X$126,Arablefinance!$X$2,FALSE)*D87),0)*IF(A87&gt;='Options and results'!$J$27,'Options and results'!$J$26,1))*IF(1+'Options and results'!$O$22*(A87-1)&gt;0,1+'Options and results'!$O$22*(A87-1),0)</f>
        <v>0</v>
      </c>
      <c r="M87" s="45">
        <f>IF(D87&lt;=0,0,IF(A87&lt;='Options and results'!$W$20,'Options and results'!$C$27*IF(A87&gt;='Options and results'!$J$27,'Options and results'!$J$26,1),0))*IF(1+'Options and results'!$O$21*(A87-1)&gt;0,1+'Options and results'!$O$21*(A87-1),0)</f>
        <v>0</v>
      </c>
      <c r="N87" s="45">
        <f>IF(D87&lt;=0,0,IF(A87&lt;='Options and results'!$W$20,IF(C87&gt;0,VLOOKUP(B87,Arablefinance!$Z$6:$AH$105,Arablefinance!$AH$2,FALSE)*C87*D87,VLOOKUP(B87,Arablefinance!$E$6:$W$126,Arablefinance!$V$2,FALSE)*D87),0)*IF(A87&gt;='Options and results'!$J$25,'Options and results'!$J$24,1))</f>
        <v>0</v>
      </c>
      <c r="O87" s="210">
        <f t="shared" si="1"/>
        <v>0</v>
      </c>
      <c r="P87" s="211">
        <f>IF(A87&lt;='Options and results'!$W$20,SUM($O$28:O87),0)</f>
        <v>0</v>
      </c>
      <c r="Q87" s="48">
        <f t="shared" si="2"/>
        <v>0</v>
      </c>
      <c r="R87" s="212">
        <f t="shared" ca="1" si="14"/>
        <v>0</v>
      </c>
      <c r="S87" s="212">
        <f t="shared" si="15"/>
        <v>10</v>
      </c>
      <c r="T87" s="45">
        <f t="shared" ca="1" si="12"/>
        <v>60</v>
      </c>
      <c r="U87" s="47" t="str">
        <f>IF(Optimisation!$B$3="Yes",IF(A87&lt;=Optimisation!$B$9,Optimisation!B87,Optimisation!$B$11),B87)</f>
        <v xml:space="preserve">UK - Agriculture (BPS: from 2015) </v>
      </c>
      <c r="V87" s="213">
        <f t="shared" si="13"/>
        <v>0</v>
      </c>
      <c r="W87" s="214">
        <f t="shared" ca="1" si="16"/>
        <v>0</v>
      </c>
      <c r="X87" s="214">
        <f t="shared" si="17"/>
        <v>2</v>
      </c>
      <c r="Y87" s="45">
        <f t="shared" ca="1" si="18"/>
        <v>60</v>
      </c>
      <c r="Z87" s="215" t="str">
        <f>IF(Optimisation!$B$3="Yes",IF(Optimisation!A87&lt;=Optimisation!$B$16,Optimisation!B87,Optimisation!$B$18),B87)</f>
        <v xml:space="preserve">UK - Agriculture (BPS: from 2015) </v>
      </c>
      <c r="AA87" s="216" t="str">
        <f t="shared" si="19"/>
        <v xml:space="preserve">UK - Agriculture (BPS: from 2015) </v>
      </c>
      <c r="AG87" s="10"/>
    </row>
  </sheetData>
  <phoneticPr fontId="4"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66"/>
  </sheetPr>
  <dimension ref="A1:EW84"/>
  <sheetViews>
    <sheetView workbookViewId="0">
      <selection activeCell="I44" sqref="I44"/>
    </sheetView>
  </sheetViews>
  <sheetFormatPr defaultColWidth="9.140625" defaultRowHeight="15" x14ac:dyDescent="0.25"/>
  <cols>
    <col min="1" max="1" width="15.140625" style="1" customWidth="1"/>
    <col min="2" max="2" width="17.7109375" style="1" customWidth="1"/>
    <col min="3" max="6" width="7.7109375" style="1" customWidth="1"/>
    <col min="7" max="7" width="17.7109375" style="1" customWidth="1"/>
    <col min="8" max="11" width="7.7109375" style="1" customWidth="1"/>
    <col min="12" max="12" width="17.7109375" style="1" customWidth="1"/>
    <col min="13" max="16" width="7.7109375" style="1" customWidth="1"/>
    <col min="17" max="17" width="17.7109375" style="1" customWidth="1"/>
    <col min="18" max="21" width="7.7109375" style="1" customWidth="1"/>
    <col min="22" max="22" width="17.7109375" style="1" customWidth="1"/>
    <col min="23" max="26" width="7.7109375" style="1" customWidth="1"/>
    <col min="27" max="27" width="17.7109375" style="1" customWidth="1"/>
    <col min="28" max="31" width="7.7109375" style="1" customWidth="1"/>
    <col min="32" max="32" width="17.7109375" style="1" customWidth="1"/>
    <col min="33" max="36" width="7.7109375" style="1" customWidth="1"/>
    <col min="37" max="37" width="17.7109375" style="1" customWidth="1"/>
    <col min="38" max="41" width="7.7109375" style="1" customWidth="1"/>
    <col min="42" max="42" width="17.7109375" style="1" customWidth="1"/>
    <col min="43" max="46" width="7.7109375" style="1" customWidth="1"/>
    <col min="47" max="47" width="17.7109375" style="1" customWidth="1"/>
    <col min="48" max="51" width="7.7109375" style="1" customWidth="1"/>
    <col min="52" max="52" width="17.7109375" style="1" customWidth="1"/>
    <col min="53" max="56" width="7.7109375" style="1" customWidth="1"/>
    <col min="57" max="57" width="17.7109375" style="1" customWidth="1"/>
    <col min="58" max="61" width="7.7109375" style="1" customWidth="1"/>
    <col min="62" max="62" width="17.7109375" style="1" customWidth="1"/>
    <col min="63" max="66" width="7.7109375" style="1" customWidth="1"/>
    <col min="67" max="67" width="17.7109375" style="1" customWidth="1"/>
    <col min="68" max="71" width="7.7109375" style="1" customWidth="1"/>
    <col min="72" max="72" width="17.7109375" style="1" customWidth="1"/>
    <col min="73" max="76" width="7.7109375" style="1" customWidth="1"/>
    <col min="77" max="77" width="17.7109375" style="1" customWidth="1"/>
    <col min="78" max="81" width="7.7109375" style="1" customWidth="1"/>
    <col min="82" max="82" width="17.7109375" style="1" customWidth="1"/>
    <col min="83" max="86" width="7.7109375" style="1" customWidth="1"/>
    <col min="87" max="87" width="17.7109375" style="1" customWidth="1"/>
    <col min="88" max="91" width="7.7109375" style="1" customWidth="1"/>
    <col min="92" max="92" width="17.7109375" style="1" customWidth="1"/>
    <col min="93" max="96" width="7.7109375" style="1" customWidth="1"/>
    <col min="97" max="97" width="17.7109375" style="1" customWidth="1"/>
    <col min="98" max="101" width="7.7109375" style="1" customWidth="1"/>
    <col min="102" max="102" width="17.7109375" style="1" customWidth="1"/>
    <col min="103" max="106" width="7.7109375" style="1" customWidth="1"/>
    <col min="107" max="107" width="17.7109375" style="1" customWidth="1"/>
    <col min="108" max="111" width="7.7109375" style="1" customWidth="1"/>
    <col min="112" max="112" width="17.7109375" style="1" customWidth="1"/>
    <col min="113" max="116" width="7.7109375" style="1" customWidth="1"/>
    <col min="117" max="117" width="17.7109375" style="1" customWidth="1"/>
    <col min="118" max="121" width="7.7109375" style="1" customWidth="1"/>
    <col min="122" max="122" width="17.7109375" style="1" customWidth="1"/>
    <col min="123" max="126" width="7.7109375" style="1" customWidth="1"/>
    <col min="127" max="127" width="17.7109375" style="1" customWidth="1"/>
    <col min="128" max="130" width="7.7109375" style="1" customWidth="1"/>
    <col min="131" max="131" width="17.7109375" style="1" customWidth="1"/>
    <col min="132" max="135" width="7.7109375" style="1" customWidth="1"/>
    <col min="136" max="136" width="17.7109375" style="1" customWidth="1"/>
    <col min="137" max="139" width="7.7109375" style="1" customWidth="1"/>
    <col min="140" max="140" width="17.7109375" style="1" customWidth="1"/>
    <col min="141" max="144" width="7.7109375" style="1" customWidth="1"/>
    <col min="145" max="145" width="17.7109375" style="1" customWidth="1"/>
    <col min="146" max="148" width="7.7109375" style="1" customWidth="1"/>
    <col min="149" max="149" width="6" style="1" customWidth="1"/>
    <col min="150" max="16384" width="9.140625" style="1"/>
  </cols>
  <sheetData>
    <row r="1" spans="1:153" ht="15.75" thickBot="1" x14ac:dyDescent="0.3">
      <c r="A1" s="1178" t="s">
        <v>179</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326"/>
    </row>
    <row r="2" spans="1:153" ht="15.75" thickBot="1" x14ac:dyDescent="0.3">
      <c r="A2" s="632" t="s">
        <v>170</v>
      </c>
      <c r="B2" s="633">
        <v>1</v>
      </c>
      <c r="C2" s="634"/>
      <c r="D2" s="634"/>
      <c r="E2" s="634"/>
      <c r="F2" s="779"/>
      <c r="G2" s="633">
        <v>2</v>
      </c>
      <c r="H2" s="634"/>
      <c r="I2" s="634"/>
      <c r="J2" s="634"/>
      <c r="K2" s="779"/>
      <c r="L2" s="633">
        <v>3</v>
      </c>
      <c r="M2" s="634"/>
      <c r="N2" s="634"/>
      <c r="O2" s="634"/>
      <c r="P2" s="779"/>
      <c r="Q2" s="633">
        <v>4</v>
      </c>
      <c r="R2" s="634"/>
      <c r="S2" s="634"/>
      <c r="T2" s="634"/>
      <c r="U2" s="779"/>
      <c r="V2" s="633">
        <v>5</v>
      </c>
      <c r="W2" s="634"/>
      <c r="X2" s="634"/>
      <c r="Y2" s="634"/>
      <c r="Z2" s="779"/>
      <c r="AA2" s="779">
        <v>6</v>
      </c>
      <c r="AB2" s="634"/>
      <c r="AC2" s="634"/>
      <c r="AD2" s="634"/>
      <c r="AE2" s="634"/>
      <c r="AF2" s="633">
        <v>7</v>
      </c>
      <c r="AG2" s="634"/>
      <c r="AH2" s="634"/>
      <c r="AI2" s="634"/>
      <c r="AJ2" s="779"/>
      <c r="AK2" s="779">
        <v>8</v>
      </c>
      <c r="AL2" s="634"/>
      <c r="AM2" s="634"/>
      <c r="AN2" s="634"/>
      <c r="AO2" s="634"/>
      <c r="AP2" s="633">
        <v>9</v>
      </c>
      <c r="AQ2" s="634"/>
      <c r="AR2" s="634"/>
      <c r="AS2" s="634"/>
      <c r="AT2" s="779"/>
      <c r="AU2" s="779">
        <v>10</v>
      </c>
      <c r="AV2" s="634"/>
      <c r="AW2" s="634"/>
      <c r="AX2" s="634"/>
      <c r="AY2" s="634"/>
      <c r="AZ2" s="633">
        <v>11</v>
      </c>
      <c r="BA2" s="634"/>
      <c r="BB2" s="634"/>
      <c r="BC2" s="634"/>
      <c r="BD2" s="779"/>
      <c r="BE2" s="779">
        <v>12</v>
      </c>
      <c r="BF2" s="634"/>
      <c r="BG2" s="634"/>
      <c r="BH2" s="634"/>
      <c r="BI2" s="634"/>
      <c r="BJ2" s="633">
        <v>13</v>
      </c>
      <c r="BK2" s="634"/>
      <c r="BL2" s="634"/>
      <c r="BM2" s="634"/>
      <c r="BN2" s="779"/>
      <c r="BO2" s="779">
        <v>14</v>
      </c>
      <c r="BP2" s="634"/>
      <c r="BQ2" s="634"/>
      <c r="BR2" s="634"/>
      <c r="BS2" s="634"/>
      <c r="BT2" s="633">
        <v>15</v>
      </c>
      <c r="BU2" s="634"/>
      <c r="BV2" s="634"/>
      <c r="BW2" s="634"/>
      <c r="BX2" s="779"/>
      <c r="BY2" s="779">
        <v>16</v>
      </c>
      <c r="BZ2" s="634"/>
      <c r="CA2" s="634"/>
      <c r="CB2" s="634"/>
      <c r="CC2" s="634"/>
      <c r="CD2" s="633">
        <v>17</v>
      </c>
      <c r="CE2" s="634"/>
      <c r="CF2" s="634"/>
      <c r="CG2" s="634"/>
      <c r="CH2" s="779"/>
      <c r="CI2" s="779">
        <v>18</v>
      </c>
      <c r="CJ2" s="634"/>
      <c r="CK2" s="634"/>
      <c r="CL2" s="634"/>
      <c r="CM2" s="634"/>
      <c r="CN2" s="633">
        <v>19</v>
      </c>
      <c r="CO2" s="634"/>
      <c r="CP2" s="634"/>
      <c r="CQ2" s="634"/>
      <c r="CR2" s="779"/>
      <c r="CS2" s="779">
        <v>20</v>
      </c>
      <c r="CT2" s="634"/>
      <c r="CU2" s="634"/>
      <c r="CV2" s="634"/>
      <c r="CW2" s="634"/>
      <c r="CX2" s="633">
        <v>21</v>
      </c>
      <c r="CY2" s="634"/>
      <c r="CZ2" s="634"/>
      <c r="DA2" s="634"/>
      <c r="DB2" s="779"/>
      <c r="DC2" s="779">
        <v>22</v>
      </c>
      <c r="DD2" s="634"/>
      <c r="DE2" s="634"/>
      <c r="DF2" s="634"/>
      <c r="DG2" s="634"/>
      <c r="DH2" s="633">
        <v>23</v>
      </c>
      <c r="DI2" s="634"/>
      <c r="DJ2" s="634"/>
      <c r="DK2" s="634"/>
      <c r="DL2" s="779"/>
      <c r="DM2" s="779">
        <v>24</v>
      </c>
      <c r="DN2" s="634"/>
      <c r="DO2" s="634"/>
      <c r="DP2" s="634"/>
      <c r="DQ2" s="634"/>
      <c r="DR2" s="633">
        <v>25</v>
      </c>
      <c r="DS2" s="634"/>
      <c r="DT2" s="634"/>
      <c r="DU2" s="634"/>
      <c r="DV2" s="634"/>
      <c r="DW2" s="634"/>
      <c r="DX2" s="634"/>
      <c r="DY2" s="634"/>
      <c r="DZ2" s="779"/>
      <c r="EA2" s="779">
        <v>26</v>
      </c>
      <c r="EB2" s="634"/>
      <c r="EC2" s="634"/>
      <c r="ED2" s="634"/>
      <c r="EE2" s="634"/>
      <c r="EF2" s="634"/>
      <c r="EG2" s="634"/>
      <c r="EH2" s="634"/>
      <c r="EI2" s="779"/>
      <c r="EJ2" s="633">
        <v>27</v>
      </c>
      <c r="EK2" s="634"/>
      <c r="EL2" s="634"/>
      <c r="EM2" s="634"/>
      <c r="EN2" s="634"/>
      <c r="EO2" s="634"/>
      <c r="EP2" s="634"/>
      <c r="EQ2" s="634"/>
      <c r="ER2" s="634"/>
      <c r="ES2" s="780"/>
      <c r="ET2" s="781"/>
      <c r="EU2" s="781"/>
      <c r="EV2" s="781"/>
      <c r="EW2" s="781"/>
    </row>
    <row r="3" spans="1:153" x14ac:dyDescent="0.25">
      <c r="A3" s="641" t="s">
        <v>46</v>
      </c>
      <c r="B3" s="782" t="s">
        <v>528</v>
      </c>
      <c r="C3" s="783"/>
      <c r="D3" s="783"/>
      <c r="E3" s="783"/>
      <c r="F3" s="784"/>
      <c r="G3" s="782"/>
      <c r="H3" s="783"/>
      <c r="I3" s="783"/>
      <c r="J3" s="783"/>
      <c r="K3" s="784"/>
      <c r="L3" s="782"/>
      <c r="M3" s="783"/>
      <c r="N3" s="783"/>
      <c r="O3" s="783"/>
      <c r="P3" s="784"/>
      <c r="Q3" s="782"/>
      <c r="R3" s="783"/>
      <c r="S3" s="783"/>
      <c r="T3" s="783"/>
      <c r="U3" s="784"/>
      <c r="V3" s="782"/>
      <c r="W3" s="783"/>
      <c r="X3" s="783"/>
      <c r="Y3" s="783"/>
      <c r="Z3" s="784"/>
      <c r="AA3" s="782"/>
      <c r="AB3" s="783"/>
      <c r="AC3" s="783"/>
      <c r="AD3" s="783"/>
      <c r="AE3" s="784"/>
      <c r="AF3" s="782"/>
      <c r="AG3" s="783"/>
      <c r="AH3" s="783"/>
      <c r="AI3" s="783"/>
      <c r="AJ3" s="784"/>
      <c r="AK3" s="782"/>
      <c r="AL3" s="783"/>
      <c r="AM3" s="783"/>
      <c r="AN3" s="783"/>
      <c r="AO3" s="784"/>
      <c r="AP3" s="782"/>
      <c r="AQ3" s="783"/>
      <c r="AR3" s="783"/>
      <c r="AS3" s="783"/>
      <c r="AT3" s="784"/>
      <c r="AU3" s="782"/>
      <c r="AV3" s="783"/>
      <c r="AW3" s="783"/>
      <c r="AX3" s="783"/>
      <c r="AY3" s="784"/>
      <c r="AZ3" s="782"/>
      <c r="BA3" s="783"/>
      <c r="BB3" s="783"/>
      <c r="BC3" s="783"/>
      <c r="BD3" s="784"/>
      <c r="BE3" s="782"/>
      <c r="BF3" s="783"/>
      <c r="BG3" s="783"/>
      <c r="BH3" s="783"/>
      <c r="BI3" s="784"/>
      <c r="BJ3" s="782"/>
      <c r="BK3" s="783"/>
      <c r="BL3" s="783"/>
      <c r="BM3" s="783"/>
      <c r="BN3" s="784"/>
      <c r="BO3" s="782"/>
      <c r="BP3" s="783"/>
      <c r="BQ3" s="783"/>
      <c r="BR3" s="783"/>
      <c r="BS3" s="784"/>
      <c r="BT3" s="782"/>
      <c r="BU3" s="783"/>
      <c r="BV3" s="783"/>
      <c r="BW3" s="783"/>
      <c r="BX3" s="784"/>
      <c r="BY3" s="782"/>
      <c r="BZ3" s="783"/>
      <c r="CA3" s="783"/>
      <c r="CB3" s="783"/>
      <c r="CC3" s="784"/>
      <c r="CD3" s="782"/>
      <c r="CE3" s="783"/>
      <c r="CF3" s="783"/>
      <c r="CG3" s="783"/>
      <c r="CH3" s="784"/>
      <c r="CI3" s="782"/>
      <c r="CJ3" s="783"/>
      <c r="CK3" s="783"/>
      <c r="CL3" s="783"/>
      <c r="CM3" s="784"/>
      <c r="CN3" s="782"/>
      <c r="CO3" s="783"/>
      <c r="CP3" s="783"/>
      <c r="CQ3" s="783"/>
      <c r="CR3" s="784"/>
      <c r="CS3" s="782"/>
      <c r="CT3" s="783"/>
      <c r="CU3" s="783"/>
      <c r="CV3" s="783"/>
      <c r="CW3" s="784"/>
      <c r="CX3" s="782"/>
      <c r="CY3" s="783"/>
      <c r="CZ3" s="783"/>
      <c r="DA3" s="783"/>
      <c r="DB3" s="784"/>
      <c r="DC3" s="782"/>
      <c r="DD3" s="783"/>
      <c r="DE3" s="783"/>
      <c r="DF3" s="783"/>
      <c r="DG3" s="784"/>
      <c r="DH3" s="782"/>
      <c r="DI3" s="783"/>
      <c r="DJ3" s="783"/>
      <c r="DK3" s="783"/>
      <c r="DL3" s="784"/>
      <c r="DM3" s="782"/>
      <c r="DN3" s="783"/>
      <c r="DO3" s="783"/>
      <c r="DP3" s="783"/>
      <c r="DQ3" s="784"/>
      <c r="DR3" s="782"/>
      <c r="DS3" s="783"/>
      <c r="DT3" s="783"/>
      <c r="DU3" s="783"/>
      <c r="DV3" s="784"/>
      <c r="DW3" s="785"/>
      <c r="DX3" s="786"/>
      <c r="DY3" s="786"/>
      <c r="DZ3" s="787"/>
      <c r="EA3" s="782"/>
      <c r="EB3" s="783"/>
      <c r="EC3" s="786"/>
      <c r="ED3" s="786"/>
      <c r="EE3" s="786"/>
      <c r="EF3" s="786"/>
      <c r="EG3" s="786"/>
      <c r="EH3" s="786"/>
      <c r="EI3" s="787"/>
      <c r="EJ3" s="782"/>
      <c r="EK3" s="783"/>
      <c r="EL3" s="786"/>
      <c r="EM3" s="786"/>
      <c r="EN3" s="786"/>
      <c r="EO3" s="786"/>
      <c r="EP3" s="786"/>
      <c r="EQ3" s="786"/>
      <c r="ER3" s="787"/>
      <c r="ES3" s="788"/>
      <c r="ET3" s="789"/>
      <c r="EU3" s="789"/>
      <c r="EV3" s="789"/>
      <c r="EW3" s="789"/>
    </row>
    <row r="4" spans="1:153" x14ac:dyDescent="0.25">
      <c r="A4" s="641" t="s">
        <v>45</v>
      </c>
      <c r="B4" s="790" t="s">
        <v>529</v>
      </c>
      <c r="C4" s="791"/>
      <c r="D4" s="791"/>
      <c r="E4" s="791"/>
      <c r="F4" s="792"/>
      <c r="G4" s="790"/>
      <c r="H4" s="791"/>
      <c r="I4" s="791"/>
      <c r="J4" s="791"/>
      <c r="K4" s="792"/>
      <c r="L4" s="790"/>
      <c r="M4" s="791"/>
      <c r="N4" s="791"/>
      <c r="O4" s="791"/>
      <c r="P4" s="792"/>
      <c r="Q4" s="790"/>
      <c r="R4" s="791"/>
      <c r="S4" s="791"/>
      <c r="T4" s="791"/>
      <c r="U4" s="792"/>
      <c r="V4" s="790"/>
      <c r="W4" s="791"/>
      <c r="X4" s="791"/>
      <c r="Y4" s="791"/>
      <c r="Z4" s="792"/>
      <c r="AA4" s="790"/>
      <c r="AB4" s="791"/>
      <c r="AC4" s="791"/>
      <c r="AD4" s="791"/>
      <c r="AE4" s="792"/>
      <c r="AF4" s="790"/>
      <c r="AG4" s="791"/>
      <c r="AH4" s="791"/>
      <c r="AI4" s="791"/>
      <c r="AJ4" s="792"/>
      <c r="AK4" s="790"/>
      <c r="AL4" s="791"/>
      <c r="AM4" s="791"/>
      <c r="AN4" s="791"/>
      <c r="AO4" s="792"/>
      <c r="AP4" s="790"/>
      <c r="AQ4" s="791"/>
      <c r="AR4" s="791"/>
      <c r="AS4" s="791"/>
      <c r="AT4" s="792"/>
      <c r="AU4" s="790"/>
      <c r="AV4" s="791"/>
      <c r="AW4" s="791"/>
      <c r="AX4" s="791"/>
      <c r="AY4" s="792"/>
      <c r="AZ4" s="790"/>
      <c r="BA4" s="791"/>
      <c r="BB4" s="791"/>
      <c r="BC4" s="791"/>
      <c r="BD4" s="792"/>
      <c r="BE4" s="790"/>
      <c r="BF4" s="791"/>
      <c r="BG4" s="791"/>
      <c r="BH4" s="791"/>
      <c r="BI4" s="792"/>
      <c r="BJ4" s="790"/>
      <c r="BK4" s="791"/>
      <c r="BL4" s="791"/>
      <c r="BM4" s="791"/>
      <c r="BN4" s="792"/>
      <c r="BO4" s="790"/>
      <c r="BP4" s="791"/>
      <c r="BQ4" s="791"/>
      <c r="BR4" s="791"/>
      <c r="BS4" s="792"/>
      <c r="BT4" s="790"/>
      <c r="BU4" s="791"/>
      <c r="BV4" s="791"/>
      <c r="BW4" s="791"/>
      <c r="BX4" s="792"/>
      <c r="BY4" s="790"/>
      <c r="BZ4" s="791"/>
      <c r="CA4" s="791"/>
      <c r="CB4" s="791"/>
      <c r="CC4" s="792"/>
      <c r="CD4" s="790"/>
      <c r="CE4" s="791"/>
      <c r="CF4" s="791"/>
      <c r="CG4" s="791"/>
      <c r="CH4" s="792"/>
      <c r="CI4" s="790"/>
      <c r="CJ4" s="791"/>
      <c r="CK4" s="791"/>
      <c r="CL4" s="791"/>
      <c r="CM4" s="792"/>
      <c r="CN4" s="790"/>
      <c r="CO4" s="791"/>
      <c r="CP4" s="791"/>
      <c r="CQ4" s="791"/>
      <c r="CR4" s="792"/>
      <c r="CS4" s="790"/>
      <c r="CT4" s="791"/>
      <c r="CU4" s="791"/>
      <c r="CV4" s="791"/>
      <c r="CW4" s="792"/>
      <c r="CX4" s="790"/>
      <c r="CY4" s="791"/>
      <c r="CZ4" s="791"/>
      <c r="DA4" s="791"/>
      <c r="DB4" s="792"/>
      <c r="DC4" s="790"/>
      <c r="DD4" s="791"/>
      <c r="DE4" s="791"/>
      <c r="DF4" s="791"/>
      <c r="DG4" s="792"/>
      <c r="DH4" s="790"/>
      <c r="DI4" s="791"/>
      <c r="DJ4" s="791"/>
      <c r="DK4" s="791"/>
      <c r="DL4" s="792"/>
      <c r="DM4" s="790"/>
      <c r="DN4" s="791"/>
      <c r="DO4" s="791"/>
      <c r="DP4" s="791"/>
      <c r="DQ4" s="792"/>
      <c r="DR4" s="790"/>
      <c r="DS4" s="791"/>
      <c r="DT4" s="791"/>
      <c r="DU4" s="791"/>
      <c r="DV4" s="792"/>
      <c r="DW4" s="793"/>
      <c r="DX4" s="794"/>
      <c r="DY4" s="794"/>
      <c r="DZ4" s="795"/>
      <c r="EA4" s="790"/>
      <c r="EB4" s="791"/>
      <c r="EC4" s="794"/>
      <c r="ED4" s="794"/>
      <c r="EE4" s="794"/>
      <c r="EF4" s="794"/>
      <c r="EG4" s="794"/>
      <c r="EH4" s="794"/>
      <c r="EI4" s="795"/>
      <c r="EJ4" s="790"/>
      <c r="EK4" s="791"/>
      <c r="EL4" s="794"/>
      <c r="EM4" s="794"/>
      <c r="EN4" s="794"/>
      <c r="EO4" s="794"/>
      <c r="EP4" s="794"/>
      <c r="EQ4" s="794"/>
      <c r="ER4" s="795"/>
      <c r="ES4" s="788"/>
      <c r="ET4" s="789"/>
      <c r="EU4" s="789"/>
      <c r="EV4" s="789"/>
      <c r="EW4" s="789"/>
    </row>
    <row r="5" spans="1:153" x14ac:dyDescent="0.25">
      <c r="A5" s="651" t="s">
        <v>54</v>
      </c>
      <c r="B5" s="790"/>
      <c r="C5" s="791"/>
      <c r="D5" s="794"/>
      <c r="E5" s="794"/>
      <c r="F5" s="795"/>
      <c r="G5" s="790"/>
      <c r="H5" s="791"/>
      <c r="I5" s="794"/>
      <c r="J5" s="794"/>
      <c r="K5" s="795"/>
      <c r="L5" s="790"/>
      <c r="M5" s="791"/>
      <c r="N5" s="794"/>
      <c r="O5" s="794"/>
      <c r="P5" s="795"/>
      <c r="Q5" s="790"/>
      <c r="R5" s="791"/>
      <c r="S5" s="794"/>
      <c r="T5" s="794"/>
      <c r="U5" s="795"/>
      <c r="V5" s="790"/>
      <c r="W5" s="791"/>
      <c r="X5" s="794"/>
      <c r="Y5" s="794"/>
      <c r="Z5" s="795"/>
      <c r="AA5" s="790"/>
      <c r="AB5" s="791"/>
      <c r="AC5" s="794"/>
      <c r="AD5" s="794"/>
      <c r="AE5" s="795"/>
      <c r="AF5" s="790"/>
      <c r="AG5" s="791"/>
      <c r="AH5" s="794"/>
      <c r="AI5" s="794"/>
      <c r="AJ5" s="795"/>
      <c r="AK5" s="790"/>
      <c r="AL5" s="791"/>
      <c r="AM5" s="794"/>
      <c r="AN5" s="794"/>
      <c r="AO5" s="795"/>
      <c r="AP5" s="790"/>
      <c r="AQ5" s="791"/>
      <c r="AR5" s="794"/>
      <c r="AS5" s="794"/>
      <c r="AT5" s="795"/>
      <c r="AU5" s="790"/>
      <c r="AV5" s="791"/>
      <c r="AW5" s="794"/>
      <c r="AX5" s="794"/>
      <c r="AY5" s="795"/>
      <c r="AZ5" s="790"/>
      <c r="BA5" s="791"/>
      <c r="BB5" s="794"/>
      <c r="BC5" s="794"/>
      <c r="BD5" s="795"/>
      <c r="BE5" s="790"/>
      <c r="BF5" s="791"/>
      <c r="BG5" s="794"/>
      <c r="BH5" s="794"/>
      <c r="BI5" s="795"/>
      <c r="BJ5" s="790"/>
      <c r="BK5" s="791"/>
      <c r="BL5" s="794"/>
      <c r="BM5" s="794"/>
      <c r="BN5" s="795"/>
      <c r="BO5" s="790"/>
      <c r="BP5" s="791"/>
      <c r="BQ5" s="794"/>
      <c r="BR5" s="794"/>
      <c r="BS5" s="795"/>
      <c r="BT5" s="790"/>
      <c r="BU5" s="791"/>
      <c r="BV5" s="794"/>
      <c r="BW5" s="794"/>
      <c r="BX5" s="795"/>
      <c r="BY5" s="790"/>
      <c r="BZ5" s="791"/>
      <c r="CA5" s="794"/>
      <c r="CB5" s="794"/>
      <c r="CC5" s="795"/>
      <c r="CD5" s="790"/>
      <c r="CE5" s="791"/>
      <c r="CF5" s="794"/>
      <c r="CG5" s="794"/>
      <c r="CH5" s="795"/>
      <c r="CI5" s="790"/>
      <c r="CJ5" s="791"/>
      <c r="CK5" s="794"/>
      <c r="CL5" s="794"/>
      <c r="CM5" s="795"/>
      <c r="CN5" s="790"/>
      <c r="CO5" s="791"/>
      <c r="CP5" s="794"/>
      <c r="CQ5" s="794"/>
      <c r="CR5" s="795"/>
      <c r="CS5" s="790"/>
      <c r="CT5" s="791"/>
      <c r="CU5" s="794"/>
      <c r="CV5" s="794"/>
      <c r="CW5" s="795"/>
      <c r="CX5" s="790"/>
      <c r="CY5" s="791"/>
      <c r="CZ5" s="794"/>
      <c r="DA5" s="794"/>
      <c r="DB5" s="795"/>
      <c r="DC5" s="790"/>
      <c r="DD5" s="791"/>
      <c r="DE5" s="794"/>
      <c r="DF5" s="794"/>
      <c r="DG5" s="795"/>
      <c r="DH5" s="790"/>
      <c r="DI5" s="791"/>
      <c r="DJ5" s="794"/>
      <c r="DK5" s="794"/>
      <c r="DL5" s="795"/>
      <c r="DM5" s="790"/>
      <c r="DN5" s="791"/>
      <c r="DO5" s="794"/>
      <c r="DP5" s="794"/>
      <c r="DQ5" s="795"/>
      <c r="DR5" s="790"/>
      <c r="DS5" s="791"/>
      <c r="DT5" s="794"/>
      <c r="DU5" s="794"/>
      <c r="DV5" s="795"/>
      <c r="DW5" s="793"/>
      <c r="DX5" s="794"/>
      <c r="DY5" s="794"/>
      <c r="DZ5" s="795"/>
      <c r="EA5" s="790"/>
      <c r="EB5" s="791"/>
      <c r="EC5" s="794"/>
      <c r="ED5" s="794"/>
      <c r="EE5" s="794"/>
      <c r="EF5" s="794"/>
      <c r="EG5" s="794"/>
      <c r="EH5" s="794"/>
      <c r="EI5" s="795"/>
      <c r="EJ5" s="790"/>
      <c r="EK5" s="791"/>
      <c r="EL5" s="794"/>
      <c r="EM5" s="794"/>
      <c r="EN5" s="794"/>
      <c r="EO5" s="794"/>
      <c r="EP5" s="794"/>
      <c r="EQ5" s="794"/>
      <c r="ER5" s="795"/>
      <c r="ES5" s="788"/>
      <c r="ET5" s="789"/>
      <c r="EU5" s="789"/>
      <c r="EV5" s="789"/>
      <c r="EW5" s="789"/>
    </row>
    <row r="6" spans="1:153" x14ac:dyDescent="0.25">
      <c r="A6" s="651" t="s">
        <v>52</v>
      </c>
      <c r="B6" s="796"/>
      <c r="C6" s="797" t="s">
        <v>0</v>
      </c>
      <c r="D6" s="798"/>
      <c r="E6" s="798"/>
      <c r="F6" s="799"/>
      <c r="G6" s="796"/>
      <c r="H6" s="797"/>
      <c r="I6" s="798"/>
      <c r="J6" s="798"/>
      <c r="K6" s="799"/>
      <c r="L6" s="796"/>
      <c r="M6" s="797"/>
      <c r="N6" s="798"/>
      <c r="O6" s="798"/>
      <c r="P6" s="799"/>
      <c r="Q6" s="796"/>
      <c r="R6" s="797"/>
      <c r="S6" s="798"/>
      <c r="T6" s="798"/>
      <c r="U6" s="799"/>
      <c r="V6" s="796"/>
      <c r="W6" s="797"/>
      <c r="X6" s="798"/>
      <c r="Y6" s="798"/>
      <c r="Z6" s="799"/>
      <c r="AA6" s="796"/>
      <c r="AB6" s="797"/>
      <c r="AC6" s="798"/>
      <c r="AD6" s="798"/>
      <c r="AE6" s="799"/>
      <c r="AF6" s="796"/>
      <c r="AG6" s="797"/>
      <c r="AH6" s="798"/>
      <c r="AI6" s="798"/>
      <c r="AJ6" s="799"/>
      <c r="AK6" s="796"/>
      <c r="AL6" s="797"/>
      <c r="AM6" s="798"/>
      <c r="AN6" s="798"/>
      <c r="AO6" s="799"/>
      <c r="AP6" s="796"/>
      <c r="AQ6" s="797"/>
      <c r="AR6" s="798"/>
      <c r="AS6" s="798"/>
      <c r="AT6" s="799"/>
      <c r="AU6" s="796"/>
      <c r="AV6" s="797"/>
      <c r="AW6" s="798"/>
      <c r="AX6" s="798"/>
      <c r="AY6" s="799"/>
      <c r="AZ6" s="796"/>
      <c r="BA6" s="797"/>
      <c r="BB6" s="798"/>
      <c r="BC6" s="798"/>
      <c r="BD6" s="799"/>
      <c r="BE6" s="796"/>
      <c r="BF6" s="797"/>
      <c r="BG6" s="798"/>
      <c r="BH6" s="798"/>
      <c r="BI6" s="799"/>
      <c r="BJ6" s="796"/>
      <c r="BK6" s="797"/>
      <c r="BL6" s="798"/>
      <c r="BM6" s="798"/>
      <c r="BN6" s="799"/>
      <c r="BO6" s="796"/>
      <c r="BP6" s="797"/>
      <c r="BQ6" s="798"/>
      <c r="BR6" s="798"/>
      <c r="BS6" s="799"/>
      <c r="BT6" s="796"/>
      <c r="BU6" s="797"/>
      <c r="BV6" s="798"/>
      <c r="BW6" s="798"/>
      <c r="BX6" s="799"/>
      <c r="BY6" s="796"/>
      <c r="BZ6" s="797"/>
      <c r="CA6" s="798"/>
      <c r="CB6" s="798"/>
      <c r="CC6" s="799"/>
      <c r="CD6" s="796"/>
      <c r="CE6" s="797"/>
      <c r="CF6" s="798"/>
      <c r="CG6" s="798"/>
      <c r="CH6" s="799"/>
      <c r="CI6" s="796"/>
      <c r="CJ6" s="797"/>
      <c r="CK6" s="798"/>
      <c r="CL6" s="798"/>
      <c r="CM6" s="799"/>
      <c r="CN6" s="796"/>
      <c r="CO6" s="797"/>
      <c r="CP6" s="798"/>
      <c r="CQ6" s="798"/>
      <c r="CR6" s="799"/>
      <c r="CS6" s="796"/>
      <c r="CT6" s="797"/>
      <c r="CU6" s="798"/>
      <c r="CV6" s="798"/>
      <c r="CW6" s="799"/>
      <c r="CX6" s="796"/>
      <c r="CY6" s="797"/>
      <c r="CZ6" s="798"/>
      <c r="DA6" s="798"/>
      <c r="DB6" s="799"/>
      <c r="DC6" s="796"/>
      <c r="DD6" s="797"/>
      <c r="DE6" s="798"/>
      <c r="DF6" s="798"/>
      <c r="DG6" s="799"/>
      <c r="DH6" s="796"/>
      <c r="DI6" s="797"/>
      <c r="DJ6" s="798"/>
      <c r="DK6" s="798"/>
      <c r="DL6" s="799"/>
      <c r="DM6" s="796"/>
      <c r="DN6" s="797"/>
      <c r="DO6" s="798"/>
      <c r="DP6" s="798"/>
      <c r="DQ6" s="799"/>
      <c r="DR6" s="796"/>
      <c r="DS6" s="797"/>
      <c r="DT6" s="798"/>
      <c r="DU6" s="798"/>
      <c r="DV6" s="799"/>
      <c r="DW6" s="793"/>
      <c r="DX6" s="794"/>
      <c r="DY6" s="794"/>
      <c r="DZ6" s="795"/>
      <c r="EA6" s="790"/>
      <c r="EB6" s="791"/>
      <c r="EC6" s="794"/>
      <c r="ED6" s="794"/>
      <c r="EE6" s="794"/>
      <c r="EF6" s="794"/>
      <c r="EG6" s="794"/>
      <c r="EH6" s="794"/>
      <c r="EI6" s="795"/>
      <c r="EJ6" s="790"/>
      <c r="EK6" s="791"/>
      <c r="EL6" s="794"/>
      <c r="EM6" s="794"/>
      <c r="EN6" s="794"/>
      <c r="EO6" s="794"/>
      <c r="EP6" s="794"/>
      <c r="EQ6" s="794"/>
      <c r="ER6" s="795"/>
      <c r="ES6" s="788"/>
      <c r="ET6" s="789"/>
      <c r="EU6" s="789"/>
      <c r="EV6" s="789"/>
      <c r="EW6" s="789"/>
    </row>
    <row r="7" spans="1:153" x14ac:dyDescent="0.25">
      <c r="A7" s="651" t="s">
        <v>10</v>
      </c>
      <c r="B7" s="790" t="s">
        <v>530</v>
      </c>
      <c r="C7" s="791"/>
      <c r="D7" s="794"/>
      <c r="E7" s="794"/>
      <c r="F7" s="795"/>
      <c r="G7" s="790"/>
      <c r="H7" s="791"/>
      <c r="I7" s="794"/>
      <c r="J7" s="794"/>
      <c r="K7" s="795"/>
      <c r="L7" s="790"/>
      <c r="M7" s="791"/>
      <c r="N7" s="794"/>
      <c r="O7" s="794"/>
      <c r="P7" s="795"/>
      <c r="Q7" s="790"/>
      <c r="R7" s="791"/>
      <c r="S7" s="794"/>
      <c r="T7" s="794"/>
      <c r="U7" s="795"/>
      <c r="V7" s="790"/>
      <c r="W7" s="791"/>
      <c r="X7" s="794"/>
      <c r="Y7" s="794"/>
      <c r="Z7" s="795"/>
      <c r="AA7" s="790"/>
      <c r="AB7" s="791"/>
      <c r="AC7" s="794"/>
      <c r="AD7" s="794"/>
      <c r="AE7" s="795"/>
      <c r="AF7" s="790"/>
      <c r="AG7" s="791"/>
      <c r="AH7" s="794"/>
      <c r="AI7" s="794"/>
      <c r="AJ7" s="795"/>
      <c r="AK7" s="790"/>
      <c r="AL7" s="791"/>
      <c r="AM7" s="794"/>
      <c r="AN7" s="794"/>
      <c r="AO7" s="795"/>
      <c r="AP7" s="790"/>
      <c r="AQ7" s="791"/>
      <c r="AR7" s="794"/>
      <c r="AS7" s="794"/>
      <c r="AT7" s="795"/>
      <c r="AU7" s="790"/>
      <c r="AV7" s="791"/>
      <c r="AW7" s="794"/>
      <c r="AX7" s="794"/>
      <c r="AY7" s="795"/>
      <c r="AZ7" s="790"/>
      <c r="BA7" s="791"/>
      <c r="BB7" s="794"/>
      <c r="BC7" s="794"/>
      <c r="BD7" s="795"/>
      <c r="BE7" s="790"/>
      <c r="BF7" s="791"/>
      <c r="BG7" s="794"/>
      <c r="BH7" s="794"/>
      <c r="BI7" s="795"/>
      <c r="BJ7" s="790"/>
      <c r="BK7" s="791"/>
      <c r="BL7" s="794"/>
      <c r="BM7" s="794"/>
      <c r="BN7" s="795"/>
      <c r="BO7" s="790"/>
      <c r="BP7" s="791"/>
      <c r="BQ7" s="794"/>
      <c r="BR7" s="794"/>
      <c r="BS7" s="795"/>
      <c r="BT7" s="790"/>
      <c r="BU7" s="791"/>
      <c r="BV7" s="794"/>
      <c r="BW7" s="794"/>
      <c r="BX7" s="795"/>
      <c r="BY7" s="790"/>
      <c r="BZ7" s="791"/>
      <c r="CA7" s="794"/>
      <c r="CB7" s="794"/>
      <c r="CC7" s="795"/>
      <c r="CD7" s="790"/>
      <c r="CE7" s="791"/>
      <c r="CF7" s="794"/>
      <c r="CG7" s="794"/>
      <c r="CH7" s="795"/>
      <c r="CI7" s="790"/>
      <c r="CJ7" s="791"/>
      <c r="CK7" s="794"/>
      <c r="CL7" s="794"/>
      <c r="CM7" s="795"/>
      <c r="CN7" s="790"/>
      <c r="CO7" s="791"/>
      <c r="CP7" s="794"/>
      <c r="CQ7" s="794"/>
      <c r="CR7" s="795"/>
      <c r="CS7" s="790"/>
      <c r="CT7" s="791"/>
      <c r="CU7" s="794"/>
      <c r="CV7" s="794"/>
      <c r="CW7" s="795"/>
      <c r="CX7" s="790"/>
      <c r="CY7" s="791"/>
      <c r="CZ7" s="794"/>
      <c r="DA7" s="794"/>
      <c r="DB7" s="795"/>
      <c r="DC7" s="790"/>
      <c r="DD7" s="791"/>
      <c r="DE7" s="794"/>
      <c r="DF7" s="794"/>
      <c r="DG7" s="795"/>
      <c r="DH7" s="790"/>
      <c r="DI7" s="791"/>
      <c r="DJ7" s="794"/>
      <c r="DK7" s="794"/>
      <c r="DL7" s="795"/>
      <c r="DM7" s="790"/>
      <c r="DN7" s="791"/>
      <c r="DO7" s="794"/>
      <c r="DP7" s="794"/>
      <c r="DQ7" s="795"/>
      <c r="DR7" s="790"/>
      <c r="DS7" s="791"/>
      <c r="DT7" s="794"/>
      <c r="DU7" s="794"/>
      <c r="DV7" s="795"/>
      <c r="DW7" s="793"/>
      <c r="DX7" s="794"/>
      <c r="DY7" s="794"/>
      <c r="DZ7" s="795"/>
      <c r="EA7" s="790"/>
      <c r="EB7" s="791"/>
      <c r="EC7" s="794"/>
      <c r="ED7" s="794"/>
      <c r="EE7" s="794"/>
      <c r="EF7" s="794"/>
      <c r="EG7" s="794"/>
      <c r="EH7" s="794"/>
      <c r="EI7" s="795"/>
      <c r="EJ7" s="790"/>
      <c r="EK7" s="791"/>
      <c r="EL7" s="794"/>
      <c r="EM7" s="794"/>
      <c r="EN7" s="794"/>
      <c r="EO7" s="794"/>
      <c r="EP7" s="794"/>
      <c r="EQ7" s="794"/>
      <c r="ER7" s="795"/>
      <c r="ES7" s="788"/>
      <c r="ET7" s="789"/>
      <c r="EU7" s="789"/>
      <c r="EV7" s="789"/>
      <c r="EW7" s="789"/>
    </row>
    <row r="8" spans="1:153" ht="13.5" customHeight="1" x14ac:dyDescent="0.25">
      <c r="A8" s="651" t="s">
        <v>291</v>
      </c>
      <c r="B8" s="790" t="s">
        <v>210</v>
      </c>
      <c r="C8" s="791"/>
      <c r="D8" s="794"/>
      <c r="E8" s="794"/>
      <c r="F8" s="795"/>
      <c r="G8" s="790"/>
      <c r="H8" s="791"/>
      <c r="I8" s="794"/>
      <c r="J8" s="794"/>
      <c r="K8" s="795"/>
      <c r="L8" s="790"/>
      <c r="M8" s="791"/>
      <c r="N8" s="794"/>
      <c r="O8" s="794"/>
      <c r="P8" s="795"/>
      <c r="Q8" s="790"/>
      <c r="R8" s="791"/>
      <c r="S8" s="794"/>
      <c r="T8" s="794"/>
      <c r="U8" s="795"/>
      <c r="V8" s="790"/>
      <c r="W8" s="791"/>
      <c r="X8" s="794"/>
      <c r="Y8" s="794"/>
      <c r="Z8" s="795"/>
      <c r="AA8" s="790"/>
      <c r="AB8" s="791"/>
      <c r="AC8" s="794"/>
      <c r="AD8" s="794"/>
      <c r="AE8" s="795"/>
      <c r="AF8" s="790"/>
      <c r="AG8" s="791"/>
      <c r="AH8" s="794"/>
      <c r="AI8" s="794"/>
      <c r="AJ8" s="795"/>
      <c r="AK8" s="790"/>
      <c r="AL8" s="791"/>
      <c r="AM8" s="794"/>
      <c r="AN8" s="794"/>
      <c r="AO8" s="795"/>
      <c r="AP8" s="790"/>
      <c r="AQ8" s="791"/>
      <c r="AR8" s="794"/>
      <c r="AS8" s="794"/>
      <c r="AT8" s="795"/>
      <c r="AU8" s="790"/>
      <c r="AV8" s="791"/>
      <c r="AW8" s="794"/>
      <c r="AX8" s="794"/>
      <c r="AY8" s="795"/>
      <c r="AZ8" s="790"/>
      <c r="BA8" s="791"/>
      <c r="BB8" s="794"/>
      <c r="BC8" s="794"/>
      <c r="BD8" s="795"/>
      <c r="BE8" s="790"/>
      <c r="BF8" s="791"/>
      <c r="BG8" s="794"/>
      <c r="BH8" s="794"/>
      <c r="BI8" s="795"/>
      <c r="BJ8" s="790"/>
      <c r="BK8" s="791"/>
      <c r="BL8" s="794"/>
      <c r="BM8" s="794"/>
      <c r="BN8" s="795"/>
      <c r="BO8" s="790"/>
      <c r="BP8" s="791"/>
      <c r="BQ8" s="794"/>
      <c r="BR8" s="794"/>
      <c r="BS8" s="795"/>
      <c r="BT8" s="790"/>
      <c r="BU8" s="791"/>
      <c r="BV8" s="794"/>
      <c r="BW8" s="794"/>
      <c r="BX8" s="795"/>
      <c r="BY8" s="790"/>
      <c r="BZ8" s="791"/>
      <c r="CA8" s="794"/>
      <c r="CB8" s="794"/>
      <c r="CC8" s="795"/>
      <c r="CD8" s="790"/>
      <c r="CE8" s="791"/>
      <c r="CF8" s="794"/>
      <c r="CG8" s="794"/>
      <c r="CH8" s="795"/>
      <c r="CI8" s="790"/>
      <c r="CJ8" s="791"/>
      <c r="CK8" s="794"/>
      <c r="CL8" s="794"/>
      <c r="CM8" s="795"/>
      <c r="CN8" s="790"/>
      <c r="CO8" s="791"/>
      <c r="CP8" s="794"/>
      <c r="CQ8" s="794"/>
      <c r="CR8" s="795"/>
      <c r="CS8" s="790"/>
      <c r="CT8" s="791"/>
      <c r="CU8" s="794"/>
      <c r="CV8" s="794"/>
      <c r="CW8" s="795"/>
      <c r="CX8" s="790"/>
      <c r="CY8" s="791"/>
      <c r="CZ8" s="794"/>
      <c r="DA8" s="794"/>
      <c r="DB8" s="795"/>
      <c r="DC8" s="790"/>
      <c r="DD8" s="791"/>
      <c r="DE8" s="794"/>
      <c r="DF8" s="794"/>
      <c r="DG8" s="795"/>
      <c r="DH8" s="790"/>
      <c r="DI8" s="791"/>
      <c r="DJ8" s="794"/>
      <c r="DK8" s="794"/>
      <c r="DL8" s="795"/>
      <c r="DM8" s="790"/>
      <c r="DN8" s="791"/>
      <c r="DO8" s="794"/>
      <c r="DP8" s="794"/>
      <c r="DQ8" s="795"/>
      <c r="DR8" s="790"/>
      <c r="DS8" s="791"/>
      <c r="DT8" s="794"/>
      <c r="DU8" s="794"/>
      <c r="DV8" s="795"/>
      <c r="DW8" s="793"/>
      <c r="DX8" s="794"/>
      <c r="DY8" s="794"/>
      <c r="DZ8" s="795"/>
      <c r="EA8" s="790"/>
      <c r="EB8" s="791"/>
      <c r="EC8" s="794"/>
      <c r="ED8" s="794"/>
      <c r="EE8" s="794"/>
      <c r="EF8" s="794"/>
      <c r="EG8" s="794"/>
      <c r="EH8" s="794"/>
      <c r="EI8" s="795"/>
      <c r="EJ8" s="790"/>
      <c r="EK8" s="791"/>
      <c r="EL8" s="794"/>
      <c r="EM8" s="794"/>
      <c r="EN8" s="794"/>
      <c r="EO8" s="794"/>
      <c r="EP8" s="794"/>
      <c r="EQ8" s="794"/>
      <c r="ER8" s="795"/>
      <c r="ES8" s="780"/>
      <c r="ET8" s="781"/>
      <c r="EU8" s="781"/>
      <c r="EV8" s="781"/>
      <c r="EW8" s="781"/>
    </row>
    <row r="9" spans="1:153" ht="13.5" customHeight="1" thickBot="1" x14ac:dyDescent="0.3">
      <c r="A9" s="651" t="s">
        <v>353</v>
      </c>
      <c r="B9" s="800" t="s">
        <v>210</v>
      </c>
      <c r="C9" s="801"/>
      <c r="D9" s="802"/>
      <c r="E9" s="802"/>
      <c r="F9" s="803"/>
      <c r="G9" s="800"/>
      <c r="H9" s="801"/>
      <c r="I9" s="802"/>
      <c r="J9" s="802"/>
      <c r="K9" s="803"/>
      <c r="L9" s="800"/>
      <c r="M9" s="801"/>
      <c r="N9" s="802"/>
      <c r="O9" s="802"/>
      <c r="P9" s="803"/>
      <c r="Q9" s="800"/>
      <c r="R9" s="801"/>
      <c r="S9" s="802"/>
      <c r="T9" s="802"/>
      <c r="U9" s="803"/>
      <c r="V9" s="800"/>
      <c r="W9" s="801"/>
      <c r="X9" s="802"/>
      <c r="Y9" s="802"/>
      <c r="Z9" s="803"/>
      <c r="AA9" s="800"/>
      <c r="AB9" s="801"/>
      <c r="AC9" s="802"/>
      <c r="AD9" s="802"/>
      <c r="AE9" s="803"/>
      <c r="AF9" s="800"/>
      <c r="AG9" s="801"/>
      <c r="AH9" s="802"/>
      <c r="AI9" s="802"/>
      <c r="AJ9" s="803"/>
      <c r="AK9" s="800"/>
      <c r="AL9" s="801"/>
      <c r="AM9" s="802"/>
      <c r="AN9" s="802"/>
      <c r="AO9" s="803"/>
      <c r="AP9" s="800"/>
      <c r="AQ9" s="801"/>
      <c r="AR9" s="802"/>
      <c r="AS9" s="802"/>
      <c r="AT9" s="803"/>
      <c r="AU9" s="800"/>
      <c r="AV9" s="801"/>
      <c r="AW9" s="802"/>
      <c r="AX9" s="802"/>
      <c r="AY9" s="803"/>
      <c r="AZ9" s="800"/>
      <c r="BA9" s="801"/>
      <c r="BB9" s="802"/>
      <c r="BC9" s="802"/>
      <c r="BD9" s="803"/>
      <c r="BE9" s="800"/>
      <c r="BF9" s="801"/>
      <c r="BG9" s="802"/>
      <c r="BH9" s="802"/>
      <c r="BI9" s="803"/>
      <c r="BJ9" s="800"/>
      <c r="BK9" s="801"/>
      <c r="BL9" s="802"/>
      <c r="BM9" s="802"/>
      <c r="BN9" s="803"/>
      <c r="BO9" s="800"/>
      <c r="BP9" s="801"/>
      <c r="BQ9" s="802"/>
      <c r="BR9" s="802"/>
      <c r="BS9" s="803"/>
      <c r="BT9" s="800"/>
      <c r="BU9" s="801"/>
      <c r="BV9" s="802"/>
      <c r="BW9" s="802"/>
      <c r="BX9" s="803"/>
      <c r="BY9" s="800"/>
      <c r="BZ9" s="801"/>
      <c r="CA9" s="802"/>
      <c r="CB9" s="802"/>
      <c r="CC9" s="803"/>
      <c r="CD9" s="800"/>
      <c r="CE9" s="801"/>
      <c r="CF9" s="802"/>
      <c r="CG9" s="802"/>
      <c r="CH9" s="803"/>
      <c r="CI9" s="800"/>
      <c r="CJ9" s="801"/>
      <c r="CK9" s="802"/>
      <c r="CL9" s="802"/>
      <c r="CM9" s="803"/>
      <c r="CN9" s="800"/>
      <c r="CO9" s="801"/>
      <c r="CP9" s="802"/>
      <c r="CQ9" s="802"/>
      <c r="CR9" s="803"/>
      <c r="CS9" s="800"/>
      <c r="CT9" s="801"/>
      <c r="CU9" s="802"/>
      <c r="CV9" s="802"/>
      <c r="CW9" s="803"/>
      <c r="CX9" s="800"/>
      <c r="CY9" s="801"/>
      <c r="CZ9" s="802"/>
      <c r="DA9" s="802"/>
      <c r="DB9" s="803"/>
      <c r="DC9" s="800"/>
      <c r="DD9" s="801"/>
      <c r="DE9" s="802"/>
      <c r="DF9" s="802"/>
      <c r="DG9" s="803"/>
      <c r="DH9" s="800"/>
      <c r="DI9" s="801"/>
      <c r="DJ9" s="802"/>
      <c r="DK9" s="802"/>
      <c r="DL9" s="803"/>
      <c r="DM9" s="800"/>
      <c r="DN9" s="801"/>
      <c r="DO9" s="802"/>
      <c r="DP9" s="802"/>
      <c r="DQ9" s="803"/>
      <c r="DR9" s="800"/>
      <c r="DS9" s="801"/>
      <c r="DT9" s="802"/>
      <c r="DU9" s="802"/>
      <c r="DV9" s="803"/>
      <c r="DW9" s="650"/>
      <c r="DX9" s="650"/>
      <c r="DY9" s="650"/>
      <c r="DZ9" s="804"/>
      <c r="EA9" s="800"/>
      <c r="EB9" s="801"/>
      <c r="EC9" s="802"/>
      <c r="ED9" s="802"/>
      <c r="EE9" s="802"/>
      <c r="EF9" s="650"/>
      <c r="EG9" s="650"/>
      <c r="EH9" s="650"/>
      <c r="EI9" s="804"/>
      <c r="EJ9" s="800"/>
      <c r="EK9" s="801"/>
      <c r="EL9" s="802"/>
      <c r="EM9" s="802"/>
      <c r="EN9" s="802"/>
      <c r="EO9" s="650"/>
      <c r="EP9" s="650"/>
      <c r="EQ9" s="650"/>
      <c r="ER9" s="650"/>
      <c r="ES9" s="780"/>
      <c r="ET9" s="781"/>
      <c r="EU9" s="781"/>
      <c r="EV9" s="781"/>
      <c r="EW9" s="781"/>
    </row>
    <row r="10" spans="1:153" ht="92.25" thickBot="1" x14ac:dyDescent="0.3">
      <c r="A10" s="805" t="s">
        <v>51</v>
      </c>
      <c r="B10" s="669" t="str">
        <f>CONCATENATE(B2," ",B11)</f>
        <v>1 crop species</v>
      </c>
      <c r="C10" s="670" t="str">
        <f>CONCATENATE(B2," ",C11)</f>
        <v>1 Livestock</v>
      </c>
      <c r="D10" s="670" t="str">
        <f>CONCATENATE(B2," ",D11)</f>
        <v>1 area</v>
      </c>
      <c r="E10" s="670" t="str">
        <f>CONCATENATE(B2," ",E11)</f>
        <v>1 crop yield</v>
      </c>
      <c r="F10" s="806" t="str">
        <f>CONCATENATE(B2," ",F11)</f>
        <v>1 by-product 1</v>
      </c>
      <c r="G10" s="669" t="str">
        <f>CONCATENATE(G2," ",G11)</f>
        <v>2 crop species</v>
      </c>
      <c r="H10" s="670" t="str">
        <f>CONCATENATE(G2," ",H11)</f>
        <v>2 Livestock</v>
      </c>
      <c r="I10" s="670" t="str">
        <f>CONCATENATE(G2," ",I11)</f>
        <v>2 area</v>
      </c>
      <c r="J10" s="670" t="str">
        <f>CONCATENATE(G2," ",J11)</f>
        <v>2 crop yield</v>
      </c>
      <c r="K10" s="806" t="str">
        <f>CONCATENATE(G2," ",K11)</f>
        <v>2 by-product 1</v>
      </c>
      <c r="L10" s="669" t="str">
        <f>CONCATENATE(L2," ",L11)</f>
        <v>3 crop species</v>
      </c>
      <c r="M10" s="670" t="str">
        <f>CONCATENATE(L2," ",M11)</f>
        <v>3 Livestock</v>
      </c>
      <c r="N10" s="670" t="str">
        <f>CONCATENATE(L2," ",N11)</f>
        <v>3 area</v>
      </c>
      <c r="O10" s="670" t="str">
        <f>CONCATENATE(L2," ",O11)</f>
        <v>3 crop yield</v>
      </c>
      <c r="P10" s="806" t="str">
        <f>CONCATENATE(L2," ",P11)</f>
        <v>3 by-product 1</v>
      </c>
      <c r="Q10" s="669" t="str">
        <f>CONCATENATE(Q2," ",Q11)</f>
        <v>4 crop species</v>
      </c>
      <c r="R10" s="670" t="str">
        <f>CONCATENATE(Q2," ",R11)</f>
        <v>4 Livestock</v>
      </c>
      <c r="S10" s="670" t="str">
        <f>CONCATENATE(Q2," ",S11)</f>
        <v>4 area</v>
      </c>
      <c r="T10" s="670" t="str">
        <f>CONCATENATE(Q2," ",T11)</f>
        <v>4 crop yield</v>
      </c>
      <c r="U10" s="806" t="str">
        <f>CONCATENATE(Q2," ",U11)</f>
        <v>4 by-product 1</v>
      </c>
      <c r="V10" s="669" t="str">
        <f>CONCATENATE(V2," ",V11)</f>
        <v>5 crop species</v>
      </c>
      <c r="W10" s="670" t="str">
        <f>CONCATENATE(V2," ",W11)</f>
        <v>5 Livestock</v>
      </c>
      <c r="X10" s="670" t="str">
        <f>CONCATENATE(V2," ",X11)</f>
        <v>5 area</v>
      </c>
      <c r="Y10" s="670" t="str">
        <f>CONCATENATE(V2," ",Y11)</f>
        <v>5 crop yield</v>
      </c>
      <c r="Z10" s="806" t="str">
        <f>CONCATENATE(V2," ",Z11)</f>
        <v>5 by-product 1</v>
      </c>
      <c r="AA10" s="669" t="str">
        <f>CONCATENATE(AA2," ",AA11)</f>
        <v>6 crop species</v>
      </c>
      <c r="AB10" s="670" t="str">
        <f>CONCATENATE(AA2," ",AB11)</f>
        <v>6 Livestock</v>
      </c>
      <c r="AC10" s="670" t="str">
        <f>CONCATENATE(AA2," ",AC11)</f>
        <v>6 area</v>
      </c>
      <c r="AD10" s="670" t="str">
        <f>CONCATENATE(AA2," ",AD11)</f>
        <v>6 crop yield</v>
      </c>
      <c r="AE10" s="806" t="str">
        <f>CONCATENATE(AA2," ",AE11)</f>
        <v>6 by-product 1</v>
      </c>
      <c r="AF10" s="669" t="str">
        <f>CONCATENATE(AF2," ",AF11)</f>
        <v>7 crop species</v>
      </c>
      <c r="AG10" s="670" t="str">
        <f>CONCATENATE(AF2," ",AG11)</f>
        <v>7 Livestock</v>
      </c>
      <c r="AH10" s="670" t="str">
        <f>CONCATENATE(AF2," ",AH11)</f>
        <v>7 area</v>
      </c>
      <c r="AI10" s="670" t="str">
        <f>CONCATENATE(AF2," ",AI11)</f>
        <v>7 crop yield</v>
      </c>
      <c r="AJ10" s="806" t="str">
        <f>CONCATENATE(AF2," ",AJ11)</f>
        <v>7 by-product 1</v>
      </c>
      <c r="AK10" s="669" t="str">
        <f>CONCATENATE(AK2," ",AK11)</f>
        <v>8 crop species</v>
      </c>
      <c r="AL10" s="670" t="str">
        <f>CONCATENATE(AK2," ",AL11)</f>
        <v>8 Livestock</v>
      </c>
      <c r="AM10" s="670" t="str">
        <f>CONCATENATE(AK2," ",AM11)</f>
        <v>8 area</v>
      </c>
      <c r="AN10" s="670" t="str">
        <f>CONCATENATE(AK2," ",AN11)</f>
        <v>8 crop yield</v>
      </c>
      <c r="AO10" s="806" t="str">
        <f>CONCATENATE(AK2," ",AO11)</f>
        <v>8 by-product 1</v>
      </c>
      <c r="AP10" s="669" t="str">
        <f>CONCATENATE(AP2," ",AP11)</f>
        <v>9 crop species</v>
      </c>
      <c r="AQ10" s="670" t="str">
        <f>CONCATENATE(AP2," ",AQ11)</f>
        <v>9 Livestock</v>
      </c>
      <c r="AR10" s="670" t="str">
        <f>CONCATENATE(AP2," ",AR11)</f>
        <v>9 area</v>
      </c>
      <c r="AS10" s="670" t="str">
        <f>CONCATENATE(AP2," ",AS11)</f>
        <v>9 crop yield</v>
      </c>
      <c r="AT10" s="806" t="str">
        <f>CONCATENATE(AP2," ",AT11)</f>
        <v>9 by-product 1</v>
      </c>
      <c r="AU10" s="669" t="str">
        <f>CONCATENATE(AU2," ",AU11)</f>
        <v>10 crop species</v>
      </c>
      <c r="AV10" s="670" t="str">
        <f>CONCATENATE(AU2," ",AV11)</f>
        <v>10 Livestock</v>
      </c>
      <c r="AW10" s="670" t="str">
        <f>CONCATENATE(AU2," ",AW11)</f>
        <v>10 area</v>
      </c>
      <c r="AX10" s="670" t="str">
        <f>CONCATENATE(AU2," ",AX11)</f>
        <v>10 crop yield</v>
      </c>
      <c r="AY10" s="806" t="str">
        <f>CONCATENATE(AU2," ",AY11)</f>
        <v>10 by-product 1</v>
      </c>
      <c r="AZ10" s="669" t="str">
        <f>CONCATENATE(AZ2," ",AZ11)</f>
        <v>11 crop species</v>
      </c>
      <c r="BA10" s="670" t="str">
        <f>CONCATENATE(AZ2," ",BA11)</f>
        <v>11 Livestock</v>
      </c>
      <c r="BB10" s="670" t="str">
        <f>CONCATENATE(AZ2," ",BB11)</f>
        <v>11 area</v>
      </c>
      <c r="BC10" s="670" t="str">
        <f>CONCATENATE(AZ2," ",BC11)</f>
        <v>11 crop yield</v>
      </c>
      <c r="BD10" s="806" t="str">
        <f>CONCATENATE(AZ2," ",BD11)</f>
        <v>11 by-product 1</v>
      </c>
      <c r="BE10" s="669" t="str">
        <f>CONCATENATE(BE2," ",BE11)</f>
        <v>12 crop species</v>
      </c>
      <c r="BF10" s="670" t="str">
        <f>CONCATENATE(BE2," ",BF11)</f>
        <v>12 Livestock</v>
      </c>
      <c r="BG10" s="670" t="str">
        <f>CONCATENATE(BE2," ",BG11)</f>
        <v>12 area</v>
      </c>
      <c r="BH10" s="670" t="str">
        <f>CONCATENATE(BE2," ",BH11)</f>
        <v>12 crop yield</v>
      </c>
      <c r="BI10" s="806" t="str">
        <f>CONCATENATE(BE2," ",BI11)</f>
        <v>12 by-product 1</v>
      </c>
      <c r="BJ10" s="669" t="str">
        <f>CONCATENATE(BJ2," ",BJ11)</f>
        <v>13 crop species</v>
      </c>
      <c r="BK10" s="670" t="str">
        <f>CONCATENATE(BJ2," ",BK11)</f>
        <v>13 Livestock</v>
      </c>
      <c r="BL10" s="670" t="str">
        <f>CONCATENATE(BJ2," ",BL11)</f>
        <v>13 area</v>
      </c>
      <c r="BM10" s="670" t="str">
        <f>CONCATENATE(BJ2," ",BM11)</f>
        <v>13 crop yield</v>
      </c>
      <c r="BN10" s="806" t="str">
        <f>CONCATENATE(BJ2," ",BN11)</f>
        <v>13 by-product 1</v>
      </c>
      <c r="BO10" s="669" t="str">
        <f>CONCATENATE(BO2," ",BO11)</f>
        <v>14 crop species</v>
      </c>
      <c r="BP10" s="670" t="str">
        <f>CONCATENATE(BO2," ",BP11)</f>
        <v>14 Livestock</v>
      </c>
      <c r="BQ10" s="670" t="str">
        <f>CONCATENATE(BO2," ",BQ11)</f>
        <v>14 area</v>
      </c>
      <c r="BR10" s="670" t="str">
        <f>CONCATENATE(BO2," ",BR11)</f>
        <v>14 crop yield</v>
      </c>
      <c r="BS10" s="806" t="str">
        <f>CONCATENATE(BO2," ",BS11)</f>
        <v>14 by-product 1</v>
      </c>
      <c r="BT10" s="669" t="str">
        <f>CONCATENATE(BT2," ",BT11)</f>
        <v>15 crop species</v>
      </c>
      <c r="BU10" s="670" t="str">
        <f>CONCATENATE(BT2," ",BU11)</f>
        <v>15 Livestock</v>
      </c>
      <c r="BV10" s="670" t="str">
        <f>CONCATENATE(BT2," ",BV11)</f>
        <v>15 area</v>
      </c>
      <c r="BW10" s="670" t="str">
        <f>CONCATENATE(BT2," ",BW11)</f>
        <v>15 crop yield</v>
      </c>
      <c r="BX10" s="806" t="str">
        <f>CONCATENATE(BT2," ",BX11)</f>
        <v>15 by-product 1</v>
      </c>
      <c r="BY10" s="669" t="str">
        <f>CONCATENATE(BY2," ",BY11)</f>
        <v>16 crop species</v>
      </c>
      <c r="BZ10" s="670" t="str">
        <f>CONCATENATE(BY2," ",BZ11)</f>
        <v>16 Livestock</v>
      </c>
      <c r="CA10" s="670" t="str">
        <f>CONCATENATE(BY2," ",CA11)</f>
        <v>16 area</v>
      </c>
      <c r="CB10" s="670" t="str">
        <f>CONCATENATE(BY2," ",CB11)</f>
        <v>16 crop yield</v>
      </c>
      <c r="CC10" s="806" t="str">
        <f>CONCATENATE(BY2," ",CC11)</f>
        <v>16 by-product 1</v>
      </c>
      <c r="CD10" s="669" t="str">
        <f>CONCATENATE($CD$2," ",CD11)</f>
        <v>17 crop species</v>
      </c>
      <c r="CE10" s="670" t="str">
        <f>CONCATENATE(CD2," ",CE11)</f>
        <v>17 Livestock</v>
      </c>
      <c r="CF10" s="670" t="str">
        <f>CONCATENATE($CD$2," ",CF11)</f>
        <v>17 area</v>
      </c>
      <c r="CG10" s="670" t="str">
        <f>CONCATENATE($CD$2," ",CG11)</f>
        <v>17 crop yield</v>
      </c>
      <c r="CH10" s="806" t="str">
        <f>CONCATENATE($CD$2," ",CH11)</f>
        <v>17 by-product 1</v>
      </c>
      <c r="CI10" s="669" t="str">
        <f>CONCATENATE(CI2," ",CI11)</f>
        <v>18 crop species</v>
      </c>
      <c r="CJ10" s="670" t="str">
        <f>CONCATENATE(CI2," ",CJ11)</f>
        <v>18 Livestock</v>
      </c>
      <c r="CK10" s="670" t="str">
        <f>CONCATENATE(CI2," ",CK11)</f>
        <v>18 area</v>
      </c>
      <c r="CL10" s="670" t="str">
        <f>CONCATENATE(CI2," ",CL11)</f>
        <v>18 crop yield</v>
      </c>
      <c r="CM10" s="806" t="str">
        <f>CONCATENATE(CI2," ",CM11)</f>
        <v>18 by-product 1</v>
      </c>
      <c r="CN10" s="669" t="str">
        <f>CONCATENATE(CN2," ",CN11)</f>
        <v>19 crop species</v>
      </c>
      <c r="CO10" s="670" t="str">
        <f>CONCATENATE(CN2," ",CO11)</f>
        <v>19 Livestock</v>
      </c>
      <c r="CP10" s="670" t="str">
        <f>CONCATENATE(CN2," ",CP11)</f>
        <v>19 area</v>
      </c>
      <c r="CQ10" s="670" t="str">
        <f>CONCATENATE(CN2," ",CQ11)</f>
        <v>19 crop yield</v>
      </c>
      <c r="CR10" s="806" t="str">
        <f>CONCATENATE(CN2," ",CR11)</f>
        <v>19 by-product 1</v>
      </c>
      <c r="CS10" s="669" t="str">
        <f>CONCATENATE(CS2," ",CS11)</f>
        <v>20 crop species</v>
      </c>
      <c r="CT10" s="670" t="str">
        <f>CONCATENATE(CS2," ",CT11)</f>
        <v>20 Livestock</v>
      </c>
      <c r="CU10" s="670" t="str">
        <f>CONCATENATE(CS2," ",CU11)</f>
        <v>20 area</v>
      </c>
      <c r="CV10" s="670" t="str">
        <f>CONCATENATE(CS2," ",CV11)</f>
        <v>20 crop yield</v>
      </c>
      <c r="CW10" s="806" t="str">
        <f>CONCATENATE(CS2," ",CW11)</f>
        <v>20 by-product 1</v>
      </c>
      <c r="CX10" s="669" t="str">
        <f>CONCATENATE(CX2," ",CX11)</f>
        <v>21 crop species</v>
      </c>
      <c r="CY10" s="670" t="str">
        <f>CONCATENATE(CX2," ",CY11)</f>
        <v>21 Livestock</v>
      </c>
      <c r="CZ10" s="670" t="str">
        <f>CONCATENATE(CX2," ",CZ11)</f>
        <v>21 area</v>
      </c>
      <c r="DA10" s="670" t="str">
        <f>CONCATENATE(CX2," ",DA11)</f>
        <v>21 crop yield</v>
      </c>
      <c r="DB10" s="806" t="str">
        <f>CONCATENATE(CX2," ",DB11)</f>
        <v>21 by-product 1</v>
      </c>
      <c r="DC10" s="669" t="str">
        <f>CONCATENATE(DC2," ",DC11)</f>
        <v>22 crop species</v>
      </c>
      <c r="DD10" s="670" t="str">
        <f>CONCATENATE(DC2," ",DD11)</f>
        <v>22 Livestock</v>
      </c>
      <c r="DE10" s="670" t="str">
        <f>CONCATENATE(DC2," ",DE11)</f>
        <v>22 area</v>
      </c>
      <c r="DF10" s="670" t="str">
        <f>CONCATENATE(DC2," ",DF11)</f>
        <v>22 crop yield</v>
      </c>
      <c r="DG10" s="806" t="str">
        <f>CONCATENATE(DC2," ",DG11)</f>
        <v>22 by-product 1</v>
      </c>
      <c r="DH10" s="669" t="str">
        <f>CONCATENATE(DH2," ",DH11)</f>
        <v>23 crop species</v>
      </c>
      <c r="DI10" s="670" t="str">
        <f>CONCATENATE(DH2," ",DI11)</f>
        <v>23 Livestock</v>
      </c>
      <c r="DJ10" s="670" t="str">
        <f>CONCATENATE(DH2," ",DJ11)</f>
        <v>23 area</v>
      </c>
      <c r="DK10" s="670" t="str">
        <f>CONCATENATE(DH2," ",DK11)</f>
        <v>23 crop yield</v>
      </c>
      <c r="DL10" s="806" t="str">
        <f>CONCATENATE(DH2," ",DL11)</f>
        <v>23 by-product 1</v>
      </c>
      <c r="DM10" s="669" t="str">
        <f>CONCATENATE(DM2," ",DM11)</f>
        <v>24 crop species</v>
      </c>
      <c r="DN10" s="670" t="str">
        <f>CONCATENATE(DM2," ",DN11)</f>
        <v>24 Livestock</v>
      </c>
      <c r="DO10" s="670" t="str">
        <f>CONCATENATE(DM2," ",DO11)</f>
        <v>24 area</v>
      </c>
      <c r="DP10" s="670" t="str">
        <f>CONCATENATE(DM2," ",DP11)</f>
        <v>24 crop yield</v>
      </c>
      <c r="DQ10" s="806" t="str">
        <f>CONCATENATE(DM2," ",DQ11)</f>
        <v>24 by-product 1</v>
      </c>
      <c r="DR10" s="669" t="str">
        <f>CONCATENATE(DR2," ",DR11)</f>
        <v>25 crop species</v>
      </c>
      <c r="DS10" s="670" t="str">
        <f>CONCATENATE(DR2," ",DS11)</f>
        <v>25 Livestock</v>
      </c>
      <c r="DT10" s="670" t="str">
        <f>CONCATENATE(DR2," ",DT11)</f>
        <v>25 area</v>
      </c>
      <c r="DU10" s="670" t="str">
        <f>CONCATENATE(DR2," ",DU11)</f>
        <v>25 crop yield</v>
      </c>
      <c r="DV10" s="806" t="str">
        <f>CONCATENATE(DR2," ",DV11)</f>
        <v>25 by-product 1</v>
      </c>
      <c r="DW10" s="663" t="str">
        <f>CONCATENATE(DR2,":",DR2," ",DW11)</f>
        <v>25:25 crop species</v>
      </c>
      <c r="DX10" s="663" t="str">
        <f>CONCATENATE(DR2,":",DR2," ",DX11)</f>
        <v>25:25 area</v>
      </c>
      <c r="DY10" s="663" t="str">
        <f>CONCATENATE(DR2,":",DR2," ",DY11)</f>
        <v>25:25 crop yield</v>
      </c>
      <c r="DZ10" s="807" t="str">
        <f>CONCATENATE(DR2,":",DR2," ",DZ11)</f>
        <v>25:25 by-product 1</v>
      </c>
      <c r="EA10" s="669" t="str">
        <f>CONCATENATE(EA2," ",EA11)</f>
        <v>26 crop species</v>
      </c>
      <c r="EB10" s="670" t="str">
        <f>CONCATENATE(EA2," ",EB11)</f>
        <v>26 Livestock</v>
      </c>
      <c r="EC10" s="670" t="str">
        <f>CONCATENATE(EA2," ",EC11)</f>
        <v>26 area</v>
      </c>
      <c r="ED10" s="670" t="str">
        <f>CONCATENATE(EA2," ",ED11)</f>
        <v>26 crop yield</v>
      </c>
      <c r="EE10" s="806" t="str">
        <f>CONCATENATE(EA2," ",EE11)</f>
        <v>26 by-product 1</v>
      </c>
      <c r="EF10" s="663" t="str">
        <f>CONCATENATE(EA2,":",EA2," ",EF11)</f>
        <v>26:26 crop species</v>
      </c>
      <c r="EG10" s="663" t="str">
        <f>CONCATENATE(EA2,":",EA2," ",EG11)</f>
        <v>26:26 area</v>
      </c>
      <c r="EH10" s="663" t="str">
        <f>CONCATENATE(EA2,":",EA2," ",EH11)</f>
        <v>26:26 crop yield</v>
      </c>
      <c r="EI10" s="807" t="str">
        <f>CONCATENATE(EA2,":",EA2," ",EI11)</f>
        <v>26:26 by-product 1</v>
      </c>
      <c r="EJ10" s="669" t="str">
        <f>CONCATENATE(EJ2," ",EJ11)</f>
        <v>27 crop species</v>
      </c>
      <c r="EK10" s="670" t="str">
        <f>CONCATENATE(EJ2," ",EK11)</f>
        <v>27 Livestock</v>
      </c>
      <c r="EL10" s="670" t="str">
        <f>CONCATENATE(EJ2," ",EL11)</f>
        <v>27 area</v>
      </c>
      <c r="EM10" s="670" t="str">
        <f>CONCATENATE(EJ2," ",EM11)</f>
        <v>27 crop yield</v>
      </c>
      <c r="EN10" s="806" t="str">
        <f>CONCATENATE(EJ2," ",EN11)</f>
        <v>27 by-product 1</v>
      </c>
      <c r="EO10" s="663" t="str">
        <f>CONCATENATE(EJ2,":",EJ2," ",EO11)</f>
        <v>27:27 crop species</v>
      </c>
      <c r="EP10" s="663" t="str">
        <f>CONCATENATE(EJ2,":",EJ2," ",EP11)</f>
        <v>27:27 area</v>
      </c>
      <c r="EQ10" s="663" t="str">
        <f>CONCATENATE(EJ2,":",EJ2," ",EQ11)</f>
        <v>27:27 crop yield</v>
      </c>
      <c r="ER10" s="663" t="str">
        <f>CONCATENATE(EJ2,":",EJ2," ",ER11)</f>
        <v>27:27 by-product 1</v>
      </c>
      <c r="ES10" s="780"/>
      <c r="ET10" s="781"/>
      <c r="EU10" s="781"/>
      <c r="EV10" s="781"/>
      <c r="EW10" s="781"/>
    </row>
    <row r="11" spans="1:153" ht="64.5" thickBot="1" x14ac:dyDescent="0.3">
      <c r="A11" s="808" t="s">
        <v>171</v>
      </c>
      <c r="B11" s="669" t="s">
        <v>59</v>
      </c>
      <c r="C11" s="670" t="s">
        <v>337</v>
      </c>
      <c r="D11" s="670" t="s">
        <v>61</v>
      </c>
      <c r="E11" s="670" t="s">
        <v>62</v>
      </c>
      <c r="F11" s="806" t="s">
        <v>63</v>
      </c>
      <c r="G11" s="669" t="s">
        <v>59</v>
      </c>
      <c r="H11" s="670" t="s">
        <v>337</v>
      </c>
      <c r="I11" s="670" t="s">
        <v>61</v>
      </c>
      <c r="J11" s="670" t="s">
        <v>62</v>
      </c>
      <c r="K11" s="806" t="s">
        <v>63</v>
      </c>
      <c r="L11" s="669" t="s">
        <v>59</v>
      </c>
      <c r="M11" s="670" t="s">
        <v>337</v>
      </c>
      <c r="N11" s="670" t="s">
        <v>61</v>
      </c>
      <c r="O11" s="670" t="s">
        <v>62</v>
      </c>
      <c r="P11" s="806" t="s">
        <v>63</v>
      </c>
      <c r="Q11" s="669" t="s">
        <v>59</v>
      </c>
      <c r="R11" s="670" t="s">
        <v>337</v>
      </c>
      <c r="S11" s="670" t="s">
        <v>61</v>
      </c>
      <c r="T11" s="670" t="s">
        <v>62</v>
      </c>
      <c r="U11" s="806" t="s">
        <v>63</v>
      </c>
      <c r="V11" s="669" t="s">
        <v>59</v>
      </c>
      <c r="W11" s="670" t="s">
        <v>337</v>
      </c>
      <c r="X11" s="670" t="s">
        <v>61</v>
      </c>
      <c r="Y11" s="670" t="s">
        <v>62</v>
      </c>
      <c r="Z11" s="806" t="s">
        <v>63</v>
      </c>
      <c r="AA11" s="669" t="s">
        <v>59</v>
      </c>
      <c r="AB11" s="670" t="s">
        <v>337</v>
      </c>
      <c r="AC11" s="670" t="s">
        <v>61</v>
      </c>
      <c r="AD11" s="670" t="s">
        <v>62</v>
      </c>
      <c r="AE11" s="806" t="s">
        <v>63</v>
      </c>
      <c r="AF11" s="669" t="s">
        <v>59</v>
      </c>
      <c r="AG11" s="670" t="s">
        <v>337</v>
      </c>
      <c r="AH11" s="670" t="s">
        <v>61</v>
      </c>
      <c r="AI11" s="670" t="s">
        <v>62</v>
      </c>
      <c r="AJ11" s="806" t="s">
        <v>63</v>
      </c>
      <c r="AK11" s="669" t="s">
        <v>59</v>
      </c>
      <c r="AL11" s="670" t="s">
        <v>337</v>
      </c>
      <c r="AM11" s="670" t="s">
        <v>61</v>
      </c>
      <c r="AN11" s="670" t="s">
        <v>62</v>
      </c>
      <c r="AO11" s="806" t="s">
        <v>63</v>
      </c>
      <c r="AP11" s="669" t="s">
        <v>59</v>
      </c>
      <c r="AQ11" s="670" t="s">
        <v>337</v>
      </c>
      <c r="AR11" s="670" t="s">
        <v>61</v>
      </c>
      <c r="AS11" s="670" t="s">
        <v>62</v>
      </c>
      <c r="AT11" s="806" t="s">
        <v>63</v>
      </c>
      <c r="AU11" s="669" t="s">
        <v>59</v>
      </c>
      <c r="AV11" s="670" t="s">
        <v>337</v>
      </c>
      <c r="AW11" s="670" t="s">
        <v>61</v>
      </c>
      <c r="AX11" s="670" t="s">
        <v>62</v>
      </c>
      <c r="AY11" s="806" t="s">
        <v>63</v>
      </c>
      <c r="AZ11" s="669" t="s">
        <v>59</v>
      </c>
      <c r="BA11" s="670" t="s">
        <v>337</v>
      </c>
      <c r="BB11" s="670" t="s">
        <v>61</v>
      </c>
      <c r="BC11" s="670" t="s">
        <v>62</v>
      </c>
      <c r="BD11" s="806" t="s">
        <v>63</v>
      </c>
      <c r="BE11" s="669" t="s">
        <v>59</v>
      </c>
      <c r="BF11" s="670" t="s">
        <v>337</v>
      </c>
      <c r="BG11" s="670" t="s">
        <v>61</v>
      </c>
      <c r="BH11" s="670" t="s">
        <v>62</v>
      </c>
      <c r="BI11" s="806" t="s">
        <v>63</v>
      </c>
      <c r="BJ11" s="669" t="s">
        <v>59</v>
      </c>
      <c r="BK11" s="670" t="s">
        <v>337</v>
      </c>
      <c r="BL11" s="670" t="s">
        <v>61</v>
      </c>
      <c r="BM11" s="670" t="s">
        <v>62</v>
      </c>
      <c r="BN11" s="806" t="s">
        <v>63</v>
      </c>
      <c r="BO11" s="669" t="s">
        <v>59</v>
      </c>
      <c r="BP11" s="670" t="s">
        <v>337</v>
      </c>
      <c r="BQ11" s="670" t="s">
        <v>61</v>
      </c>
      <c r="BR11" s="670" t="s">
        <v>62</v>
      </c>
      <c r="BS11" s="806" t="s">
        <v>63</v>
      </c>
      <c r="BT11" s="669" t="s">
        <v>59</v>
      </c>
      <c r="BU11" s="670" t="s">
        <v>337</v>
      </c>
      <c r="BV11" s="670" t="s">
        <v>61</v>
      </c>
      <c r="BW11" s="670" t="s">
        <v>62</v>
      </c>
      <c r="BX11" s="806" t="s">
        <v>63</v>
      </c>
      <c r="BY11" s="669" t="s">
        <v>59</v>
      </c>
      <c r="BZ11" s="670" t="s">
        <v>337</v>
      </c>
      <c r="CA11" s="670" t="s">
        <v>61</v>
      </c>
      <c r="CB11" s="670" t="s">
        <v>62</v>
      </c>
      <c r="CC11" s="806" t="s">
        <v>63</v>
      </c>
      <c r="CD11" s="669" t="s">
        <v>59</v>
      </c>
      <c r="CE11" s="670" t="s">
        <v>337</v>
      </c>
      <c r="CF11" s="670" t="s">
        <v>61</v>
      </c>
      <c r="CG11" s="670" t="s">
        <v>62</v>
      </c>
      <c r="CH11" s="806" t="s">
        <v>63</v>
      </c>
      <c r="CI11" s="669" t="s">
        <v>59</v>
      </c>
      <c r="CJ11" s="670" t="s">
        <v>337</v>
      </c>
      <c r="CK11" s="670" t="s">
        <v>61</v>
      </c>
      <c r="CL11" s="670" t="s">
        <v>62</v>
      </c>
      <c r="CM11" s="806" t="s">
        <v>63</v>
      </c>
      <c r="CN11" s="669" t="s">
        <v>59</v>
      </c>
      <c r="CO11" s="670" t="s">
        <v>337</v>
      </c>
      <c r="CP11" s="670" t="s">
        <v>61</v>
      </c>
      <c r="CQ11" s="670" t="s">
        <v>62</v>
      </c>
      <c r="CR11" s="806" t="s">
        <v>63</v>
      </c>
      <c r="CS11" s="669" t="s">
        <v>59</v>
      </c>
      <c r="CT11" s="670" t="s">
        <v>337</v>
      </c>
      <c r="CU11" s="670" t="s">
        <v>61</v>
      </c>
      <c r="CV11" s="670" t="s">
        <v>62</v>
      </c>
      <c r="CW11" s="806" t="s">
        <v>63</v>
      </c>
      <c r="CX11" s="669" t="s">
        <v>59</v>
      </c>
      <c r="CY11" s="670" t="s">
        <v>337</v>
      </c>
      <c r="CZ11" s="670" t="s">
        <v>61</v>
      </c>
      <c r="DA11" s="670" t="s">
        <v>62</v>
      </c>
      <c r="DB11" s="806" t="s">
        <v>63</v>
      </c>
      <c r="DC11" s="669" t="s">
        <v>59</v>
      </c>
      <c r="DD11" s="670" t="s">
        <v>337</v>
      </c>
      <c r="DE11" s="670" t="s">
        <v>61</v>
      </c>
      <c r="DF11" s="670" t="s">
        <v>62</v>
      </c>
      <c r="DG11" s="806" t="s">
        <v>63</v>
      </c>
      <c r="DH11" s="669" t="s">
        <v>59</v>
      </c>
      <c r="DI11" s="670" t="s">
        <v>337</v>
      </c>
      <c r="DJ11" s="670" t="s">
        <v>61</v>
      </c>
      <c r="DK11" s="670" t="s">
        <v>62</v>
      </c>
      <c r="DL11" s="806" t="s">
        <v>63</v>
      </c>
      <c r="DM11" s="669" t="s">
        <v>59</v>
      </c>
      <c r="DN11" s="670" t="s">
        <v>337</v>
      </c>
      <c r="DO11" s="670" t="s">
        <v>61</v>
      </c>
      <c r="DP11" s="670" t="s">
        <v>62</v>
      </c>
      <c r="DQ11" s="806" t="s">
        <v>63</v>
      </c>
      <c r="DR11" s="669" t="s">
        <v>59</v>
      </c>
      <c r="DS11" s="670" t="s">
        <v>337</v>
      </c>
      <c r="DT11" s="670" t="s">
        <v>61</v>
      </c>
      <c r="DU11" s="670" t="s">
        <v>62</v>
      </c>
      <c r="DV11" s="806" t="s">
        <v>63</v>
      </c>
      <c r="DW11" s="670" t="s">
        <v>59</v>
      </c>
      <c r="DX11" s="670" t="s">
        <v>61</v>
      </c>
      <c r="DY11" s="670" t="s">
        <v>62</v>
      </c>
      <c r="DZ11" s="670" t="s">
        <v>63</v>
      </c>
      <c r="EA11" s="669" t="s">
        <v>59</v>
      </c>
      <c r="EB11" s="670" t="s">
        <v>337</v>
      </c>
      <c r="EC11" s="670" t="s">
        <v>61</v>
      </c>
      <c r="ED11" s="670" t="s">
        <v>62</v>
      </c>
      <c r="EE11" s="806" t="s">
        <v>63</v>
      </c>
      <c r="EF11" s="670" t="s">
        <v>59</v>
      </c>
      <c r="EG11" s="670" t="s">
        <v>61</v>
      </c>
      <c r="EH11" s="670" t="s">
        <v>62</v>
      </c>
      <c r="EI11" s="670" t="s">
        <v>63</v>
      </c>
      <c r="EJ11" s="669" t="s">
        <v>59</v>
      </c>
      <c r="EK11" s="670" t="s">
        <v>337</v>
      </c>
      <c r="EL11" s="670" t="s">
        <v>61</v>
      </c>
      <c r="EM11" s="670" t="s">
        <v>62</v>
      </c>
      <c r="EN11" s="806" t="s">
        <v>63</v>
      </c>
      <c r="EO11" s="670" t="s">
        <v>59</v>
      </c>
      <c r="EP11" s="670" t="s">
        <v>61</v>
      </c>
      <c r="EQ11" s="670" t="s">
        <v>62</v>
      </c>
      <c r="ER11" s="670" t="s">
        <v>63</v>
      </c>
      <c r="ES11" s="780"/>
      <c r="ET11" s="781"/>
      <c r="EU11" s="781"/>
      <c r="EV11" s="781"/>
      <c r="EW11" s="781"/>
    </row>
    <row r="12" spans="1:153" ht="18" thickBot="1" x14ac:dyDescent="0.3">
      <c r="A12" s="809" t="s">
        <v>172</v>
      </c>
      <c r="B12" s="810" t="s">
        <v>300</v>
      </c>
      <c r="C12" s="674" t="s">
        <v>217</v>
      </c>
      <c r="D12" s="674" t="s">
        <v>37</v>
      </c>
      <c r="E12" s="674" t="s">
        <v>561</v>
      </c>
      <c r="F12" s="674" t="s">
        <v>561</v>
      </c>
      <c r="G12" s="810" t="s">
        <v>300</v>
      </c>
      <c r="H12" s="674" t="s">
        <v>217</v>
      </c>
      <c r="I12" s="674" t="s">
        <v>37</v>
      </c>
      <c r="J12" s="674" t="s">
        <v>561</v>
      </c>
      <c r="K12" s="674" t="s">
        <v>561</v>
      </c>
      <c r="L12" s="810" t="s">
        <v>300</v>
      </c>
      <c r="M12" s="674" t="s">
        <v>217</v>
      </c>
      <c r="N12" s="674" t="s">
        <v>37</v>
      </c>
      <c r="O12" s="674" t="s">
        <v>561</v>
      </c>
      <c r="P12" s="674" t="s">
        <v>561</v>
      </c>
      <c r="Q12" s="810" t="s">
        <v>300</v>
      </c>
      <c r="R12" s="674" t="s">
        <v>217</v>
      </c>
      <c r="S12" s="674" t="s">
        <v>37</v>
      </c>
      <c r="T12" s="674" t="s">
        <v>561</v>
      </c>
      <c r="U12" s="674" t="s">
        <v>561</v>
      </c>
      <c r="V12" s="810" t="s">
        <v>300</v>
      </c>
      <c r="W12" s="674" t="s">
        <v>217</v>
      </c>
      <c r="X12" s="674" t="s">
        <v>37</v>
      </c>
      <c r="Y12" s="674" t="s">
        <v>561</v>
      </c>
      <c r="Z12" s="674" t="s">
        <v>561</v>
      </c>
      <c r="AA12" s="810" t="s">
        <v>300</v>
      </c>
      <c r="AB12" s="674" t="s">
        <v>217</v>
      </c>
      <c r="AC12" s="674" t="s">
        <v>37</v>
      </c>
      <c r="AD12" s="674" t="s">
        <v>561</v>
      </c>
      <c r="AE12" s="674" t="s">
        <v>561</v>
      </c>
      <c r="AF12" s="810" t="s">
        <v>300</v>
      </c>
      <c r="AG12" s="674" t="s">
        <v>217</v>
      </c>
      <c r="AH12" s="674" t="s">
        <v>37</v>
      </c>
      <c r="AI12" s="674" t="s">
        <v>561</v>
      </c>
      <c r="AJ12" s="674" t="s">
        <v>561</v>
      </c>
      <c r="AK12" s="810" t="s">
        <v>300</v>
      </c>
      <c r="AL12" s="674" t="s">
        <v>217</v>
      </c>
      <c r="AM12" s="674" t="s">
        <v>37</v>
      </c>
      <c r="AN12" s="674" t="s">
        <v>561</v>
      </c>
      <c r="AO12" s="674" t="s">
        <v>561</v>
      </c>
      <c r="AP12" s="810" t="s">
        <v>300</v>
      </c>
      <c r="AQ12" s="674" t="s">
        <v>217</v>
      </c>
      <c r="AR12" s="674" t="s">
        <v>37</v>
      </c>
      <c r="AS12" s="674" t="s">
        <v>561</v>
      </c>
      <c r="AT12" s="674" t="s">
        <v>561</v>
      </c>
      <c r="AU12" s="810" t="s">
        <v>300</v>
      </c>
      <c r="AV12" s="674" t="s">
        <v>217</v>
      </c>
      <c r="AW12" s="674" t="s">
        <v>37</v>
      </c>
      <c r="AX12" s="674" t="s">
        <v>561</v>
      </c>
      <c r="AY12" s="674" t="s">
        <v>561</v>
      </c>
      <c r="AZ12" s="810" t="s">
        <v>300</v>
      </c>
      <c r="BA12" s="674" t="s">
        <v>217</v>
      </c>
      <c r="BB12" s="674" t="s">
        <v>37</v>
      </c>
      <c r="BC12" s="674" t="s">
        <v>561</v>
      </c>
      <c r="BD12" s="674" t="s">
        <v>561</v>
      </c>
      <c r="BE12" s="810" t="s">
        <v>300</v>
      </c>
      <c r="BF12" s="674" t="s">
        <v>217</v>
      </c>
      <c r="BG12" s="674" t="s">
        <v>37</v>
      </c>
      <c r="BH12" s="674" t="s">
        <v>561</v>
      </c>
      <c r="BI12" s="674" t="s">
        <v>561</v>
      </c>
      <c r="BJ12" s="810" t="s">
        <v>300</v>
      </c>
      <c r="BK12" s="674" t="s">
        <v>217</v>
      </c>
      <c r="BL12" s="674" t="s">
        <v>37</v>
      </c>
      <c r="BM12" s="674" t="s">
        <v>561</v>
      </c>
      <c r="BN12" s="674" t="s">
        <v>561</v>
      </c>
      <c r="BO12" s="810" t="s">
        <v>300</v>
      </c>
      <c r="BP12" s="674" t="s">
        <v>217</v>
      </c>
      <c r="BQ12" s="674" t="s">
        <v>37</v>
      </c>
      <c r="BR12" s="674" t="s">
        <v>561</v>
      </c>
      <c r="BS12" s="674" t="s">
        <v>561</v>
      </c>
      <c r="BT12" s="810" t="s">
        <v>300</v>
      </c>
      <c r="BU12" s="674" t="s">
        <v>217</v>
      </c>
      <c r="BV12" s="674" t="s">
        <v>37</v>
      </c>
      <c r="BW12" s="674" t="s">
        <v>561</v>
      </c>
      <c r="BX12" s="674" t="s">
        <v>561</v>
      </c>
      <c r="BY12" s="810" t="s">
        <v>300</v>
      </c>
      <c r="BZ12" s="674" t="s">
        <v>217</v>
      </c>
      <c r="CA12" s="674" t="s">
        <v>37</v>
      </c>
      <c r="CB12" s="674" t="s">
        <v>561</v>
      </c>
      <c r="CC12" s="674" t="s">
        <v>561</v>
      </c>
      <c r="CD12" s="810" t="s">
        <v>300</v>
      </c>
      <c r="CE12" s="674" t="s">
        <v>217</v>
      </c>
      <c r="CF12" s="674" t="s">
        <v>37</v>
      </c>
      <c r="CG12" s="674" t="s">
        <v>561</v>
      </c>
      <c r="CH12" s="674" t="s">
        <v>561</v>
      </c>
      <c r="CI12" s="810" t="s">
        <v>300</v>
      </c>
      <c r="CJ12" s="674" t="s">
        <v>217</v>
      </c>
      <c r="CK12" s="674" t="s">
        <v>37</v>
      </c>
      <c r="CL12" s="674" t="s">
        <v>561</v>
      </c>
      <c r="CM12" s="674" t="s">
        <v>561</v>
      </c>
      <c r="CN12" s="810" t="s">
        <v>300</v>
      </c>
      <c r="CO12" s="674" t="s">
        <v>217</v>
      </c>
      <c r="CP12" s="674" t="s">
        <v>37</v>
      </c>
      <c r="CQ12" s="674" t="s">
        <v>561</v>
      </c>
      <c r="CR12" s="674" t="s">
        <v>561</v>
      </c>
      <c r="CS12" s="810" t="s">
        <v>300</v>
      </c>
      <c r="CT12" s="674" t="s">
        <v>217</v>
      </c>
      <c r="CU12" s="674" t="s">
        <v>37</v>
      </c>
      <c r="CV12" s="674" t="s">
        <v>561</v>
      </c>
      <c r="CW12" s="674" t="s">
        <v>561</v>
      </c>
      <c r="CX12" s="810" t="s">
        <v>300</v>
      </c>
      <c r="CY12" s="674" t="s">
        <v>217</v>
      </c>
      <c r="CZ12" s="674" t="s">
        <v>37</v>
      </c>
      <c r="DA12" s="674" t="s">
        <v>561</v>
      </c>
      <c r="DB12" s="674" t="s">
        <v>561</v>
      </c>
      <c r="DC12" s="810" t="s">
        <v>300</v>
      </c>
      <c r="DD12" s="674" t="s">
        <v>217</v>
      </c>
      <c r="DE12" s="674" t="s">
        <v>37</v>
      </c>
      <c r="DF12" s="674" t="s">
        <v>561</v>
      </c>
      <c r="DG12" s="674" t="s">
        <v>561</v>
      </c>
      <c r="DH12" s="810" t="s">
        <v>300</v>
      </c>
      <c r="DI12" s="674" t="s">
        <v>217</v>
      </c>
      <c r="DJ12" s="674" t="s">
        <v>37</v>
      </c>
      <c r="DK12" s="674" t="s">
        <v>561</v>
      </c>
      <c r="DL12" s="674" t="s">
        <v>561</v>
      </c>
      <c r="DM12" s="810" t="s">
        <v>300</v>
      </c>
      <c r="DN12" s="674" t="s">
        <v>217</v>
      </c>
      <c r="DO12" s="674" t="s">
        <v>37</v>
      </c>
      <c r="DP12" s="674" t="s">
        <v>561</v>
      </c>
      <c r="DQ12" s="674" t="s">
        <v>561</v>
      </c>
      <c r="DR12" s="810" t="s">
        <v>300</v>
      </c>
      <c r="DS12" s="674" t="s">
        <v>217</v>
      </c>
      <c r="DT12" s="674" t="s">
        <v>37</v>
      </c>
      <c r="DU12" s="674" t="s">
        <v>561</v>
      </c>
      <c r="DV12" s="674" t="s">
        <v>561</v>
      </c>
      <c r="DW12" s="811" t="s">
        <v>60</v>
      </c>
      <c r="DX12" s="812" t="s">
        <v>37</v>
      </c>
      <c r="DY12" s="674" t="s">
        <v>561</v>
      </c>
      <c r="DZ12" s="674" t="s">
        <v>561</v>
      </c>
      <c r="EA12" s="810" t="s">
        <v>300</v>
      </c>
      <c r="EB12" s="674" t="s">
        <v>217</v>
      </c>
      <c r="EC12" s="674" t="s">
        <v>37</v>
      </c>
      <c r="ED12" s="674" t="s">
        <v>561</v>
      </c>
      <c r="EE12" s="674" t="s">
        <v>561</v>
      </c>
      <c r="EF12" s="811" t="s">
        <v>60</v>
      </c>
      <c r="EG12" s="812" t="s">
        <v>37</v>
      </c>
      <c r="EH12" s="674" t="s">
        <v>561</v>
      </c>
      <c r="EI12" s="674" t="s">
        <v>561</v>
      </c>
      <c r="EJ12" s="810" t="s">
        <v>300</v>
      </c>
      <c r="EK12" s="674" t="s">
        <v>217</v>
      </c>
      <c r="EL12" s="674" t="s">
        <v>37</v>
      </c>
      <c r="EM12" s="674" t="s">
        <v>561</v>
      </c>
      <c r="EN12" s="674" t="s">
        <v>561</v>
      </c>
      <c r="EO12" s="810" t="s">
        <v>60</v>
      </c>
      <c r="EP12" s="674" t="s">
        <v>37</v>
      </c>
      <c r="EQ12" s="674" t="s">
        <v>561</v>
      </c>
      <c r="ER12" s="674" t="s">
        <v>561</v>
      </c>
      <c r="ES12" s="346"/>
    </row>
    <row r="13" spans="1:153" x14ac:dyDescent="0.25">
      <c r="A13" s="692">
        <v>1</v>
      </c>
      <c r="B13" s="693" t="s">
        <v>192</v>
      </c>
      <c r="C13" s="813"/>
      <c r="D13" s="695">
        <v>1</v>
      </c>
      <c r="E13" s="814">
        <v>9.9183094992989567</v>
      </c>
      <c r="F13" s="697">
        <v>3.9673237997195829</v>
      </c>
      <c r="G13" s="693"/>
      <c r="H13" s="813"/>
      <c r="I13" s="695"/>
      <c r="J13" s="814"/>
      <c r="K13" s="697"/>
      <c r="L13" s="693"/>
      <c r="M13" s="813"/>
      <c r="N13" s="695"/>
      <c r="O13" s="814"/>
      <c r="P13" s="697"/>
      <c r="Q13" s="693"/>
      <c r="R13" s="813"/>
      <c r="S13" s="695"/>
      <c r="T13" s="814"/>
      <c r="U13" s="697"/>
      <c r="V13" s="693"/>
      <c r="W13" s="813"/>
      <c r="X13" s="695"/>
      <c r="Y13" s="814"/>
      <c r="Z13" s="697"/>
      <c r="AA13" s="693"/>
      <c r="AB13" s="813"/>
      <c r="AC13" s="695"/>
      <c r="AD13" s="814"/>
      <c r="AE13" s="697"/>
      <c r="AF13" s="693"/>
      <c r="AG13" s="813"/>
      <c r="AH13" s="695"/>
      <c r="AI13" s="814"/>
      <c r="AJ13" s="697"/>
      <c r="AK13" s="693"/>
      <c r="AL13" s="813"/>
      <c r="AM13" s="695"/>
      <c r="AN13" s="814"/>
      <c r="AO13" s="697"/>
      <c r="AP13" s="693"/>
      <c r="AQ13" s="813"/>
      <c r="AR13" s="695"/>
      <c r="AS13" s="814"/>
      <c r="AT13" s="697"/>
      <c r="AU13" s="693"/>
      <c r="AV13" s="813"/>
      <c r="AW13" s="695"/>
      <c r="AX13" s="814"/>
      <c r="AY13" s="697"/>
      <c r="AZ13" s="693"/>
      <c r="BA13" s="813"/>
      <c r="BB13" s="695"/>
      <c r="BC13" s="814"/>
      <c r="BD13" s="697"/>
      <c r="BE13" s="693"/>
      <c r="BF13" s="813"/>
      <c r="BG13" s="695"/>
      <c r="BH13" s="814"/>
      <c r="BI13" s="697"/>
      <c r="BJ13" s="693"/>
      <c r="BK13" s="813"/>
      <c r="BL13" s="695"/>
      <c r="BM13" s="814"/>
      <c r="BN13" s="697"/>
      <c r="BO13" s="693"/>
      <c r="BP13" s="813"/>
      <c r="BQ13" s="695"/>
      <c r="BR13" s="814"/>
      <c r="BS13" s="697"/>
      <c r="BT13" s="693"/>
      <c r="BU13" s="813"/>
      <c r="BV13" s="695"/>
      <c r="BW13" s="814"/>
      <c r="BX13" s="697"/>
      <c r="BY13" s="693"/>
      <c r="BZ13" s="813"/>
      <c r="CA13" s="695"/>
      <c r="CB13" s="814"/>
      <c r="CC13" s="697"/>
      <c r="CD13" s="693"/>
      <c r="CE13" s="813"/>
      <c r="CF13" s="695"/>
      <c r="CG13" s="814"/>
      <c r="CH13" s="697"/>
      <c r="CI13" s="693"/>
      <c r="CJ13" s="813"/>
      <c r="CK13" s="695"/>
      <c r="CL13" s="814"/>
      <c r="CM13" s="697"/>
      <c r="CN13" s="693"/>
      <c r="CO13" s="813"/>
      <c r="CP13" s="695"/>
      <c r="CQ13" s="814"/>
      <c r="CR13" s="697"/>
      <c r="CS13" s="693"/>
      <c r="CT13" s="813"/>
      <c r="CU13" s="695"/>
      <c r="CV13" s="814"/>
      <c r="CW13" s="697"/>
      <c r="CX13" s="693"/>
      <c r="CY13" s="813"/>
      <c r="CZ13" s="695"/>
      <c r="DA13" s="814"/>
      <c r="DB13" s="697"/>
      <c r="DC13" s="693"/>
      <c r="DD13" s="813"/>
      <c r="DE13" s="695"/>
      <c r="DF13" s="814"/>
      <c r="DG13" s="697"/>
      <c r="DH13" s="693"/>
      <c r="DI13" s="813"/>
      <c r="DJ13" s="695"/>
      <c r="DK13" s="814"/>
      <c r="DL13" s="697"/>
      <c r="DM13" s="693"/>
      <c r="DN13" s="813"/>
      <c r="DO13" s="695"/>
      <c r="DP13" s="814"/>
      <c r="DQ13" s="697"/>
      <c r="DR13" s="703"/>
      <c r="DS13" s="813"/>
      <c r="DT13" s="695"/>
      <c r="DU13" s="814"/>
      <c r="DV13" s="815"/>
      <c r="DW13" s="816"/>
      <c r="DX13" s="817"/>
      <c r="DY13" s="818"/>
      <c r="DZ13" s="819"/>
      <c r="EA13" s="703"/>
      <c r="EB13" s="813"/>
      <c r="EC13" s="695"/>
      <c r="ED13" s="814"/>
      <c r="EE13" s="815"/>
      <c r="EF13" s="816"/>
      <c r="EG13" s="817"/>
      <c r="EH13" s="818"/>
      <c r="EI13" s="819"/>
      <c r="EJ13" s="703"/>
      <c r="EK13" s="813"/>
      <c r="EL13" s="695"/>
      <c r="EM13" s="814"/>
      <c r="EN13" s="815"/>
      <c r="EO13" s="816"/>
      <c r="EP13" s="817"/>
      <c r="EQ13" s="818"/>
      <c r="ER13" s="819"/>
      <c r="ES13" s="346"/>
    </row>
    <row r="14" spans="1:153" x14ac:dyDescent="0.25">
      <c r="A14" s="692">
        <f t="shared" ref="A14:A72" si="0">A13+1</f>
        <v>2</v>
      </c>
      <c r="B14" s="693" t="s">
        <v>192</v>
      </c>
      <c r="C14" s="694"/>
      <c r="D14" s="695">
        <v>1</v>
      </c>
      <c r="E14" s="696">
        <v>8.0775971559440496</v>
      </c>
      <c r="F14" s="820">
        <v>3.2310388623776198</v>
      </c>
      <c r="G14" s="693"/>
      <c r="H14" s="694"/>
      <c r="I14" s="695"/>
      <c r="J14" s="696"/>
      <c r="K14" s="820"/>
      <c r="L14" s="693"/>
      <c r="M14" s="694"/>
      <c r="N14" s="695"/>
      <c r="O14" s="696"/>
      <c r="P14" s="820"/>
      <c r="Q14" s="693"/>
      <c r="R14" s="694"/>
      <c r="S14" s="695"/>
      <c r="T14" s="696"/>
      <c r="U14" s="820"/>
      <c r="V14" s="693"/>
      <c r="W14" s="694"/>
      <c r="X14" s="695"/>
      <c r="Y14" s="696"/>
      <c r="Z14" s="820"/>
      <c r="AA14" s="693"/>
      <c r="AB14" s="694"/>
      <c r="AC14" s="695"/>
      <c r="AD14" s="696"/>
      <c r="AE14" s="820"/>
      <c r="AF14" s="693"/>
      <c r="AG14" s="694"/>
      <c r="AH14" s="695"/>
      <c r="AI14" s="696"/>
      <c r="AJ14" s="820"/>
      <c r="AK14" s="693"/>
      <c r="AL14" s="694"/>
      <c r="AM14" s="695"/>
      <c r="AN14" s="696"/>
      <c r="AO14" s="820"/>
      <c r="AP14" s="693"/>
      <c r="AQ14" s="694"/>
      <c r="AR14" s="695"/>
      <c r="AS14" s="696"/>
      <c r="AT14" s="820"/>
      <c r="AU14" s="693"/>
      <c r="AV14" s="694"/>
      <c r="AW14" s="695"/>
      <c r="AX14" s="696"/>
      <c r="AY14" s="820"/>
      <c r="AZ14" s="693"/>
      <c r="BA14" s="694"/>
      <c r="BB14" s="695"/>
      <c r="BC14" s="696"/>
      <c r="BD14" s="820"/>
      <c r="BE14" s="693"/>
      <c r="BF14" s="694"/>
      <c r="BG14" s="695"/>
      <c r="BH14" s="696"/>
      <c r="BI14" s="820"/>
      <c r="BJ14" s="693"/>
      <c r="BK14" s="694"/>
      <c r="BL14" s="695"/>
      <c r="BM14" s="696"/>
      <c r="BN14" s="820"/>
      <c r="BO14" s="693"/>
      <c r="BP14" s="694"/>
      <c r="BQ14" s="695"/>
      <c r="BR14" s="696"/>
      <c r="BS14" s="820"/>
      <c r="BT14" s="693"/>
      <c r="BU14" s="694"/>
      <c r="BV14" s="695"/>
      <c r="BW14" s="696"/>
      <c r="BX14" s="820"/>
      <c r="BY14" s="693"/>
      <c r="BZ14" s="694"/>
      <c r="CA14" s="695"/>
      <c r="CB14" s="696"/>
      <c r="CC14" s="820"/>
      <c r="CD14" s="693"/>
      <c r="CE14" s="694"/>
      <c r="CF14" s="695"/>
      <c r="CG14" s="696"/>
      <c r="CH14" s="820"/>
      <c r="CI14" s="693"/>
      <c r="CJ14" s="694"/>
      <c r="CK14" s="695"/>
      <c r="CL14" s="696"/>
      <c r="CM14" s="820"/>
      <c r="CN14" s="693"/>
      <c r="CO14" s="694"/>
      <c r="CP14" s="695"/>
      <c r="CQ14" s="696"/>
      <c r="CR14" s="820"/>
      <c r="CS14" s="693"/>
      <c r="CT14" s="694"/>
      <c r="CU14" s="695"/>
      <c r="CV14" s="696"/>
      <c r="CW14" s="820"/>
      <c r="CX14" s="693"/>
      <c r="CY14" s="694"/>
      <c r="CZ14" s="695"/>
      <c r="DA14" s="696"/>
      <c r="DB14" s="820"/>
      <c r="DC14" s="693"/>
      <c r="DD14" s="694"/>
      <c r="DE14" s="695"/>
      <c r="DF14" s="696"/>
      <c r="DG14" s="820"/>
      <c r="DH14" s="693"/>
      <c r="DI14" s="694"/>
      <c r="DJ14" s="695"/>
      <c r="DK14" s="696"/>
      <c r="DL14" s="820"/>
      <c r="DM14" s="693"/>
      <c r="DN14" s="694"/>
      <c r="DO14" s="695"/>
      <c r="DP14" s="696"/>
      <c r="DQ14" s="820"/>
      <c r="DR14" s="693"/>
      <c r="DS14" s="694"/>
      <c r="DT14" s="695"/>
      <c r="DU14" s="696"/>
      <c r="DV14" s="821"/>
      <c r="DW14" s="816"/>
      <c r="DX14" s="822"/>
      <c r="DY14" s="696"/>
      <c r="DZ14" s="819"/>
      <c r="EA14" s="693"/>
      <c r="EB14" s="694"/>
      <c r="EC14" s="695"/>
      <c r="ED14" s="696"/>
      <c r="EE14" s="821"/>
      <c r="EF14" s="816"/>
      <c r="EG14" s="822"/>
      <c r="EH14" s="696"/>
      <c r="EI14" s="819"/>
      <c r="EJ14" s="693"/>
      <c r="EK14" s="694"/>
      <c r="EL14" s="695"/>
      <c r="EM14" s="696"/>
      <c r="EN14" s="821"/>
      <c r="EO14" s="816"/>
      <c r="EP14" s="822"/>
      <c r="EQ14" s="696"/>
      <c r="ER14" s="819"/>
      <c r="ES14" s="346"/>
    </row>
    <row r="15" spans="1:153" x14ac:dyDescent="0.25">
      <c r="A15" s="692">
        <f t="shared" si="0"/>
        <v>3</v>
      </c>
      <c r="B15" s="693" t="s">
        <v>312</v>
      </c>
      <c r="C15" s="694"/>
      <c r="D15" s="695">
        <v>1</v>
      </c>
      <c r="E15" s="696">
        <v>8.1997959365738353</v>
      </c>
      <c r="F15" s="820">
        <v>4.9198775619443014</v>
      </c>
      <c r="G15" s="693"/>
      <c r="H15" s="694"/>
      <c r="I15" s="695"/>
      <c r="J15" s="696"/>
      <c r="K15" s="820"/>
      <c r="L15" s="693"/>
      <c r="M15" s="694"/>
      <c r="N15" s="695"/>
      <c r="O15" s="696"/>
      <c r="P15" s="820"/>
      <c r="Q15" s="693"/>
      <c r="R15" s="694"/>
      <c r="S15" s="695"/>
      <c r="T15" s="696"/>
      <c r="U15" s="820"/>
      <c r="V15" s="693"/>
      <c r="W15" s="694"/>
      <c r="X15" s="695"/>
      <c r="Y15" s="696"/>
      <c r="Z15" s="820"/>
      <c r="AA15" s="693"/>
      <c r="AB15" s="694"/>
      <c r="AC15" s="695"/>
      <c r="AD15" s="696"/>
      <c r="AE15" s="820"/>
      <c r="AF15" s="693"/>
      <c r="AG15" s="694"/>
      <c r="AH15" s="695"/>
      <c r="AI15" s="696"/>
      <c r="AJ15" s="820"/>
      <c r="AK15" s="693"/>
      <c r="AL15" s="694"/>
      <c r="AM15" s="695"/>
      <c r="AN15" s="696"/>
      <c r="AO15" s="820"/>
      <c r="AP15" s="693"/>
      <c r="AQ15" s="694"/>
      <c r="AR15" s="695"/>
      <c r="AS15" s="696"/>
      <c r="AT15" s="820"/>
      <c r="AU15" s="693"/>
      <c r="AV15" s="694"/>
      <c r="AW15" s="695"/>
      <c r="AX15" s="696"/>
      <c r="AY15" s="820"/>
      <c r="AZ15" s="693"/>
      <c r="BA15" s="694"/>
      <c r="BB15" s="695"/>
      <c r="BC15" s="696"/>
      <c r="BD15" s="820"/>
      <c r="BE15" s="693"/>
      <c r="BF15" s="694"/>
      <c r="BG15" s="695"/>
      <c r="BH15" s="696"/>
      <c r="BI15" s="820"/>
      <c r="BJ15" s="693"/>
      <c r="BK15" s="694"/>
      <c r="BL15" s="695"/>
      <c r="BM15" s="696"/>
      <c r="BN15" s="820"/>
      <c r="BO15" s="693"/>
      <c r="BP15" s="694"/>
      <c r="BQ15" s="695"/>
      <c r="BR15" s="696"/>
      <c r="BS15" s="820"/>
      <c r="BT15" s="693"/>
      <c r="BU15" s="694"/>
      <c r="BV15" s="695"/>
      <c r="BW15" s="696"/>
      <c r="BX15" s="820"/>
      <c r="BY15" s="693"/>
      <c r="BZ15" s="694"/>
      <c r="CA15" s="695"/>
      <c r="CB15" s="696"/>
      <c r="CC15" s="820"/>
      <c r="CD15" s="693"/>
      <c r="CE15" s="694"/>
      <c r="CF15" s="695"/>
      <c r="CG15" s="696"/>
      <c r="CH15" s="820"/>
      <c r="CI15" s="693"/>
      <c r="CJ15" s="694"/>
      <c r="CK15" s="695"/>
      <c r="CL15" s="696"/>
      <c r="CM15" s="820"/>
      <c r="CN15" s="693"/>
      <c r="CO15" s="694"/>
      <c r="CP15" s="695"/>
      <c r="CQ15" s="696"/>
      <c r="CR15" s="820"/>
      <c r="CS15" s="693"/>
      <c r="CT15" s="694"/>
      <c r="CU15" s="695"/>
      <c r="CV15" s="696"/>
      <c r="CW15" s="820"/>
      <c r="CX15" s="693"/>
      <c r="CY15" s="694"/>
      <c r="CZ15" s="695"/>
      <c r="DA15" s="696"/>
      <c r="DB15" s="820"/>
      <c r="DC15" s="693"/>
      <c r="DD15" s="694"/>
      <c r="DE15" s="695"/>
      <c r="DF15" s="696"/>
      <c r="DG15" s="820"/>
      <c r="DH15" s="693"/>
      <c r="DI15" s="694"/>
      <c r="DJ15" s="695"/>
      <c r="DK15" s="696"/>
      <c r="DL15" s="820"/>
      <c r="DM15" s="693"/>
      <c r="DN15" s="694"/>
      <c r="DO15" s="695"/>
      <c r="DP15" s="696"/>
      <c r="DQ15" s="820"/>
      <c r="DR15" s="693"/>
      <c r="DS15" s="694"/>
      <c r="DT15" s="695"/>
      <c r="DU15" s="696"/>
      <c r="DV15" s="821"/>
      <c r="DW15" s="816"/>
      <c r="DX15" s="822"/>
      <c r="DY15" s="696"/>
      <c r="DZ15" s="819"/>
      <c r="EA15" s="693"/>
      <c r="EB15" s="694"/>
      <c r="EC15" s="695"/>
      <c r="ED15" s="696"/>
      <c r="EE15" s="821"/>
      <c r="EF15" s="816"/>
      <c r="EG15" s="822"/>
      <c r="EH15" s="696"/>
      <c r="EI15" s="819"/>
      <c r="EJ15" s="693"/>
      <c r="EK15" s="694"/>
      <c r="EL15" s="695"/>
      <c r="EM15" s="696"/>
      <c r="EN15" s="821"/>
      <c r="EO15" s="816"/>
      <c r="EP15" s="822"/>
      <c r="EQ15" s="696"/>
      <c r="ER15" s="819"/>
      <c r="ES15" s="346"/>
    </row>
    <row r="16" spans="1:153" x14ac:dyDescent="0.25">
      <c r="A16" s="692">
        <f t="shared" si="0"/>
        <v>4</v>
      </c>
      <c r="B16" s="693" t="s">
        <v>309</v>
      </c>
      <c r="C16" s="694"/>
      <c r="D16" s="695">
        <v>1</v>
      </c>
      <c r="E16" s="696">
        <v>3.3662036102330277</v>
      </c>
      <c r="F16" s="820">
        <v>1.6831018051165139</v>
      </c>
      <c r="G16" s="693"/>
      <c r="H16" s="694"/>
      <c r="I16" s="695"/>
      <c r="J16" s="696"/>
      <c r="K16" s="820"/>
      <c r="L16" s="693"/>
      <c r="M16" s="694"/>
      <c r="N16" s="695"/>
      <c r="O16" s="696"/>
      <c r="P16" s="820"/>
      <c r="Q16" s="693"/>
      <c r="R16" s="694"/>
      <c r="S16" s="695"/>
      <c r="T16" s="696"/>
      <c r="U16" s="820"/>
      <c r="V16" s="693"/>
      <c r="W16" s="694"/>
      <c r="X16" s="695"/>
      <c r="Y16" s="696"/>
      <c r="Z16" s="820"/>
      <c r="AA16" s="693"/>
      <c r="AB16" s="694"/>
      <c r="AC16" s="695"/>
      <c r="AD16" s="696"/>
      <c r="AE16" s="820"/>
      <c r="AF16" s="693"/>
      <c r="AG16" s="694"/>
      <c r="AH16" s="695"/>
      <c r="AI16" s="696"/>
      <c r="AJ16" s="820"/>
      <c r="AK16" s="693"/>
      <c r="AL16" s="694"/>
      <c r="AM16" s="695"/>
      <c r="AN16" s="696"/>
      <c r="AO16" s="820"/>
      <c r="AP16" s="693"/>
      <c r="AQ16" s="694"/>
      <c r="AR16" s="695"/>
      <c r="AS16" s="696"/>
      <c r="AT16" s="820"/>
      <c r="AU16" s="693"/>
      <c r="AV16" s="694"/>
      <c r="AW16" s="695"/>
      <c r="AX16" s="696"/>
      <c r="AY16" s="820"/>
      <c r="AZ16" s="693"/>
      <c r="BA16" s="694"/>
      <c r="BB16" s="695"/>
      <c r="BC16" s="696"/>
      <c r="BD16" s="820"/>
      <c r="BE16" s="693"/>
      <c r="BF16" s="694"/>
      <c r="BG16" s="695"/>
      <c r="BH16" s="696"/>
      <c r="BI16" s="820"/>
      <c r="BJ16" s="693"/>
      <c r="BK16" s="694"/>
      <c r="BL16" s="695"/>
      <c r="BM16" s="696"/>
      <c r="BN16" s="820"/>
      <c r="BO16" s="693"/>
      <c r="BP16" s="694"/>
      <c r="BQ16" s="695"/>
      <c r="BR16" s="696"/>
      <c r="BS16" s="820"/>
      <c r="BT16" s="693"/>
      <c r="BU16" s="694"/>
      <c r="BV16" s="695"/>
      <c r="BW16" s="696"/>
      <c r="BX16" s="820"/>
      <c r="BY16" s="693"/>
      <c r="BZ16" s="694"/>
      <c r="CA16" s="695"/>
      <c r="CB16" s="696"/>
      <c r="CC16" s="820"/>
      <c r="CD16" s="693"/>
      <c r="CE16" s="694"/>
      <c r="CF16" s="695"/>
      <c r="CG16" s="696"/>
      <c r="CH16" s="820"/>
      <c r="CI16" s="693"/>
      <c r="CJ16" s="694"/>
      <c r="CK16" s="695"/>
      <c r="CL16" s="696"/>
      <c r="CM16" s="820"/>
      <c r="CN16" s="693"/>
      <c r="CO16" s="694"/>
      <c r="CP16" s="695"/>
      <c r="CQ16" s="696"/>
      <c r="CR16" s="820"/>
      <c r="CS16" s="693"/>
      <c r="CT16" s="694"/>
      <c r="CU16" s="695"/>
      <c r="CV16" s="696"/>
      <c r="CW16" s="820"/>
      <c r="CX16" s="693"/>
      <c r="CY16" s="694"/>
      <c r="CZ16" s="695"/>
      <c r="DA16" s="696"/>
      <c r="DB16" s="820"/>
      <c r="DC16" s="693"/>
      <c r="DD16" s="694"/>
      <c r="DE16" s="695"/>
      <c r="DF16" s="696"/>
      <c r="DG16" s="820"/>
      <c r="DH16" s="693"/>
      <c r="DI16" s="694"/>
      <c r="DJ16" s="695"/>
      <c r="DK16" s="696"/>
      <c r="DL16" s="820"/>
      <c r="DM16" s="693"/>
      <c r="DN16" s="694"/>
      <c r="DO16" s="695"/>
      <c r="DP16" s="696"/>
      <c r="DQ16" s="820"/>
      <c r="DR16" s="693"/>
      <c r="DS16" s="694"/>
      <c r="DT16" s="695"/>
      <c r="DU16" s="696"/>
      <c r="DV16" s="821"/>
      <c r="DW16" s="816"/>
      <c r="DX16" s="822"/>
      <c r="DY16" s="696"/>
      <c r="DZ16" s="819"/>
      <c r="EA16" s="693"/>
      <c r="EB16" s="694"/>
      <c r="EC16" s="695"/>
      <c r="ED16" s="696"/>
      <c r="EE16" s="821"/>
      <c r="EF16" s="816"/>
      <c r="EG16" s="822"/>
      <c r="EH16" s="696"/>
      <c r="EI16" s="819"/>
      <c r="EJ16" s="693"/>
      <c r="EK16" s="694"/>
      <c r="EL16" s="695"/>
      <c r="EM16" s="696"/>
      <c r="EN16" s="821"/>
      <c r="EO16" s="816"/>
      <c r="EP16" s="822"/>
      <c r="EQ16" s="696"/>
      <c r="ER16" s="819"/>
      <c r="ES16" s="346"/>
    </row>
    <row r="17" spans="1:149" x14ac:dyDescent="0.25">
      <c r="A17" s="692">
        <f t="shared" si="0"/>
        <v>5</v>
      </c>
      <c r="B17" s="693" t="s">
        <v>192</v>
      </c>
      <c r="C17" s="694"/>
      <c r="D17" s="695">
        <v>1</v>
      </c>
      <c r="E17" s="696">
        <v>10.016722001588439</v>
      </c>
      <c r="F17" s="820">
        <v>4.0066888006353762</v>
      </c>
      <c r="G17" s="693"/>
      <c r="H17" s="694"/>
      <c r="I17" s="695"/>
      <c r="J17" s="696"/>
      <c r="K17" s="820"/>
      <c r="L17" s="693"/>
      <c r="M17" s="694"/>
      <c r="N17" s="695"/>
      <c r="O17" s="696"/>
      <c r="P17" s="820"/>
      <c r="Q17" s="693"/>
      <c r="R17" s="694"/>
      <c r="S17" s="695"/>
      <c r="T17" s="696"/>
      <c r="U17" s="820"/>
      <c r="V17" s="693"/>
      <c r="W17" s="694"/>
      <c r="X17" s="695"/>
      <c r="Y17" s="696"/>
      <c r="Z17" s="820"/>
      <c r="AA17" s="693"/>
      <c r="AB17" s="694"/>
      <c r="AC17" s="695"/>
      <c r="AD17" s="696"/>
      <c r="AE17" s="820"/>
      <c r="AF17" s="693"/>
      <c r="AG17" s="694"/>
      <c r="AH17" s="695"/>
      <c r="AI17" s="696"/>
      <c r="AJ17" s="820"/>
      <c r="AK17" s="693"/>
      <c r="AL17" s="694"/>
      <c r="AM17" s="695"/>
      <c r="AN17" s="696"/>
      <c r="AO17" s="820"/>
      <c r="AP17" s="693"/>
      <c r="AQ17" s="694"/>
      <c r="AR17" s="695"/>
      <c r="AS17" s="696"/>
      <c r="AT17" s="820"/>
      <c r="AU17" s="693"/>
      <c r="AV17" s="694"/>
      <c r="AW17" s="695"/>
      <c r="AX17" s="696"/>
      <c r="AY17" s="820"/>
      <c r="AZ17" s="693"/>
      <c r="BA17" s="694"/>
      <c r="BB17" s="695"/>
      <c r="BC17" s="696"/>
      <c r="BD17" s="820"/>
      <c r="BE17" s="693"/>
      <c r="BF17" s="694"/>
      <c r="BG17" s="695"/>
      <c r="BH17" s="696"/>
      <c r="BI17" s="820"/>
      <c r="BJ17" s="693"/>
      <c r="BK17" s="694"/>
      <c r="BL17" s="695"/>
      <c r="BM17" s="696"/>
      <c r="BN17" s="820"/>
      <c r="BO17" s="693"/>
      <c r="BP17" s="694"/>
      <c r="BQ17" s="695"/>
      <c r="BR17" s="696"/>
      <c r="BS17" s="820"/>
      <c r="BT17" s="693"/>
      <c r="BU17" s="694"/>
      <c r="BV17" s="695"/>
      <c r="BW17" s="696"/>
      <c r="BX17" s="820"/>
      <c r="BY17" s="693"/>
      <c r="BZ17" s="694"/>
      <c r="CA17" s="695"/>
      <c r="CB17" s="696"/>
      <c r="CC17" s="820"/>
      <c r="CD17" s="693"/>
      <c r="CE17" s="694"/>
      <c r="CF17" s="695"/>
      <c r="CG17" s="696"/>
      <c r="CH17" s="820"/>
      <c r="CI17" s="693"/>
      <c r="CJ17" s="694"/>
      <c r="CK17" s="695"/>
      <c r="CL17" s="696"/>
      <c r="CM17" s="820"/>
      <c r="CN17" s="693"/>
      <c r="CO17" s="694"/>
      <c r="CP17" s="695"/>
      <c r="CQ17" s="696"/>
      <c r="CR17" s="820"/>
      <c r="CS17" s="693"/>
      <c r="CT17" s="694"/>
      <c r="CU17" s="695"/>
      <c r="CV17" s="696"/>
      <c r="CW17" s="820"/>
      <c r="CX17" s="693"/>
      <c r="CY17" s="694"/>
      <c r="CZ17" s="695"/>
      <c r="DA17" s="696"/>
      <c r="DB17" s="820"/>
      <c r="DC17" s="693"/>
      <c r="DD17" s="694"/>
      <c r="DE17" s="695"/>
      <c r="DF17" s="696"/>
      <c r="DG17" s="820"/>
      <c r="DH17" s="693"/>
      <c r="DI17" s="694"/>
      <c r="DJ17" s="695"/>
      <c r="DK17" s="696"/>
      <c r="DL17" s="820"/>
      <c r="DM17" s="693"/>
      <c r="DN17" s="694"/>
      <c r="DO17" s="695"/>
      <c r="DP17" s="696"/>
      <c r="DQ17" s="820"/>
      <c r="DR17" s="693"/>
      <c r="DS17" s="694"/>
      <c r="DT17" s="695"/>
      <c r="DU17" s="696"/>
      <c r="DV17" s="821"/>
      <c r="DW17" s="816"/>
      <c r="DX17" s="822"/>
      <c r="DY17" s="696"/>
      <c r="DZ17" s="819"/>
      <c r="EA17" s="693"/>
      <c r="EB17" s="694"/>
      <c r="EC17" s="695"/>
      <c r="ED17" s="696"/>
      <c r="EE17" s="821"/>
      <c r="EF17" s="816"/>
      <c r="EG17" s="822"/>
      <c r="EH17" s="696"/>
      <c r="EI17" s="819"/>
      <c r="EJ17" s="693"/>
      <c r="EK17" s="694"/>
      <c r="EL17" s="695"/>
      <c r="EM17" s="696"/>
      <c r="EN17" s="821"/>
      <c r="EO17" s="816"/>
      <c r="EP17" s="822"/>
      <c r="EQ17" s="696"/>
      <c r="ER17" s="819"/>
      <c r="ES17" s="346"/>
    </row>
    <row r="18" spans="1:149" x14ac:dyDescent="0.25">
      <c r="A18" s="692">
        <f t="shared" si="0"/>
        <v>6</v>
      </c>
      <c r="B18" s="693" t="s">
        <v>192</v>
      </c>
      <c r="C18" s="694"/>
      <c r="D18" s="695">
        <v>1</v>
      </c>
      <c r="E18" s="696">
        <v>9.1338840154624883</v>
      </c>
      <c r="F18" s="820">
        <v>3.6535536061849956</v>
      </c>
      <c r="G18" s="693"/>
      <c r="H18" s="694"/>
      <c r="I18" s="695"/>
      <c r="J18" s="696"/>
      <c r="K18" s="820"/>
      <c r="L18" s="693"/>
      <c r="M18" s="694"/>
      <c r="N18" s="695"/>
      <c r="O18" s="696"/>
      <c r="P18" s="820"/>
      <c r="Q18" s="693"/>
      <c r="R18" s="694"/>
      <c r="S18" s="695"/>
      <c r="T18" s="696"/>
      <c r="U18" s="820"/>
      <c r="V18" s="693"/>
      <c r="W18" s="694"/>
      <c r="X18" s="695"/>
      <c r="Y18" s="696"/>
      <c r="Z18" s="820"/>
      <c r="AA18" s="693"/>
      <c r="AB18" s="694"/>
      <c r="AC18" s="695"/>
      <c r="AD18" s="696"/>
      <c r="AE18" s="820"/>
      <c r="AF18" s="693"/>
      <c r="AG18" s="694"/>
      <c r="AH18" s="695"/>
      <c r="AI18" s="696"/>
      <c r="AJ18" s="820"/>
      <c r="AK18" s="693"/>
      <c r="AL18" s="694"/>
      <c r="AM18" s="695"/>
      <c r="AN18" s="696"/>
      <c r="AO18" s="820"/>
      <c r="AP18" s="693"/>
      <c r="AQ18" s="694"/>
      <c r="AR18" s="695"/>
      <c r="AS18" s="696"/>
      <c r="AT18" s="820"/>
      <c r="AU18" s="693"/>
      <c r="AV18" s="694"/>
      <c r="AW18" s="695"/>
      <c r="AX18" s="696"/>
      <c r="AY18" s="820"/>
      <c r="AZ18" s="693"/>
      <c r="BA18" s="694"/>
      <c r="BB18" s="695"/>
      <c r="BC18" s="696"/>
      <c r="BD18" s="820"/>
      <c r="BE18" s="693"/>
      <c r="BF18" s="694"/>
      <c r="BG18" s="695"/>
      <c r="BH18" s="696"/>
      <c r="BI18" s="820"/>
      <c r="BJ18" s="693"/>
      <c r="BK18" s="694"/>
      <c r="BL18" s="695"/>
      <c r="BM18" s="696"/>
      <c r="BN18" s="820"/>
      <c r="BO18" s="693"/>
      <c r="BP18" s="694"/>
      <c r="BQ18" s="695"/>
      <c r="BR18" s="696"/>
      <c r="BS18" s="820"/>
      <c r="BT18" s="693"/>
      <c r="BU18" s="694"/>
      <c r="BV18" s="695"/>
      <c r="BW18" s="696"/>
      <c r="BX18" s="820"/>
      <c r="BY18" s="693"/>
      <c r="BZ18" s="694"/>
      <c r="CA18" s="695"/>
      <c r="CB18" s="696"/>
      <c r="CC18" s="820"/>
      <c r="CD18" s="693"/>
      <c r="CE18" s="694"/>
      <c r="CF18" s="695"/>
      <c r="CG18" s="696"/>
      <c r="CH18" s="820"/>
      <c r="CI18" s="693"/>
      <c r="CJ18" s="694"/>
      <c r="CK18" s="695"/>
      <c r="CL18" s="696"/>
      <c r="CM18" s="820"/>
      <c r="CN18" s="693"/>
      <c r="CO18" s="694"/>
      <c r="CP18" s="695"/>
      <c r="CQ18" s="696"/>
      <c r="CR18" s="820"/>
      <c r="CS18" s="693"/>
      <c r="CT18" s="694"/>
      <c r="CU18" s="695"/>
      <c r="CV18" s="696"/>
      <c r="CW18" s="820"/>
      <c r="CX18" s="693"/>
      <c r="CY18" s="694"/>
      <c r="CZ18" s="695"/>
      <c r="DA18" s="696"/>
      <c r="DB18" s="820"/>
      <c r="DC18" s="693"/>
      <c r="DD18" s="694"/>
      <c r="DE18" s="695"/>
      <c r="DF18" s="696"/>
      <c r="DG18" s="820"/>
      <c r="DH18" s="693"/>
      <c r="DI18" s="694"/>
      <c r="DJ18" s="695"/>
      <c r="DK18" s="696"/>
      <c r="DL18" s="820"/>
      <c r="DM18" s="693"/>
      <c r="DN18" s="694"/>
      <c r="DO18" s="695"/>
      <c r="DP18" s="696"/>
      <c r="DQ18" s="820"/>
      <c r="DR18" s="693"/>
      <c r="DS18" s="694"/>
      <c r="DT18" s="695"/>
      <c r="DU18" s="696"/>
      <c r="DV18" s="821"/>
      <c r="DW18" s="816"/>
      <c r="DX18" s="822"/>
      <c r="DY18" s="696"/>
      <c r="DZ18" s="819"/>
      <c r="EA18" s="693"/>
      <c r="EB18" s="694"/>
      <c r="EC18" s="695"/>
      <c r="ED18" s="696"/>
      <c r="EE18" s="821"/>
      <c r="EF18" s="816"/>
      <c r="EG18" s="822"/>
      <c r="EH18" s="696"/>
      <c r="EI18" s="819"/>
      <c r="EJ18" s="693"/>
      <c r="EK18" s="694"/>
      <c r="EL18" s="695"/>
      <c r="EM18" s="696"/>
      <c r="EN18" s="821"/>
      <c r="EO18" s="816"/>
      <c r="EP18" s="822"/>
      <c r="EQ18" s="696"/>
      <c r="ER18" s="819"/>
      <c r="ES18" s="346"/>
    </row>
    <row r="19" spans="1:149" x14ac:dyDescent="0.25">
      <c r="A19" s="692">
        <f t="shared" si="0"/>
        <v>7</v>
      </c>
      <c r="B19" s="693" t="s">
        <v>312</v>
      </c>
      <c r="C19" s="694"/>
      <c r="D19" s="695">
        <v>1</v>
      </c>
      <c r="E19" s="696">
        <v>7.4303894798102812</v>
      </c>
      <c r="F19" s="820">
        <v>4.4582336878861684</v>
      </c>
      <c r="G19" s="693"/>
      <c r="H19" s="694"/>
      <c r="I19" s="695"/>
      <c r="J19" s="696"/>
      <c r="K19" s="820"/>
      <c r="L19" s="693"/>
      <c r="M19" s="694"/>
      <c r="N19" s="695"/>
      <c r="O19" s="696"/>
      <c r="P19" s="820"/>
      <c r="Q19" s="693"/>
      <c r="R19" s="694"/>
      <c r="S19" s="695"/>
      <c r="T19" s="696"/>
      <c r="U19" s="820"/>
      <c r="V19" s="693"/>
      <c r="W19" s="694"/>
      <c r="X19" s="695"/>
      <c r="Y19" s="696"/>
      <c r="Z19" s="820"/>
      <c r="AA19" s="693"/>
      <c r="AB19" s="694"/>
      <c r="AC19" s="695"/>
      <c r="AD19" s="696"/>
      <c r="AE19" s="820"/>
      <c r="AF19" s="693"/>
      <c r="AG19" s="694"/>
      <c r="AH19" s="695"/>
      <c r="AI19" s="696"/>
      <c r="AJ19" s="820"/>
      <c r="AK19" s="693"/>
      <c r="AL19" s="694"/>
      <c r="AM19" s="695"/>
      <c r="AN19" s="696"/>
      <c r="AO19" s="820"/>
      <c r="AP19" s="693"/>
      <c r="AQ19" s="694"/>
      <c r="AR19" s="695"/>
      <c r="AS19" s="696"/>
      <c r="AT19" s="820"/>
      <c r="AU19" s="693"/>
      <c r="AV19" s="694"/>
      <c r="AW19" s="695"/>
      <c r="AX19" s="696"/>
      <c r="AY19" s="820"/>
      <c r="AZ19" s="693"/>
      <c r="BA19" s="694"/>
      <c r="BB19" s="695"/>
      <c r="BC19" s="696"/>
      <c r="BD19" s="820"/>
      <c r="BE19" s="693"/>
      <c r="BF19" s="694"/>
      <c r="BG19" s="695"/>
      <c r="BH19" s="696"/>
      <c r="BI19" s="820"/>
      <c r="BJ19" s="693"/>
      <c r="BK19" s="694"/>
      <c r="BL19" s="695"/>
      <c r="BM19" s="696"/>
      <c r="BN19" s="820"/>
      <c r="BO19" s="693"/>
      <c r="BP19" s="694"/>
      <c r="BQ19" s="695"/>
      <c r="BR19" s="696"/>
      <c r="BS19" s="820"/>
      <c r="BT19" s="693"/>
      <c r="BU19" s="694"/>
      <c r="BV19" s="695"/>
      <c r="BW19" s="696"/>
      <c r="BX19" s="820"/>
      <c r="BY19" s="693"/>
      <c r="BZ19" s="694"/>
      <c r="CA19" s="695"/>
      <c r="CB19" s="696"/>
      <c r="CC19" s="820"/>
      <c r="CD19" s="693"/>
      <c r="CE19" s="694"/>
      <c r="CF19" s="695"/>
      <c r="CG19" s="696"/>
      <c r="CH19" s="820"/>
      <c r="CI19" s="693"/>
      <c r="CJ19" s="694"/>
      <c r="CK19" s="695"/>
      <c r="CL19" s="696"/>
      <c r="CM19" s="820"/>
      <c r="CN19" s="693"/>
      <c r="CO19" s="694"/>
      <c r="CP19" s="695"/>
      <c r="CQ19" s="696"/>
      <c r="CR19" s="820"/>
      <c r="CS19" s="693"/>
      <c r="CT19" s="694"/>
      <c r="CU19" s="695"/>
      <c r="CV19" s="696"/>
      <c r="CW19" s="820"/>
      <c r="CX19" s="693"/>
      <c r="CY19" s="694"/>
      <c r="CZ19" s="695"/>
      <c r="DA19" s="696"/>
      <c r="DB19" s="820"/>
      <c r="DC19" s="693"/>
      <c r="DD19" s="694"/>
      <c r="DE19" s="695"/>
      <c r="DF19" s="696"/>
      <c r="DG19" s="820"/>
      <c r="DH19" s="693"/>
      <c r="DI19" s="694"/>
      <c r="DJ19" s="695"/>
      <c r="DK19" s="696"/>
      <c r="DL19" s="820"/>
      <c r="DM19" s="693"/>
      <c r="DN19" s="694"/>
      <c r="DO19" s="695"/>
      <c r="DP19" s="696"/>
      <c r="DQ19" s="820"/>
      <c r="DR19" s="693"/>
      <c r="DS19" s="694"/>
      <c r="DT19" s="695"/>
      <c r="DU19" s="696"/>
      <c r="DV19" s="821"/>
      <c r="DW19" s="816"/>
      <c r="DX19" s="822"/>
      <c r="DY19" s="696"/>
      <c r="DZ19" s="819"/>
      <c r="EA19" s="693"/>
      <c r="EB19" s="694"/>
      <c r="EC19" s="695"/>
      <c r="ED19" s="696"/>
      <c r="EE19" s="821"/>
      <c r="EF19" s="816"/>
      <c r="EG19" s="822"/>
      <c r="EH19" s="696"/>
      <c r="EI19" s="819"/>
      <c r="EJ19" s="693"/>
      <c r="EK19" s="694"/>
      <c r="EL19" s="695"/>
      <c r="EM19" s="696"/>
      <c r="EN19" s="821"/>
      <c r="EO19" s="816"/>
      <c r="EP19" s="822"/>
      <c r="EQ19" s="696"/>
      <c r="ER19" s="819"/>
      <c r="ES19" s="346"/>
    </row>
    <row r="20" spans="1:149" x14ac:dyDescent="0.25">
      <c r="A20" s="692">
        <f t="shared" si="0"/>
        <v>8</v>
      </c>
      <c r="B20" s="693" t="s">
        <v>309</v>
      </c>
      <c r="C20" s="694"/>
      <c r="D20" s="695">
        <v>1</v>
      </c>
      <c r="E20" s="696">
        <v>3.1964407959971979</v>
      </c>
      <c r="F20" s="820">
        <v>1.5982203979985989</v>
      </c>
      <c r="G20" s="693"/>
      <c r="H20" s="694"/>
      <c r="I20" s="695"/>
      <c r="J20" s="696"/>
      <c r="K20" s="820"/>
      <c r="L20" s="693"/>
      <c r="M20" s="694"/>
      <c r="N20" s="695"/>
      <c r="O20" s="696"/>
      <c r="P20" s="820"/>
      <c r="Q20" s="693"/>
      <c r="R20" s="694"/>
      <c r="S20" s="695"/>
      <c r="T20" s="696"/>
      <c r="U20" s="820"/>
      <c r="V20" s="693"/>
      <c r="W20" s="694"/>
      <c r="X20" s="695"/>
      <c r="Y20" s="696"/>
      <c r="Z20" s="820"/>
      <c r="AA20" s="693"/>
      <c r="AB20" s="694"/>
      <c r="AC20" s="695"/>
      <c r="AD20" s="696"/>
      <c r="AE20" s="820"/>
      <c r="AF20" s="693"/>
      <c r="AG20" s="694"/>
      <c r="AH20" s="695"/>
      <c r="AI20" s="696"/>
      <c r="AJ20" s="820"/>
      <c r="AK20" s="693"/>
      <c r="AL20" s="694"/>
      <c r="AM20" s="695"/>
      <c r="AN20" s="696"/>
      <c r="AO20" s="820"/>
      <c r="AP20" s="693"/>
      <c r="AQ20" s="694"/>
      <c r="AR20" s="695"/>
      <c r="AS20" s="696"/>
      <c r="AT20" s="820"/>
      <c r="AU20" s="693"/>
      <c r="AV20" s="694"/>
      <c r="AW20" s="695"/>
      <c r="AX20" s="696"/>
      <c r="AY20" s="820"/>
      <c r="AZ20" s="693"/>
      <c r="BA20" s="694"/>
      <c r="BB20" s="695"/>
      <c r="BC20" s="696"/>
      <c r="BD20" s="820"/>
      <c r="BE20" s="693"/>
      <c r="BF20" s="694"/>
      <c r="BG20" s="695"/>
      <c r="BH20" s="696"/>
      <c r="BI20" s="820"/>
      <c r="BJ20" s="693"/>
      <c r="BK20" s="694"/>
      <c r="BL20" s="695"/>
      <c r="BM20" s="696"/>
      <c r="BN20" s="820"/>
      <c r="BO20" s="693"/>
      <c r="BP20" s="694"/>
      <c r="BQ20" s="695"/>
      <c r="BR20" s="696"/>
      <c r="BS20" s="820"/>
      <c r="BT20" s="693"/>
      <c r="BU20" s="694"/>
      <c r="BV20" s="695"/>
      <c r="BW20" s="696"/>
      <c r="BX20" s="820"/>
      <c r="BY20" s="693"/>
      <c r="BZ20" s="694"/>
      <c r="CA20" s="695"/>
      <c r="CB20" s="696"/>
      <c r="CC20" s="820"/>
      <c r="CD20" s="693"/>
      <c r="CE20" s="694"/>
      <c r="CF20" s="695"/>
      <c r="CG20" s="696"/>
      <c r="CH20" s="820"/>
      <c r="CI20" s="693"/>
      <c r="CJ20" s="694"/>
      <c r="CK20" s="695"/>
      <c r="CL20" s="696"/>
      <c r="CM20" s="820"/>
      <c r="CN20" s="693"/>
      <c r="CO20" s="694"/>
      <c r="CP20" s="695"/>
      <c r="CQ20" s="696"/>
      <c r="CR20" s="820"/>
      <c r="CS20" s="693"/>
      <c r="CT20" s="694"/>
      <c r="CU20" s="695"/>
      <c r="CV20" s="696"/>
      <c r="CW20" s="820"/>
      <c r="CX20" s="693"/>
      <c r="CY20" s="694"/>
      <c r="CZ20" s="695"/>
      <c r="DA20" s="696"/>
      <c r="DB20" s="820"/>
      <c r="DC20" s="693"/>
      <c r="DD20" s="694"/>
      <c r="DE20" s="695"/>
      <c r="DF20" s="696"/>
      <c r="DG20" s="820"/>
      <c r="DH20" s="693"/>
      <c r="DI20" s="694"/>
      <c r="DJ20" s="695"/>
      <c r="DK20" s="696"/>
      <c r="DL20" s="820"/>
      <c r="DM20" s="693"/>
      <c r="DN20" s="694"/>
      <c r="DO20" s="695"/>
      <c r="DP20" s="696"/>
      <c r="DQ20" s="820"/>
      <c r="DR20" s="693"/>
      <c r="DS20" s="694"/>
      <c r="DT20" s="695"/>
      <c r="DU20" s="696"/>
      <c r="DV20" s="821"/>
      <c r="DW20" s="816"/>
      <c r="DX20" s="822"/>
      <c r="DY20" s="696"/>
      <c r="DZ20" s="819"/>
      <c r="EA20" s="693"/>
      <c r="EB20" s="694"/>
      <c r="EC20" s="695"/>
      <c r="ED20" s="696"/>
      <c r="EE20" s="821"/>
      <c r="EF20" s="816"/>
      <c r="EG20" s="822"/>
      <c r="EH20" s="696"/>
      <c r="EI20" s="819"/>
      <c r="EJ20" s="693"/>
      <c r="EK20" s="694"/>
      <c r="EL20" s="695"/>
      <c r="EM20" s="696"/>
      <c r="EN20" s="821"/>
      <c r="EO20" s="816"/>
      <c r="EP20" s="822"/>
      <c r="EQ20" s="696"/>
      <c r="ER20" s="819"/>
      <c r="ES20" s="346"/>
    </row>
    <row r="21" spans="1:149" x14ac:dyDescent="0.25">
      <c r="A21" s="692">
        <f t="shared" si="0"/>
        <v>9</v>
      </c>
      <c r="B21" s="693" t="s">
        <v>192</v>
      </c>
      <c r="C21" s="694"/>
      <c r="D21" s="695">
        <v>1</v>
      </c>
      <c r="E21" s="696">
        <v>9.8493672631198592</v>
      </c>
      <c r="F21" s="697">
        <v>3.9397469052479437</v>
      </c>
      <c r="G21" s="693"/>
      <c r="H21" s="694"/>
      <c r="I21" s="695"/>
      <c r="J21" s="696"/>
      <c r="K21" s="697"/>
      <c r="L21" s="693"/>
      <c r="M21" s="694"/>
      <c r="N21" s="695"/>
      <c r="O21" s="696"/>
      <c r="P21" s="697"/>
      <c r="Q21" s="693"/>
      <c r="R21" s="694"/>
      <c r="S21" s="695"/>
      <c r="T21" s="696"/>
      <c r="U21" s="697"/>
      <c r="V21" s="693"/>
      <c r="W21" s="694"/>
      <c r="X21" s="695"/>
      <c r="Y21" s="696"/>
      <c r="Z21" s="697"/>
      <c r="AA21" s="693"/>
      <c r="AB21" s="694"/>
      <c r="AC21" s="695"/>
      <c r="AD21" s="696"/>
      <c r="AE21" s="697"/>
      <c r="AF21" s="693"/>
      <c r="AG21" s="694"/>
      <c r="AH21" s="695"/>
      <c r="AI21" s="696"/>
      <c r="AJ21" s="697"/>
      <c r="AK21" s="693"/>
      <c r="AL21" s="694"/>
      <c r="AM21" s="695"/>
      <c r="AN21" s="696"/>
      <c r="AO21" s="697"/>
      <c r="AP21" s="693"/>
      <c r="AQ21" s="694"/>
      <c r="AR21" s="695"/>
      <c r="AS21" s="696"/>
      <c r="AT21" s="697"/>
      <c r="AU21" s="693"/>
      <c r="AV21" s="694"/>
      <c r="AW21" s="695"/>
      <c r="AX21" s="696"/>
      <c r="AY21" s="697"/>
      <c r="AZ21" s="693"/>
      <c r="BA21" s="694"/>
      <c r="BB21" s="695"/>
      <c r="BC21" s="696"/>
      <c r="BD21" s="697"/>
      <c r="BE21" s="693"/>
      <c r="BF21" s="694"/>
      <c r="BG21" s="695"/>
      <c r="BH21" s="696"/>
      <c r="BI21" s="697"/>
      <c r="BJ21" s="693"/>
      <c r="BK21" s="694"/>
      <c r="BL21" s="695"/>
      <c r="BM21" s="696"/>
      <c r="BN21" s="697"/>
      <c r="BO21" s="693"/>
      <c r="BP21" s="694"/>
      <c r="BQ21" s="695"/>
      <c r="BR21" s="696"/>
      <c r="BS21" s="697"/>
      <c r="BT21" s="693"/>
      <c r="BU21" s="694"/>
      <c r="BV21" s="695"/>
      <c r="BW21" s="696"/>
      <c r="BX21" s="697"/>
      <c r="BY21" s="693"/>
      <c r="BZ21" s="694"/>
      <c r="CA21" s="695"/>
      <c r="CB21" s="696"/>
      <c r="CC21" s="697"/>
      <c r="CD21" s="693"/>
      <c r="CE21" s="694"/>
      <c r="CF21" s="695"/>
      <c r="CG21" s="696"/>
      <c r="CH21" s="697"/>
      <c r="CI21" s="693"/>
      <c r="CJ21" s="694"/>
      <c r="CK21" s="695"/>
      <c r="CL21" s="696"/>
      <c r="CM21" s="697"/>
      <c r="CN21" s="693"/>
      <c r="CO21" s="694"/>
      <c r="CP21" s="695"/>
      <c r="CQ21" s="696"/>
      <c r="CR21" s="697"/>
      <c r="CS21" s="693"/>
      <c r="CT21" s="694"/>
      <c r="CU21" s="695"/>
      <c r="CV21" s="696"/>
      <c r="CW21" s="697"/>
      <c r="CX21" s="693"/>
      <c r="CY21" s="694"/>
      <c r="CZ21" s="695"/>
      <c r="DA21" s="696"/>
      <c r="DB21" s="697"/>
      <c r="DC21" s="693"/>
      <c r="DD21" s="694"/>
      <c r="DE21" s="695"/>
      <c r="DF21" s="696"/>
      <c r="DG21" s="697"/>
      <c r="DH21" s="693"/>
      <c r="DI21" s="694"/>
      <c r="DJ21" s="695"/>
      <c r="DK21" s="696"/>
      <c r="DL21" s="697"/>
      <c r="DM21" s="693"/>
      <c r="DN21" s="694"/>
      <c r="DO21" s="695"/>
      <c r="DP21" s="696"/>
      <c r="DQ21" s="697"/>
      <c r="DR21" s="693"/>
      <c r="DS21" s="694"/>
      <c r="DT21" s="695"/>
      <c r="DU21" s="696"/>
      <c r="DV21" s="819"/>
      <c r="DW21" s="816"/>
      <c r="DX21" s="822"/>
      <c r="DY21" s="696"/>
      <c r="DZ21" s="819"/>
      <c r="EA21" s="693"/>
      <c r="EB21" s="694"/>
      <c r="EC21" s="695"/>
      <c r="ED21" s="696"/>
      <c r="EE21" s="819"/>
      <c r="EF21" s="816"/>
      <c r="EG21" s="822"/>
      <c r="EH21" s="696"/>
      <c r="EI21" s="819"/>
      <c r="EJ21" s="693"/>
      <c r="EK21" s="694"/>
      <c r="EL21" s="695"/>
      <c r="EM21" s="696"/>
      <c r="EN21" s="819"/>
      <c r="EO21" s="816"/>
      <c r="EP21" s="822"/>
      <c r="EQ21" s="696"/>
      <c r="ER21" s="819"/>
      <c r="ES21" s="346"/>
    </row>
    <row r="22" spans="1:149" x14ac:dyDescent="0.25">
      <c r="A22" s="692">
        <f t="shared" si="0"/>
        <v>10</v>
      </c>
      <c r="B22" s="705" t="s">
        <v>192</v>
      </c>
      <c r="C22" s="694"/>
      <c r="D22" s="695">
        <v>1</v>
      </c>
      <c r="E22" s="823">
        <v>8.790305531183721</v>
      </c>
      <c r="F22" s="697">
        <v>3.5161222124734888</v>
      </c>
      <c r="G22" s="705"/>
      <c r="H22" s="694"/>
      <c r="I22" s="695"/>
      <c r="J22" s="823"/>
      <c r="K22" s="697"/>
      <c r="L22" s="705"/>
      <c r="M22" s="694"/>
      <c r="N22" s="695"/>
      <c r="O22" s="823"/>
      <c r="P22" s="697"/>
      <c r="Q22" s="705"/>
      <c r="R22" s="694"/>
      <c r="S22" s="695"/>
      <c r="T22" s="823"/>
      <c r="U22" s="697"/>
      <c r="V22" s="705"/>
      <c r="W22" s="694"/>
      <c r="X22" s="695"/>
      <c r="Y22" s="823"/>
      <c r="Z22" s="697"/>
      <c r="AA22" s="705"/>
      <c r="AB22" s="694"/>
      <c r="AC22" s="695"/>
      <c r="AD22" s="823"/>
      <c r="AE22" s="697"/>
      <c r="AF22" s="705"/>
      <c r="AG22" s="694"/>
      <c r="AH22" s="695"/>
      <c r="AI22" s="823"/>
      <c r="AJ22" s="697"/>
      <c r="AK22" s="705"/>
      <c r="AL22" s="694"/>
      <c r="AM22" s="695"/>
      <c r="AN22" s="823"/>
      <c r="AO22" s="697"/>
      <c r="AP22" s="705"/>
      <c r="AQ22" s="694"/>
      <c r="AR22" s="695"/>
      <c r="AS22" s="823"/>
      <c r="AT22" s="697"/>
      <c r="AU22" s="705"/>
      <c r="AV22" s="694"/>
      <c r="AW22" s="695"/>
      <c r="AX22" s="823"/>
      <c r="AY22" s="697"/>
      <c r="AZ22" s="705"/>
      <c r="BA22" s="694"/>
      <c r="BB22" s="695"/>
      <c r="BC22" s="823"/>
      <c r="BD22" s="697"/>
      <c r="BE22" s="705"/>
      <c r="BF22" s="694"/>
      <c r="BG22" s="695"/>
      <c r="BH22" s="823"/>
      <c r="BI22" s="697"/>
      <c r="BJ22" s="705"/>
      <c r="BK22" s="694"/>
      <c r="BL22" s="695"/>
      <c r="BM22" s="823"/>
      <c r="BN22" s="697"/>
      <c r="BO22" s="705"/>
      <c r="BP22" s="694"/>
      <c r="BQ22" s="695"/>
      <c r="BR22" s="823"/>
      <c r="BS22" s="697"/>
      <c r="BT22" s="705"/>
      <c r="BU22" s="694"/>
      <c r="BV22" s="695"/>
      <c r="BW22" s="823"/>
      <c r="BX22" s="697"/>
      <c r="BY22" s="705"/>
      <c r="BZ22" s="694"/>
      <c r="CA22" s="695"/>
      <c r="CB22" s="823"/>
      <c r="CC22" s="697"/>
      <c r="CD22" s="705"/>
      <c r="CE22" s="694"/>
      <c r="CF22" s="695"/>
      <c r="CG22" s="823"/>
      <c r="CH22" s="697"/>
      <c r="CI22" s="705"/>
      <c r="CJ22" s="694"/>
      <c r="CK22" s="695"/>
      <c r="CL22" s="823"/>
      <c r="CM22" s="697"/>
      <c r="CN22" s="705"/>
      <c r="CO22" s="694"/>
      <c r="CP22" s="695"/>
      <c r="CQ22" s="823"/>
      <c r="CR22" s="697"/>
      <c r="CS22" s="705"/>
      <c r="CT22" s="694"/>
      <c r="CU22" s="695"/>
      <c r="CV22" s="823"/>
      <c r="CW22" s="697"/>
      <c r="CX22" s="705"/>
      <c r="CY22" s="694"/>
      <c r="CZ22" s="695"/>
      <c r="DA22" s="823"/>
      <c r="DB22" s="697"/>
      <c r="DC22" s="705"/>
      <c r="DD22" s="694"/>
      <c r="DE22" s="695"/>
      <c r="DF22" s="823"/>
      <c r="DG22" s="697"/>
      <c r="DH22" s="705"/>
      <c r="DI22" s="694"/>
      <c r="DJ22" s="695"/>
      <c r="DK22" s="823"/>
      <c r="DL22" s="697"/>
      <c r="DM22" s="705"/>
      <c r="DN22" s="694"/>
      <c r="DO22" s="695"/>
      <c r="DP22" s="823"/>
      <c r="DQ22" s="697"/>
      <c r="DR22" s="705"/>
      <c r="DS22" s="694"/>
      <c r="DT22" s="695"/>
      <c r="DU22" s="823"/>
      <c r="DV22" s="819"/>
      <c r="DW22" s="816"/>
      <c r="DX22" s="822"/>
      <c r="DY22" s="696"/>
      <c r="DZ22" s="819"/>
      <c r="EA22" s="705"/>
      <c r="EB22" s="694"/>
      <c r="EC22" s="695"/>
      <c r="ED22" s="823"/>
      <c r="EE22" s="819"/>
      <c r="EF22" s="816"/>
      <c r="EG22" s="822"/>
      <c r="EH22" s="696"/>
      <c r="EI22" s="819"/>
      <c r="EJ22" s="705"/>
      <c r="EK22" s="694"/>
      <c r="EL22" s="695"/>
      <c r="EM22" s="823"/>
      <c r="EN22" s="819"/>
      <c r="EO22" s="816"/>
      <c r="EP22" s="822"/>
      <c r="EQ22" s="696"/>
      <c r="ER22" s="819"/>
      <c r="ES22" s="346"/>
    </row>
    <row r="23" spans="1:149" x14ac:dyDescent="0.25">
      <c r="A23" s="692">
        <f t="shared" si="0"/>
        <v>11</v>
      </c>
      <c r="B23" s="693" t="s">
        <v>312</v>
      </c>
      <c r="C23" s="694"/>
      <c r="D23" s="695">
        <v>1</v>
      </c>
      <c r="E23" s="823">
        <v>9.3097413610737618</v>
      </c>
      <c r="F23" s="697">
        <v>5.5858448166442569</v>
      </c>
      <c r="G23" s="693"/>
      <c r="H23" s="694"/>
      <c r="I23" s="695"/>
      <c r="J23" s="823"/>
      <c r="K23" s="697"/>
      <c r="L23" s="693"/>
      <c r="M23" s="694"/>
      <c r="N23" s="695"/>
      <c r="O23" s="823"/>
      <c r="P23" s="697"/>
      <c r="Q23" s="693"/>
      <c r="R23" s="694"/>
      <c r="S23" s="695"/>
      <c r="T23" s="823"/>
      <c r="U23" s="697"/>
      <c r="V23" s="693"/>
      <c r="W23" s="694"/>
      <c r="X23" s="695"/>
      <c r="Y23" s="823"/>
      <c r="Z23" s="697"/>
      <c r="AA23" s="693"/>
      <c r="AB23" s="694"/>
      <c r="AC23" s="695"/>
      <c r="AD23" s="823"/>
      <c r="AE23" s="697"/>
      <c r="AF23" s="693"/>
      <c r="AG23" s="694"/>
      <c r="AH23" s="695"/>
      <c r="AI23" s="823"/>
      <c r="AJ23" s="697"/>
      <c r="AK23" s="693"/>
      <c r="AL23" s="694"/>
      <c r="AM23" s="695"/>
      <c r="AN23" s="823"/>
      <c r="AO23" s="697"/>
      <c r="AP23" s="693"/>
      <c r="AQ23" s="694"/>
      <c r="AR23" s="695"/>
      <c r="AS23" s="823"/>
      <c r="AT23" s="697"/>
      <c r="AU23" s="693"/>
      <c r="AV23" s="694"/>
      <c r="AW23" s="695"/>
      <c r="AX23" s="823"/>
      <c r="AY23" s="697"/>
      <c r="AZ23" s="693"/>
      <c r="BA23" s="694"/>
      <c r="BB23" s="695"/>
      <c r="BC23" s="823"/>
      <c r="BD23" s="697"/>
      <c r="BE23" s="693"/>
      <c r="BF23" s="694"/>
      <c r="BG23" s="695"/>
      <c r="BH23" s="823"/>
      <c r="BI23" s="697"/>
      <c r="BJ23" s="693"/>
      <c r="BK23" s="694"/>
      <c r="BL23" s="695"/>
      <c r="BM23" s="823"/>
      <c r="BN23" s="697"/>
      <c r="BO23" s="693"/>
      <c r="BP23" s="694"/>
      <c r="BQ23" s="695"/>
      <c r="BR23" s="823"/>
      <c r="BS23" s="697"/>
      <c r="BT23" s="693"/>
      <c r="BU23" s="694"/>
      <c r="BV23" s="695"/>
      <c r="BW23" s="823"/>
      <c r="BX23" s="697"/>
      <c r="BY23" s="693"/>
      <c r="BZ23" s="694"/>
      <c r="CA23" s="695"/>
      <c r="CB23" s="823"/>
      <c r="CC23" s="697"/>
      <c r="CD23" s="693"/>
      <c r="CE23" s="694"/>
      <c r="CF23" s="695"/>
      <c r="CG23" s="823"/>
      <c r="CH23" s="697"/>
      <c r="CI23" s="693"/>
      <c r="CJ23" s="694"/>
      <c r="CK23" s="695"/>
      <c r="CL23" s="823"/>
      <c r="CM23" s="697"/>
      <c r="CN23" s="693"/>
      <c r="CO23" s="694"/>
      <c r="CP23" s="695"/>
      <c r="CQ23" s="823"/>
      <c r="CR23" s="697"/>
      <c r="CS23" s="693"/>
      <c r="CT23" s="694"/>
      <c r="CU23" s="695"/>
      <c r="CV23" s="823"/>
      <c r="CW23" s="697"/>
      <c r="CX23" s="693"/>
      <c r="CY23" s="694"/>
      <c r="CZ23" s="695"/>
      <c r="DA23" s="823"/>
      <c r="DB23" s="697"/>
      <c r="DC23" s="693"/>
      <c r="DD23" s="694"/>
      <c r="DE23" s="695"/>
      <c r="DF23" s="823"/>
      <c r="DG23" s="697"/>
      <c r="DH23" s="693"/>
      <c r="DI23" s="694"/>
      <c r="DJ23" s="695"/>
      <c r="DK23" s="823"/>
      <c r="DL23" s="697"/>
      <c r="DM23" s="693"/>
      <c r="DN23" s="694"/>
      <c r="DO23" s="695"/>
      <c r="DP23" s="823"/>
      <c r="DQ23" s="697"/>
      <c r="DR23" s="693"/>
      <c r="DS23" s="694"/>
      <c r="DT23" s="695"/>
      <c r="DU23" s="823"/>
      <c r="DV23" s="819"/>
      <c r="DW23" s="816"/>
      <c r="DX23" s="822"/>
      <c r="DY23" s="696"/>
      <c r="DZ23" s="819"/>
      <c r="EA23" s="693"/>
      <c r="EB23" s="694"/>
      <c r="EC23" s="695"/>
      <c r="ED23" s="823"/>
      <c r="EE23" s="819"/>
      <c r="EF23" s="816"/>
      <c r="EG23" s="822"/>
      <c r="EH23" s="696"/>
      <c r="EI23" s="819"/>
      <c r="EJ23" s="693"/>
      <c r="EK23" s="694"/>
      <c r="EL23" s="695"/>
      <c r="EM23" s="823"/>
      <c r="EN23" s="819"/>
      <c r="EO23" s="816"/>
      <c r="EP23" s="822"/>
      <c r="EQ23" s="696"/>
      <c r="ER23" s="819"/>
      <c r="ES23" s="346"/>
    </row>
    <row r="24" spans="1:149" x14ac:dyDescent="0.25">
      <c r="A24" s="692">
        <f t="shared" si="0"/>
        <v>12</v>
      </c>
      <c r="B24" s="693" t="s">
        <v>309</v>
      </c>
      <c r="C24" s="694"/>
      <c r="D24" s="695">
        <v>1</v>
      </c>
      <c r="E24" s="823">
        <v>3.5467265073385787</v>
      </c>
      <c r="F24" s="820">
        <v>1.7733632536692894</v>
      </c>
      <c r="G24" s="693"/>
      <c r="H24" s="694"/>
      <c r="I24" s="695"/>
      <c r="J24" s="823"/>
      <c r="K24" s="820"/>
      <c r="L24" s="693"/>
      <c r="M24" s="694"/>
      <c r="N24" s="695"/>
      <c r="O24" s="823"/>
      <c r="P24" s="820"/>
      <c r="Q24" s="693"/>
      <c r="R24" s="694"/>
      <c r="S24" s="695"/>
      <c r="T24" s="823"/>
      <c r="U24" s="820"/>
      <c r="V24" s="693"/>
      <c r="W24" s="694"/>
      <c r="X24" s="695"/>
      <c r="Y24" s="823"/>
      <c r="Z24" s="820"/>
      <c r="AA24" s="693"/>
      <c r="AB24" s="694"/>
      <c r="AC24" s="695"/>
      <c r="AD24" s="823"/>
      <c r="AE24" s="820"/>
      <c r="AF24" s="693"/>
      <c r="AG24" s="694"/>
      <c r="AH24" s="695"/>
      <c r="AI24" s="823"/>
      <c r="AJ24" s="820"/>
      <c r="AK24" s="693"/>
      <c r="AL24" s="694"/>
      <c r="AM24" s="695"/>
      <c r="AN24" s="823"/>
      <c r="AO24" s="820"/>
      <c r="AP24" s="693"/>
      <c r="AQ24" s="694"/>
      <c r="AR24" s="695"/>
      <c r="AS24" s="823"/>
      <c r="AT24" s="820"/>
      <c r="AU24" s="693"/>
      <c r="AV24" s="694"/>
      <c r="AW24" s="695"/>
      <c r="AX24" s="823"/>
      <c r="AY24" s="820"/>
      <c r="AZ24" s="693"/>
      <c r="BA24" s="694"/>
      <c r="BB24" s="695"/>
      <c r="BC24" s="823"/>
      <c r="BD24" s="820"/>
      <c r="BE24" s="693"/>
      <c r="BF24" s="694"/>
      <c r="BG24" s="695"/>
      <c r="BH24" s="823"/>
      <c r="BI24" s="820"/>
      <c r="BJ24" s="693"/>
      <c r="BK24" s="694"/>
      <c r="BL24" s="695"/>
      <c r="BM24" s="823"/>
      <c r="BN24" s="820"/>
      <c r="BO24" s="693"/>
      <c r="BP24" s="694"/>
      <c r="BQ24" s="695"/>
      <c r="BR24" s="823"/>
      <c r="BS24" s="820"/>
      <c r="BT24" s="693"/>
      <c r="BU24" s="694"/>
      <c r="BV24" s="695"/>
      <c r="BW24" s="823"/>
      <c r="BX24" s="820"/>
      <c r="BY24" s="693"/>
      <c r="BZ24" s="694"/>
      <c r="CA24" s="695"/>
      <c r="CB24" s="823"/>
      <c r="CC24" s="820"/>
      <c r="CD24" s="693"/>
      <c r="CE24" s="694"/>
      <c r="CF24" s="695"/>
      <c r="CG24" s="823"/>
      <c r="CH24" s="820"/>
      <c r="CI24" s="693"/>
      <c r="CJ24" s="694"/>
      <c r="CK24" s="695"/>
      <c r="CL24" s="823"/>
      <c r="CM24" s="820"/>
      <c r="CN24" s="693"/>
      <c r="CO24" s="694"/>
      <c r="CP24" s="695"/>
      <c r="CQ24" s="823"/>
      <c r="CR24" s="820"/>
      <c r="CS24" s="693"/>
      <c r="CT24" s="694"/>
      <c r="CU24" s="695"/>
      <c r="CV24" s="823"/>
      <c r="CW24" s="820"/>
      <c r="CX24" s="693"/>
      <c r="CY24" s="694"/>
      <c r="CZ24" s="695"/>
      <c r="DA24" s="823"/>
      <c r="DB24" s="820"/>
      <c r="DC24" s="693"/>
      <c r="DD24" s="694"/>
      <c r="DE24" s="695"/>
      <c r="DF24" s="823"/>
      <c r="DG24" s="820"/>
      <c r="DH24" s="693"/>
      <c r="DI24" s="694"/>
      <c r="DJ24" s="695"/>
      <c r="DK24" s="823"/>
      <c r="DL24" s="820"/>
      <c r="DM24" s="693"/>
      <c r="DN24" s="694"/>
      <c r="DO24" s="695"/>
      <c r="DP24" s="823"/>
      <c r="DQ24" s="820"/>
      <c r="DR24" s="693"/>
      <c r="DS24" s="694"/>
      <c r="DT24" s="695"/>
      <c r="DU24" s="823"/>
      <c r="DV24" s="821"/>
      <c r="DW24" s="816"/>
      <c r="DX24" s="822"/>
      <c r="DY24" s="696"/>
      <c r="DZ24" s="819"/>
      <c r="EA24" s="693"/>
      <c r="EB24" s="694"/>
      <c r="EC24" s="695"/>
      <c r="ED24" s="823"/>
      <c r="EE24" s="821"/>
      <c r="EF24" s="816"/>
      <c r="EG24" s="822"/>
      <c r="EH24" s="696"/>
      <c r="EI24" s="819"/>
      <c r="EJ24" s="693"/>
      <c r="EK24" s="694"/>
      <c r="EL24" s="695"/>
      <c r="EM24" s="823"/>
      <c r="EN24" s="821"/>
      <c r="EO24" s="816"/>
      <c r="EP24" s="822"/>
      <c r="EQ24" s="696"/>
      <c r="ER24" s="819"/>
      <c r="ES24" s="346"/>
    </row>
    <row r="25" spans="1:149" x14ac:dyDescent="0.25">
      <c r="A25" s="692">
        <f t="shared" si="0"/>
        <v>13</v>
      </c>
      <c r="B25" s="693" t="s">
        <v>192</v>
      </c>
      <c r="C25" s="694"/>
      <c r="D25" s="695">
        <v>1</v>
      </c>
      <c r="E25" s="823">
        <v>7.9761913966210409</v>
      </c>
      <c r="F25" s="820">
        <v>3.1904765586484167</v>
      </c>
      <c r="G25" s="693"/>
      <c r="H25" s="694"/>
      <c r="I25" s="695"/>
      <c r="J25" s="823"/>
      <c r="K25" s="820"/>
      <c r="L25" s="693"/>
      <c r="M25" s="694"/>
      <c r="N25" s="695"/>
      <c r="O25" s="823"/>
      <c r="P25" s="820"/>
      <c r="Q25" s="693"/>
      <c r="R25" s="694"/>
      <c r="S25" s="695"/>
      <c r="T25" s="823"/>
      <c r="U25" s="820"/>
      <c r="V25" s="693"/>
      <c r="W25" s="694"/>
      <c r="X25" s="695"/>
      <c r="Y25" s="823"/>
      <c r="Z25" s="820"/>
      <c r="AA25" s="693"/>
      <c r="AB25" s="694"/>
      <c r="AC25" s="695"/>
      <c r="AD25" s="823"/>
      <c r="AE25" s="820"/>
      <c r="AF25" s="693"/>
      <c r="AG25" s="694"/>
      <c r="AH25" s="695"/>
      <c r="AI25" s="823"/>
      <c r="AJ25" s="820"/>
      <c r="AK25" s="693"/>
      <c r="AL25" s="694"/>
      <c r="AM25" s="695"/>
      <c r="AN25" s="823"/>
      <c r="AO25" s="820"/>
      <c r="AP25" s="693"/>
      <c r="AQ25" s="694"/>
      <c r="AR25" s="695"/>
      <c r="AS25" s="823"/>
      <c r="AT25" s="820"/>
      <c r="AU25" s="693"/>
      <c r="AV25" s="694"/>
      <c r="AW25" s="695"/>
      <c r="AX25" s="823"/>
      <c r="AY25" s="820"/>
      <c r="AZ25" s="693"/>
      <c r="BA25" s="694"/>
      <c r="BB25" s="695"/>
      <c r="BC25" s="823"/>
      <c r="BD25" s="820"/>
      <c r="BE25" s="693"/>
      <c r="BF25" s="694"/>
      <c r="BG25" s="695"/>
      <c r="BH25" s="823"/>
      <c r="BI25" s="820"/>
      <c r="BJ25" s="693"/>
      <c r="BK25" s="694"/>
      <c r="BL25" s="695"/>
      <c r="BM25" s="823"/>
      <c r="BN25" s="820"/>
      <c r="BO25" s="693"/>
      <c r="BP25" s="694"/>
      <c r="BQ25" s="695"/>
      <c r="BR25" s="823"/>
      <c r="BS25" s="820"/>
      <c r="BT25" s="693"/>
      <c r="BU25" s="694"/>
      <c r="BV25" s="695"/>
      <c r="BW25" s="823"/>
      <c r="BX25" s="820"/>
      <c r="BY25" s="693"/>
      <c r="BZ25" s="694"/>
      <c r="CA25" s="695"/>
      <c r="CB25" s="823"/>
      <c r="CC25" s="820"/>
      <c r="CD25" s="693"/>
      <c r="CE25" s="694"/>
      <c r="CF25" s="695"/>
      <c r="CG25" s="823"/>
      <c r="CH25" s="820"/>
      <c r="CI25" s="693"/>
      <c r="CJ25" s="694"/>
      <c r="CK25" s="695"/>
      <c r="CL25" s="823"/>
      <c r="CM25" s="820"/>
      <c r="CN25" s="693"/>
      <c r="CO25" s="694"/>
      <c r="CP25" s="695"/>
      <c r="CQ25" s="823"/>
      <c r="CR25" s="820"/>
      <c r="CS25" s="693"/>
      <c r="CT25" s="694"/>
      <c r="CU25" s="695"/>
      <c r="CV25" s="823"/>
      <c r="CW25" s="820"/>
      <c r="CX25" s="693"/>
      <c r="CY25" s="694"/>
      <c r="CZ25" s="695"/>
      <c r="DA25" s="823"/>
      <c r="DB25" s="820"/>
      <c r="DC25" s="693"/>
      <c r="DD25" s="694"/>
      <c r="DE25" s="695"/>
      <c r="DF25" s="823"/>
      <c r="DG25" s="820"/>
      <c r="DH25" s="693"/>
      <c r="DI25" s="694"/>
      <c r="DJ25" s="695"/>
      <c r="DK25" s="823"/>
      <c r="DL25" s="820"/>
      <c r="DM25" s="693"/>
      <c r="DN25" s="694"/>
      <c r="DO25" s="695"/>
      <c r="DP25" s="823"/>
      <c r="DQ25" s="820"/>
      <c r="DR25" s="693"/>
      <c r="DS25" s="694"/>
      <c r="DT25" s="695"/>
      <c r="DU25" s="823"/>
      <c r="DV25" s="821"/>
      <c r="DW25" s="816"/>
      <c r="DX25" s="822"/>
      <c r="DY25" s="696"/>
      <c r="DZ25" s="819"/>
      <c r="EA25" s="693"/>
      <c r="EB25" s="694"/>
      <c r="EC25" s="695"/>
      <c r="ED25" s="823"/>
      <c r="EE25" s="821"/>
      <c r="EF25" s="816"/>
      <c r="EG25" s="822"/>
      <c r="EH25" s="696"/>
      <c r="EI25" s="819"/>
      <c r="EJ25" s="693"/>
      <c r="EK25" s="694"/>
      <c r="EL25" s="695"/>
      <c r="EM25" s="823"/>
      <c r="EN25" s="821"/>
      <c r="EO25" s="816"/>
      <c r="EP25" s="822"/>
      <c r="EQ25" s="696"/>
      <c r="ER25" s="819"/>
      <c r="ES25" s="346"/>
    </row>
    <row r="26" spans="1:149" x14ac:dyDescent="0.25">
      <c r="A26" s="692">
        <f t="shared" si="0"/>
        <v>14</v>
      </c>
      <c r="B26" s="693" t="s">
        <v>192</v>
      </c>
      <c r="C26" s="694"/>
      <c r="D26" s="695">
        <v>1</v>
      </c>
      <c r="E26" s="823">
        <v>9.2881315939317908</v>
      </c>
      <c r="F26" s="820">
        <v>3.7152526375727164</v>
      </c>
      <c r="G26" s="693"/>
      <c r="H26" s="694"/>
      <c r="I26" s="695"/>
      <c r="J26" s="823"/>
      <c r="K26" s="820"/>
      <c r="L26" s="693"/>
      <c r="M26" s="694"/>
      <c r="N26" s="695"/>
      <c r="O26" s="823"/>
      <c r="P26" s="820"/>
      <c r="Q26" s="693"/>
      <c r="R26" s="694"/>
      <c r="S26" s="695"/>
      <c r="T26" s="823"/>
      <c r="U26" s="820"/>
      <c r="V26" s="693"/>
      <c r="W26" s="694"/>
      <c r="X26" s="695"/>
      <c r="Y26" s="823"/>
      <c r="Z26" s="820"/>
      <c r="AA26" s="693"/>
      <c r="AB26" s="694"/>
      <c r="AC26" s="695"/>
      <c r="AD26" s="823"/>
      <c r="AE26" s="820"/>
      <c r="AF26" s="693"/>
      <c r="AG26" s="694"/>
      <c r="AH26" s="695"/>
      <c r="AI26" s="823"/>
      <c r="AJ26" s="820"/>
      <c r="AK26" s="693"/>
      <c r="AL26" s="694"/>
      <c r="AM26" s="695"/>
      <c r="AN26" s="823"/>
      <c r="AO26" s="820"/>
      <c r="AP26" s="693"/>
      <c r="AQ26" s="694"/>
      <c r="AR26" s="695"/>
      <c r="AS26" s="823"/>
      <c r="AT26" s="820"/>
      <c r="AU26" s="693"/>
      <c r="AV26" s="694"/>
      <c r="AW26" s="695"/>
      <c r="AX26" s="823"/>
      <c r="AY26" s="820"/>
      <c r="AZ26" s="693"/>
      <c r="BA26" s="694"/>
      <c r="BB26" s="695"/>
      <c r="BC26" s="823"/>
      <c r="BD26" s="820"/>
      <c r="BE26" s="693"/>
      <c r="BF26" s="694"/>
      <c r="BG26" s="695"/>
      <c r="BH26" s="823"/>
      <c r="BI26" s="820"/>
      <c r="BJ26" s="693"/>
      <c r="BK26" s="694"/>
      <c r="BL26" s="695"/>
      <c r="BM26" s="823"/>
      <c r="BN26" s="820"/>
      <c r="BO26" s="693"/>
      <c r="BP26" s="694"/>
      <c r="BQ26" s="695"/>
      <c r="BR26" s="823"/>
      <c r="BS26" s="820"/>
      <c r="BT26" s="693"/>
      <c r="BU26" s="694"/>
      <c r="BV26" s="695"/>
      <c r="BW26" s="823"/>
      <c r="BX26" s="820"/>
      <c r="BY26" s="693"/>
      <c r="BZ26" s="694"/>
      <c r="CA26" s="695"/>
      <c r="CB26" s="823"/>
      <c r="CC26" s="820"/>
      <c r="CD26" s="693"/>
      <c r="CE26" s="694"/>
      <c r="CF26" s="695"/>
      <c r="CG26" s="823"/>
      <c r="CH26" s="820"/>
      <c r="CI26" s="693"/>
      <c r="CJ26" s="694"/>
      <c r="CK26" s="695"/>
      <c r="CL26" s="823"/>
      <c r="CM26" s="820"/>
      <c r="CN26" s="693"/>
      <c r="CO26" s="694"/>
      <c r="CP26" s="695"/>
      <c r="CQ26" s="823"/>
      <c r="CR26" s="820"/>
      <c r="CS26" s="693"/>
      <c r="CT26" s="694"/>
      <c r="CU26" s="695"/>
      <c r="CV26" s="823"/>
      <c r="CW26" s="820"/>
      <c r="CX26" s="693"/>
      <c r="CY26" s="694"/>
      <c r="CZ26" s="695"/>
      <c r="DA26" s="823"/>
      <c r="DB26" s="820"/>
      <c r="DC26" s="693"/>
      <c r="DD26" s="694"/>
      <c r="DE26" s="695"/>
      <c r="DF26" s="823"/>
      <c r="DG26" s="820"/>
      <c r="DH26" s="693"/>
      <c r="DI26" s="694"/>
      <c r="DJ26" s="695"/>
      <c r="DK26" s="823"/>
      <c r="DL26" s="820"/>
      <c r="DM26" s="693"/>
      <c r="DN26" s="694"/>
      <c r="DO26" s="695"/>
      <c r="DP26" s="823"/>
      <c r="DQ26" s="820"/>
      <c r="DR26" s="693"/>
      <c r="DS26" s="694"/>
      <c r="DT26" s="695"/>
      <c r="DU26" s="823"/>
      <c r="DV26" s="821"/>
      <c r="DW26" s="816"/>
      <c r="DX26" s="822"/>
      <c r="DY26" s="696"/>
      <c r="DZ26" s="819"/>
      <c r="EA26" s="693"/>
      <c r="EB26" s="694"/>
      <c r="EC26" s="695"/>
      <c r="ED26" s="823"/>
      <c r="EE26" s="821"/>
      <c r="EF26" s="816"/>
      <c r="EG26" s="822"/>
      <c r="EH26" s="696"/>
      <c r="EI26" s="819"/>
      <c r="EJ26" s="693"/>
      <c r="EK26" s="694"/>
      <c r="EL26" s="695"/>
      <c r="EM26" s="823"/>
      <c r="EN26" s="821"/>
      <c r="EO26" s="816"/>
      <c r="EP26" s="822"/>
      <c r="EQ26" s="696"/>
      <c r="ER26" s="819"/>
      <c r="ES26" s="346"/>
    </row>
    <row r="27" spans="1:149" x14ac:dyDescent="0.25">
      <c r="A27" s="692">
        <f t="shared" si="0"/>
        <v>15</v>
      </c>
      <c r="B27" s="693" t="s">
        <v>312</v>
      </c>
      <c r="C27" s="694"/>
      <c r="D27" s="695">
        <v>1</v>
      </c>
      <c r="E27" s="823">
        <v>8.2073891917756878</v>
      </c>
      <c r="F27" s="820">
        <v>4.9244335150654122</v>
      </c>
      <c r="G27" s="693"/>
      <c r="H27" s="694"/>
      <c r="I27" s="695"/>
      <c r="J27" s="823"/>
      <c r="K27" s="820"/>
      <c r="L27" s="693"/>
      <c r="M27" s="694"/>
      <c r="N27" s="695"/>
      <c r="O27" s="823"/>
      <c r="P27" s="820"/>
      <c r="Q27" s="693"/>
      <c r="R27" s="694"/>
      <c r="S27" s="695"/>
      <c r="T27" s="823"/>
      <c r="U27" s="820"/>
      <c r="V27" s="693"/>
      <c r="W27" s="694"/>
      <c r="X27" s="695"/>
      <c r="Y27" s="823"/>
      <c r="Z27" s="820"/>
      <c r="AA27" s="693"/>
      <c r="AB27" s="694"/>
      <c r="AC27" s="695"/>
      <c r="AD27" s="823"/>
      <c r="AE27" s="820"/>
      <c r="AF27" s="693"/>
      <c r="AG27" s="694"/>
      <c r="AH27" s="695"/>
      <c r="AI27" s="823"/>
      <c r="AJ27" s="820"/>
      <c r="AK27" s="693"/>
      <c r="AL27" s="694"/>
      <c r="AM27" s="695"/>
      <c r="AN27" s="823"/>
      <c r="AO27" s="820"/>
      <c r="AP27" s="693"/>
      <c r="AQ27" s="694"/>
      <c r="AR27" s="695"/>
      <c r="AS27" s="823"/>
      <c r="AT27" s="820"/>
      <c r="AU27" s="693"/>
      <c r="AV27" s="694"/>
      <c r="AW27" s="695"/>
      <c r="AX27" s="823"/>
      <c r="AY27" s="820"/>
      <c r="AZ27" s="693"/>
      <c r="BA27" s="694"/>
      <c r="BB27" s="695"/>
      <c r="BC27" s="823"/>
      <c r="BD27" s="820"/>
      <c r="BE27" s="693"/>
      <c r="BF27" s="694"/>
      <c r="BG27" s="695"/>
      <c r="BH27" s="823"/>
      <c r="BI27" s="820"/>
      <c r="BJ27" s="693"/>
      <c r="BK27" s="694"/>
      <c r="BL27" s="695"/>
      <c r="BM27" s="823"/>
      <c r="BN27" s="820"/>
      <c r="BO27" s="693"/>
      <c r="BP27" s="694"/>
      <c r="BQ27" s="695"/>
      <c r="BR27" s="823"/>
      <c r="BS27" s="820"/>
      <c r="BT27" s="693"/>
      <c r="BU27" s="694"/>
      <c r="BV27" s="695"/>
      <c r="BW27" s="823"/>
      <c r="BX27" s="820"/>
      <c r="BY27" s="693"/>
      <c r="BZ27" s="694"/>
      <c r="CA27" s="695"/>
      <c r="CB27" s="823"/>
      <c r="CC27" s="820"/>
      <c r="CD27" s="693"/>
      <c r="CE27" s="694"/>
      <c r="CF27" s="695"/>
      <c r="CG27" s="823"/>
      <c r="CH27" s="820"/>
      <c r="CI27" s="693"/>
      <c r="CJ27" s="694"/>
      <c r="CK27" s="695"/>
      <c r="CL27" s="823"/>
      <c r="CM27" s="820"/>
      <c r="CN27" s="693"/>
      <c r="CO27" s="694"/>
      <c r="CP27" s="695"/>
      <c r="CQ27" s="823"/>
      <c r="CR27" s="820"/>
      <c r="CS27" s="693"/>
      <c r="CT27" s="694"/>
      <c r="CU27" s="695"/>
      <c r="CV27" s="823"/>
      <c r="CW27" s="820"/>
      <c r="CX27" s="693"/>
      <c r="CY27" s="694"/>
      <c r="CZ27" s="695"/>
      <c r="DA27" s="823"/>
      <c r="DB27" s="820"/>
      <c r="DC27" s="693"/>
      <c r="DD27" s="694"/>
      <c r="DE27" s="695"/>
      <c r="DF27" s="823"/>
      <c r="DG27" s="820"/>
      <c r="DH27" s="693"/>
      <c r="DI27" s="694"/>
      <c r="DJ27" s="695"/>
      <c r="DK27" s="823"/>
      <c r="DL27" s="820"/>
      <c r="DM27" s="693"/>
      <c r="DN27" s="694"/>
      <c r="DO27" s="695"/>
      <c r="DP27" s="823"/>
      <c r="DQ27" s="820"/>
      <c r="DR27" s="693"/>
      <c r="DS27" s="694"/>
      <c r="DT27" s="695"/>
      <c r="DU27" s="823"/>
      <c r="DV27" s="821"/>
      <c r="DW27" s="816"/>
      <c r="DX27" s="822"/>
      <c r="DY27" s="696"/>
      <c r="DZ27" s="819"/>
      <c r="EA27" s="693"/>
      <c r="EB27" s="694"/>
      <c r="EC27" s="695"/>
      <c r="ED27" s="823"/>
      <c r="EE27" s="821"/>
      <c r="EF27" s="816"/>
      <c r="EG27" s="822"/>
      <c r="EH27" s="696"/>
      <c r="EI27" s="819"/>
      <c r="EJ27" s="693"/>
      <c r="EK27" s="694"/>
      <c r="EL27" s="695"/>
      <c r="EM27" s="823"/>
      <c r="EN27" s="821"/>
      <c r="EO27" s="816"/>
      <c r="EP27" s="822"/>
      <c r="EQ27" s="696"/>
      <c r="ER27" s="819"/>
      <c r="ES27" s="346"/>
    </row>
    <row r="28" spans="1:149" x14ac:dyDescent="0.25">
      <c r="A28" s="692">
        <f t="shared" si="0"/>
        <v>16</v>
      </c>
      <c r="B28" s="693" t="s">
        <v>309</v>
      </c>
      <c r="C28" s="694"/>
      <c r="D28" s="695">
        <v>1</v>
      </c>
      <c r="E28" s="823">
        <v>3.6171271045742861</v>
      </c>
      <c r="F28" s="820">
        <v>1.8085635522871431</v>
      </c>
      <c r="G28" s="693"/>
      <c r="H28" s="694"/>
      <c r="I28" s="695"/>
      <c r="J28" s="823"/>
      <c r="K28" s="820"/>
      <c r="L28" s="693"/>
      <c r="M28" s="694"/>
      <c r="N28" s="695"/>
      <c r="O28" s="823"/>
      <c r="P28" s="820"/>
      <c r="Q28" s="693"/>
      <c r="R28" s="694"/>
      <c r="S28" s="695"/>
      <c r="T28" s="823"/>
      <c r="U28" s="820"/>
      <c r="V28" s="693"/>
      <c r="W28" s="694"/>
      <c r="X28" s="695"/>
      <c r="Y28" s="823"/>
      <c r="Z28" s="820"/>
      <c r="AA28" s="693"/>
      <c r="AB28" s="694"/>
      <c r="AC28" s="695"/>
      <c r="AD28" s="823"/>
      <c r="AE28" s="820"/>
      <c r="AF28" s="693"/>
      <c r="AG28" s="694"/>
      <c r="AH28" s="695"/>
      <c r="AI28" s="823"/>
      <c r="AJ28" s="820"/>
      <c r="AK28" s="693"/>
      <c r="AL28" s="694"/>
      <c r="AM28" s="695"/>
      <c r="AN28" s="823"/>
      <c r="AO28" s="820"/>
      <c r="AP28" s="693"/>
      <c r="AQ28" s="694"/>
      <c r="AR28" s="695"/>
      <c r="AS28" s="823"/>
      <c r="AT28" s="820"/>
      <c r="AU28" s="693"/>
      <c r="AV28" s="694"/>
      <c r="AW28" s="695"/>
      <c r="AX28" s="823"/>
      <c r="AY28" s="820"/>
      <c r="AZ28" s="693"/>
      <c r="BA28" s="694"/>
      <c r="BB28" s="695"/>
      <c r="BC28" s="823"/>
      <c r="BD28" s="820"/>
      <c r="BE28" s="693"/>
      <c r="BF28" s="694"/>
      <c r="BG28" s="695"/>
      <c r="BH28" s="823"/>
      <c r="BI28" s="820"/>
      <c r="BJ28" s="693"/>
      <c r="BK28" s="694"/>
      <c r="BL28" s="695"/>
      <c r="BM28" s="823"/>
      <c r="BN28" s="820"/>
      <c r="BO28" s="693"/>
      <c r="BP28" s="694"/>
      <c r="BQ28" s="695"/>
      <c r="BR28" s="823"/>
      <c r="BS28" s="820"/>
      <c r="BT28" s="693"/>
      <c r="BU28" s="694"/>
      <c r="BV28" s="695"/>
      <c r="BW28" s="823"/>
      <c r="BX28" s="820"/>
      <c r="BY28" s="693"/>
      <c r="BZ28" s="694"/>
      <c r="CA28" s="695"/>
      <c r="CB28" s="823"/>
      <c r="CC28" s="820"/>
      <c r="CD28" s="693"/>
      <c r="CE28" s="694"/>
      <c r="CF28" s="695"/>
      <c r="CG28" s="823"/>
      <c r="CH28" s="820"/>
      <c r="CI28" s="693"/>
      <c r="CJ28" s="694"/>
      <c r="CK28" s="695"/>
      <c r="CL28" s="823"/>
      <c r="CM28" s="820"/>
      <c r="CN28" s="693"/>
      <c r="CO28" s="694"/>
      <c r="CP28" s="695"/>
      <c r="CQ28" s="823"/>
      <c r="CR28" s="820"/>
      <c r="CS28" s="693"/>
      <c r="CT28" s="694"/>
      <c r="CU28" s="695"/>
      <c r="CV28" s="823"/>
      <c r="CW28" s="820"/>
      <c r="CX28" s="693"/>
      <c r="CY28" s="694"/>
      <c r="CZ28" s="695"/>
      <c r="DA28" s="823"/>
      <c r="DB28" s="820"/>
      <c r="DC28" s="693"/>
      <c r="DD28" s="694"/>
      <c r="DE28" s="695"/>
      <c r="DF28" s="823"/>
      <c r="DG28" s="820"/>
      <c r="DH28" s="693"/>
      <c r="DI28" s="694"/>
      <c r="DJ28" s="695"/>
      <c r="DK28" s="823"/>
      <c r="DL28" s="820"/>
      <c r="DM28" s="693"/>
      <c r="DN28" s="694"/>
      <c r="DO28" s="695"/>
      <c r="DP28" s="823"/>
      <c r="DQ28" s="820"/>
      <c r="DR28" s="693"/>
      <c r="DS28" s="694"/>
      <c r="DT28" s="695"/>
      <c r="DU28" s="823"/>
      <c r="DV28" s="821"/>
      <c r="DW28" s="816"/>
      <c r="DX28" s="822"/>
      <c r="DY28" s="696"/>
      <c r="DZ28" s="819"/>
      <c r="EA28" s="693"/>
      <c r="EB28" s="694"/>
      <c r="EC28" s="695"/>
      <c r="ED28" s="823"/>
      <c r="EE28" s="821"/>
      <c r="EF28" s="816"/>
      <c r="EG28" s="822"/>
      <c r="EH28" s="696"/>
      <c r="EI28" s="819"/>
      <c r="EJ28" s="693"/>
      <c r="EK28" s="694"/>
      <c r="EL28" s="695"/>
      <c r="EM28" s="823"/>
      <c r="EN28" s="821"/>
      <c r="EO28" s="816"/>
      <c r="EP28" s="822"/>
      <c r="EQ28" s="696"/>
      <c r="ER28" s="819"/>
      <c r="ES28" s="346"/>
    </row>
    <row r="29" spans="1:149" x14ac:dyDescent="0.25">
      <c r="A29" s="692">
        <f t="shared" si="0"/>
        <v>17</v>
      </c>
      <c r="B29" s="693" t="s">
        <v>192</v>
      </c>
      <c r="C29" s="694"/>
      <c r="D29" s="695">
        <v>1</v>
      </c>
      <c r="E29" s="823">
        <v>9.2046218257840753</v>
      </c>
      <c r="F29" s="820">
        <v>3.6818487303136305</v>
      </c>
      <c r="G29" s="693"/>
      <c r="H29" s="694"/>
      <c r="I29" s="695"/>
      <c r="J29" s="823"/>
      <c r="K29" s="820"/>
      <c r="L29" s="693"/>
      <c r="M29" s="694"/>
      <c r="N29" s="695"/>
      <c r="O29" s="823"/>
      <c r="P29" s="820"/>
      <c r="Q29" s="693"/>
      <c r="R29" s="694"/>
      <c r="S29" s="695"/>
      <c r="T29" s="823"/>
      <c r="U29" s="820"/>
      <c r="V29" s="693"/>
      <c r="W29" s="694"/>
      <c r="X29" s="695"/>
      <c r="Y29" s="823"/>
      <c r="Z29" s="820"/>
      <c r="AA29" s="693"/>
      <c r="AB29" s="694"/>
      <c r="AC29" s="695"/>
      <c r="AD29" s="823"/>
      <c r="AE29" s="820"/>
      <c r="AF29" s="693"/>
      <c r="AG29" s="694"/>
      <c r="AH29" s="695"/>
      <c r="AI29" s="823"/>
      <c r="AJ29" s="820"/>
      <c r="AK29" s="693"/>
      <c r="AL29" s="694"/>
      <c r="AM29" s="695"/>
      <c r="AN29" s="823"/>
      <c r="AO29" s="820"/>
      <c r="AP29" s="693"/>
      <c r="AQ29" s="694"/>
      <c r="AR29" s="695"/>
      <c r="AS29" s="823"/>
      <c r="AT29" s="820"/>
      <c r="AU29" s="693"/>
      <c r="AV29" s="694"/>
      <c r="AW29" s="695"/>
      <c r="AX29" s="823"/>
      <c r="AY29" s="820"/>
      <c r="AZ29" s="693"/>
      <c r="BA29" s="694"/>
      <c r="BB29" s="695"/>
      <c r="BC29" s="823"/>
      <c r="BD29" s="820"/>
      <c r="BE29" s="693"/>
      <c r="BF29" s="694"/>
      <c r="BG29" s="695"/>
      <c r="BH29" s="823"/>
      <c r="BI29" s="820"/>
      <c r="BJ29" s="693"/>
      <c r="BK29" s="694"/>
      <c r="BL29" s="695"/>
      <c r="BM29" s="823"/>
      <c r="BN29" s="820"/>
      <c r="BO29" s="693"/>
      <c r="BP29" s="694"/>
      <c r="BQ29" s="695"/>
      <c r="BR29" s="823"/>
      <c r="BS29" s="820"/>
      <c r="BT29" s="693"/>
      <c r="BU29" s="694"/>
      <c r="BV29" s="695"/>
      <c r="BW29" s="823"/>
      <c r="BX29" s="820"/>
      <c r="BY29" s="693"/>
      <c r="BZ29" s="694"/>
      <c r="CA29" s="695"/>
      <c r="CB29" s="823"/>
      <c r="CC29" s="820"/>
      <c r="CD29" s="693"/>
      <c r="CE29" s="694"/>
      <c r="CF29" s="695"/>
      <c r="CG29" s="823"/>
      <c r="CH29" s="820"/>
      <c r="CI29" s="693"/>
      <c r="CJ29" s="694"/>
      <c r="CK29" s="695"/>
      <c r="CL29" s="823"/>
      <c r="CM29" s="820"/>
      <c r="CN29" s="693"/>
      <c r="CO29" s="694"/>
      <c r="CP29" s="695"/>
      <c r="CQ29" s="823"/>
      <c r="CR29" s="820"/>
      <c r="CS29" s="693"/>
      <c r="CT29" s="694"/>
      <c r="CU29" s="695"/>
      <c r="CV29" s="823"/>
      <c r="CW29" s="820"/>
      <c r="CX29" s="693"/>
      <c r="CY29" s="694"/>
      <c r="CZ29" s="695"/>
      <c r="DA29" s="823"/>
      <c r="DB29" s="820"/>
      <c r="DC29" s="693"/>
      <c r="DD29" s="694"/>
      <c r="DE29" s="695"/>
      <c r="DF29" s="823"/>
      <c r="DG29" s="820"/>
      <c r="DH29" s="693"/>
      <c r="DI29" s="694"/>
      <c r="DJ29" s="695"/>
      <c r="DK29" s="823"/>
      <c r="DL29" s="820"/>
      <c r="DM29" s="693"/>
      <c r="DN29" s="694"/>
      <c r="DO29" s="695"/>
      <c r="DP29" s="823"/>
      <c r="DQ29" s="820"/>
      <c r="DR29" s="693"/>
      <c r="DS29" s="694"/>
      <c r="DT29" s="695"/>
      <c r="DU29" s="823"/>
      <c r="DV29" s="821"/>
      <c r="DW29" s="816"/>
      <c r="DX29" s="822"/>
      <c r="DY29" s="696"/>
      <c r="DZ29" s="819"/>
      <c r="EA29" s="693"/>
      <c r="EB29" s="694"/>
      <c r="EC29" s="695"/>
      <c r="ED29" s="823"/>
      <c r="EE29" s="821"/>
      <c r="EF29" s="816"/>
      <c r="EG29" s="822"/>
      <c r="EH29" s="696"/>
      <c r="EI29" s="819"/>
      <c r="EJ29" s="693"/>
      <c r="EK29" s="694"/>
      <c r="EL29" s="695"/>
      <c r="EM29" s="823"/>
      <c r="EN29" s="821"/>
      <c r="EO29" s="816"/>
      <c r="EP29" s="822"/>
      <c r="EQ29" s="696"/>
      <c r="ER29" s="819"/>
      <c r="ES29" s="346"/>
    </row>
    <row r="30" spans="1:149" x14ac:dyDescent="0.25">
      <c r="A30" s="692">
        <f t="shared" si="0"/>
        <v>18</v>
      </c>
      <c r="B30" s="693" t="s">
        <v>192</v>
      </c>
      <c r="C30" s="694"/>
      <c r="D30" s="695">
        <v>1</v>
      </c>
      <c r="E30" s="823">
        <v>6.9787773046095287</v>
      </c>
      <c r="F30" s="820">
        <v>2.7915109218438117</v>
      </c>
      <c r="G30" s="693"/>
      <c r="H30" s="694"/>
      <c r="I30" s="695"/>
      <c r="J30" s="823"/>
      <c r="K30" s="820"/>
      <c r="L30" s="693"/>
      <c r="M30" s="694"/>
      <c r="N30" s="695"/>
      <c r="O30" s="823"/>
      <c r="P30" s="820"/>
      <c r="Q30" s="693"/>
      <c r="R30" s="694"/>
      <c r="S30" s="695"/>
      <c r="T30" s="823"/>
      <c r="U30" s="820"/>
      <c r="V30" s="693"/>
      <c r="W30" s="694"/>
      <c r="X30" s="695"/>
      <c r="Y30" s="823"/>
      <c r="Z30" s="820"/>
      <c r="AA30" s="693"/>
      <c r="AB30" s="694"/>
      <c r="AC30" s="695"/>
      <c r="AD30" s="823"/>
      <c r="AE30" s="820"/>
      <c r="AF30" s="693"/>
      <c r="AG30" s="694"/>
      <c r="AH30" s="695"/>
      <c r="AI30" s="823"/>
      <c r="AJ30" s="820"/>
      <c r="AK30" s="693"/>
      <c r="AL30" s="694"/>
      <c r="AM30" s="695"/>
      <c r="AN30" s="823"/>
      <c r="AO30" s="820"/>
      <c r="AP30" s="693"/>
      <c r="AQ30" s="694"/>
      <c r="AR30" s="695"/>
      <c r="AS30" s="823"/>
      <c r="AT30" s="820"/>
      <c r="AU30" s="693"/>
      <c r="AV30" s="694"/>
      <c r="AW30" s="695"/>
      <c r="AX30" s="823"/>
      <c r="AY30" s="820"/>
      <c r="AZ30" s="693"/>
      <c r="BA30" s="694"/>
      <c r="BB30" s="695"/>
      <c r="BC30" s="823"/>
      <c r="BD30" s="820"/>
      <c r="BE30" s="693"/>
      <c r="BF30" s="694"/>
      <c r="BG30" s="695"/>
      <c r="BH30" s="823"/>
      <c r="BI30" s="820"/>
      <c r="BJ30" s="693"/>
      <c r="BK30" s="694"/>
      <c r="BL30" s="695"/>
      <c r="BM30" s="823"/>
      <c r="BN30" s="820"/>
      <c r="BO30" s="693"/>
      <c r="BP30" s="694"/>
      <c r="BQ30" s="695"/>
      <c r="BR30" s="823"/>
      <c r="BS30" s="820"/>
      <c r="BT30" s="693"/>
      <c r="BU30" s="694"/>
      <c r="BV30" s="695"/>
      <c r="BW30" s="823"/>
      <c r="BX30" s="820"/>
      <c r="BY30" s="693"/>
      <c r="BZ30" s="694"/>
      <c r="CA30" s="695"/>
      <c r="CB30" s="823"/>
      <c r="CC30" s="820"/>
      <c r="CD30" s="693"/>
      <c r="CE30" s="694"/>
      <c r="CF30" s="695"/>
      <c r="CG30" s="823"/>
      <c r="CH30" s="820"/>
      <c r="CI30" s="693"/>
      <c r="CJ30" s="694"/>
      <c r="CK30" s="695"/>
      <c r="CL30" s="823"/>
      <c r="CM30" s="820"/>
      <c r="CN30" s="693"/>
      <c r="CO30" s="694"/>
      <c r="CP30" s="695"/>
      <c r="CQ30" s="823"/>
      <c r="CR30" s="820"/>
      <c r="CS30" s="693"/>
      <c r="CT30" s="694"/>
      <c r="CU30" s="695"/>
      <c r="CV30" s="823"/>
      <c r="CW30" s="820"/>
      <c r="CX30" s="693"/>
      <c r="CY30" s="694"/>
      <c r="CZ30" s="695"/>
      <c r="DA30" s="823"/>
      <c r="DB30" s="820"/>
      <c r="DC30" s="693"/>
      <c r="DD30" s="694"/>
      <c r="DE30" s="695"/>
      <c r="DF30" s="823"/>
      <c r="DG30" s="820"/>
      <c r="DH30" s="693"/>
      <c r="DI30" s="694"/>
      <c r="DJ30" s="695"/>
      <c r="DK30" s="823"/>
      <c r="DL30" s="820"/>
      <c r="DM30" s="693"/>
      <c r="DN30" s="694"/>
      <c r="DO30" s="695"/>
      <c r="DP30" s="823"/>
      <c r="DQ30" s="820"/>
      <c r="DR30" s="693"/>
      <c r="DS30" s="694"/>
      <c r="DT30" s="695"/>
      <c r="DU30" s="823"/>
      <c r="DV30" s="821"/>
      <c r="DW30" s="816"/>
      <c r="DX30" s="822"/>
      <c r="DY30" s="696"/>
      <c r="DZ30" s="819"/>
      <c r="EA30" s="693"/>
      <c r="EB30" s="694"/>
      <c r="EC30" s="695"/>
      <c r="ED30" s="823"/>
      <c r="EE30" s="821"/>
      <c r="EF30" s="816"/>
      <c r="EG30" s="822"/>
      <c r="EH30" s="696"/>
      <c r="EI30" s="819"/>
      <c r="EJ30" s="693"/>
      <c r="EK30" s="694"/>
      <c r="EL30" s="695"/>
      <c r="EM30" s="823"/>
      <c r="EN30" s="821"/>
      <c r="EO30" s="816"/>
      <c r="EP30" s="822"/>
      <c r="EQ30" s="696"/>
      <c r="ER30" s="819"/>
      <c r="ES30" s="346"/>
    </row>
    <row r="31" spans="1:149" x14ac:dyDescent="0.25">
      <c r="A31" s="692">
        <f t="shared" si="0"/>
        <v>19</v>
      </c>
      <c r="B31" s="705" t="s">
        <v>312</v>
      </c>
      <c r="C31" s="694"/>
      <c r="D31" s="695">
        <v>1</v>
      </c>
      <c r="E31" s="823">
        <v>8.9197894611856832</v>
      </c>
      <c r="F31" s="697">
        <v>5.3518736767114099</v>
      </c>
      <c r="G31" s="705"/>
      <c r="H31" s="694"/>
      <c r="I31" s="695"/>
      <c r="J31" s="823"/>
      <c r="K31" s="697"/>
      <c r="L31" s="705"/>
      <c r="M31" s="694"/>
      <c r="N31" s="695"/>
      <c r="O31" s="823"/>
      <c r="P31" s="697"/>
      <c r="Q31" s="705"/>
      <c r="R31" s="694"/>
      <c r="S31" s="695"/>
      <c r="T31" s="823"/>
      <c r="U31" s="697"/>
      <c r="V31" s="705"/>
      <c r="W31" s="694"/>
      <c r="X31" s="695"/>
      <c r="Y31" s="823"/>
      <c r="Z31" s="697"/>
      <c r="AA31" s="705"/>
      <c r="AB31" s="694"/>
      <c r="AC31" s="695"/>
      <c r="AD31" s="823"/>
      <c r="AE31" s="697"/>
      <c r="AF31" s="705"/>
      <c r="AG31" s="694"/>
      <c r="AH31" s="695"/>
      <c r="AI31" s="823"/>
      <c r="AJ31" s="697"/>
      <c r="AK31" s="705"/>
      <c r="AL31" s="694"/>
      <c r="AM31" s="695"/>
      <c r="AN31" s="823"/>
      <c r="AO31" s="697"/>
      <c r="AP31" s="705"/>
      <c r="AQ31" s="694"/>
      <c r="AR31" s="695"/>
      <c r="AS31" s="823"/>
      <c r="AT31" s="697"/>
      <c r="AU31" s="705"/>
      <c r="AV31" s="694"/>
      <c r="AW31" s="695"/>
      <c r="AX31" s="823"/>
      <c r="AY31" s="697"/>
      <c r="AZ31" s="705"/>
      <c r="BA31" s="694"/>
      <c r="BB31" s="695"/>
      <c r="BC31" s="823"/>
      <c r="BD31" s="697"/>
      <c r="BE31" s="705"/>
      <c r="BF31" s="694"/>
      <c r="BG31" s="695"/>
      <c r="BH31" s="823"/>
      <c r="BI31" s="697"/>
      <c r="BJ31" s="705"/>
      <c r="BK31" s="694"/>
      <c r="BL31" s="695"/>
      <c r="BM31" s="823"/>
      <c r="BN31" s="697"/>
      <c r="BO31" s="705"/>
      <c r="BP31" s="694"/>
      <c r="BQ31" s="695"/>
      <c r="BR31" s="823"/>
      <c r="BS31" s="697"/>
      <c r="BT31" s="705"/>
      <c r="BU31" s="694"/>
      <c r="BV31" s="695"/>
      <c r="BW31" s="823"/>
      <c r="BX31" s="697"/>
      <c r="BY31" s="705"/>
      <c r="BZ31" s="694"/>
      <c r="CA31" s="695"/>
      <c r="CB31" s="823"/>
      <c r="CC31" s="697"/>
      <c r="CD31" s="705"/>
      <c r="CE31" s="694"/>
      <c r="CF31" s="695"/>
      <c r="CG31" s="823"/>
      <c r="CH31" s="697"/>
      <c r="CI31" s="705"/>
      <c r="CJ31" s="694"/>
      <c r="CK31" s="695"/>
      <c r="CL31" s="823"/>
      <c r="CM31" s="697"/>
      <c r="CN31" s="705"/>
      <c r="CO31" s="694"/>
      <c r="CP31" s="695"/>
      <c r="CQ31" s="823"/>
      <c r="CR31" s="697"/>
      <c r="CS31" s="705"/>
      <c r="CT31" s="694"/>
      <c r="CU31" s="695"/>
      <c r="CV31" s="823"/>
      <c r="CW31" s="697"/>
      <c r="CX31" s="705"/>
      <c r="CY31" s="694"/>
      <c r="CZ31" s="695"/>
      <c r="DA31" s="823"/>
      <c r="DB31" s="697"/>
      <c r="DC31" s="705"/>
      <c r="DD31" s="694"/>
      <c r="DE31" s="695"/>
      <c r="DF31" s="823"/>
      <c r="DG31" s="697"/>
      <c r="DH31" s="705"/>
      <c r="DI31" s="694"/>
      <c r="DJ31" s="695"/>
      <c r="DK31" s="823"/>
      <c r="DL31" s="697"/>
      <c r="DM31" s="705"/>
      <c r="DN31" s="694"/>
      <c r="DO31" s="695"/>
      <c r="DP31" s="823"/>
      <c r="DQ31" s="697"/>
      <c r="DR31" s="705"/>
      <c r="DS31" s="694"/>
      <c r="DT31" s="695"/>
      <c r="DU31" s="823"/>
      <c r="DV31" s="819"/>
      <c r="DW31" s="816"/>
      <c r="DX31" s="822"/>
      <c r="DY31" s="696"/>
      <c r="DZ31" s="819"/>
      <c r="EA31" s="705"/>
      <c r="EB31" s="694"/>
      <c r="EC31" s="695"/>
      <c r="ED31" s="823"/>
      <c r="EE31" s="819"/>
      <c r="EF31" s="816"/>
      <c r="EG31" s="822"/>
      <c r="EH31" s="696"/>
      <c r="EI31" s="819"/>
      <c r="EJ31" s="705"/>
      <c r="EK31" s="694"/>
      <c r="EL31" s="695"/>
      <c r="EM31" s="823"/>
      <c r="EN31" s="819"/>
      <c r="EO31" s="816"/>
      <c r="EP31" s="822"/>
      <c r="EQ31" s="696"/>
      <c r="ER31" s="819"/>
      <c r="ES31" s="346"/>
    </row>
    <row r="32" spans="1:149" x14ac:dyDescent="0.25">
      <c r="A32" s="692">
        <f t="shared" si="0"/>
        <v>20</v>
      </c>
      <c r="B32" s="693" t="s">
        <v>309</v>
      </c>
      <c r="C32" s="694"/>
      <c r="D32" s="695">
        <v>1</v>
      </c>
      <c r="E32" s="823">
        <v>3.640381106165357</v>
      </c>
      <c r="F32" s="697">
        <v>1.8201905530826785</v>
      </c>
      <c r="G32" s="693"/>
      <c r="H32" s="694"/>
      <c r="I32" s="695"/>
      <c r="J32" s="823"/>
      <c r="K32" s="697"/>
      <c r="L32" s="693"/>
      <c r="M32" s="694"/>
      <c r="N32" s="695"/>
      <c r="O32" s="823"/>
      <c r="P32" s="697"/>
      <c r="Q32" s="693"/>
      <c r="R32" s="694"/>
      <c r="S32" s="695"/>
      <c r="T32" s="823"/>
      <c r="U32" s="697"/>
      <c r="V32" s="693"/>
      <c r="W32" s="694"/>
      <c r="X32" s="695"/>
      <c r="Y32" s="823"/>
      <c r="Z32" s="697"/>
      <c r="AA32" s="693"/>
      <c r="AB32" s="694"/>
      <c r="AC32" s="695"/>
      <c r="AD32" s="823"/>
      <c r="AE32" s="697"/>
      <c r="AF32" s="693"/>
      <c r="AG32" s="694"/>
      <c r="AH32" s="695"/>
      <c r="AI32" s="823"/>
      <c r="AJ32" s="697"/>
      <c r="AK32" s="693"/>
      <c r="AL32" s="694"/>
      <c r="AM32" s="695"/>
      <c r="AN32" s="823"/>
      <c r="AO32" s="697"/>
      <c r="AP32" s="693"/>
      <c r="AQ32" s="694"/>
      <c r="AR32" s="695"/>
      <c r="AS32" s="823"/>
      <c r="AT32" s="697"/>
      <c r="AU32" s="693"/>
      <c r="AV32" s="694"/>
      <c r="AW32" s="695"/>
      <c r="AX32" s="823"/>
      <c r="AY32" s="697"/>
      <c r="AZ32" s="693"/>
      <c r="BA32" s="694"/>
      <c r="BB32" s="695"/>
      <c r="BC32" s="823"/>
      <c r="BD32" s="697"/>
      <c r="BE32" s="693"/>
      <c r="BF32" s="694"/>
      <c r="BG32" s="695"/>
      <c r="BH32" s="823"/>
      <c r="BI32" s="697"/>
      <c r="BJ32" s="693"/>
      <c r="BK32" s="694"/>
      <c r="BL32" s="695"/>
      <c r="BM32" s="823"/>
      <c r="BN32" s="697"/>
      <c r="BO32" s="693"/>
      <c r="BP32" s="694"/>
      <c r="BQ32" s="695"/>
      <c r="BR32" s="823"/>
      <c r="BS32" s="697"/>
      <c r="BT32" s="693"/>
      <c r="BU32" s="694"/>
      <c r="BV32" s="695"/>
      <c r="BW32" s="823"/>
      <c r="BX32" s="697"/>
      <c r="BY32" s="693"/>
      <c r="BZ32" s="694"/>
      <c r="CA32" s="695"/>
      <c r="CB32" s="823"/>
      <c r="CC32" s="697"/>
      <c r="CD32" s="693"/>
      <c r="CE32" s="694"/>
      <c r="CF32" s="695"/>
      <c r="CG32" s="823"/>
      <c r="CH32" s="697"/>
      <c r="CI32" s="693"/>
      <c r="CJ32" s="694"/>
      <c r="CK32" s="695"/>
      <c r="CL32" s="823"/>
      <c r="CM32" s="697"/>
      <c r="CN32" s="693"/>
      <c r="CO32" s="694"/>
      <c r="CP32" s="695"/>
      <c r="CQ32" s="823"/>
      <c r="CR32" s="697"/>
      <c r="CS32" s="693"/>
      <c r="CT32" s="694"/>
      <c r="CU32" s="695"/>
      <c r="CV32" s="823"/>
      <c r="CW32" s="697"/>
      <c r="CX32" s="693"/>
      <c r="CY32" s="694"/>
      <c r="CZ32" s="695"/>
      <c r="DA32" s="823"/>
      <c r="DB32" s="697"/>
      <c r="DC32" s="693"/>
      <c r="DD32" s="694"/>
      <c r="DE32" s="695"/>
      <c r="DF32" s="823"/>
      <c r="DG32" s="697"/>
      <c r="DH32" s="693"/>
      <c r="DI32" s="694"/>
      <c r="DJ32" s="695"/>
      <c r="DK32" s="823"/>
      <c r="DL32" s="697"/>
      <c r="DM32" s="693"/>
      <c r="DN32" s="694"/>
      <c r="DO32" s="695"/>
      <c r="DP32" s="823"/>
      <c r="DQ32" s="697"/>
      <c r="DR32" s="693"/>
      <c r="DS32" s="694"/>
      <c r="DT32" s="695"/>
      <c r="DU32" s="823"/>
      <c r="DV32" s="819"/>
      <c r="DW32" s="816"/>
      <c r="DX32" s="822"/>
      <c r="DY32" s="696"/>
      <c r="DZ32" s="819"/>
      <c r="EA32" s="693"/>
      <c r="EB32" s="694"/>
      <c r="EC32" s="695"/>
      <c r="ED32" s="823"/>
      <c r="EE32" s="819"/>
      <c r="EF32" s="816"/>
      <c r="EG32" s="822"/>
      <c r="EH32" s="696"/>
      <c r="EI32" s="819"/>
      <c r="EJ32" s="693"/>
      <c r="EK32" s="694"/>
      <c r="EL32" s="695"/>
      <c r="EM32" s="823"/>
      <c r="EN32" s="819"/>
      <c r="EO32" s="816"/>
      <c r="EP32" s="822"/>
      <c r="EQ32" s="696"/>
      <c r="ER32" s="819"/>
      <c r="ES32" s="346"/>
    </row>
    <row r="33" spans="1:149" x14ac:dyDescent="0.25">
      <c r="A33" s="692">
        <f t="shared" si="0"/>
        <v>21</v>
      </c>
      <c r="B33" s="693" t="s">
        <v>192</v>
      </c>
      <c r="C33" s="694"/>
      <c r="D33" s="695">
        <v>1</v>
      </c>
      <c r="E33" s="823">
        <v>7.8448561677528508</v>
      </c>
      <c r="F33" s="697">
        <v>3.1379424671011407</v>
      </c>
      <c r="G33" s="693"/>
      <c r="H33" s="694"/>
      <c r="I33" s="695"/>
      <c r="J33" s="823"/>
      <c r="K33" s="697"/>
      <c r="L33" s="693"/>
      <c r="M33" s="694"/>
      <c r="N33" s="695"/>
      <c r="O33" s="823"/>
      <c r="P33" s="697"/>
      <c r="Q33" s="693"/>
      <c r="R33" s="694"/>
      <c r="S33" s="695"/>
      <c r="T33" s="823"/>
      <c r="U33" s="697"/>
      <c r="V33" s="693"/>
      <c r="W33" s="694"/>
      <c r="X33" s="695"/>
      <c r="Y33" s="823"/>
      <c r="Z33" s="697"/>
      <c r="AA33" s="693"/>
      <c r="AB33" s="694"/>
      <c r="AC33" s="695"/>
      <c r="AD33" s="823"/>
      <c r="AE33" s="697"/>
      <c r="AF33" s="693"/>
      <c r="AG33" s="694"/>
      <c r="AH33" s="695"/>
      <c r="AI33" s="823"/>
      <c r="AJ33" s="697"/>
      <c r="AK33" s="693"/>
      <c r="AL33" s="694"/>
      <c r="AM33" s="695"/>
      <c r="AN33" s="823"/>
      <c r="AO33" s="697"/>
      <c r="AP33" s="693"/>
      <c r="AQ33" s="694"/>
      <c r="AR33" s="695"/>
      <c r="AS33" s="823"/>
      <c r="AT33" s="697"/>
      <c r="AU33" s="693"/>
      <c r="AV33" s="694"/>
      <c r="AW33" s="695"/>
      <c r="AX33" s="823"/>
      <c r="AY33" s="697"/>
      <c r="AZ33" s="693"/>
      <c r="BA33" s="694"/>
      <c r="BB33" s="695"/>
      <c r="BC33" s="823"/>
      <c r="BD33" s="697"/>
      <c r="BE33" s="693"/>
      <c r="BF33" s="694"/>
      <c r="BG33" s="695"/>
      <c r="BH33" s="823"/>
      <c r="BI33" s="697"/>
      <c r="BJ33" s="693"/>
      <c r="BK33" s="694"/>
      <c r="BL33" s="695"/>
      <c r="BM33" s="823"/>
      <c r="BN33" s="697"/>
      <c r="BO33" s="693"/>
      <c r="BP33" s="694"/>
      <c r="BQ33" s="695"/>
      <c r="BR33" s="823"/>
      <c r="BS33" s="697"/>
      <c r="BT33" s="693"/>
      <c r="BU33" s="694"/>
      <c r="BV33" s="695"/>
      <c r="BW33" s="823"/>
      <c r="BX33" s="697"/>
      <c r="BY33" s="693"/>
      <c r="BZ33" s="694"/>
      <c r="CA33" s="695"/>
      <c r="CB33" s="823"/>
      <c r="CC33" s="697"/>
      <c r="CD33" s="693"/>
      <c r="CE33" s="694"/>
      <c r="CF33" s="695"/>
      <c r="CG33" s="823"/>
      <c r="CH33" s="697"/>
      <c r="CI33" s="693"/>
      <c r="CJ33" s="694"/>
      <c r="CK33" s="695"/>
      <c r="CL33" s="823"/>
      <c r="CM33" s="697"/>
      <c r="CN33" s="693"/>
      <c r="CO33" s="694"/>
      <c r="CP33" s="695"/>
      <c r="CQ33" s="823"/>
      <c r="CR33" s="697"/>
      <c r="CS33" s="693"/>
      <c r="CT33" s="694"/>
      <c r="CU33" s="695"/>
      <c r="CV33" s="823"/>
      <c r="CW33" s="697"/>
      <c r="CX33" s="693"/>
      <c r="CY33" s="694"/>
      <c r="CZ33" s="695"/>
      <c r="DA33" s="823"/>
      <c r="DB33" s="697"/>
      <c r="DC33" s="693"/>
      <c r="DD33" s="694"/>
      <c r="DE33" s="695"/>
      <c r="DF33" s="823"/>
      <c r="DG33" s="697"/>
      <c r="DH33" s="693"/>
      <c r="DI33" s="694"/>
      <c r="DJ33" s="695"/>
      <c r="DK33" s="823"/>
      <c r="DL33" s="697"/>
      <c r="DM33" s="693"/>
      <c r="DN33" s="694"/>
      <c r="DO33" s="695"/>
      <c r="DP33" s="823"/>
      <c r="DQ33" s="697"/>
      <c r="DR33" s="693"/>
      <c r="DS33" s="694"/>
      <c r="DT33" s="695"/>
      <c r="DU33" s="823"/>
      <c r="DV33" s="819"/>
      <c r="DW33" s="816"/>
      <c r="DX33" s="822"/>
      <c r="DY33" s="696"/>
      <c r="DZ33" s="819"/>
      <c r="EA33" s="693"/>
      <c r="EB33" s="694"/>
      <c r="EC33" s="695"/>
      <c r="ED33" s="823"/>
      <c r="EE33" s="819"/>
      <c r="EF33" s="816"/>
      <c r="EG33" s="822"/>
      <c r="EH33" s="696"/>
      <c r="EI33" s="819"/>
      <c r="EJ33" s="693"/>
      <c r="EK33" s="694"/>
      <c r="EL33" s="695"/>
      <c r="EM33" s="823"/>
      <c r="EN33" s="819"/>
      <c r="EO33" s="816"/>
      <c r="EP33" s="822"/>
      <c r="EQ33" s="696"/>
      <c r="ER33" s="819"/>
      <c r="ES33" s="346"/>
    </row>
    <row r="34" spans="1:149" x14ac:dyDescent="0.25">
      <c r="A34" s="692">
        <f t="shared" si="0"/>
        <v>22</v>
      </c>
      <c r="B34" s="693" t="s">
        <v>192</v>
      </c>
      <c r="C34" s="694"/>
      <c r="D34" s="695">
        <v>1</v>
      </c>
      <c r="E34" s="823">
        <v>8.781007189956199</v>
      </c>
      <c r="F34" s="820">
        <v>3.5124028759824797</v>
      </c>
      <c r="G34" s="693"/>
      <c r="H34" s="694"/>
      <c r="I34" s="695"/>
      <c r="J34" s="823"/>
      <c r="K34" s="820"/>
      <c r="L34" s="693"/>
      <c r="M34" s="694"/>
      <c r="N34" s="695"/>
      <c r="O34" s="823"/>
      <c r="P34" s="820"/>
      <c r="Q34" s="693"/>
      <c r="R34" s="694"/>
      <c r="S34" s="695"/>
      <c r="T34" s="823"/>
      <c r="U34" s="820"/>
      <c r="V34" s="693"/>
      <c r="W34" s="694"/>
      <c r="X34" s="695"/>
      <c r="Y34" s="823"/>
      <c r="Z34" s="820"/>
      <c r="AA34" s="693"/>
      <c r="AB34" s="694"/>
      <c r="AC34" s="695"/>
      <c r="AD34" s="823"/>
      <c r="AE34" s="820"/>
      <c r="AF34" s="693"/>
      <c r="AG34" s="694"/>
      <c r="AH34" s="695"/>
      <c r="AI34" s="823"/>
      <c r="AJ34" s="820"/>
      <c r="AK34" s="693"/>
      <c r="AL34" s="694"/>
      <c r="AM34" s="695"/>
      <c r="AN34" s="823"/>
      <c r="AO34" s="820"/>
      <c r="AP34" s="693"/>
      <c r="AQ34" s="694"/>
      <c r="AR34" s="695"/>
      <c r="AS34" s="823"/>
      <c r="AT34" s="820"/>
      <c r="AU34" s="693"/>
      <c r="AV34" s="694"/>
      <c r="AW34" s="695"/>
      <c r="AX34" s="823"/>
      <c r="AY34" s="820"/>
      <c r="AZ34" s="693"/>
      <c r="BA34" s="694"/>
      <c r="BB34" s="695"/>
      <c r="BC34" s="823"/>
      <c r="BD34" s="820"/>
      <c r="BE34" s="693"/>
      <c r="BF34" s="694"/>
      <c r="BG34" s="695"/>
      <c r="BH34" s="823"/>
      <c r="BI34" s="820"/>
      <c r="BJ34" s="693"/>
      <c r="BK34" s="694"/>
      <c r="BL34" s="695"/>
      <c r="BM34" s="823"/>
      <c r="BN34" s="820"/>
      <c r="BO34" s="693"/>
      <c r="BP34" s="694"/>
      <c r="BQ34" s="695"/>
      <c r="BR34" s="823"/>
      <c r="BS34" s="820"/>
      <c r="BT34" s="693"/>
      <c r="BU34" s="694"/>
      <c r="BV34" s="695"/>
      <c r="BW34" s="823"/>
      <c r="BX34" s="820"/>
      <c r="BY34" s="693"/>
      <c r="BZ34" s="694"/>
      <c r="CA34" s="695"/>
      <c r="CB34" s="823"/>
      <c r="CC34" s="820"/>
      <c r="CD34" s="693"/>
      <c r="CE34" s="694"/>
      <c r="CF34" s="695"/>
      <c r="CG34" s="823"/>
      <c r="CH34" s="820"/>
      <c r="CI34" s="693"/>
      <c r="CJ34" s="694"/>
      <c r="CK34" s="695"/>
      <c r="CL34" s="823"/>
      <c r="CM34" s="820"/>
      <c r="CN34" s="693"/>
      <c r="CO34" s="694"/>
      <c r="CP34" s="695"/>
      <c r="CQ34" s="823"/>
      <c r="CR34" s="820"/>
      <c r="CS34" s="693"/>
      <c r="CT34" s="694"/>
      <c r="CU34" s="695"/>
      <c r="CV34" s="823"/>
      <c r="CW34" s="820"/>
      <c r="CX34" s="693"/>
      <c r="CY34" s="694"/>
      <c r="CZ34" s="695"/>
      <c r="DA34" s="823"/>
      <c r="DB34" s="820"/>
      <c r="DC34" s="693"/>
      <c r="DD34" s="694"/>
      <c r="DE34" s="695"/>
      <c r="DF34" s="823"/>
      <c r="DG34" s="820"/>
      <c r="DH34" s="693"/>
      <c r="DI34" s="694"/>
      <c r="DJ34" s="695"/>
      <c r="DK34" s="823"/>
      <c r="DL34" s="820"/>
      <c r="DM34" s="693"/>
      <c r="DN34" s="694"/>
      <c r="DO34" s="695"/>
      <c r="DP34" s="823"/>
      <c r="DQ34" s="820"/>
      <c r="DR34" s="693"/>
      <c r="DS34" s="694"/>
      <c r="DT34" s="695"/>
      <c r="DU34" s="823"/>
      <c r="DV34" s="821"/>
      <c r="DW34" s="816"/>
      <c r="DX34" s="822"/>
      <c r="DY34" s="696"/>
      <c r="DZ34" s="819"/>
      <c r="EA34" s="693"/>
      <c r="EB34" s="694"/>
      <c r="EC34" s="695"/>
      <c r="ED34" s="823"/>
      <c r="EE34" s="821"/>
      <c r="EF34" s="816"/>
      <c r="EG34" s="822"/>
      <c r="EH34" s="696"/>
      <c r="EI34" s="819"/>
      <c r="EJ34" s="693"/>
      <c r="EK34" s="694"/>
      <c r="EL34" s="695"/>
      <c r="EM34" s="823"/>
      <c r="EN34" s="821"/>
      <c r="EO34" s="816"/>
      <c r="EP34" s="822"/>
      <c r="EQ34" s="696"/>
      <c r="ER34" s="819"/>
      <c r="ES34" s="346"/>
    </row>
    <row r="35" spans="1:149" x14ac:dyDescent="0.25">
      <c r="A35" s="692">
        <f t="shared" si="0"/>
        <v>23</v>
      </c>
      <c r="B35" s="693" t="s">
        <v>312</v>
      </c>
      <c r="C35" s="694"/>
      <c r="D35" s="695">
        <v>1</v>
      </c>
      <c r="E35" s="823">
        <v>2.9890761852256884</v>
      </c>
      <c r="F35" s="820">
        <v>1.793445711135413</v>
      </c>
      <c r="G35" s="693"/>
      <c r="H35" s="694"/>
      <c r="I35" s="695"/>
      <c r="J35" s="823"/>
      <c r="K35" s="820"/>
      <c r="L35" s="693"/>
      <c r="M35" s="694"/>
      <c r="N35" s="695"/>
      <c r="O35" s="823"/>
      <c r="P35" s="820"/>
      <c r="Q35" s="693"/>
      <c r="R35" s="694"/>
      <c r="S35" s="695"/>
      <c r="T35" s="823"/>
      <c r="U35" s="820"/>
      <c r="V35" s="693"/>
      <c r="W35" s="694"/>
      <c r="X35" s="695"/>
      <c r="Y35" s="823"/>
      <c r="Z35" s="820"/>
      <c r="AA35" s="693"/>
      <c r="AB35" s="694"/>
      <c r="AC35" s="695"/>
      <c r="AD35" s="823"/>
      <c r="AE35" s="820"/>
      <c r="AF35" s="693"/>
      <c r="AG35" s="694"/>
      <c r="AH35" s="695"/>
      <c r="AI35" s="823"/>
      <c r="AJ35" s="820"/>
      <c r="AK35" s="693"/>
      <c r="AL35" s="694"/>
      <c r="AM35" s="695"/>
      <c r="AN35" s="823"/>
      <c r="AO35" s="820"/>
      <c r="AP35" s="693"/>
      <c r="AQ35" s="694"/>
      <c r="AR35" s="695"/>
      <c r="AS35" s="823"/>
      <c r="AT35" s="820"/>
      <c r="AU35" s="693"/>
      <c r="AV35" s="694"/>
      <c r="AW35" s="695"/>
      <c r="AX35" s="823"/>
      <c r="AY35" s="820"/>
      <c r="AZ35" s="693"/>
      <c r="BA35" s="694"/>
      <c r="BB35" s="695"/>
      <c r="BC35" s="823"/>
      <c r="BD35" s="820"/>
      <c r="BE35" s="693"/>
      <c r="BF35" s="694"/>
      <c r="BG35" s="695"/>
      <c r="BH35" s="823"/>
      <c r="BI35" s="820"/>
      <c r="BJ35" s="693"/>
      <c r="BK35" s="694"/>
      <c r="BL35" s="695"/>
      <c r="BM35" s="823"/>
      <c r="BN35" s="820"/>
      <c r="BO35" s="693"/>
      <c r="BP35" s="694"/>
      <c r="BQ35" s="695"/>
      <c r="BR35" s="823"/>
      <c r="BS35" s="820"/>
      <c r="BT35" s="693"/>
      <c r="BU35" s="694"/>
      <c r="BV35" s="695"/>
      <c r="BW35" s="823"/>
      <c r="BX35" s="820"/>
      <c r="BY35" s="693"/>
      <c r="BZ35" s="694"/>
      <c r="CA35" s="695"/>
      <c r="CB35" s="823"/>
      <c r="CC35" s="820"/>
      <c r="CD35" s="693"/>
      <c r="CE35" s="694"/>
      <c r="CF35" s="695"/>
      <c r="CG35" s="823"/>
      <c r="CH35" s="820"/>
      <c r="CI35" s="693"/>
      <c r="CJ35" s="694"/>
      <c r="CK35" s="695"/>
      <c r="CL35" s="823"/>
      <c r="CM35" s="820"/>
      <c r="CN35" s="693"/>
      <c r="CO35" s="694"/>
      <c r="CP35" s="695"/>
      <c r="CQ35" s="823"/>
      <c r="CR35" s="820"/>
      <c r="CS35" s="693"/>
      <c r="CT35" s="694"/>
      <c r="CU35" s="695"/>
      <c r="CV35" s="823"/>
      <c r="CW35" s="820"/>
      <c r="CX35" s="693"/>
      <c r="CY35" s="694"/>
      <c r="CZ35" s="695"/>
      <c r="DA35" s="823"/>
      <c r="DB35" s="820"/>
      <c r="DC35" s="693"/>
      <c r="DD35" s="694"/>
      <c r="DE35" s="695"/>
      <c r="DF35" s="823"/>
      <c r="DG35" s="820"/>
      <c r="DH35" s="693"/>
      <c r="DI35" s="694"/>
      <c r="DJ35" s="695"/>
      <c r="DK35" s="823"/>
      <c r="DL35" s="820"/>
      <c r="DM35" s="693"/>
      <c r="DN35" s="694"/>
      <c r="DO35" s="695"/>
      <c r="DP35" s="823"/>
      <c r="DQ35" s="820"/>
      <c r="DR35" s="693"/>
      <c r="DS35" s="694"/>
      <c r="DT35" s="695"/>
      <c r="DU35" s="823"/>
      <c r="DV35" s="821"/>
      <c r="DW35" s="816"/>
      <c r="DX35" s="822"/>
      <c r="DY35" s="696"/>
      <c r="DZ35" s="819"/>
      <c r="EA35" s="693"/>
      <c r="EB35" s="694"/>
      <c r="EC35" s="695"/>
      <c r="ED35" s="823"/>
      <c r="EE35" s="821"/>
      <c r="EF35" s="816"/>
      <c r="EG35" s="822"/>
      <c r="EH35" s="696"/>
      <c r="EI35" s="819"/>
      <c r="EJ35" s="693"/>
      <c r="EK35" s="694"/>
      <c r="EL35" s="695"/>
      <c r="EM35" s="823"/>
      <c r="EN35" s="821"/>
      <c r="EO35" s="816"/>
      <c r="EP35" s="822"/>
      <c r="EQ35" s="696"/>
      <c r="ER35" s="819"/>
      <c r="ES35" s="346"/>
    </row>
    <row r="36" spans="1:149" x14ac:dyDescent="0.25">
      <c r="A36" s="692">
        <f t="shared" si="0"/>
        <v>24</v>
      </c>
      <c r="B36" s="693" t="s">
        <v>309</v>
      </c>
      <c r="C36" s="694"/>
      <c r="D36" s="695">
        <v>1</v>
      </c>
      <c r="E36" s="823">
        <v>3.2880286689319052</v>
      </c>
      <c r="F36" s="820">
        <v>1.6440143344659526</v>
      </c>
      <c r="G36" s="693"/>
      <c r="H36" s="694"/>
      <c r="I36" s="695"/>
      <c r="J36" s="823"/>
      <c r="K36" s="820"/>
      <c r="L36" s="693"/>
      <c r="M36" s="694"/>
      <c r="N36" s="695"/>
      <c r="O36" s="823"/>
      <c r="P36" s="820"/>
      <c r="Q36" s="693"/>
      <c r="R36" s="694"/>
      <c r="S36" s="695"/>
      <c r="T36" s="823"/>
      <c r="U36" s="820"/>
      <c r="V36" s="693"/>
      <c r="W36" s="694"/>
      <c r="X36" s="695"/>
      <c r="Y36" s="823"/>
      <c r="Z36" s="820"/>
      <c r="AA36" s="693"/>
      <c r="AB36" s="694"/>
      <c r="AC36" s="695"/>
      <c r="AD36" s="823"/>
      <c r="AE36" s="820"/>
      <c r="AF36" s="693"/>
      <c r="AG36" s="694"/>
      <c r="AH36" s="695"/>
      <c r="AI36" s="823"/>
      <c r="AJ36" s="820"/>
      <c r="AK36" s="693"/>
      <c r="AL36" s="694"/>
      <c r="AM36" s="695"/>
      <c r="AN36" s="823"/>
      <c r="AO36" s="820"/>
      <c r="AP36" s="693"/>
      <c r="AQ36" s="694"/>
      <c r="AR36" s="695"/>
      <c r="AS36" s="823"/>
      <c r="AT36" s="820"/>
      <c r="AU36" s="693"/>
      <c r="AV36" s="694"/>
      <c r="AW36" s="695"/>
      <c r="AX36" s="823"/>
      <c r="AY36" s="820"/>
      <c r="AZ36" s="693"/>
      <c r="BA36" s="694"/>
      <c r="BB36" s="695"/>
      <c r="BC36" s="823"/>
      <c r="BD36" s="820"/>
      <c r="BE36" s="693"/>
      <c r="BF36" s="694"/>
      <c r="BG36" s="695"/>
      <c r="BH36" s="823"/>
      <c r="BI36" s="820"/>
      <c r="BJ36" s="693"/>
      <c r="BK36" s="694"/>
      <c r="BL36" s="695"/>
      <c r="BM36" s="823"/>
      <c r="BN36" s="820"/>
      <c r="BO36" s="693"/>
      <c r="BP36" s="694"/>
      <c r="BQ36" s="695"/>
      <c r="BR36" s="823"/>
      <c r="BS36" s="820"/>
      <c r="BT36" s="693"/>
      <c r="BU36" s="694"/>
      <c r="BV36" s="695"/>
      <c r="BW36" s="823"/>
      <c r="BX36" s="820"/>
      <c r="BY36" s="693"/>
      <c r="BZ36" s="694"/>
      <c r="CA36" s="695"/>
      <c r="CB36" s="823"/>
      <c r="CC36" s="820"/>
      <c r="CD36" s="693"/>
      <c r="CE36" s="694"/>
      <c r="CF36" s="695"/>
      <c r="CG36" s="823"/>
      <c r="CH36" s="820"/>
      <c r="CI36" s="693"/>
      <c r="CJ36" s="694"/>
      <c r="CK36" s="695"/>
      <c r="CL36" s="823"/>
      <c r="CM36" s="820"/>
      <c r="CN36" s="693"/>
      <c r="CO36" s="694"/>
      <c r="CP36" s="695"/>
      <c r="CQ36" s="823"/>
      <c r="CR36" s="820"/>
      <c r="CS36" s="693"/>
      <c r="CT36" s="694"/>
      <c r="CU36" s="695"/>
      <c r="CV36" s="823"/>
      <c r="CW36" s="820"/>
      <c r="CX36" s="693"/>
      <c r="CY36" s="694"/>
      <c r="CZ36" s="695"/>
      <c r="DA36" s="823"/>
      <c r="DB36" s="820"/>
      <c r="DC36" s="693"/>
      <c r="DD36" s="694"/>
      <c r="DE36" s="695"/>
      <c r="DF36" s="823"/>
      <c r="DG36" s="820"/>
      <c r="DH36" s="693"/>
      <c r="DI36" s="694"/>
      <c r="DJ36" s="695"/>
      <c r="DK36" s="823"/>
      <c r="DL36" s="820"/>
      <c r="DM36" s="693"/>
      <c r="DN36" s="694"/>
      <c r="DO36" s="695"/>
      <c r="DP36" s="823"/>
      <c r="DQ36" s="820"/>
      <c r="DR36" s="693"/>
      <c r="DS36" s="694"/>
      <c r="DT36" s="695"/>
      <c r="DU36" s="823"/>
      <c r="DV36" s="821"/>
      <c r="DW36" s="816"/>
      <c r="DX36" s="822"/>
      <c r="DY36" s="696"/>
      <c r="DZ36" s="819"/>
      <c r="EA36" s="693"/>
      <c r="EB36" s="694"/>
      <c r="EC36" s="695"/>
      <c r="ED36" s="823"/>
      <c r="EE36" s="821"/>
      <c r="EF36" s="816"/>
      <c r="EG36" s="822"/>
      <c r="EH36" s="696"/>
      <c r="EI36" s="819"/>
      <c r="EJ36" s="693"/>
      <c r="EK36" s="694"/>
      <c r="EL36" s="695"/>
      <c r="EM36" s="823"/>
      <c r="EN36" s="821"/>
      <c r="EO36" s="816"/>
      <c r="EP36" s="822"/>
      <c r="EQ36" s="696"/>
      <c r="ER36" s="819"/>
      <c r="ES36" s="346"/>
    </row>
    <row r="37" spans="1:149" x14ac:dyDescent="0.25">
      <c r="A37" s="692">
        <f t="shared" si="0"/>
        <v>25</v>
      </c>
      <c r="B37" s="693" t="s">
        <v>192</v>
      </c>
      <c r="C37" s="694"/>
      <c r="D37" s="695">
        <v>1</v>
      </c>
      <c r="E37" s="823">
        <v>9.6999624392668604</v>
      </c>
      <c r="F37" s="820">
        <v>3.8799849757067442</v>
      </c>
      <c r="G37" s="693"/>
      <c r="H37" s="694"/>
      <c r="I37" s="695"/>
      <c r="J37" s="823"/>
      <c r="K37" s="820"/>
      <c r="L37" s="693"/>
      <c r="M37" s="694"/>
      <c r="N37" s="695"/>
      <c r="O37" s="823"/>
      <c r="P37" s="820"/>
      <c r="Q37" s="693"/>
      <c r="R37" s="694"/>
      <c r="S37" s="695"/>
      <c r="T37" s="823"/>
      <c r="U37" s="820"/>
      <c r="V37" s="693"/>
      <c r="W37" s="694"/>
      <c r="X37" s="695"/>
      <c r="Y37" s="823"/>
      <c r="Z37" s="820"/>
      <c r="AA37" s="693"/>
      <c r="AB37" s="694"/>
      <c r="AC37" s="695"/>
      <c r="AD37" s="823"/>
      <c r="AE37" s="820"/>
      <c r="AF37" s="693"/>
      <c r="AG37" s="694"/>
      <c r="AH37" s="695"/>
      <c r="AI37" s="823"/>
      <c r="AJ37" s="820"/>
      <c r="AK37" s="693"/>
      <c r="AL37" s="694"/>
      <c r="AM37" s="695"/>
      <c r="AN37" s="823"/>
      <c r="AO37" s="820"/>
      <c r="AP37" s="693"/>
      <c r="AQ37" s="694"/>
      <c r="AR37" s="695"/>
      <c r="AS37" s="823"/>
      <c r="AT37" s="820"/>
      <c r="AU37" s="693"/>
      <c r="AV37" s="694"/>
      <c r="AW37" s="695"/>
      <c r="AX37" s="823"/>
      <c r="AY37" s="820"/>
      <c r="AZ37" s="693"/>
      <c r="BA37" s="694"/>
      <c r="BB37" s="695"/>
      <c r="BC37" s="823"/>
      <c r="BD37" s="820"/>
      <c r="BE37" s="693"/>
      <c r="BF37" s="694"/>
      <c r="BG37" s="695"/>
      <c r="BH37" s="823"/>
      <c r="BI37" s="820"/>
      <c r="BJ37" s="693"/>
      <c r="BK37" s="694"/>
      <c r="BL37" s="695"/>
      <c r="BM37" s="823"/>
      <c r="BN37" s="820"/>
      <c r="BO37" s="693"/>
      <c r="BP37" s="694"/>
      <c r="BQ37" s="695"/>
      <c r="BR37" s="823"/>
      <c r="BS37" s="820"/>
      <c r="BT37" s="693"/>
      <c r="BU37" s="694"/>
      <c r="BV37" s="695"/>
      <c r="BW37" s="823"/>
      <c r="BX37" s="820"/>
      <c r="BY37" s="693"/>
      <c r="BZ37" s="694"/>
      <c r="CA37" s="695"/>
      <c r="CB37" s="823"/>
      <c r="CC37" s="820"/>
      <c r="CD37" s="693"/>
      <c r="CE37" s="694"/>
      <c r="CF37" s="695"/>
      <c r="CG37" s="823"/>
      <c r="CH37" s="820"/>
      <c r="CI37" s="693"/>
      <c r="CJ37" s="694"/>
      <c r="CK37" s="695"/>
      <c r="CL37" s="823"/>
      <c r="CM37" s="820"/>
      <c r="CN37" s="693"/>
      <c r="CO37" s="694"/>
      <c r="CP37" s="695"/>
      <c r="CQ37" s="823"/>
      <c r="CR37" s="820"/>
      <c r="CS37" s="693"/>
      <c r="CT37" s="694"/>
      <c r="CU37" s="695"/>
      <c r="CV37" s="823"/>
      <c r="CW37" s="820"/>
      <c r="CX37" s="693"/>
      <c r="CY37" s="694"/>
      <c r="CZ37" s="695"/>
      <c r="DA37" s="823"/>
      <c r="DB37" s="820"/>
      <c r="DC37" s="693"/>
      <c r="DD37" s="694"/>
      <c r="DE37" s="695"/>
      <c r="DF37" s="823"/>
      <c r="DG37" s="820"/>
      <c r="DH37" s="693"/>
      <c r="DI37" s="694"/>
      <c r="DJ37" s="695"/>
      <c r="DK37" s="823"/>
      <c r="DL37" s="820"/>
      <c r="DM37" s="693"/>
      <c r="DN37" s="694"/>
      <c r="DO37" s="695"/>
      <c r="DP37" s="823"/>
      <c r="DQ37" s="820"/>
      <c r="DR37" s="693"/>
      <c r="DS37" s="694"/>
      <c r="DT37" s="695"/>
      <c r="DU37" s="823"/>
      <c r="DV37" s="821"/>
      <c r="DW37" s="816"/>
      <c r="DX37" s="822"/>
      <c r="DY37" s="696"/>
      <c r="DZ37" s="819"/>
      <c r="EA37" s="693"/>
      <c r="EB37" s="694"/>
      <c r="EC37" s="695"/>
      <c r="ED37" s="823"/>
      <c r="EE37" s="821"/>
      <c r="EF37" s="816"/>
      <c r="EG37" s="822"/>
      <c r="EH37" s="696"/>
      <c r="EI37" s="819"/>
      <c r="EJ37" s="693"/>
      <c r="EK37" s="694"/>
      <c r="EL37" s="695"/>
      <c r="EM37" s="823"/>
      <c r="EN37" s="821"/>
      <c r="EO37" s="816"/>
      <c r="EP37" s="822"/>
      <c r="EQ37" s="696"/>
      <c r="ER37" s="819"/>
      <c r="ES37" s="346"/>
    </row>
    <row r="38" spans="1:149" x14ac:dyDescent="0.25">
      <c r="A38" s="692">
        <f t="shared" si="0"/>
        <v>26</v>
      </c>
      <c r="B38" s="693" t="s">
        <v>192</v>
      </c>
      <c r="C38" s="694"/>
      <c r="D38" s="695">
        <v>1</v>
      </c>
      <c r="E38" s="823">
        <v>7.1984437274483266</v>
      </c>
      <c r="F38" s="820">
        <v>2.8793774909793308</v>
      </c>
      <c r="G38" s="693"/>
      <c r="H38" s="694"/>
      <c r="I38" s="695"/>
      <c r="J38" s="823"/>
      <c r="K38" s="820"/>
      <c r="L38" s="693"/>
      <c r="M38" s="694"/>
      <c r="N38" s="695"/>
      <c r="O38" s="823"/>
      <c r="P38" s="820"/>
      <c r="Q38" s="693"/>
      <c r="R38" s="694"/>
      <c r="S38" s="695"/>
      <c r="T38" s="823"/>
      <c r="U38" s="820"/>
      <c r="V38" s="693"/>
      <c r="W38" s="694"/>
      <c r="X38" s="695"/>
      <c r="Y38" s="823"/>
      <c r="Z38" s="820"/>
      <c r="AA38" s="693"/>
      <c r="AB38" s="694"/>
      <c r="AC38" s="695"/>
      <c r="AD38" s="823"/>
      <c r="AE38" s="820"/>
      <c r="AF38" s="693"/>
      <c r="AG38" s="694"/>
      <c r="AH38" s="695"/>
      <c r="AI38" s="823"/>
      <c r="AJ38" s="820"/>
      <c r="AK38" s="693"/>
      <c r="AL38" s="694"/>
      <c r="AM38" s="695"/>
      <c r="AN38" s="823"/>
      <c r="AO38" s="820"/>
      <c r="AP38" s="693"/>
      <c r="AQ38" s="694"/>
      <c r="AR38" s="695"/>
      <c r="AS38" s="823"/>
      <c r="AT38" s="820"/>
      <c r="AU38" s="693"/>
      <c r="AV38" s="694"/>
      <c r="AW38" s="695"/>
      <c r="AX38" s="823"/>
      <c r="AY38" s="820"/>
      <c r="AZ38" s="693"/>
      <c r="BA38" s="694"/>
      <c r="BB38" s="695"/>
      <c r="BC38" s="823"/>
      <c r="BD38" s="820"/>
      <c r="BE38" s="693"/>
      <c r="BF38" s="694"/>
      <c r="BG38" s="695"/>
      <c r="BH38" s="823"/>
      <c r="BI38" s="820"/>
      <c r="BJ38" s="693"/>
      <c r="BK38" s="694"/>
      <c r="BL38" s="695"/>
      <c r="BM38" s="823"/>
      <c r="BN38" s="820"/>
      <c r="BO38" s="693"/>
      <c r="BP38" s="694"/>
      <c r="BQ38" s="695"/>
      <c r="BR38" s="823"/>
      <c r="BS38" s="820"/>
      <c r="BT38" s="693"/>
      <c r="BU38" s="694"/>
      <c r="BV38" s="695"/>
      <c r="BW38" s="823"/>
      <c r="BX38" s="820"/>
      <c r="BY38" s="693"/>
      <c r="BZ38" s="694"/>
      <c r="CA38" s="695"/>
      <c r="CB38" s="823"/>
      <c r="CC38" s="820"/>
      <c r="CD38" s="693"/>
      <c r="CE38" s="694"/>
      <c r="CF38" s="695"/>
      <c r="CG38" s="823"/>
      <c r="CH38" s="820"/>
      <c r="CI38" s="693"/>
      <c r="CJ38" s="694"/>
      <c r="CK38" s="695"/>
      <c r="CL38" s="823"/>
      <c r="CM38" s="820"/>
      <c r="CN38" s="693"/>
      <c r="CO38" s="694"/>
      <c r="CP38" s="695"/>
      <c r="CQ38" s="823"/>
      <c r="CR38" s="820"/>
      <c r="CS38" s="693"/>
      <c r="CT38" s="694"/>
      <c r="CU38" s="695"/>
      <c r="CV38" s="823"/>
      <c r="CW38" s="820"/>
      <c r="CX38" s="693"/>
      <c r="CY38" s="694"/>
      <c r="CZ38" s="695"/>
      <c r="DA38" s="823"/>
      <c r="DB38" s="820"/>
      <c r="DC38" s="693"/>
      <c r="DD38" s="694"/>
      <c r="DE38" s="695"/>
      <c r="DF38" s="823"/>
      <c r="DG38" s="820"/>
      <c r="DH38" s="693"/>
      <c r="DI38" s="694"/>
      <c r="DJ38" s="695"/>
      <c r="DK38" s="823"/>
      <c r="DL38" s="820"/>
      <c r="DM38" s="693"/>
      <c r="DN38" s="694"/>
      <c r="DO38" s="695"/>
      <c r="DP38" s="823"/>
      <c r="DQ38" s="820"/>
      <c r="DR38" s="693"/>
      <c r="DS38" s="694"/>
      <c r="DT38" s="695"/>
      <c r="DU38" s="823"/>
      <c r="DV38" s="821"/>
      <c r="DW38" s="816"/>
      <c r="DX38" s="822"/>
      <c r="DY38" s="696"/>
      <c r="DZ38" s="819"/>
      <c r="EA38" s="693"/>
      <c r="EB38" s="694"/>
      <c r="EC38" s="695"/>
      <c r="ED38" s="823"/>
      <c r="EE38" s="821"/>
      <c r="EF38" s="816"/>
      <c r="EG38" s="822"/>
      <c r="EH38" s="696"/>
      <c r="EI38" s="819"/>
      <c r="EJ38" s="693"/>
      <c r="EK38" s="694"/>
      <c r="EL38" s="695"/>
      <c r="EM38" s="823"/>
      <c r="EN38" s="821"/>
      <c r="EO38" s="816"/>
      <c r="EP38" s="822"/>
      <c r="EQ38" s="696"/>
      <c r="ER38" s="819"/>
      <c r="ES38" s="346"/>
    </row>
    <row r="39" spans="1:149" x14ac:dyDescent="0.25">
      <c r="A39" s="692">
        <f t="shared" si="0"/>
        <v>27</v>
      </c>
      <c r="B39" s="693" t="s">
        <v>312</v>
      </c>
      <c r="C39" s="694"/>
      <c r="D39" s="695">
        <v>1</v>
      </c>
      <c r="E39" s="823">
        <v>1.8398642279853941</v>
      </c>
      <c r="F39" s="820">
        <v>1.1039185367912363</v>
      </c>
      <c r="G39" s="693"/>
      <c r="H39" s="694"/>
      <c r="I39" s="695"/>
      <c r="J39" s="823"/>
      <c r="K39" s="820"/>
      <c r="L39" s="693"/>
      <c r="M39" s="694"/>
      <c r="N39" s="695"/>
      <c r="O39" s="823"/>
      <c r="P39" s="820"/>
      <c r="Q39" s="693"/>
      <c r="R39" s="694"/>
      <c r="S39" s="695"/>
      <c r="T39" s="823"/>
      <c r="U39" s="820"/>
      <c r="V39" s="693"/>
      <c r="W39" s="694"/>
      <c r="X39" s="695"/>
      <c r="Y39" s="823"/>
      <c r="Z39" s="820"/>
      <c r="AA39" s="693"/>
      <c r="AB39" s="694"/>
      <c r="AC39" s="695"/>
      <c r="AD39" s="823"/>
      <c r="AE39" s="820"/>
      <c r="AF39" s="693"/>
      <c r="AG39" s="694"/>
      <c r="AH39" s="695"/>
      <c r="AI39" s="823"/>
      <c r="AJ39" s="820"/>
      <c r="AK39" s="693"/>
      <c r="AL39" s="694"/>
      <c r="AM39" s="695"/>
      <c r="AN39" s="823"/>
      <c r="AO39" s="820"/>
      <c r="AP39" s="693"/>
      <c r="AQ39" s="694"/>
      <c r="AR39" s="695"/>
      <c r="AS39" s="823"/>
      <c r="AT39" s="820"/>
      <c r="AU39" s="693"/>
      <c r="AV39" s="694"/>
      <c r="AW39" s="695"/>
      <c r="AX39" s="823"/>
      <c r="AY39" s="820"/>
      <c r="AZ39" s="693"/>
      <c r="BA39" s="694"/>
      <c r="BB39" s="695"/>
      <c r="BC39" s="823"/>
      <c r="BD39" s="820"/>
      <c r="BE39" s="693"/>
      <c r="BF39" s="694"/>
      <c r="BG39" s="695"/>
      <c r="BH39" s="823"/>
      <c r="BI39" s="820"/>
      <c r="BJ39" s="693"/>
      <c r="BK39" s="694"/>
      <c r="BL39" s="695"/>
      <c r="BM39" s="823"/>
      <c r="BN39" s="820"/>
      <c r="BO39" s="693"/>
      <c r="BP39" s="694"/>
      <c r="BQ39" s="695"/>
      <c r="BR39" s="823"/>
      <c r="BS39" s="820"/>
      <c r="BT39" s="693"/>
      <c r="BU39" s="694"/>
      <c r="BV39" s="695"/>
      <c r="BW39" s="823"/>
      <c r="BX39" s="820"/>
      <c r="BY39" s="693"/>
      <c r="BZ39" s="694"/>
      <c r="CA39" s="695"/>
      <c r="CB39" s="823"/>
      <c r="CC39" s="820"/>
      <c r="CD39" s="693"/>
      <c r="CE39" s="694"/>
      <c r="CF39" s="695"/>
      <c r="CG39" s="823"/>
      <c r="CH39" s="820"/>
      <c r="CI39" s="693"/>
      <c r="CJ39" s="694"/>
      <c r="CK39" s="695"/>
      <c r="CL39" s="823"/>
      <c r="CM39" s="820"/>
      <c r="CN39" s="693"/>
      <c r="CO39" s="694"/>
      <c r="CP39" s="695"/>
      <c r="CQ39" s="823"/>
      <c r="CR39" s="820"/>
      <c r="CS39" s="693"/>
      <c r="CT39" s="694"/>
      <c r="CU39" s="695"/>
      <c r="CV39" s="823"/>
      <c r="CW39" s="820"/>
      <c r="CX39" s="693"/>
      <c r="CY39" s="694"/>
      <c r="CZ39" s="695"/>
      <c r="DA39" s="823"/>
      <c r="DB39" s="820"/>
      <c r="DC39" s="693"/>
      <c r="DD39" s="694"/>
      <c r="DE39" s="695"/>
      <c r="DF39" s="823"/>
      <c r="DG39" s="820"/>
      <c r="DH39" s="693"/>
      <c r="DI39" s="694"/>
      <c r="DJ39" s="695"/>
      <c r="DK39" s="823"/>
      <c r="DL39" s="820"/>
      <c r="DM39" s="693"/>
      <c r="DN39" s="694"/>
      <c r="DO39" s="695"/>
      <c r="DP39" s="823"/>
      <c r="DQ39" s="820"/>
      <c r="DR39" s="693"/>
      <c r="DS39" s="694"/>
      <c r="DT39" s="695"/>
      <c r="DU39" s="823"/>
      <c r="DV39" s="821"/>
      <c r="DW39" s="816"/>
      <c r="DX39" s="822"/>
      <c r="DY39" s="696"/>
      <c r="DZ39" s="819"/>
      <c r="EA39" s="693"/>
      <c r="EB39" s="694"/>
      <c r="EC39" s="695"/>
      <c r="ED39" s="823"/>
      <c r="EE39" s="821"/>
      <c r="EF39" s="816"/>
      <c r="EG39" s="822"/>
      <c r="EH39" s="696"/>
      <c r="EI39" s="819"/>
      <c r="EJ39" s="693"/>
      <c r="EK39" s="694"/>
      <c r="EL39" s="695"/>
      <c r="EM39" s="823"/>
      <c r="EN39" s="821"/>
      <c r="EO39" s="816"/>
      <c r="EP39" s="822"/>
      <c r="EQ39" s="696"/>
      <c r="ER39" s="819"/>
      <c r="ES39" s="346"/>
    </row>
    <row r="40" spans="1:149" x14ac:dyDescent="0.25">
      <c r="A40" s="692">
        <f t="shared" si="0"/>
        <v>28</v>
      </c>
      <c r="B40" s="705" t="s">
        <v>309</v>
      </c>
      <c r="C40" s="694"/>
      <c r="D40" s="695">
        <v>1</v>
      </c>
      <c r="E40" s="823">
        <v>3.7405769215308071</v>
      </c>
      <c r="F40" s="820">
        <v>1.8702884607654036</v>
      </c>
      <c r="G40" s="705"/>
      <c r="H40" s="694"/>
      <c r="I40" s="695"/>
      <c r="J40" s="823"/>
      <c r="K40" s="820"/>
      <c r="L40" s="705"/>
      <c r="M40" s="694"/>
      <c r="N40" s="695"/>
      <c r="O40" s="823"/>
      <c r="P40" s="820"/>
      <c r="Q40" s="705"/>
      <c r="R40" s="694"/>
      <c r="S40" s="695"/>
      <c r="T40" s="823"/>
      <c r="U40" s="820"/>
      <c r="V40" s="705"/>
      <c r="W40" s="694"/>
      <c r="X40" s="695"/>
      <c r="Y40" s="823"/>
      <c r="Z40" s="820"/>
      <c r="AA40" s="705"/>
      <c r="AB40" s="694"/>
      <c r="AC40" s="695"/>
      <c r="AD40" s="823"/>
      <c r="AE40" s="820"/>
      <c r="AF40" s="705"/>
      <c r="AG40" s="694"/>
      <c r="AH40" s="695"/>
      <c r="AI40" s="823"/>
      <c r="AJ40" s="820"/>
      <c r="AK40" s="705"/>
      <c r="AL40" s="694"/>
      <c r="AM40" s="695"/>
      <c r="AN40" s="823"/>
      <c r="AO40" s="820"/>
      <c r="AP40" s="705"/>
      <c r="AQ40" s="694"/>
      <c r="AR40" s="695"/>
      <c r="AS40" s="823"/>
      <c r="AT40" s="820"/>
      <c r="AU40" s="705"/>
      <c r="AV40" s="694"/>
      <c r="AW40" s="695"/>
      <c r="AX40" s="823"/>
      <c r="AY40" s="820"/>
      <c r="AZ40" s="705"/>
      <c r="BA40" s="694"/>
      <c r="BB40" s="695"/>
      <c r="BC40" s="823"/>
      <c r="BD40" s="820"/>
      <c r="BE40" s="705"/>
      <c r="BF40" s="694"/>
      <c r="BG40" s="695"/>
      <c r="BH40" s="823"/>
      <c r="BI40" s="820"/>
      <c r="BJ40" s="705"/>
      <c r="BK40" s="694"/>
      <c r="BL40" s="695"/>
      <c r="BM40" s="823"/>
      <c r="BN40" s="820"/>
      <c r="BO40" s="705"/>
      <c r="BP40" s="694"/>
      <c r="BQ40" s="695"/>
      <c r="BR40" s="823"/>
      <c r="BS40" s="820"/>
      <c r="BT40" s="705"/>
      <c r="BU40" s="694"/>
      <c r="BV40" s="695"/>
      <c r="BW40" s="823"/>
      <c r="BX40" s="820"/>
      <c r="BY40" s="705"/>
      <c r="BZ40" s="694"/>
      <c r="CA40" s="695"/>
      <c r="CB40" s="823"/>
      <c r="CC40" s="820"/>
      <c r="CD40" s="705"/>
      <c r="CE40" s="694"/>
      <c r="CF40" s="695"/>
      <c r="CG40" s="823"/>
      <c r="CH40" s="820"/>
      <c r="CI40" s="705"/>
      <c r="CJ40" s="694"/>
      <c r="CK40" s="695"/>
      <c r="CL40" s="823"/>
      <c r="CM40" s="820"/>
      <c r="CN40" s="705"/>
      <c r="CO40" s="694"/>
      <c r="CP40" s="695"/>
      <c r="CQ40" s="823"/>
      <c r="CR40" s="820"/>
      <c r="CS40" s="705"/>
      <c r="CT40" s="694"/>
      <c r="CU40" s="695"/>
      <c r="CV40" s="823"/>
      <c r="CW40" s="820"/>
      <c r="CX40" s="705"/>
      <c r="CY40" s="694"/>
      <c r="CZ40" s="695"/>
      <c r="DA40" s="823"/>
      <c r="DB40" s="820"/>
      <c r="DC40" s="705"/>
      <c r="DD40" s="694"/>
      <c r="DE40" s="695"/>
      <c r="DF40" s="823"/>
      <c r="DG40" s="820"/>
      <c r="DH40" s="705"/>
      <c r="DI40" s="694"/>
      <c r="DJ40" s="695"/>
      <c r="DK40" s="823"/>
      <c r="DL40" s="820"/>
      <c r="DM40" s="705"/>
      <c r="DN40" s="694"/>
      <c r="DO40" s="695"/>
      <c r="DP40" s="823"/>
      <c r="DQ40" s="820"/>
      <c r="DR40" s="705"/>
      <c r="DS40" s="694"/>
      <c r="DT40" s="695"/>
      <c r="DU40" s="823"/>
      <c r="DV40" s="821"/>
      <c r="DW40" s="816"/>
      <c r="DX40" s="822"/>
      <c r="DY40" s="696"/>
      <c r="DZ40" s="819"/>
      <c r="EA40" s="705"/>
      <c r="EB40" s="694"/>
      <c r="EC40" s="695"/>
      <c r="ED40" s="823"/>
      <c r="EE40" s="821"/>
      <c r="EF40" s="816"/>
      <c r="EG40" s="822"/>
      <c r="EH40" s="696"/>
      <c r="EI40" s="819"/>
      <c r="EJ40" s="705"/>
      <c r="EK40" s="694"/>
      <c r="EL40" s="695"/>
      <c r="EM40" s="823"/>
      <c r="EN40" s="821"/>
      <c r="EO40" s="816"/>
      <c r="EP40" s="822"/>
      <c r="EQ40" s="696"/>
      <c r="ER40" s="819"/>
      <c r="ES40" s="346"/>
    </row>
    <row r="41" spans="1:149" x14ac:dyDescent="0.25">
      <c r="A41" s="692">
        <f t="shared" si="0"/>
        <v>29</v>
      </c>
      <c r="B41" s="693" t="s">
        <v>192</v>
      </c>
      <c r="C41" s="694"/>
      <c r="D41" s="695">
        <v>1</v>
      </c>
      <c r="E41" s="823">
        <v>7.9811870817503401</v>
      </c>
      <c r="F41" s="697">
        <v>3.1924748327001362</v>
      </c>
      <c r="G41" s="693"/>
      <c r="H41" s="694"/>
      <c r="I41" s="695"/>
      <c r="J41" s="823"/>
      <c r="K41" s="697"/>
      <c r="L41" s="693"/>
      <c r="M41" s="694"/>
      <c r="N41" s="695"/>
      <c r="O41" s="823"/>
      <c r="P41" s="697"/>
      <c r="Q41" s="693"/>
      <c r="R41" s="694"/>
      <c r="S41" s="695"/>
      <c r="T41" s="823"/>
      <c r="U41" s="697"/>
      <c r="V41" s="693"/>
      <c r="W41" s="694"/>
      <c r="X41" s="695"/>
      <c r="Y41" s="823"/>
      <c r="Z41" s="697"/>
      <c r="AA41" s="693"/>
      <c r="AB41" s="694"/>
      <c r="AC41" s="695"/>
      <c r="AD41" s="823"/>
      <c r="AE41" s="697"/>
      <c r="AF41" s="693"/>
      <c r="AG41" s="694"/>
      <c r="AH41" s="695"/>
      <c r="AI41" s="823"/>
      <c r="AJ41" s="697"/>
      <c r="AK41" s="693"/>
      <c r="AL41" s="694"/>
      <c r="AM41" s="695"/>
      <c r="AN41" s="823"/>
      <c r="AO41" s="697"/>
      <c r="AP41" s="693"/>
      <c r="AQ41" s="694"/>
      <c r="AR41" s="695"/>
      <c r="AS41" s="823"/>
      <c r="AT41" s="697"/>
      <c r="AU41" s="693"/>
      <c r="AV41" s="694"/>
      <c r="AW41" s="695"/>
      <c r="AX41" s="823"/>
      <c r="AY41" s="697"/>
      <c r="AZ41" s="693"/>
      <c r="BA41" s="694"/>
      <c r="BB41" s="695"/>
      <c r="BC41" s="823"/>
      <c r="BD41" s="697"/>
      <c r="BE41" s="693"/>
      <c r="BF41" s="694"/>
      <c r="BG41" s="695"/>
      <c r="BH41" s="823"/>
      <c r="BI41" s="697"/>
      <c r="BJ41" s="693"/>
      <c r="BK41" s="694"/>
      <c r="BL41" s="695"/>
      <c r="BM41" s="823"/>
      <c r="BN41" s="697"/>
      <c r="BO41" s="693"/>
      <c r="BP41" s="694"/>
      <c r="BQ41" s="695"/>
      <c r="BR41" s="823"/>
      <c r="BS41" s="697"/>
      <c r="BT41" s="693"/>
      <c r="BU41" s="694"/>
      <c r="BV41" s="695"/>
      <c r="BW41" s="823"/>
      <c r="BX41" s="697"/>
      <c r="BY41" s="693"/>
      <c r="BZ41" s="694"/>
      <c r="CA41" s="695"/>
      <c r="CB41" s="823"/>
      <c r="CC41" s="697"/>
      <c r="CD41" s="693"/>
      <c r="CE41" s="694"/>
      <c r="CF41" s="695"/>
      <c r="CG41" s="823"/>
      <c r="CH41" s="697"/>
      <c r="CI41" s="693"/>
      <c r="CJ41" s="694"/>
      <c r="CK41" s="695"/>
      <c r="CL41" s="823"/>
      <c r="CM41" s="697"/>
      <c r="CN41" s="693"/>
      <c r="CO41" s="694"/>
      <c r="CP41" s="695"/>
      <c r="CQ41" s="823"/>
      <c r="CR41" s="697"/>
      <c r="CS41" s="693"/>
      <c r="CT41" s="694"/>
      <c r="CU41" s="695"/>
      <c r="CV41" s="823"/>
      <c r="CW41" s="697"/>
      <c r="CX41" s="693"/>
      <c r="CY41" s="694"/>
      <c r="CZ41" s="695"/>
      <c r="DA41" s="823"/>
      <c r="DB41" s="697"/>
      <c r="DC41" s="693"/>
      <c r="DD41" s="694"/>
      <c r="DE41" s="695"/>
      <c r="DF41" s="823"/>
      <c r="DG41" s="697"/>
      <c r="DH41" s="693"/>
      <c r="DI41" s="694"/>
      <c r="DJ41" s="695"/>
      <c r="DK41" s="823"/>
      <c r="DL41" s="697"/>
      <c r="DM41" s="693"/>
      <c r="DN41" s="694"/>
      <c r="DO41" s="695"/>
      <c r="DP41" s="823"/>
      <c r="DQ41" s="697"/>
      <c r="DR41" s="693"/>
      <c r="DS41" s="694"/>
      <c r="DT41" s="695"/>
      <c r="DU41" s="823"/>
      <c r="DV41" s="819"/>
      <c r="DW41" s="816"/>
      <c r="DX41" s="822"/>
      <c r="DY41" s="696"/>
      <c r="DZ41" s="819"/>
      <c r="EA41" s="693"/>
      <c r="EB41" s="694"/>
      <c r="EC41" s="695"/>
      <c r="ED41" s="823"/>
      <c r="EE41" s="819"/>
      <c r="EF41" s="816"/>
      <c r="EG41" s="822"/>
      <c r="EH41" s="696"/>
      <c r="EI41" s="819"/>
      <c r="EJ41" s="693"/>
      <c r="EK41" s="694"/>
      <c r="EL41" s="695"/>
      <c r="EM41" s="823"/>
      <c r="EN41" s="819"/>
      <c r="EO41" s="816"/>
      <c r="EP41" s="822"/>
      <c r="EQ41" s="696"/>
      <c r="ER41" s="819"/>
      <c r="ES41" s="346"/>
    </row>
    <row r="42" spans="1:149" x14ac:dyDescent="0.25">
      <c r="A42" s="692">
        <f t="shared" si="0"/>
        <v>30</v>
      </c>
      <c r="B42" s="693" t="s">
        <v>192</v>
      </c>
      <c r="C42" s="694"/>
      <c r="D42" s="695">
        <v>1</v>
      </c>
      <c r="E42" s="823">
        <v>9.7951285311895653</v>
      </c>
      <c r="F42" s="697">
        <v>3.9180514124758261</v>
      </c>
      <c r="G42" s="693"/>
      <c r="H42" s="694"/>
      <c r="I42" s="695"/>
      <c r="J42" s="823"/>
      <c r="K42" s="697"/>
      <c r="L42" s="693"/>
      <c r="M42" s="694"/>
      <c r="N42" s="695"/>
      <c r="O42" s="823"/>
      <c r="P42" s="697"/>
      <c r="Q42" s="693"/>
      <c r="R42" s="694"/>
      <c r="S42" s="695"/>
      <c r="T42" s="823"/>
      <c r="U42" s="697"/>
      <c r="V42" s="693"/>
      <c r="W42" s="694"/>
      <c r="X42" s="695"/>
      <c r="Y42" s="823"/>
      <c r="Z42" s="697"/>
      <c r="AA42" s="693"/>
      <c r="AB42" s="694"/>
      <c r="AC42" s="695"/>
      <c r="AD42" s="823"/>
      <c r="AE42" s="697"/>
      <c r="AF42" s="693"/>
      <c r="AG42" s="694"/>
      <c r="AH42" s="695"/>
      <c r="AI42" s="823"/>
      <c r="AJ42" s="697"/>
      <c r="AK42" s="693"/>
      <c r="AL42" s="694"/>
      <c r="AM42" s="695"/>
      <c r="AN42" s="823"/>
      <c r="AO42" s="697"/>
      <c r="AP42" s="693"/>
      <c r="AQ42" s="694"/>
      <c r="AR42" s="695"/>
      <c r="AS42" s="823"/>
      <c r="AT42" s="697"/>
      <c r="AU42" s="693"/>
      <c r="AV42" s="694"/>
      <c r="AW42" s="695"/>
      <c r="AX42" s="823"/>
      <c r="AY42" s="697"/>
      <c r="AZ42" s="693"/>
      <c r="BA42" s="694"/>
      <c r="BB42" s="695"/>
      <c r="BC42" s="823"/>
      <c r="BD42" s="697"/>
      <c r="BE42" s="693"/>
      <c r="BF42" s="694"/>
      <c r="BG42" s="695"/>
      <c r="BH42" s="823"/>
      <c r="BI42" s="697"/>
      <c r="BJ42" s="693"/>
      <c r="BK42" s="694"/>
      <c r="BL42" s="695"/>
      <c r="BM42" s="823"/>
      <c r="BN42" s="697"/>
      <c r="BO42" s="693"/>
      <c r="BP42" s="694"/>
      <c r="BQ42" s="695"/>
      <c r="BR42" s="823"/>
      <c r="BS42" s="697"/>
      <c r="BT42" s="693"/>
      <c r="BU42" s="694"/>
      <c r="BV42" s="695"/>
      <c r="BW42" s="823"/>
      <c r="BX42" s="697"/>
      <c r="BY42" s="693"/>
      <c r="BZ42" s="694"/>
      <c r="CA42" s="695"/>
      <c r="CB42" s="823"/>
      <c r="CC42" s="697"/>
      <c r="CD42" s="693"/>
      <c r="CE42" s="694"/>
      <c r="CF42" s="695"/>
      <c r="CG42" s="823"/>
      <c r="CH42" s="697"/>
      <c r="CI42" s="693"/>
      <c r="CJ42" s="694"/>
      <c r="CK42" s="695"/>
      <c r="CL42" s="823"/>
      <c r="CM42" s="697"/>
      <c r="CN42" s="693"/>
      <c r="CO42" s="694"/>
      <c r="CP42" s="695"/>
      <c r="CQ42" s="823"/>
      <c r="CR42" s="697"/>
      <c r="CS42" s="693"/>
      <c r="CT42" s="694"/>
      <c r="CU42" s="695"/>
      <c r="CV42" s="823"/>
      <c r="CW42" s="697"/>
      <c r="CX42" s="693"/>
      <c r="CY42" s="694"/>
      <c r="CZ42" s="695"/>
      <c r="DA42" s="823"/>
      <c r="DB42" s="697"/>
      <c r="DC42" s="693"/>
      <c r="DD42" s="694"/>
      <c r="DE42" s="695"/>
      <c r="DF42" s="823"/>
      <c r="DG42" s="697"/>
      <c r="DH42" s="693"/>
      <c r="DI42" s="694"/>
      <c r="DJ42" s="695"/>
      <c r="DK42" s="823"/>
      <c r="DL42" s="697"/>
      <c r="DM42" s="693"/>
      <c r="DN42" s="694"/>
      <c r="DO42" s="695"/>
      <c r="DP42" s="823"/>
      <c r="DQ42" s="697"/>
      <c r="DR42" s="693"/>
      <c r="DS42" s="694"/>
      <c r="DT42" s="695"/>
      <c r="DU42" s="823"/>
      <c r="DV42" s="819"/>
      <c r="DW42" s="816"/>
      <c r="DX42" s="822"/>
      <c r="DY42" s="696"/>
      <c r="DZ42" s="819"/>
      <c r="EA42" s="693"/>
      <c r="EB42" s="694"/>
      <c r="EC42" s="695"/>
      <c r="ED42" s="823"/>
      <c r="EE42" s="819"/>
      <c r="EF42" s="816"/>
      <c r="EG42" s="822"/>
      <c r="EH42" s="696"/>
      <c r="EI42" s="819"/>
      <c r="EJ42" s="693"/>
      <c r="EK42" s="694"/>
      <c r="EL42" s="695"/>
      <c r="EM42" s="823"/>
      <c r="EN42" s="819"/>
      <c r="EO42" s="816"/>
      <c r="EP42" s="822"/>
      <c r="EQ42" s="696"/>
      <c r="ER42" s="819"/>
      <c r="ES42" s="346"/>
    </row>
    <row r="43" spans="1:149" x14ac:dyDescent="0.25">
      <c r="A43" s="692">
        <f t="shared" si="0"/>
        <v>31</v>
      </c>
      <c r="B43" s="705"/>
      <c r="C43" s="694"/>
      <c r="D43" s="695"/>
      <c r="E43" s="823"/>
      <c r="F43" s="377"/>
      <c r="G43" s="705"/>
      <c r="H43" s="694"/>
      <c r="I43" s="695"/>
      <c r="J43" s="823"/>
      <c r="K43" s="377"/>
      <c r="L43" s="705"/>
      <c r="M43" s="694"/>
      <c r="N43" s="695"/>
      <c r="O43" s="823"/>
      <c r="P43" s="377"/>
      <c r="Q43" s="705"/>
      <c r="R43" s="694"/>
      <c r="S43" s="695"/>
      <c r="T43" s="823"/>
      <c r="U43" s="377"/>
      <c r="V43" s="705"/>
      <c r="W43" s="694"/>
      <c r="X43" s="695"/>
      <c r="Y43" s="823"/>
      <c r="Z43" s="377"/>
      <c r="AA43" s="705"/>
      <c r="AB43" s="694"/>
      <c r="AC43" s="695"/>
      <c r="AD43" s="823"/>
      <c r="AE43" s="377"/>
      <c r="AF43" s="705"/>
      <c r="AG43" s="694"/>
      <c r="AH43" s="695"/>
      <c r="AI43" s="823"/>
      <c r="AJ43" s="377"/>
      <c r="AK43" s="705"/>
      <c r="AL43" s="694"/>
      <c r="AM43" s="695"/>
      <c r="AN43" s="823"/>
      <c r="AO43" s="377"/>
      <c r="AP43" s="705"/>
      <c r="AQ43" s="694"/>
      <c r="AR43" s="695"/>
      <c r="AS43" s="823"/>
      <c r="AT43" s="377"/>
      <c r="AU43" s="705"/>
      <c r="AV43" s="694"/>
      <c r="AW43" s="695"/>
      <c r="AX43" s="823"/>
      <c r="AY43" s="377"/>
      <c r="AZ43" s="705"/>
      <c r="BA43" s="694"/>
      <c r="BB43" s="695"/>
      <c r="BC43" s="823"/>
      <c r="BD43" s="377"/>
      <c r="BE43" s="705"/>
      <c r="BF43" s="694"/>
      <c r="BG43" s="695"/>
      <c r="BH43" s="823"/>
      <c r="BI43" s="377"/>
      <c r="BJ43" s="705"/>
      <c r="BK43" s="694"/>
      <c r="BL43" s="695"/>
      <c r="BM43" s="823"/>
      <c r="BN43" s="377"/>
      <c r="BO43" s="705"/>
      <c r="BP43" s="694"/>
      <c r="BQ43" s="695"/>
      <c r="BR43" s="823"/>
      <c r="BS43" s="377"/>
      <c r="BT43" s="705"/>
      <c r="BU43" s="694"/>
      <c r="BV43" s="695"/>
      <c r="BW43" s="823"/>
      <c r="BX43" s="377"/>
      <c r="BY43" s="705"/>
      <c r="BZ43" s="694"/>
      <c r="CA43" s="695"/>
      <c r="CB43" s="823"/>
      <c r="CC43" s="377"/>
      <c r="CD43" s="705"/>
      <c r="CE43" s="694"/>
      <c r="CF43" s="695"/>
      <c r="CG43" s="823"/>
      <c r="CH43" s="377"/>
      <c r="CI43" s="705"/>
      <c r="CJ43" s="694"/>
      <c r="CK43" s="695"/>
      <c r="CL43" s="823"/>
      <c r="CM43" s="377"/>
      <c r="CN43" s="705"/>
      <c r="CO43" s="694"/>
      <c r="CP43" s="695"/>
      <c r="CQ43" s="823"/>
      <c r="CR43" s="377"/>
      <c r="CS43" s="705"/>
      <c r="CT43" s="694"/>
      <c r="CU43" s="695"/>
      <c r="CV43" s="823"/>
      <c r="CW43" s="377"/>
      <c r="CX43" s="705"/>
      <c r="CY43" s="694"/>
      <c r="CZ43" s="695"/>
      <c r="DA43" s="823"/>
      <c r="DB43" s="377"/>
      <c r="DC43" s="705"/>
      <c r="DD43" s="694"/>
      <c r="DE43" s="695"/>
      <c r="DF43" s="823"/>
      <c r="DG43" s="377"/>
      <c r="DH43" s="705"/>
      <c r="DI43" s="694"/>
      <c r="DJ43" s="695"/>
      <c r="DK43" s="823"/>
      <c r="DL43" s="377"/>
      <c r="DM43" s="705"/>
      <c r="DN43" s="694"/>
      <c r="DO43" s="695"/>
      <c r="DP43" s="823"/>
      <c r="DQ43" s="377"/>
      <c r="DR43" s="705"/>
      <c r="DS43" s="694"/>
      <c r="DT43" s="695"/>
      <c r="DU43" s="823"/>
      <c r="DV43" s="824"/>
      <c r="DW43" s="816"/>
      <c r="DX43" s="822"/>
      <c r="DY43" s="823"/>
      <c r="DZ43" s="819"/>
      <c r="EA43" s="705"/>
      <c r="EB43" s="694"/>
      <c r="EC43" s="695"/>
      <c r="ED43" s="823"/>
      <c r="EE43" s="824"/>
      <c r="EF43" s="816"/>
      <c r="EG43" s="822"/>
      <c r="EH43" s="823"/>
      <c r="EI43" s="819"/>
      <c r="EJ43" s="705"/>
      <c r="EK43" s="694"/>
      <c r="EL43" s="695"/>
      <c r="EM43" s="823"/>
      <c r="EN43" s="824"/>
      <c r="EO43" s="816"/>
      <c r="EP43" s="822"/>
      <c r="EQ43" s="823"/>
      <c r="ER43" s="819"/>
      <c r="ES43" s="346"/>
    </row>
    <row r="44" spans="1:149" x14ac:dyDescent="0.25">
      <c r="A44" s="692">
        <f t="shared" si="0"/>
        <v>32</v>
      </c>
      <c r="B44" s="705"/>
      <c r="C44" s="694"/>
      <c r="D44" s="695"/>
      <c r="E44" s="823"/>
      <c r="F44" s="377"/>
      <c r="G44" s="705"/>
      <c r="H44" s="694"/>
      <c r="I44" s="695"/>
      <c r="J44" s="823"/>
      <c r="K44" s="377"/>
      <c r="L44" s="705"/>
      <c r="M44" s="694"/>
      <c r="N44" s="695"/>
      <c r="O44" s="823"/>
      <c r="P44" s="377"/>
      <c r="Q44" s="705"/>
      <c r="R44" s="694"/>
      <c r="S44" s="695"/>
      <c r="T44" s="823"/>
      <c r="U44" s="377"/>
      <c r="V44" s="705"/>
      <c r="W44" s="694"/>
      <c r="X44" s="695"/>
      <c r="Y44" s="823"/>
      <c r="Z44" s="377"/>
      <c r="AA44" s="705"/>
      <c r="AB44" s="694"/>
      <c r="AC44" s="695"/>
      <c r="AD44" s="823"/>
      <c r="AE44" s="377"/>
      <c r="AF44" s="705"/>
      <c r="AG44" s="694"/>
      <c r="AH44" s="695"/>
      <c r="AI44" s="823"/>
      <c r="AJ44" s="377"/>
      <c r="AK44" s="705"/>
      <c r="AL44" s="694"/>
      <c r="AM44" s="695"/>
      <c r="AN44" s="823"/>
      <c r="AO44" s="377"/>
      <c r="AP44" s="705"/>
      <c r="AQ44" s="694"/>
      <c r="AR44" s="695"/>
      <c r="AS44" s="823"/>
      <c r="AT44" s="377"/>
      <c r="AU44" s="705"/>
      <c r="AV44" s="694"/>
      <c r="AW44" s="695"/>
      <c r="AX44" s="823"/>
      <c r="AY44" s="377"/>
      <c r="AZ44" s="705"/>
      <c r="BA44" s="694"/>
      <c r="BB44" s="695"/>
      <c r="BC44" s="823"/>
      <c r="BD44" s="377"/>
      <c r="BE44" s="705"/>
      <c r="BF44" s="694"/>
      <c r="BG44" s="695"/>
      <c r="BH44" s="823"/>
      <c r="BI44" s="377"/>
      <c r="BJ44" s="705"/>
      <c r="BK44" s="694"/>
      <c r="BL44" s="695"/>
      <c r="BM44" s="823"/>
      <c r="BN44" s="377"/>
      <c r="BO44" s="705"/>
      <c r="BP44" s="694"/>
      <c r="BQ44" s="695"/>
      <c r="BR44" s="823"/>
      <c r="BS44" s="377"/>
      <c r="BT44" s="705"/>
      <c r="BU44" s="694"/>
      <c r="BV44" s="695"/>
      <c r="BW44" s="823"/>
      <c r="BX44" s="377"/>
      <c r="BY44" s="705"/>
      <c r="BZ44" s="694"/>
      <c r="CA44" s="695"/>
      <c r="CB44" s="823"/>
      <c r="CC44" s="377"/>
      <c r="CD44" s="705"/>
      <c r="CE44" s="694"/>
      <c r="CF44" s="695"/>
      <c r="CG44" s="823"/>
      <c r="CH44" s="377"/>
      <c r="CI44" s="705"/>
      <c r="CJ44" s="694"/>
      <c r="CK44" s="695"/>
      <c r="CL44" s="823"/>
      <c r="CM44" s="377"/>
      <c r="CN44" s="705"/>
      <c r="CO44" s="694"/>
      <c r="CP44" s="695"/>
      <c r="CQ44" s="823"/>
      <c r="CR44" s="377"/>
      <c r="CS44" s="705"/>
      <c r="CT44" s="694"/>
      <c r="CU44" s="695"/>
      <c r="CV44" s="823"/>
      <c r="CW44" s="377"/>
      <c r="CX44" s="705"/>
      <c r="CY44" s="694"/>
      <c r="CZ44" s="695"/>
      <c r="DA44" s="823"/>
      <c r="DB44" s="377"/>
      <c r="DC44" s="705"/>
      <c r="DD44" s="694"/>
      <c r="DE44" s="695"/>
      <c r="DF44" s="823"/>
      <c r="DG44" s="377"/>
      <c r="DH44" s="705"/>
      <c r="DI44" s="694"/>
      <c r="DJ44" s="695"/>
      <c r="DK44" s="823"/>
      <c r="DL44" s="377"/>
      <c r="DM44" s="705"/>
      <c r="DN44" s="694"/>
      <c r="DO44" s="695"/>
      <c r="DP44" s="823"/>
      <c r="DQ44" s="377"/>
      <c r="DR44" s="705"/>
      <c r="DS44" s="694"/>
      <c r="DT44" s="695"/>
      <c r="DU44" s="823"/>
      <c r="DV44" s="824"/>
      <c r="DW44" s="825"/>
      <c r="DX44" s="822"/>
      <c r="DY44" s="823"/>
      <c r="DZ44" s="819"/>
      <c r="EA44" s="705"/>
      <c r="EB44" s="694"/>
      <c r="EC44" s="695"/>
      <c r="ED44" s="823"/>
      <c r="EE44" s="824"/>
      <c r="EF44" s="825"/>
      <c r="EG44" s="822"/>
      <c r="EH44" s="823"/>
      <c r="EI44" s="819"/>
      <c r="EJ44" s="705"/>
      <c r="EK44" s="694"/>
      <c r="EL44" s="695"/>
      <c r="EM44" s="823"/>
      <c r="EN44" s="824"/>
      <c r="EO44" s="825"/>
      <c r="EP44" s="822"/>
      <c r="EQ44" s="823"/>
      <c r="ER44" s="819"/>
      <c r="ES44" s="346"/>
    </row>
    <row r="45" spans="1:149" x14ac:dyDescent="0.25">
      <c r="A45" s="692">
        <f t="shared" si="0"/>
        <v>33</v>
      </c>
      <c r="B45" s="705"/>
      <c r="C45" s="694"/>
      <c r="D45" s="695"/>
      <c r="E45" s="823"/>
      <c r="F45" s="377"/>
      <c r="G45" s="705"/>
      <c r="H45" s="694"/>
      <c r="I45" s="695"/>
      <c r="J45" s="823"/>
      <c r="K45" s="377"/>
      <c r="L45" s="705"/>
      <c r="M45" s="694"/>
      <c r="N45" s="695"/>
      <c r="O45" s="823"/>
      <c r="P45" s="377"/>
      <c r="Q45" s="705"/>
      <c r="R45" s="694"/>
      <c r="S45" s="695"/>
      <c r="T45" s="823"/>
      <c r="U45" s="377"/>
      <c r="V45" s="705"/>
      <c r="W45" s="694"/>
      <c r="X45" s="695"/>
      <c r="Y45" s="823"/>
      <c r="Z45" s="377"/>
      <c r="AA45" s="705"/>
      <c r="AB45" s="694"/>
      <c r="AC45" s="695"/>
      <c r="AD45" s="823"/>
      <c r="AE45" s="377"/>
      <c r="AF45" s="705"/>
      <c r="AG45" s="694"/>
      <c r="AH45" s="695"/>
      <c r="AI45" s="823"/>
      <c r="AJ45" s="377"/>
      <c r="AK45" s="705"/>
      <c r="AL45" s="694"/>
      <c r="AM45" s="695"/>
      <c r="AN45" s="823"/>
      <c r="AO45" s="377"/>
      <c r="AP45" s="705"/>
      <c r="AQ45" s="694"/>
      <c r="AR45" s="695"/>
      <c r="AS45" s="823"/>
      <c r="AT45" s="377"/>
      <c r="AU45" s="705"/>
      <c r="AV45" s="694"/>
      <c r="AW45" s="695"/>
      <c r="AX45" s="823"/>
      <c r="AY45" s="377"/>
      <c r="AZ45" s="705"/>
      <c r="BA45" s="694"/>
      <c r="BB45" s="695"/>
      <c r="BC45" s="823"/>
      <c r="BD45" s="377"/>
      <c r="BE45" s="705"/>
      <c r="BF45" s="694"/>
      <c r="BG45" s="695"/>
      <c r="BH45" s="823"/>
      <c r="BI45" s="377"/>
      <c r="BJ45" s="705"/>
      <c r="BK45" s="694"/>
      <c r="BL45" s="695"/>
      <c r="BM45" s="823"/>
      <c r="BN45" s="377"/>
      <c r="BO45" s="705"/>
      <c r="BP45" s="694"/>
      <c r="BQ45" s="695"/>
      <c r="BR45" s="823"/>
      <c r="BS45" s="377"/>
      <c r="BT45" s="705"/>
      <c r="BU45" s="694"/>
      <c r="BV45" s="695"/>
      <c r="BW45" s="823"/>
      <c r="BX45" s="377"/>
      <c r="BY45" s="705"/>
      <c r="BZ45" s="694"/>
      <c r="CA45" s="695"/>
      <c r="CB45" s="823"/>
      <c r="CC45" s="377"/>
      <c r="CD45" s="705"/>
      <c r="CE45" s="694"/>
      <c r="CF45" s="695"/>
      <c r="CG45" s="823"/>
      <c r="CH45" s="377"/>
      <c r="CI45" s="705"/>
      <c r="CJ45" s="694"/>
      <c r="CK45" s="695"/>
      <c r="CL45" s="823"/>
      <c r="CM45" s="377"/>
      <c r="CN45" s="705"/>
      <c r="CO45" s="694"/>
      <c r="CP45" s="695"/>
      <c r="CQ45" s="823"/>
      <c r="CR45" s="377"/>
      <c r="CS45" s="705"/>
      <c r="CT45" s="694"/>
      <c r="CU45" s="695"/>
      <c r="CV45" s="823"/>
      <c r="CW45" s="377"/>
      <c r="CX45" s="705"/>
      <c r="CY45" s="694"/>
      <c r="CZ45" s="695"/>
      <c r="DA45" s="823"/>
      <c r="DB45" s="377"/>
      <c r="DC45" s="705"/>
      <c r="DD45" s="694"/>
      <c r="DE45" s="695"/>
      <c r="DF45" s="823"/>
      <c r="DG45" s="377"/>
      <c r="DH45" s="705"/>
      <c r="DI45" s="694"/>
      <c r="DJ45" s="695"/>
      <c r="DK45" s="823"/>
      <c r="DL45" s="377"/>
      <c r="DM45" s="705"/>
      <c r="DN45" s="694"/>
      <c r="DO45" s="695"/>
      <c r="DP45" s="823"/>
      <c r="DQ45" s="377"/>
      <c r="DR45" s="705"/>
      <c r="DS45" s="694"/>
      <c r="DT45" s="695"/>
      <c r="DU45" s="823"/>
      <c r="DV45" s="824"/>
      <c r="DW45" s="825"/>
      <c r="DX45" s="822"/>
      <c r="DY45" s="823"/>
      <c r="DZ45" s="819"/>
      <c r="EA45" s="705"/>
      <c r="EB45" s="694"/>
      <c r="EC45" s="695"/>
      <c r="ED45" s="823"/>
      <c r="EE45" s="824"/>
      <c r="EF45" s="825"/>
      <c r="EG45" s="822"/>
      <c r="EH45" s="823"/>
      <c r="EI45" s="819"/>
      <c r="EJ45" s="705"/>
      <c r="EK45" s="694"/>
      <c r="EL45" s="695"/>
      <c r="EM45" s="823"/>
      <c r="EN45" s="824"/>
      <c r="EO45" s="825"/>
      <c r="EP45" s="822"/>
      <c r="EQ45" s="823"/>
      <c r="ER45" s="819"/>
      <c r="ES45" s="346"/>
    </row>
    <row r="46" spans="1:149" x14ac:dyDescent="0.25">
      <c r="A46" s="692">
        <f t="shared" si="0"/>
        <v>34</v>
      </c>
      <c r="B46" s="705"/>
      <c r="C46" s="694"/>
      <c r="D46" s="695"/>
      <c r="E46" s="823"/>
      <c r="F46" s="377"/>
      <c r="G46" s="705"/>
      <c r="H46" s="694"/>
      <c r="I46" s="695"/>
      <c r="J46" s="823"/>
      <c r="K46" s="377"/>
      <c r="L46" s="705"/>
      <c r="M46" s="694"/>
      <c r="N46" s="695"/>
      <c r="O46" s="823"/>
      <c r="P46" s="377"/>
      <c r="Q46" s="705"/>
      <c r="R46" s="694"/>
      <c r="S46" s="695"/>
      <c r="T46" s="823"/>
      <c r="U46" s="377"/>
      <c r="V46" s="705"/>
      <c r="W46" s="694"/>
      <c r="X46" s="695"/>
      <c r="Y46" s="823"/>
      <c r="Z46" s="377"/>
      <c r="AA46" s="705"/>
      <c r="AB46" s="694"/>
      <c r="AC46" s="695"/>
      <c r="AD46" s="823"/>
      <c r="AE46" s="377"/>
      <c r="AF46" s="705"/>
      <c r="AG46" s="694"/>
      <c r="AH46" s="695"/>
      <c r="AI46" s="823"/>
      <c r="AJ46" s="377"/>
      <c r="AK46" s="705"/>
      <c r="AL46" s="694"/>
      <c r="AM46" s="695"/>
      <c r="AN46" s="823"/>
      <c r="AO46" s="377"/>
      <c r="AP46" s="705"/>
      <c r="AQ46" s="694"/>
      <c r="AR46" s="695"/>
      <c r="AS46" s="823"/>
      <c r="AT46" s="377"/>
      <c r="AU46" s="705"/>
      <c r="AV46" s="694"/>
      <c r="AW46" s="695"/>
      <c r="AX46" s="823"/>
      <c r="AY46" s="377"/>
      <c r="AZ46" s="705"/>
      <c r="BA46" s="694"/>
      <c r="BB46" s="695"/>
      <c r="BC46" s="823"/>
      <c r="BD46" s="377"/>
      <c r="BE46" s="705"/>
      <c r="BF46" s="694"/>
      <c r="BG46" s="695"/>
      <c r="BH46" s="823"/>
      <c r="BI46" s="377"/>
      <c r="BJ46" s="705"/>
      <c r="BK46" s="694"/>
      <c r="BL46" s="695"/>
      <c r="BM46" s="823"/>
      <c r="BN46" s="377"/>
      <c r="BO46" s="705"/>
      <c r="BP46" s="694"/>
      <c r="BQ46" s="695"/>
      <c r="BR46" s="823"/>
      <c r="BS46" s="377"/>
      <c r="BT46" s="705"/>
      <c r="BU46" s="694"/>
      <c r="BV46" s="695"/>
      <c r="BW46" s="823"/>
      <c r="BX46" s="377"/>
      <c r="BY46" s="705"/>
      <c r="BZ46" s="694"/>
      <c r="CA46" s="695"/>
      <c r="CB46" s="823"/>
      <c r="CC46" s="377"/>
      <c r="CD46" s="705"/>
      <c r="CE46" s="694"/>
      <c r="CF46" s="695"/>
      <c r="CG46" s="823"/>
      <c r="CH46" s="377"/>
      <c r="CI46" s="705"/>
      <c r="CJ46" s="694"/>
      <c r="CK46" s="695"/>
      <c r="CL46" s="823"/>
      <c r="CM46" s="377"/>
      <c r="CN46" s="705"/>
      <c r="CO46" s="694"/>
      <c r="CP46" s="695"/>
      <c r="CQ46" s="823"/>
      <c r="CR46" s="377"/>
      <c r="CS46" s="705"/>
      <c r="CT46" s="694"/>
      <c r="CU46" s="695"/>
      <c r="CV46" s="823"/>
      <c r="CW46" s="377"/>
      <c r="CX46" s="705"/>
      <c r="CY46" s="694"/>
      <c r="CZ46" s="695"/>
      <c r="DA46" s="823"/>
      <c r="DB46" s="377"/>
      <c r="DC46" s="705"/>
      <c r="DD46" s="694"/>
      <c r="DE46" s="695"/>
      <c r="DF46" s="823"/>
      <c r="DG46" s="377"/>
      <c r="DH46" s="705"/>
      <c r="DI46" s="694"/>
      <c r="DJ46" s="695"/>
      <c r="DK46" s="823"/>
      <c r="DL46" s="377"/>
      <c r="DM46" s="705"/>
      <c r="DN46" s="694"/>
      <c r="DO46" s="695"/>
      <c r="DP46" s="823"/>
      <c r="DQ46" s="377"/>
      <c r="DR46" s="705"/>
      <c r="DS46" s="694"/>
      <c r="DT46" s="695"/>
      <c r="DU46" s="823"/>
      <c r="DV46" s="824"/>
      <c r="DW46" s="816"/>
      <c r="DX46" s="822"/>
      <c r="DY46" s="823"/>
      <c r="DZ46" s="819"/>
      <c r="EA46" s="705"/>
      <c r="EB46" s="694"/>
      <c r="EC46" s="695"/>
      <c r="ED46" s="823"/>
      <c r="EE46" s="824"/>
      <c r="EF46" s="816"/>
      <c r="EG46" s="822"/>
      <c r="EH46" s="823"/>
      <c r="EI46" s="819"/>
      <c r="EJ46" s="705"/>
      <c r="EK46" s="694"/>
      <c r="EL46" s="695"/>
      <c r="EM46" s="823"/>
      <c r="EN46" s="824"/>
      <c r="EO46" s="816"/>
      <c r="EP46" s="822"/>
      <c r="EQ46" s="823"/>
      <c r="ER46" s="819"/>
      <c r="ES46" s="346"/>
    </row>
    <row r="47" spans="1:149" x14ac:dyDescent="0.25">
      <c r="A47" s="692">
        <f t="shared" si="0"/>
        <v>35</v>
      </c>
      <c r="B47" s="705"/>
      <c r="C47" s="694"/>
      <c r="D47" s="695"/>
      <c r="E47" s="823"/>
      <c r="F47" s="377"/>
      <c r="G47" s="705"/>
      <c r="H47" s="694"/>
      <c r="I47" s="695"/>
      <c r="J47" s="823"/>
      <c r="K47" s="377"/>
      <c r="L47" s="705"/>
      <c r="M47" s="694"/>
      <c r="N47" s="695"/>
      <c r="O47" s="823"/>
      <c r="P47" s="377"/>
      <c r="Q47" s="705"/>
      <c r="R47" s="694"/>
      <c r="S47" s="695"/>
      <c r="T47" s="823"/>
      <c r="U47" s="377"/>
      <c r="V47" s="705"/>
      <c r="W47" s="694"/>
      <c r="X47" s="695"/>
      <c r="Y47" s="823"/>
      <c r="Z47" s="377"/>
      <c r="AA47" s="705"/>
      <c r="AB47" s="694"/>
      <c r="AC47" s="695"/>
      <c r="AD47" s="823"/>
      <c r="AE47" s="377"/>
      <c r="AF47" s="705"/>
      <c r="AG47" s="694"/>
      <c r="AH47" s="695"/>
      <c r="AI47" s="823"/>
      <c r="AJ47" s="377"/>
      <c r="AK47" s="705"/>
      <c r="AL47" s="694"/>
      <c r="AM47" s="695"/>
      <c r="AN47" s="823"/>
      <c r="AO47" s="377"/>
      <c r="AP47" s="705"/>
      <c r="AQ47" s="694"/>
      <c r="AR47" s="695"/>
      <c r="AS47" s="823"/>
      <c r="AT47" s="377"/>
      <c r="AU47" s="705"/>
      <c r="AV47" s="694"/>
      <c r="AW47" s="695"/>
      <c r="AX47" s="823"/>
      <c r="AY47" s="377"/>
      <c r="AZ47" s="705"/>
      <c r="BA47" s="694"/>
      <c r="BB47" s="695"/>
      <c r="BC47" s="823"/>
      <c r="BD47" s="377"/>
      <c r="BE47" s="705"/>
      <c r="BF47" s="694"/>
      <c r="BG47" s="695"/>
      <c r="BH47" s="823"/>
      <c r="BI47" s="377"/>
      <c r="BJ47" s="705"/>
      <c r="BK47" s="694"/>
      <c r="BL47" s="695"/>
      <c r="BM47" s="823"/>
      <c r="BN47" s="377"/>
      <c r="BO47" s="705"/>
      <c r="BP47" s="694"/>
      <c r="BQ47" s="695"/>
      <c r="BR47" s="823"/>
      <c r="BS47" s="377"/>
      <c r="BT47" s="705"/>
      <c r="BU47" s="694"/>
      <c r="BV47" s="695"/>
      <c r="BW47" s="823"/>
      <c r="BX47" s="377"/>
      <c r="BY47" s="705"/>
      <c r="BZ47" s="694"/>
      <c r="CA47" s="695"/>
      <c r="CB47" s="823"/>
      <c r="CC47" s="377"/>
      <c r="CD47" s="705"/>
      <c r="CE47" s="694"/>
      <c r="CF47" s="695"/>
      <c r="CG47" s="823"/>
      <c r="CH47" s="377"/>
      <c r="CI47" s="705"/>
      <c r="CJ47" s="694"/>
      <c r="CK47" s="695"/>
      <c r="CL47" s="823"/>
      <c r="CM47" s="377"/>
      <c r="CN47" s="705"/>
      <c r="CO47" s="694"/>
      <c r="CP47" s="695"/>
      <c r="CQ47" s="823"/>
      <c r="CR47" s="377"/>
      <c r="CS47" s="705"/>
      <c r="CT47" s="694"/>
      <c r="CU47" s="695"/>
      <c r="CV47" s="823"/>
      <c r="CW47" s="377"/>
      <c r="CX47" s="705"/>
      <c r="CY47" s="694"/>
      <c r="CZ47" s="695"/>
      <c r="DA47" s="823"/>
      <c r="DB47" s="377"/>
      <c r="DC47" s="705"/>
      <c r="DD47" s="694"/>
      <c r="DE47" s="695"/>
      <c r="DF47" s="823"/>
      <c r="DG47" s="377"/>
      <c r="DH47" s="705"/>
      <c r="DI47" s="694"/>
      <c r="DJ47" s="695"/>
      <c r="DK47" s="823"/>
      <c r="DL47" s="377"/>
      <c r="DM47" s="705"/>
      <c r="DN47" s="694"/>
      <c r="DO47" s="695"/>
      <c r="DP47" s="823"/>
      <c r="DQ47" s="377"/>
      <c r="DR47" s="705"/>
      <c r="DS47" s="694"/>
      <c r="DT47" s="695"/>
      <c r="DU47" s="823"/>
      <c r="DV47" s="824"/>
      <c r="DW47" s="825"/>
      <c r="DX47" s="822"/>
      <c r="DY47" s="823"/>
      <c r="DZ47" s="819"/>
      <c r="EA47" s="705"/>
      <c r="EB47" s="694"/>
      <c r="EC47" s="695"/>
      <c r="ED47" s="823"/>
      <c r="EE47" s="824"/>
      <c r="EF47" s="825"/>
      <c r="EG47" s="822"/>
      <c r="EH47" s="823"/>
      <c r="EI47" s="819"/>
      <c r="EJ47" s="705"/>
      <c r="EK47" s="694"/>
      <c r="EL47" s="695"/>
      <c r="EM47" s="823"/>
      <c r="EN47" s="824"/>
      <c r="EO47" s="825"/>
      <c r="EP47" s="822"/>
      <c r="EQ47" s="823"/>
      <c r="ER47" s="819"/>
      <c r="ES47" s="346"/>
    </row>
    <row r="48" spans="1:149" x14ac:dyDescent="0.25">
      <c r="A48" s="692">
        <f t="shared" si="0"/>
        <v>36</v>
      </c>
      <c r="B48" s="705"/>
      <c r="C48" s="694"/>
      <c r="D48" s="695"/>
      <c r="E48" s="823"/>
      <c r="F48" s="377"/>
      <c r="G48" s="705"/>
      <c r="H48" s="694"/>
      <c r="I48" s="695"/>
      <c r="J48" s="823"/>
      <c r="K48" s="377"/>
      <c r="L48" s="705"/>
      <c r="M48" s="694"/>
      <c r="N48" s="695"/>
      <c r="O48" s="823"/>
      <c r="P48" s="377"/>
      <c r="Q48" s="705"/>
      <c r="R48" s="694"/>
      <c r="S48" s="695"/>
      <c r="T48" s="823"/>
      <c r="U48" s="377"/>
      <c r="V48" s="705"/>
      <c r="W48" s="694"/>
      <c r="X48" s="695"/>
      <c r="Y48" s="823"/>
      <c r="Z48" s="377"/>
      <c r="AA48" s="705"/>
      <c r="AB48" s="694"/>
      <c r="AC48" s="695"/>
      <c r="AD48" s="823"/>
      <c r="AE48" s="377"/>
      <c r="AF48" s="705"/>
      <c r="AG48" s="694"/>
      <c r="AH48" s="695"/>
      <c r="AI48" s="823"/>
      <c r="AJ48" s="377"/>
      <c r="AK48" s="705"/>
      <c r="AL48" s="694"/>
      <c r="AM48" s="695"/>
      <c r="AN48" s="823"/>
      <c r="AO48" s="377"/>
      <c r="AP48" s="705"/>
      <c r="AQ48" s="694"/>
      <c r="AR48" s="695"/>
      <c r="AS48" s="823"/>
      <c r="AT48" s="377"/>
      <c r="AU48" s="705"/>
      <c r="AV48" s="694"/>
      <c r="AW48" s="695"/>
      <c r="AX48" s="823"/>
      <c r="AY48" s="377"/>
      <c r="AZ48" s="705"/>
      <c r="BA48" s="694"/>
      <c r="BB48" s="695"/>
      <c r="BC48" s="823"/>
      <c r="BD48" s="377"/>
      <c r="BE48" s="705"/>
      <c r="BF48" s="694"/>
      <c r="BG48" s="695"/>
      <c r="BH48" s="823"/>
      <c r="BI48" s="377"/>
      <c r="BJ48" s="705"/>
      <c r="BK48" s="694"/>
      <c r="BL48" s="695"/>
      <c r="BM48" s="823"/>
      <c r="BN48" s="377"/>
      <c r="BO48" s="705"/>
      <c r="BP48" s="694"/>
      <c r="BQ48" s="695"/>
      <c r="BR48" s="823"/>
      <c r="BS48" s="377"/>
      <c r="BT48" s="705"/>
      <c r="BU48" s="694"/>
      <c r="BV48" s="695"/>
      <c r="BW48" s="823"/>
      <c r="BX48" s="377"/>
      <c r="BY48" s="705"/>
      <c r="BZ48" s="694"/>
      <c r="CA48" s="695"/>
      <c r="CB48" s="823"/>
      <c r="CC48" s="377"/>
      <c r="CD48" s="705"/>
      <c r="CE48" s="694"/>
      <c r="CF48" s="695"/>
      <c r="CG48" s="823"/>
      <c r="CH48" s="377"/>
      <c r="CI48" s="705"/>
      <c r="CJ48" s="694"/>
      <c r="CK48" s="695"/>
      <c r="CL48" s="823"/>
      <c r="CM48" s="377"/>
      <c r="CN48" s="705"/>
      <c r="CO48" s="694"/>
      <c r="CP48" s="695"/>
      <c r="CQ48" s="823"/>
      <c r="CR48" s="377"/>
      <c r="CS48" s="705"/>
      <c r="CT48" s="694"/>
      <c r="CU48" s="695"/>
      <c r="CV48" s="823"/>
      <c r="CW48" s="377"/>
      <c r="CX48" s="705"/>
      <c r="CY48" s="694"/>
      <c r="CZ48" s="695"/>
      <c r="DA48" s="823"/>
      <c r="DB48" s="377"/>
      <c r="DC48" s="705"/>
      <c r="DD48" s="694"/>
      <c r="DE48" s="695"/>
      <c r="DF48" s="823"/>
      <c r="DG48" s="377"/>
      <c r="DH48" s="705"/>
      <c r="DI48" s="694"/>
      <c r="DJ48" s="695"/>
      <c r="DK48" s="823"/>
      <c r="DL48" s="377"/>
      <c r="DM48" s="705"/>
      <c r="DN48" s="694"/>
      <c r="DO48" s="695"/>
      <c r="DP48" s="823"/>
      <c r="DQ48" s="377"/>
      <c r="DR48" s="705"/>
      <c r="DS48" s="694"/>
      <c r="DT48" s="695"/>
      <c r="DU48" s="823"/>
      <c r="DV48" s="824"/>
      <c r="DW48" s="825"/>
      <c r="DX48" s="822"/>
      <c r="DY48" s="823"/>
      <c r="DZ48" s="819"/>
      <c r="EA48" s="705"/>
      <c r="EB48" s="694"/>
      <c r="EC48" s="695"/>
      <c r="ED48" s="823"/>
      <c r="EE48" s="824"/>
      <c r="EF48" s="825"/>
      <c r="EG48" s="822"/>
      <c r="EH48" s="823"/>
      <c r="EI48" s="819"/>
      <c r="EJ48" s="705"/>
      <c r="EK48" s="694"/>
      <c r="EL48" s="695"/>
      <c r="EM48" s="823"/>
      <c r="EN48" s="824"/>
      <c r="EO48" s="825"/>
      <c r="EP48" s="822"/>
      <c r="EQ48" s="823"/>
      <c r="ER48" s="819"/>
      <c r="ES48" s="346"/>
    </row>
    <row r="49" spans="1:149" x14ac:dyDescent="0.25">
      <c r="A49" s="692">
        <f t="shared" si="0"/>
        <v>37</v>
      </c>
      <c r="B49" s="705"/>
      <c r="C49" s="694"/>
      <c r="D49" s="695"/>
      <c r="E49" s="823"/>
      <c r="F49" s="377"/>
      <c r="G49" s="705"/>
      <c r="H49" s="694"/>
      <c r="I49" s="695"/>
      <c r="J49" s="823"/>
      <c r="K49" s="377"/>
      <c r="L49" s="705"/>
      <c r="M49" s="694"/>
      <c r="N49" s="695"/>
      <c r="O49" s="823"/>
      <c r="P49" s="377"/>
      <c r="Q49" s="705"/>
      <c r="R49" s="694"/>
      <c r="S49" s="695"/>
      <c r="T49" s="823"/>
      <c r="U49" s="377"/>
      <c r="V49" s="705"/>
      <c r="W49" s="694"/>
      <c r="X49" s="695"/>
      <c r="Y49" s="823"/>
      <c r="Z49" s="377"/>
      <c r="AA49" s="705"/>
      <c r="AB49" s="694"/>
      <c r="AC49" s="695"/>
      <c r="AD49" s="823"/>
      <c r="AE49" s="377"/>
      <c r="AF49" s="705"/>
      <c r="AG49" s="694"/>
      <c r="AH49" s="695"/>
      <c r="AI49" s="823"/>
      <c r="AJ49" s="377"/>
      <c r="AK49" s="705"/>
      <c r="AL49" s="694"/>
      <c r="AM49" s="695"/>
      <c r="AN49" s="823"/>
      <c r="AO49" s="377"/>
      <c r="AP49" s="705"/>
      <c r="AQ49" s="694"/>
      <c r="AR49" s="695"/>
      <c r="AS49" s="823"/>
      <c r="AT49" s="377"/>
      <c r="AU49" s="705"/>
      <c r="AV49" s="694"/>
      <c r="AW49" s="695"/>
      <c r="AX49" s="823"/>
      <c r="AY49" s="377"/>
      <c r="AZ49" s="705"/>
      <c r="BA49" s="694"/>
      <c r="BB49" s="695"/>
      <c r="BC49" s="823"/>
      <c r="BD49" s="377"/>
      <c r="BE49" s="705"/>
      <c r="BF49" s="694"/>
      <c r="BG49" s="695"/>
      <c r="BH49" s="823"/>
      <c r="BI49" s="377"/>
      <c r="BJ49" s="705"/>
      <c r="BK49" s="694"/>
      <c r="BL49" s="695"/>
      <c r="BM49" s="823"/>
      <c r="BN49" s="377"/>
      <c r="BO49" s="705"/>
      <c r="BP49" s="694"/>
      <c r="BQ49" s="695"/>
      <c r="BR49" s="823"/>
      <c r="BS49" s="377"/>
      <c r="BT49" s="705"/>
      <c r="BU49" s="694"/>
      <c r="BV49" s="695"/>
      <c r="BW49" s="823"/>
      <c r="BX49" s="377"/>
      <c r="BY49" s="705"/>
      <c r="BZ49" s="694"/>
      <c r="CA49" s="695"/>
      <c r="CB49" s="823"/>
      <c r="CC49" s="377"/>
      <c r="CD49" s="705"/>
      <c r="CE49" s="694"/>
      <c r="CF49" s="695"/>
      <c r="CG49" s="823"/>
      <c r="CH49" s="377"/>
      <c r="CI49" s="705"/>
      <c r="CJ49" s="694"/>
      <c r="CK49" s="695"/>
      <c r="CL49" s="823"/>
      <c r="CM49" s="377"/>
      <c r="CN49" s="705"/>
      <c r="CO49" s="694"/>
      <c r="CP49" s="695"/>
      <c r="CQ49" s="823"/>
      <c r="CR49" s="377"/>
      <c r="CS49" s="705"/>
      <c r="CT49" s="694"/>
      <c r="CU49" s="695"/>
      <c r="CV49" s="823"/>
      <c r="CW49" s="377"/>
      <c r="CX49" s="705"/>
      <c r="CY49" s="694"/>
      <c r="CZ49" s="695"/>
      <c r="DA49" s="823"/>
      <c r="DB49" s="377"/>
      <c r="DC49" s="705"/>
      <c r="DD49" s="694"/>
      <c r="DE49" s="695"/>
      <c r="DF49" s="823"/>
      <c r="DG49" s="377"/>
      <c r="DH49" s="705"/>
      <c r="DI49" s="694"/>
      <c r="DJ49" s="695"/>
      <c r="DK49" s="823"/>
      <c r="DL49" s="377"/>
      <c r="DM49" s="705"/>
      <c r="DN49" s="694"/>
      <c r="DO49" s="695"/>
      <c r="DP49" s="823"/>
      <c r="DQ49" s="377"/>
      <c r="DR49" s="705"/>
      <c r="DS49" s="694"/>
      <c r="DT49" s="695"/>
      <c r="DU49" s="823"/>
      <c r="DV49" s="824"/>
      <c r="DW49" s="816"/>
      <c r="DX49" s="822"/>
      <c r="DY49" s="823"/>
      <c r="DZ49" s="819"/>
      <c r="EA49" s="705"/>
      <c r="EB49" s="694"/>
      <c r="EC49" s="695"/>
      <c r="ED49" s="823"/>
      <c r="EE49" s="824"/>
      <c r="EF49" s="816"/>
      <c r="EG49" s="822"/>
      <c r="EH49" s="823"/>
      <c r="EI49" s="819"/>
      <c r="EJ49" s="705"/>
      <c r="EK49" s="694"/>
      <c r="EL49" s="695"/>
      <c r="EM49" s="823"/>
      <c r="EN49" s="824"/>
      <c r="EO49" s="816"/>
      <c r="EP49" s="822"/>
      <c r="EQ49" s="823"/>
      <c r="ER49" s="819"/>
      <c r="ES49" s="346"/>
    </row>
    <row r="50" spans="1:149" x14ac:dyDescent="0.25">
      <c r="A50" s="692">
        <f t="shared" si="0"/>
        <v>38</v>
      </c>
      <c r="B50" s="705"/>
      <c r="C50" s="694"/>
      <c r="D50" s="695"/>
      <c r="E50" s="823"/>
      <c r="F50" s="377"/>
      <c r="G50" s="705"/>
      <c r="H50" s="694"/>
      <c r="I50" s="695"/>
      <c r="J50" s="823"/>
      <c r="K50" s="377"/>
      <c r="L50" s="705"/>
      <c r="M50" s="694"/>
      <c r="N50" s="695"/>
      <c r="O50" s="823"/>
      <c r="P50" s="377"/>
      <c r="Q50" s="705"/>
      <c r="R50" s="694"/>
      <c r="S50" s="695"/>
      <c r="T50" s="823"/>
      <c r="U50" s="377"/>
      <c r="V50" s="705"/>
      <c r="W50" s="694"/>
      <c r="X50" s="695"/>
      <c r="Y50" s="823"/>
      <c r="Z50" s="377"/>
      <c r="AA50" s="705"/>
      <c r="AB50" s="694"/>
      <c r="AC50" s="695"/>
      <c r="AD50" s="823"/>
      <c r="AE50" s="377"/>
      <c r="AF50" s="705"/>
      <c r="AG50" s="694"/>
      <c r="AH50" s="695"/>
      <c r="AI50" s="823"/>
      <c r="AJ50" s="377"/>
      <c r="AK50" s="705"/>
      <c r="AL50" s="694"/>
      <c r="AM50" s="695"/>
      <c r="AN50" s="823"/>
      <c r="AO50" s="377"/>
      <c r="AP50" s="705"/>
      <c r="AQ50" s="694"/>
      <c r="AR50" s="695"/>
      <c r="AS50" s="823"/>
      <c r="AT50" s="377"/>
      <c r="AU50" s="705"/>
      <c r="AV50" s="694"/>
      <c r="AW50" s="695"/>
      <c r="AX50" s="823"/>
      <c r="AY50" s="377"/>
      <c r="AZ50" s="705"/>
      <c r="BA50" s="694"/>
      <c r="BB50" s="695"/>
      <c r="BC50" s="823"/>
      <c r="BD50" s="377"/>
      <c r="BE50" s="705"/>
      <c r="BF50" s="694"/>
      <c r="BG50" s="695"/>
      <c r="BH50" s="823"/>
      <c r="BI50" s="377"/>
      <c r="BJ50" s="705"/>
      <c r="BK50" s="694"/>
      <c r="BL50" s="695"/>
      <c r="BM50" s="823"/>
      <c r="BN50" s="377"/>
      <c r="BO50" s="705"/>
      <c r="BP50" s="694"/>
      <c r="BQ50" s="695"/>
      <c r="BR50" s="823"/>
      <c r="BS50" s="377"/>
      <c r="BT50" s="705"/>
      <c r="BU50" s="694"/>
      <c r="BV50" s="695"/>
      <c r="BW50" s="823"/>
      <c r="BX50" s="377"/>
      <c r="BY50" s="705"/>
      <c r="BZ50" s="694"/>
      <c r="CA50" s="695"/>
      <c r="CB50" s="823"/>
      <c r="CC50" s="377"/>
      <c r="CD50" s="705"/>
      <c r="CE50" s="694"/>
      <c r="CF50" s="695"/>
      <c r="CG50" s="823"/>
      <c r="CH50" s="377"/>
      <c r="CI50" s="705"/>
      <c r="CJ50" s="694"/>
      <c r="CK50" s="695"/>
      <c r="CL50" s="823"/>
      <c r="CM50" s="377"/>
      <c r="CN50" s="705"/>
      <c r="CO50" s="694"/>
      <c r="CP50" s="695"/>
      <c r="CQ50" s="823"/>
      <c r="CR50" s="377"/>
      <c r="CS50" s="705"/>
      <c r="CT50" s="694"/>
      <c r="CU50" s="695"/>
      <c r="CV50" s="823"/>
      <c r="CW50" s="377"/>
      <c r="CX50" s="705"/>
      <c r="CY50" s="694"/>
      <c r="CZ50" s="695"/>
      <c r="DA50" s="823"/>
      <c r="DB50" s="377"/>
      <c r="DC50" s="705"/>
      <c r="DD50" s="694"/>
      <c r="DE50" s="695"/>
      <c r="DF50" s="823"/>
      <c r="DG50" s="377"/>
      <c r="DH50" s="705"/>
      <c r="DI50" s="694"/>
      <c r="DJ50" s="695"/>
      <c r="DK50" s="823"/>
      <c r="DL50" s="377"/>
      <c r="DM50" s="705"/>
      <c r="DN50" s="694"/>
      <c r="DO50" s="695"/>
      <c r="DP50" s="823"/>
      <c r="DQ50" s="377"/>
      <c r="DR50" s="705"/>
      <c r="DS50" s="694"/>
      <c r="DT50" s="695"/>
      <c r="DU50" s="823"/>
      <c r="DV50" s="824"/>
      <c r="DW50" s="825"/>
      <c r="DX50" s="822"/>
      <c r="DY50" s="823"/>
      <c r="DZ50" s="819"/>
      <c r="EA50" s="705"/>
      <c r="EB50" s="694"/>
      <c r="EC50" s="695"/>
      <c r="ED50" s="823"/>
      <c r="EE50" s="824"/>
      <c r="EF50" s="825"/>
      <c r="EG50" s="822"/>
      <c r="EH50" s="823"/>
      <c r="EI50" s="819"/>
      <c r="EJ50" s="705"/>
      <c r="EK50" s="694"/>
      <c r="EL50" s="695"/>
      <c r="EM50" s="823"/>
      <c r="EN50" s="824"/>
      <c r="EO50" s="825"/>
      <c r="EP50" s="822"/>
      <c r="EQ50" s="823"/>
      <c r="ER50" s="819"/>
      <c r="ES50" s="346"/>
    </row>
    <row r="51" spans="1:149" x14ac:dyDescent="0.25">
      <c r="A51" s="692">
        <f t="shared" si="0"/>
        <v>39</v>
      </c>
      <c r="B51" s="705"/>
      <c r="C51" s="694"/>
      <c r="D51" s="695"/>
      <c r="E51" s="823"/>
      <c r="F51" s="377"/>
      <c r="G51" s="705"/>
      <c r="H51" s="694"/>
      <c r="I51" s="695"/>
      <c r="J51" s="823"/>
      <c r="K51" s="377"/>
      <c r="L51" s="705"/>
      <c r="M51" s="694"/>
      <c r="N51" s="695"/>
      <c r="O51" s="823"/>
      <c r="P51" s="377"/>
      <c r="Q51" s="705"/>
      <c r="R51" s="694"/>
      <c r="S51" s="695"/>
      <c r="T51" s="823"/>
      <c r="U51" s="377"/>
      <c r="V51" s="705"/>
      <c r="W51" s="694"/>
      <c r="X51" s="695"/>
      <c r="Y51" s="823"/>
      <c r="Z51" s="377"/>
      <c r="AA51" s="705"/>
      <c r="AB51" s="694"/>
      <c r="AC51" s="695"/>
      <c r="AD51" s="823"/>
      <c r="AE51" s="377"/>
      <c r="AF51" s="705"/>
      <c r="AG51" s="694"/>
      <c r="AH51" s="695"/>
      <c r="AI51" s="823"/>
      <c r="AJ51" s="377"/>
      <c r="AK51" s="705"/>
      <c r="AL51" s="694"/>
      <c r="AM51" s="695"/>
      <c r="AN51" s="823"/>
      <c r="AO51" s="377"/>
      <c r="AP51" s="705"/>
      <c r="AQ51" s="694"/>
      <c r="AR51" s="695"/>
      <c r="AS51" s="823"/>
      <c r="AT51" s="377"/>
      <c r="AU51" s="705"/>
      <c r="AV51" s="694"/>
      <c r="AW51" s="695"/>
      <c r="AX51" s="823"/>
      <c r="AY51" s="377"/>
      <c r="AZ51" s="705"/>
      <c r="BA51" s="694"/>
      <c r="BB51" s="695"/>
      <c r="BC51" s="823"/>
      <c r="BD51" s="377"/>
      <c r="BE51" s="705"/>
      <c r="BF51" s="694"/>
      <c r="BG51" s="695"/>
      <c r="BH51" s="823"/>
      <c r="BI51" s="377"/>
      <c r="BJ51" s="705"/>
      <c r="BK51" s="694"/>
      <c r="BL51" s="695"/>
      <c r="BM51" s="823"/>
      <c r="BN51" s="377"/>
      <c r="BO51" s="705"/>
      <c r="BP51" s="694"/>
      <c r="BQ51" s="695"/>
      <c r="BR51" s="823"/>
      <c r="BS51" s="377"/>
      <c r="BT51" s="705"/>
      <c r="BU51" s="694"/>
      <c r="BV51" s="695"/>
      <c r="BW51" s="823"/>
      <c r="BX51" s="377"/>
      <c r="BY51" s="705"/>
      <c r="BZ51" s="694"/>
      <c r="CA51" s="695"/>
      <c r="CB51" s="823"/>
      <c r="CC51" s="377"/>
      <c r="CD51" s="705"/>
      <c r="CE51" s="694"/>
      <c r="CF51" s="695"/>
      <c r="CG51" s="823"/>
      <c r="CH51" s="377"/>
      <c r="CI51" s="705"/>
      <c r="CJ51" s="694"/>
      <c r="CK51" s="695"/>
      <c r="CL51" s="823"/>
      <c r="CM51" s="377"/>
      <c r="CN51" s="705"/>
      <c r="CO51" s="694"/>
      <c r="CP51" s="695"/>
      <c r="CQ51" s="823"/>
      <c r="CR51" s="377"/>
      <c r="CS51" s="705"/>
      <c r="CT51" s="694"/>
      <c r="CU51" s="695"/>
      <c r="CV51" s="823"/>
      <c r="CW51" s="377"/>
      <c r="CX51" s="705"/>
      <c r="CY51" s="694"/>
      <c r="CZ51" s="695"/>
      <c r="DA51" s="823"/>
      <c r="DB51" s="377"/>
      <c r="DC51" s="705"/>
      <c r="DD51" s="694"/>
      <c r="DE51" s="695"/>
      <c r="DF51" s="823"/>
      <c r="DG51" s="377"/>
      <c r="DH51" s="705"/>
      <c r="DI51" s="694"/>
      <c r="DJ51" s="695"/>
      <c r="DK51" s="823"/>
      <c r="DL51" s="377"/>
      <c r="DM51" s="705"/>
      <c r="DN51" s="694"/>
      <c r="DO51" s="695"/>
      <c r="DP51" s="823"/>
      <c r="DQ51" s="377"/>
      <c r="DR51" s="705"/>
      <c r="DS51" s="694"/>
      <c r="DT51" s="695"/>
      <c r="DU51" s="823"/>
      <c r="DV51" s="824"/>
      <c r="DW51" s="825"/>
      <c r="DX51" s="822"/>
      <c r="DY51" s="823"/>
      <c r="DZ51" s="819"/>
      <c r="EA51" s="705"/>
      <c r="EB51" s="694"/>
      <c r="EC51" s="695"/>
      <c r="ED51" s="823"/>
      <c r="EE51" s="824"/>
      <c r="EF51" s="825"/>
      <c r="EG51" s="822"/>
      <c r="EH51" s="823"/>
      <c r="EI51" s="819"/>
      <c r="EJ51" s="705"/>
      <c r="EK51" s="694"/>
      <c r="EL51" s="695"/>
      <c r="EM51" s="823"/>
      <c r="EN51" s="824"/>
      <c r="EO51" s="825"/>
      <c r="EP51" s="822"/>
      <c r="EQ51" s="823"/>
      <c r="ER51" s="819"/>
      <c r="ES51" s="346"/>
    </row>
    <row r="52" spans="1:149" x14ac:dyDescent="0.25">
      <c r="A52" s="692">
        <f t="shared" si="0"/>
        <v>40</v>
      </c>
      <c r="B52" s="705"/>
      <c r="C52" s="694"/>
      <c r="D52" s="695"/>
      <c r="E52" s="823"/>
      <c r="F52" s="377"/>
      <c r="G52" s="705"/>
      <c r="H52" s="694"/>
      <c r="I52" s="695"/>
      <c r="J52" s="823"/>
      <c r="K52" s="377"/>
      <c r="L52" s="705"/>
      <c r="M52" s="694"/>
      <c r="N52" s="695"/>
      <c r="O52" s="823"/>
      <c r="P52" s="377"/>
      <c r="Q52" s="705"/>
      <c r="R52" s="694"/>
      <c r="S52" s="695"/>
      <c r="T52" s="823"/>
      <c r="U52" s="377"/>
      <c r="V52" s="705"/>
      <c r="W52" s="694"/>
      <c r="X52" s="695"/>
      <c r="Y52" s="823"/>
      <c r="Z52" s="377"/>
      <c r="AA52" s="705"/>
      <c r="AB52" s="694"/>
      <c r="AC52" s="695"/>
      <c r="AD52" s="823"/>
      <c r="AE52" s="377"/>
      <c r="AF52" s="705"/>
      <c r="AG52" s="694"/>
      <c r="AH52" s="695"/>
      <c r="AI52" s="823"/>
      <c r="AJ52" s="377"/>
      <c r="AK52" s="705"/>
      <c r="AL52" s="694"/>
      <c r="AM52" s="695"/>
      <c r="AN52" s="823"/>
      <c r="AO52" s="377"/>
      <c r="AP52" s="705"/>
      <c r="AQ52" s="694"/>
      <c r="AR52" s="695"/>
      <c r="AS52" s="823"/>
      <c r="AT52" s="377"/>
      <c r="AU52" s="705"/>
      <c r="AV52" s="694"/>
      <c r="AW52" s="695"/>
      <c r="AX52" s="823"/>
      <c r="AY52" s="377"/>
      <c r="AZ52" s="705"/>
      <c r="BA52" s="694"/>
      <c r="BB52" s="695"/>
      <c r="BC52" s="823"/>
      <c r="BD52" s="377"/>
      <c r="BE52" s="705"/>
      <c r="BF52" s="694"/>
      <c r="BG52" s="695"/>
      <c r="BH52" s="823"/>
      <c r="BI52" s="377"/>
      <c r="BJ52" s="705"/>
      <c r="BK52" s="694"/>
      <c r="BL52" s="695"/>
      <c r="BM52" s="823"/>
      <c r="BN52" s="377"/>
      <c r="BO52" s="705"/>
      <c r="BP52" s="694"/>
      <c r="BQ52" s="695"/>
      <c r="BR52" s="823"/>
      <c r="BS52" s="377"/>
      <c r="BT52" s="705"/>
      <c r="BU52" s="694"/>
      <c r="BV52" s="695"/>
      <c r="BW52" s="823"/>
      <c r="BX52" s="377"/>
      <c r="BY52" s="705"/>
      <c r="BZ52" s="694"/>
      <c r="CA52" s="695"/>
      <c r="CB52" s="823"/>
      <c r="CC52" s="377"/>
      <c r="CD52" s="705"/>
      <c r="CE52" s="694"/>
      <c r="CF52" s="695"/>
      <c r="CG52" s="823"/>
      <c r="CH52" s="377"/>
      <c r="CI52" s="705"/>
      <c r="CJ52" s="694"/>
      <c r="CK52" s="695"/>
      <c r="CL52" s="823"/>
      <c r="CM52" s="377"/>
      <c r="CN52" s="705"/>
      <c r="CO52" s="694"/>
      <c r="CP52" s="695"/>
      <c r="CQ52" s="823"/>
      <c r="CR52" s="377"/>
      <c r="CS52" s="705"/>
      <c r="CT52" s="694"/>
      <c r="CU52" s="695"/>
      <c r="CV52" s="823"/>
      <c r="CW52" s="377"/>
      <c r="CX52" s="705"/>
      <c r="CY52" s="694"/>
      <c r="CZ52" s="695"/>
      <c r="DA52" s="823"/>
      <c r="DB52" s="377"/>
      <c r="DC52" s="705"/>
      <c r="DD52" s="694"/>
      <c r="DE52" s="695"/>
      <c r="DF52" s="823"/>
      <c r="DG52" s="377"/>
      <c r="DH52" s="705"/>
      <c r="DI52" s="694"/>
      <c r="DJ52" s="695"/>
      <c r="DK52" s="823"/>
      <c r="DL52" s="377"/>
      <c r="DM52" s="705"/>
      <c r="DN52" s="694"/>
      <c r="DO52" s="695"/>
      <c r="DP52" s="823"/>
      <c r="DQ52" s="377"/>
      <c r="DR52" s="705"/>
      <c r="DS52" s="694"/>
      <c r="DT52" s="695"/>
      <c r="DU52" s="823"/>
      <c r="DV52" s="824"/>
      <c r="DW52" s="816"/>
      <c r="DX52" s="822"/>
      <c r="DY52" s="823"/>
      <c r="DZ52" s="819"/>
      <c r="EA52" s="705"/>
      <c r="EB52" s="694"/>
      <c r="EC52" s="695"/>
      <c r="ED52" s="823"/>
      <c r="EE52" s="824"/>
      <c r="EF52" s="816"/>
      <c r="EG52" s="822"/>
      <c r="EH52" s="823"/>
      <c r="EI52" s="819"/>
      <c r="EJ52" s="705"/>
      <c r="EK52" s="694"/>
      <c r="EL52" s="695"/>
      <c r="EM52" s="823"/>
      <c r="EN52" s="824"/>
      <c r="EO52" s="816"/>
      <c r="EP52" s="822"/>
      <c r="EQ52" s="823"/>
      <c r="ER52" s="819"/>
      <c r="ES52" s="346"/>
    </row>
    <row r="53" spans="1:149" x14ac:dyDescent="0.25">
      <c r="A53" s="692">
        <f t="shared" si="0"/>
        <v>41</v>
      </c>
      <c r="B53" s="705"/>
      <c r="C53" s="694"/>
      <c r="D53" s="695"/>
      <c r="E53" s="823"/>
      <c r="F53" s="377"/>
      <c r="G53" s="705"/>
      <c r="H53" s="694"/>
      <c r="I53" s="695"/>
      <c r="J53" s="823"/>
      <c r="K53" s="377"/>
      <c r="L53" s="705"/>
      <c r="M53" s="694"/>
      <c r="N53" s="695"/>
      <c r="O53" s="823"/>
      <c r="P53" s="377"/>
      <c r="Q53" s="705"/>
      <c r="R53" s="694"/>
      <c r="S53" s="695"/>
      <c r="T53" s="823"/>
      <c r="U53" s="377"/>
      <c r="V53" s="705"/>
      <c r="W53" s="694"/>
      <c r="X53" s="695"/>
      <c r="Y53" s="823"/>
      <c r="Z53" s="377"/>
      <c r="AA53" s="705"/>
      <c r="AB53" s="694"/>
      <c r="AC53" s="695"/>
      <c r="AD53" s="823"/>
      <c r="AE53" s="377"/>
      <c r="AF53" s="705"/>
      <c r="AG53" s="694"/>
      <c r="AH53" s="695"/>
      <c r="AI53" s="823"/>
      <c r="AJ53" s="377"/>
      <c r="AK53" s="705"/>
      <c r="AL53" s="694"/>
      <c r="AM53" s="695"/>
      <c r="AN53" s="823"/>
      <c r="AO53" s="377"/>
      <c r="AP53" s="705"/>
      <c r="AQ53" s="694"/>
      <c r="AR53" s="695"/>
      <c r="AS53" s="823"/>
      <c r="AT53" s="377"/>
      <c r="AU53" s="705"/>
      <c r="AV53" s="694"/>
      <c r="AW53" s="695"/>
      <c r="AX53" s="823"/>
      <c r="AY53" s="377"/>
      <c r="AZ53" s="705"/>
      <c r="BA53" s="694"/>
      <c r="BB53" s="695"/>
      <c r="BC53" s="823"/>
      <c r="BD53" s="377"/>
      <c r="BE53" s="705"/>
      <c r="BF53" s="694"/>
      <c r="BG53" s="695"/>
      <c r="BH53" s="823"/>
      <c r="BI53" s="377"/>
      <c r="BJ53" s="705"/>
      <c r="BK53" s="694"/>
      <c r="BL53" s="695"/>
      <c r="BM53" s="823"/>
      <c r="BN53" s="377"/>
      <c r="BO53" s="705"/>
      <c r="BP53" s="694"/>
      <c r="BQ53" s="695"/>
      <c r="BR53" s="823"/>
      <c r="BS53" s="377"/>
      <c r="BT53" s="705"/>
      <c r="BU53" s="694"/>
      <c r="BV53" s="695"/>
      <c r="BW53" s="823"/>
      <c r="BX53" s="377"/>
      <c r="BY53" s="705"/>
      <c r="BZ53" s="694"/>
      <c r="CA53" s="695"/>
      <c r="CB53" s="823"/>
      <c r="CC53" s="377"/>
      <c r="CD53" s="705"/>
      <c r="CE53" s="694"/>
      <c r="CF53" s="695"/>
      <c r="CG53" s="823"/>
      <c r="CH53" s="377"/>
      <c r="CI53" s="705"/>
      <c r="CJ53" s="694"/>
      <c r="CK53" s="695"/>
      <c r="CL53" s="823"/>
      <c r="CM53" s="377"/>
      <c r="CN53" s="705"/>
      <c r="CO53" s="694"/>
      <c r="CP53" s="695"/>
      <c r="CQ53" s="823"/>
      <c r="CR53" s="377"/>
      <c r="CS53" s="705"/>
      <c r="CT53" s="694"/>
      <c r="CU53" s="695"/>
      <c r="CV53" s="823"/>
      <c r="CW53" s="377"/>
      <c r="CX53" s="705"/>
      <c r="CY53" s="694"/>
      <c r="CZ53" s="695"/>
      <c r="DA53" s="823"/>
      <c r="DB53" s="377"/>
      <c r="DC53" s="705"/>
      <c r="DD53" s="694"/>
      <c r="DE53" s="695"/>
      <c r="DF53" s="823"/>
      <c r="DG53" s="377"/>
      <c r="DH53" s="705"/>
      <c r="DI53" s="694"/>
      <c r="DJ53" s="695"/>
      <c r="DK53" s="823"/>
      <c r="DL53" s="377"/>
      <c r="DM53" s="705"/>
      <c r="DN53" s="694"/>
      <c r="DO53" s="695"/>
      <c r="DP53" s="823"/>
      <c r="DQ53" s="377"/>
      <c r="DR53" s="705"/>
      <c r="DS53" s="694"/>
      <c r="DT53" s="695"/>
      <c r="DU53" s="823"/>
      <c r="DV53" s="824"/>
      <c r="DW53" s="825"/>
      <c r="DX53" s="822"/>
      <c r="DY53" s="823"/>
      <c r="DZ53" s="819"/>
      <c r="EA53" s="705"/>
      <c r="EB53" s="694"/>
      <c r="EC53" s="695"/>
      <c r="ED53" s="823"/>
      <c r="EE53" s="824"/>
      <c r="EF53" s="825"/>
      <c r="EG53" s="822"/>
      <c r="EH53" s="823"/>
      <c r="EI53" s="819"/>
      <c r="EJ53" s="705"/>
      <c r="EK53" s="694"/>
      <c r="EL53" s="695"/>
      <c r="EM53" s="823"/>
      <c r="EN53" s="824"/>
      <c r="EO53" s="825"/>
      <c r="EP53" s="822"/>
      <c r="EQ53" s="823"/>
      <c r="ER53" s="819"/>
      <c r="ES53" s="346"/>
    </row>
    <row r="54" spans="1:149" x14ac:dyDescent="0.25">
      <c r="A54" s="692">
        <f t="shared" si="0"/>
        <v>42</v>
      </c>
      <c r="B54" s="705"/>
      <c r="C54" s="694"/>
      <c r="D54" s="695"/>
      <c r="E54" s="823"/>
      <c r="F54" s="377"/>
      <c r="G54" s="705"/>
      <c r="H54" s="694"/>
      <c r="I54" s="695"/>
      <c r="J54" s="823"/>
      <c r="K54" s="377"/>
      <c r="L54" s="705"/>
      <c r="M54" s="694"/>
      <c r="N54" s="695"/>
      <c r="O54" s="823"/>
      <c r="P54" s="377"/>
      <c r="Q54" s="705"/>
      <c r="R54" s="694"/>
      <c r="S54" s="695"/>
      <c r="T54" s="823"/>
      <c r="U54" s="377"/>
      <c r="V54" s="705"/>
      <c r="W54" s="694"/>
      <c r="X54" s="695"/>
      <c r="Y54" s="823"/>
      <c r="Z54" s="377"/>
      <c r="AA54" s="705"/>
      <c r="AB54" s="694"/>
      <c r="AC54" s="695"/>
      <c r="AD54" s="823"/>
      <c r="AE54" s="377"/>
      <c r="AF54" s="705"/>
      <c r="AG54" s="694"/>
      <c r="AH54" s="695"/>
      <c r="AI54" s="823"/>
      <c r="AJ54" s="377"/>
      <c r="AK54" s="705"/>
      <c r="AL54" s="694"/>
      <c r="AM54" s="695"/>
      <c r="AN54" s="823"/>
      <c r="AO54" s="377"/>
      <c r="AP54" s="705"/>
      <c r="AQ54" s="694"/>
      <c r="AR54" s="695"/>
      <c r="AS54" s="823"/>
      <c r="AT54" s="377"/>
      <c r="AU54" s="705"/>
      <c r="AV54" s="694"/>
      <c r="AW54" s="695"/>
      <c r="AX54" s="823"/>
      <c r="AY54" s="377"/>
      <c r="AZ54" s="705"/>
      <c r="BA54" s="694"/>
      <c r="BB54" s="695"/>
      <c r="BC54" s="823"/>
      <c r="BD54" s="377"/>
      <c r="BE54" s="705"/>
      <c r="BF54" s="694"/>
      <c r="BG54" s="695"/>
      <c r="BH54" s="823"/>
      <c r="BI54" s="377"/>
      <c r="BJ54" s="705"/>
      <c r="BK54" s="694"/>
      <c r="BL54" s="695"/>
      <c r="BM54" s="823"/>
      <c r="BN54" s="377"/>
      <c r="BO54" s="705"/>
      <c r="BP54" s="694"/>
      <c r="BQ54" s="695"/>
      <c r="BR54" s="823"/>
      <c r="BS54" s="377"/>
      <c r="BT54" s="705"/>
      <c r="BU54" s="694"/>
      <c r="BV54" s="695"/>
      <c r="BW54" s="823"/>
      <c r="BX54" s="377"/>
      <c r="BY54" s="705"/>
      <c r="BZ54" s="694"/>
      <c r="CA54" s="695"/>
      <c r="CB54" s="823"/>
      <c r="CC54" s="377"/>
      <c r="CD54" s="705"/>
      <c r="CE54" s="694"/>
      <c r="CF54" s="695"/>
      <c r="CG54" s="823"/>
      <c r="CH54" s="377"/>
      <c r="CI54" s="705"/>
      <c r="CJ54" s="694"/>
      <c r="CK54" s="695"/>
      <c r="CL54" s="823"/>
      <c r="CM54" s="377"/>
      <c r="CN54" s="705"/>
      <c r="CO54" s="694"/>
      <c r="CP54" s="695"/>
      <c r="CQ54" s="823"/>
      <c r="CR54" s="377"/>
      <c r="CS54" s="705"/>
      <c r="CT54" s="694"/>
      <c r="CU54" s="695"/>
      <c r="CV54" s="823"/>
      <c r="CW54" s="377"/>
      <c r="CX54" s="705"/>
      <c r="CY54" s="694"/>
      <c r="CZ54" s="695"/>
      <c r="DA54" s="823"/>
      <c r="DB54" s="377"/>
      <c r="DC54" s="705"/>
      <c r="DD54" s="694"/>
      <c r="DE54" s="695"/>
      <c r="DF54" s="823"/>
      <c r="DG54" s="377"/>
      <c r="DH54" s="705"/>
      <c r="DI54" s="694"/>
      <c r="DJ54" s="695"/>
      <c r="DK54" s="823"/>
      <c r="DL54" s="377"/>
      <c r="DM54" s="705"/>
      <c r="DN54" s="694"/>
      <c r="DO54" s="695"/>
      <c r="DP54" s="823"/>
      <c r="DQ54" s="377"/>
      <c r="DR54" s="705"/>
      <c r="DS54" s="694"/>
      <c r="DT54" s="695"/>
      <c r="DU54" s="823"/>
      <c r="DV54" s="824"/>
      <c r="DW54" s="825"/>
      <c r="DX54" s="822"/>
      <c r="DY54" s="823"/>
      <c r="DZ54" s="819"/>
      <c r="EA54" s="705"/>
      <c r="EB54" s="694"/>
      <c r="EC54" s="695"/>
      <c r="ED54" s="823"/>
      <c r="EE54" s="824"/>
      <c r="EF54" s="825"/>
      <c r="EG54" s="822"/>
      <c r="EH54" s="823"/>
      <c r="EI54" s="819"/>
      <c r="EJ54" s="705"/>
      <c r="EK54" s="694"/>
      <c r="EL54" s="695"/>
      <c r="EM54" s="823"/>
      <c r="EN54" s="824"/>
      <c r="EO54" s="825"/>
      <c r="EP54" s="822"/>
      <c r="EQ54" s="823"/>
      <c r="ER54" s="819"/>
      <c r="ES54" s="346"/>
    </row>
    <row r="55" spans="1:149" x14ac:dyDescent="0.25">
      <c r="A55" s="692">
        <f t="shared" si="0"/>
        <v>43</v>
      </c>
      <c r="B55" s="705"/>
      <c r="C55" s="694"/>
      <c r="D55" s="695"/>
      <c r="E55" s="823"/>
      <c r="F55" s="377"/>
      <c r="G55" s="705"/>
      <c r="H55" s="694"/>
      <c r="I55" s="695"/>
      <c r="J55" s="823"/>
      <c r="K55" s="377"/>
      <c r="L55" s="705"/>
      <c r="M55" s="694"/>
      <c r="N55" s="695"/>
      <c r="O55" s="823"/>
      <c r="P55" s="377"/>
      <c r="Q55" s="705"/>
      <c r="R55" s="694"/>
      <c r="S55" s="695"/>
      <c r="T55" s="823"/>
      <c r="U55" s="377"/>
      <c r="V55" s="705"/>
      <c r="W55" s="694"/>
      <c r="X55" s="695"/>
      <c r="Y55" s="823"/>
      <c r="Z55" s="377"/>
      <c r="AA55" s="705"/>
      <c r="AB55" s="694"/>
      <c r="AC55" s="695"/>
      <c r="AD55" s="823"/>
      <c r="AE55" s="377"/>
      <c r="AF55" s="705"/>
      <c r="AG55" s="694"/>
      <c r="AH55" s="695"/>
      <c r="AI55" s="823"/>
      <c r="AJ55" s="377"/>
      <c r="AK55" s="705"/>
      <c r="AL55" s="694"/>
      <c r="AM55" s="695"/>
      <c r="AN55" s="823"/>
      <c r="AO55" s="377"/>
      <c r="AP55" s="705"/>
      <c r="AQ55" s="694"/>
      <c r="AR55" s="695"/>
      <c r="AS55" s="823"/>
      <c r="AT55" s="377"/>
      <c r="AU55" s="705"/>
      <c r="AV55" s="694"/>
      <c r="AW55" s="695"/>
      <c r="AX55" s="823"/>
      <c r="AY55" s="377"/>
      <c r="AZ55" s="705"/>
      <c r="BA55" s="694"/>
      <c r="BB55" s="695"/>
      <c r="BC55" s="823"/>
      <c r="BD55" s="377"/>
      <c r="BE55" s="705"/>
      <c r="BF55" s="694"/>
      <c r="BG55" s="695"/>
      <c r="BH55" s="823"/>
      <c r="BI55" s="377"/>
      <c r="BJ55" s="705"/>
      <c r="BK55" s="694"/>
      <c r="BL55" s="695"/>
      <c r="BM55" s="823"/>
      <c r="BN55" s="377"/>
      <c r="BO55" s="705"/>
      <c r="BP55" s="694"/>
      <c r="BQ55" s="695"/>
      <c r="BR55" s="823"/>
      <c r="BS55" s="377"/>
      <c r="BT55" s="705"/>
      <c r="BU55" s="694"/>
      <c r="BV55" s="695"/>
      <c r="BW55" s="823"/>
      <c r="BX55" s="377"/>
      <c r="BY55" s="705"/>
      <c r="BZ55" s="694"/>
      <c r="CA55" s="695"/>
      <c r="CB55" s="823"/>
      <c r="CC55" s="377"/>
      <c r="CD55" s="705"/>
      <c r="CE55" s="694"/>
      <c r="CF55" s="695"/>
      <c r="CG55" s="823"/>
      <c r="CH55" s="377"/>
      <c r="CI55" s="705"/>
      <c r="CJ55" s="694"/>
      <c r="CK55" s="695"/>
      <c r="CL55" s="823"/>
      <c r="CM55" s="377"/>
      <c r="CN55" s="705"/>
      <c r="CO55" s="694"/>
      <c r="CP55" s="695"/>
      <c r="CQ55" s="823"/>
      <c r="CR55" s="377"/>
      <c r="CS55" s="705"/>
      <c r="CT55" s="694"/>
      <c r="CU55" s="695"/>
      <c r="CV55" s="823"/>
      <c r="CW55" s="377"/>
      <c r="CX55" s="705"/>
      <c r="CY55" s="694"/>
      <c r="CZ55" s="695"/>
      <c r="DA55" s="823"/>
      <c r="DB55" s="377"/>
      <c r="DC55" s="705"/>
      <c r="DD55" s="694"/>
      <c r="DE55" s="695"/>
      <c r="DF55" s="823"/>
      <c r="DG55" s="377"/>
      <c r="DH55" s="705"/>
      <c r="DI55" s="694"/>
      <c r="DJ55" s="695"/>
      <c r="DK55" s="823"/>
      <c r="DL55" s="377"/>
      <c r="DM55" s="705"/>
      <c r="DN55" s="694"/>
      <c r="DO55" s="695"/>
      <c r="DP55" s="823"/>
      <c r="DQ55" s="377"/>
      <c r="DR55" s="705"/>
      <c r="DS55" s="694"/>
      <c r="DT55" s="695"/>
      <c r="DU55" s="823"/>
      <c r="DV55" s="824"/>
      <c r="DW55" s="816"/>
      <c r="DX55" s="822"/>
      <c r="DY55" s="823"/>
      <c r="DZ55" s="819"/>
      <c r="EA55" s="705"/>
      <c r="EB55" s="694"/>
      <c r="EC55" s="695"/>
      <c r="ED55" s="823"/>
      <c r="EE55" s="824"/>
      <c r="EF55" s="816"/>
      <c r="EG55" s="822"/>
      <c r="EH55" s="823"/>
      <c r="EI55" s="819"/>
      <c r="EJ55" s="705"/>
      <c r="EK55" s="694"/>
      <c r="EL55" s="695"/>
      <c r="EM55" s="823"/>
      <c r="EN55" s="824"/>
      <c r="EO55" s="816"/>
      <c r="EP55" s="822"/>
      <c r="EQ55" s="823"/>
      <c r="ER55" s="819"/>
      <c r="ES55" s="346"/>
    </row>
    <row r="56" spans="1:149" x14ac:dyDescent="0.25">
      <c r="A56" s="692">
        <f t="shared" si="0"/>
        <v>44</v>
      </c>
      <c r="B56" s="705"/>
      <c r="C56" s="694"/>
      <c r="D56" s="695"/>
      <c r="E56" s="823"/>
      <c r="F56" s="377"/>
      <c r="G56" s="705"/>
      <c r="H56" s="694"/>
      <c r="I56" s="695"/>
      <c r="J56" s="823"/>
      <c r="K56" s="377"/>
      <c r="L56" s="705"/>
      <c r="M56" s="694"/>
      <c r="N56" s="695"/>
      <c r="O56" s="823"/>
      <c r="P56" s="377"/>
      <c r="Q56" s="705"/>
      <c r="R56" s="694"/>
      <c r="S56" s="695"/>
      <c r="T56" s="823"/>
      <c r="U56" s="377"/>
      <c r="V56" s="705"/>
      <c r="W56" s="694"/>
      <c r="X56" s="695"/>
      <c r="Y56" s="823"/>
      <c r="Z56" s="377"/>
      <c r="AA56" s="705"/>
      <c r="AB56" s="694"/>
      <c r="AC56" s="695"/>
      <c r="AD56" s="823"/>
      <c r="AE56" s="377"/>
      <c r="AF56" s="705"/>
      <c r="AG56" s="694"/>
      <c r="AH56" s="695"/>
      <c r="AI56" s="823"/>
      <c r="AJ56" s="377"/>
      <c r="AK56" s="705"/>
      <c r="AL56" s="694"/>
      <c r="AM56" s="695"/>
      <c r="AN56" s="823"/>
      <c r="AO56" s="377"/>
      <c r="AP56" s="705"/>
      <c r="AQ56" s="694"/>
      <c r="AR56" s="695"/>
      <c r="AS56" s="823"/>
      <c r="AT56" s="377"/>
      <c r="AU56" s="705"/>
      <c r="AV56" s="694"/>
      <c r="AW56" s="695"/>
      <c r="AX56" s="823"/>
      <c r="AY56" s="377"/>
      <c r="AZ56" s="705"/>
      <c r="BA56" s="694"/>
      <c r="BB56" s="695"/>
      <c r="BC56" s="823"/>
      <c r="BD56" s="377"/>
      <c r="BE56" s="705"/>
      <c r="BF56" s="694"/>
      <c r="BG56" s="695"/>
      <c r="BH56" s="823"/>
      <c r="BI56" s="377"/>
      <c r="BJ56" s="705"/>
      <c r="BK56" s="694"/>
      <c r="BL56" s="695"/>
      <c r="BM56" s="823"/>
      <c r="BN56" s="377"/>
      <c r="BO56" s="705"/>
      <c r="BP56" s="694"/>
      <c r="BQ56" s="695"/>
      <c r="BR56" s="823"/>
      <c r="BS56" s="377"/>
      <c r="BT56" s="705"/>
      <c r="BU56" s="694"/>
      <c r="BV56" s="695"/>
      <c r="BW56" s="823"/>
      <c r="BX56" s="377"/>
      <c r="BY56" s="705"/>
      <c r="BZ56" s="694"/>
      <c r="CA56" s="695"/>
      <c r="CB56" s="823"/>
      <c r="CC56" s="377"/>
      <c r="CD56" s="705"/>
      <c r="CE56" s="694"/>
      <c r="CF56" s="695"/>
      <c r="CG56" s="823"/>
      <c r="CH56" s="377"/>
      <c r="CI56" s="705"/>
      <c r="CJ56" s="694"/>
      <c r="CK56" s="695"/>
      <c r="CL56" s="823"/>
      <c r="CM56" s="377"/>
      <c r="CN56" s="705"/>
      <c r="CO56" s="694"/>
      <c r="CP56" s="695"/>
      <c r="CQ56" s="823"/>
      <c r="CR56" s="377"/>
      <c r="CS56" s="705"/>
      <c r="CT56" s="694"/>
      <c r="CU56" s="695"/>
      <c r="CV56" s="823"/>
      <c r="CW56" s="377"/>
      <c r="CX56" s="705"/>
      <c r="CY56" s="694"/>
      <c r="CZ56" s="695"/>
      <c r="DA56" s="823"/>
      <c r="DB56" s="377"/>
      <c r="DC56" s="705"/>
      <c r="DD56" s="694"/>
      <c r="DE56" s="695"/>
      <c r="DF56" s="823"/>
      <c r="DG56" s="377"/>
      <c r="DH56" s="705"/>
      <c r="DI56" s="694"/>
      <c r="DJ56" s="695"/>
      <c r="DK56" s="823"/>
      <c r="DL56" s="377"/>
      <c r="DM56" s="705"/>
      <c r="DN56" s="694"/>
      <c r="DO56" s="695"/>
      <c r="DP56" s="823"/>
      <c r="DQ56" s="377"/>
      <c r="DR56" s="705"/>
      <c r="DS56" s="694"/>
      <c r="DT56" s="695"/>
      <c r="DU56" s="823"/>
      <c r="DV56" s="824"/>
      <c r="DW56" s="825"/>
      <c r="DX56" s="822"/>
      <c r="DY56" s="823"/>
      <c r="DZ56" s="819"/>
      <c r="EA56" s="705"/>
      <c r="EB56" s="694"/>
      <c r="EC56" s="695"/>
      <c r="ED56" s="823"/>
      <c r="EE56" s="824"/>
      <c r="EF56" s="825"/>
      <c r="EG56" s="822"/>
      <c r="EH56" s="823"/>
      <c r="EI56" s="819"/>
      <c r="EJ56" s="705"/>
      <c r="EK56" s="694"/>
      <c r="EL56" s="695"/>
      <c r="EM56" s="823"/>
      <c r="EN56" s="824"/>
      <c r="EO56" s="825"/>
      <c r="EP56" s="822"/>
      <c r="EQ56" s="823"/>
      <c r="ER56" s="819"/>
      <c r="ES56" s="346"/>
    </row>
    <row r="57" spans="1:149" x14ac:dyDescent="0.25">
      <c r="A57" s="692">
        <f t="shared" si="0"/>
        <v>45</v>
      </c>
      <c r="B57" s="705"/>
      <c r="C57" s="694"/>
      <c r="D57" s="695"/>
      <c r="E57" s="823"/>
      <c r="F57" s="377"/>
      <c r="G57" s="705"/>
      <c r="H57" s="694"/>
      <c r="I57" s="695"/>
      <c r="J57" s="823"/>
      <c r="K57" s="377"/>
      <c r="L57" s="705"/>
      <c r="M57" s="694"/>
      <c r="N57" s="695"/>
      <c r="O57" s="823"/>
      <c r="P57" s="377"/>
      <c r="Q57" s="705"/>
      <c r="R57" s="694"/>
      <c r="S57" s="695"/>
      <c r="T57" s="823"/>
      <c r="U57" s="377"/>
      <c r="V57" s="705"/>
      <c r="W57" s="694"/>
      <c r="X57" s="695"/>
      <c r="Y57" s="823"/>
      <c r="Z57" s="377"/>
      <c r="AA57" s="705"/>
      <c r="AB57" s="694"/>
      <c r="AC57" s="695"/>
      <c r="AD57" s="823"/>
      <c r="AE57" s="377"/>
      <c r="AF57" s="705"/>
      <c r="AG57" s="694"/>
      <c r="AH57" s="695"/>
      <c r="AI57" s="823"/>
      <c r="AJ57" s="377"/>
      <c r="AK57" s="705"/>
      <c r="AL57" s="694"/>
      <c r="AM57" s="695"/>
      <c r="AN57" s="823"/>
      <c r="AO57" s="377"/>
      <c r="AP57" s="705"/>
      <c r="AQ57" s="694"/>
      <c r="AR57" s="695"/>
      <c r="AS57" s="823"/>
      <c r="AT57" s="377"/>
      <c r="AU57" s="705"/>
      <c r="AV57" s="694"/>
      <c r="AW57" s="695"/>
      <c r="AX57" s="823"/>
      <c r="AY57" s="377"/>
      <c r="AZ57" s="705"/>
      <c r="BA57" s="694"/>
      <c r="BB57" s="695"/>
      <c r="BC57" s="823"/>
      <c r="BD57" s="377"/>
      <c r="BE57" s="705"/>
      <c r="BF57" s="694"/>
      <c r="BG57" s="695"/>
      <c r="BH57" s="823"/>
      <c r="BI57" s="377"/>
      <c r="BJ57" s="705"/>
      <c r="BK57" s="694"/>
      <c r="BL57" s="695"/>
      <c r="BM57" s="823"/>
      <c r="BN57" s="377"/>
      <c r="BO57" s="705"/>
      <c r="BP57" s="694"/>
      <c r="BQ57" s="695"/>
      <c r="BR57" s="823"/>
      <c r="BS57" s="377"/>
      <c r="BT57" s="705"/>
      <c r="BU57" s="694"/>
      <c r="BV57" s="695"/>
      <c r="BW57" s="823"/>
      <c r="BX57" s="377"/>
      <c r="BY57" s="705"/>
      <c r="BZ57" s="694"/>
      <c r="CA57" s="695"/>
      <c r="CB57" s="823"/>
      <c r="CC57" s="377"/>
      <c r="CD57" s="705"/>
      <c r="CE57" s="694"/>
      <c r="CF57" s="695"/>
      <c r="CG57" s="823"/>
      <c r="CH57" s="377"/>
      <c r="CI57" s="705"/>
      <c r="CJ57" s="694"/>
      <c r="CK57" s="695"/>
      <c r="CL57" s="823"/>
      <c r="CM57" s="377"/>
      <c r="CN57" s="705"/>
      <c r="CO57" s="694"/>
      <c r="CP57" s="695"/>
      <c r="CQ57" s="823"/>
      <c r="CR57" s="377"/>
      <c r="CS57" s="705"/>
      <c r="CT57" s="694"/>
      <c r="CU57" s="695"/>
      <c r="CV57" s="823"/>
      <c r="CW57" s="377"/>
      <c r="CX57" s="705"/>
      <c r="CY57" s="694"/>
      <c r="CZ57" s="695"/>
      <c r="DA57" s="823"/>
      <c r="DB57" s="377"/>
      <c r="DC57" s="705"/>
      <c r="DD57" s="694"/>
      <c r="DE57" s="695"/>
      <c r="DF57" s="823"/>
      <c r="DG57" s="377"/>
      <c r="DH57" s="705"/>
      <c r="DI57" s="694"/>
      <c r="DJ57" s="695"/>
      <c r="DK57" s="823"/>
      <c r="DL57" s="377"/>
      <c r="DM57" s="705"/>
      <c r="DN57" s="694"/>
      <c r="DO57" s="695"/>
      <c r="DP57" s="823"/>
      <c r="DQ57" s="377"/>
      <c r="DR57" s="705"/>
      <c r="DS57" s="694"/>
      <c r="DT57" s="695"/>
      <c r="DU57" s="823"/>
      <c r="DV57" s="824"/>
      <c r="DW57" s="825"/>
      <c r="DX57" s="822"/>
      <c r="DY57" s="823"/>
      <c r="DZ57" s="819"/>
      <c r="EA57" s="705"/>
      <c r="EB57" s="694"/>
      <c r="EC57" s="695"/>
      <c r="ED57" s="823"/>
      <c r="EE57" s="824"/>
      <c r="EF57" s="825"/>
      <c r="EG57" s="822"/>
      <c r="EH57" s="823"/>
      <c r="EI57" s="819"/>
      <c r="EJ57" s="705"/>
      <c r="EK57" s="694"/>
      <c r="EL57" s="695"/>
      <c r="EM57" s="823"/>
      <c r="EN57" s="824"/>
      <c r="EO57" s="825"/>
      <c r="EP57" s="822"/>
      <c r="EQ57" s="823"/>
      <c r="ER57" s="819"/>
      <c r="ES57" s="346"/>
    </row>
    <row r="58" spans="1:149" x14ac:dyDescent="0.25">
      <c r="A58" s="692">
        <f t="shared" si="0"/>
        <v>46</v>
      </c>
      <c r="B58" s="705"/>
      <c r="C58" s="694"/>
      <c r="D58" s="695"/>
      <c r="E58" s="823"/>
      <c r="F58" s="377"/>
      <c r="G58" s="705"/>
      <c r="H58" s="694"/>
      <c r="I58" s="695"/>
      <c r="J58" s="823"/>
      <c r="K58" s="377"/>
      <c r="L58" s="705"/>
      <c r="M58" s="694"/>
      <c r="N58" s="695"/>
      <c r="O58" s="823"/>
      <c r="P58" s="377"/>
      <c r="Q58" s="705"/>
      <c r="R58" s="694"/>
      <c r="S58" s="695"/>
      <c r="T58" s="823"/>
      <c r="U58" s="377"/>
      <c r="V58" s="705"/>
      <c r="W58" s="694"/>
      <c r="X58" s="695"/>
      <c r="Y58" s="823"/>
      <c r="Z58" s="377"/>
      <c r="AA58" s="705"/>
      <c r="AB58" s="694"/>
      <c r="AC58" s="695"/>
      <c r="AD58" s="823"/>
      <c r="AE58" s="377"/>
      <c r="AF58" s="705"/>
      <c r="AG58" s="694"/>
      <c r="AH58" s="695"/>
      <c r="AI58" s="823"/>
      <c r="AJ58" s="377"/>
      <c r="AK58" s="705"/>
      <c r="AL58" s="694"/>
      <c r="AM58" s="695"/>
      <c r="AN58" s="823"/>
      <c r="AO58" s="377"/>
      <c r="AP58" s="705"/>
      <c r="AQ58" s="694"/>
      <c r="AR58" s="695"/>
      <c r="AS58" s="823"/>
      <c r="AT58" s="377"/>
      <c r="AU58" s="705"/>
      <c r="AV58" s="694"/>
      <c r="AW58" s="695"/>
      <c r="AX58" s="823"/>
      <c r="AY58" s="377"/>
      <c r="AZ58" s="705"/>
      <c r="BA58" s="694"/>
      <c r="BB58" s="695"/>
      <c r="BC58" s="823"/>
      <c r="BD58" s="377"/>
      <c r="BE58" s="705"/>
      <c r="BF58" s="694"/>
      <c r="BG58" s="695"/>
      <c r="BH58" s="823"/>
      <c r="BI58" s="377"/>
      <c r="BJ58" s="705"/>
      <c r="BK58" s="694"/>
      <c r="BL58" s="695"/>
      <c r="BM58" s="823"/>
      <c r="BN58" s="377"/>
      <c r="BO58" s="705"/>
      <c r="BP58" s="694"/>
      <c r="BQ58" s="695"/>
      <c r="BR58" s="823"/>
      <c r="BS58" s="377"/>
      <c r="BT58" s="705"/>
      <c r="BU58" s="694"/>
      <c r="BV58" s="695"/>
      <c r="BW58" s="823"/>
      <c r="BX58" s="377"/>
      <c r="BY58" s="705"/>
      <c r="BZ58" s="694"/>
      <c r="CA58" s="695"/>
      <c r="CB58" s="823"/>
      <c r="CC58" s="377"/>
      <c r="CD58" s="705"/>
      <c r="CE58" s="694"/>
      <c r="CF58" s="695"/>
      <c r="CG58" s="823"/>
      <c r="CH58" s="377"/>
      <c r="CI58" s="705"/>
      <c r="CJ58" s="694"/>
      <c r="CK58" s="695"/>
      <c r="CL58" s="823"/>
      <c r="CM58" s="377"/>
      <c r="CN58" s="705"/>
      <c r="CO58" s="694"/>
      <c r="CP58" s="695"/>
      <c r="CQ58" s="823"/>
      <c r="CR58" s="377"/>
      <c r="CS58" s="705"/>
      <c r="CT58" s="694"/>
      <c r="CU58" s="695"/>
      <c r="CV58" s="823"/>
      <c r="CW58" s="377"/>
      <c r="CX58" s="705"/>
      <c r="CY58" s="694"/>
      <c r="CZ58" s="695"/>
      <c r="DA58" s="823"/>
      <c r="DB58" s="377"/>
      <c r="DC58" s="705"/>
      <c r="DD58" s="694"/>
      <c r="DE58" s="695"/>
      <c r="DF58" s="823"/>
      <c r="DG58" s="377"/>
      <c r="DH58" s="705"/>
      <c r="DI58" s="694"/>
      <c r="DJ58" s="695"/>
      <c r="DK58" s="823"/>
      <c r="DL58" s="377"/>
      <c r="DM58" s="705"/>
      <c r="DN58" s="694"/>
      <c r="DO58" s="695"/>
      <c r="DP58" s="823"/>
      <c r="DQ58" s="377"/>
      <c r="DR58" s="705"/>
      <c r="DS58" s="694"/>
      <c r="DT58" s="695"/>
      <c r="DU58" s="823"/>
      <c r="DV58" s="824"/>
      <c r="DW58" s="816"/>
      <c r="DX58" s="822"/>
      <c r="DY58" s="823"/>
      <c r="DZ58" s="819"/>
      <c r="EA58" s="705"/>
      <c r="EB58" s="694"/>
      <c r="EC58" s="695"/>
      <c r="ED58" s="823"/>
      <c r="EE58" s="824"/>
      <c r="EF58" s="816"/>
      <c r="EG58" s="822"/>
      <c r="EH58" s="823"/>
      <c r="EI58" s="819"/>
      <c r="EJ58" s="705"/>
      <c r="EK58" s="694"/>
      <c r="EL58" s="695"/>
      <c r="EM58" s="823"/>
      <c r="EN58" s="824"/>
      <c r="EO58" s="816"/>
      <c r="EP58" s="822"/>
      <c r="EQ58" s="823"/>
      <c r="ER58" s="819"/>
      <c r="ES58" s="346"/>
    </row>
    <row r="59" spans="1:149" x14ac:dyDescent="0.25">
      <c r="A59" s="692">
        <f t="shared" si="0"/>
        <v>47</v>
      </c>
      <c r="B59" s="705"/>
      <c r="C59" s="694"/>
      <c r="D59" s="695"/>
      <c r="E59" s="823"/>
      <c r="F59" s="377"/>
      <c r="G59" s="705"/>
      <c r="H59" s="694"/>
      <c r="I59" s="695"/>
      <c r="J59" s="823"/>
      <c r="K59" s="377"/>
      <c r="L59" s="705"/>
      <c r="M59" s="694"/>
      <c r="N59" s="695"/>
      <c r="O59" s="823"/>
      <c r="P59" s="377"/>
      <c r="Q59" s="705"/>
      <c r="R59" s="694"/>
      <c r="S59" s="695"/>
      <c r="T59" s="823"/>
      <c r="U59" s="377"/>
      <c r="V59" s="705"/>
      <c r="W59" s="694"/>
      <c r="X59" s="695"/>
      <c r="Y59" s="823"/>
      <c r="Z59" s="377"/>
      <c r="AA59" s="705"/>
      <c r="AB59" s="694"/>
      <c r="AC59" s="695"/>
      <c r="AD59" s="823"/>
      <c r="AE59" s="377"/>
      <c r="AF59" s="705"/>
      <c r="AG59" s="694"/>
      <c r="AH59" s="695"/>
      <c r="AI59" s="823"/>
      <c r="AJ59" s="377"/>
      <c r="AK59" s="705"/>
      <c r="AL59" s="694"/>
      <c r="AM59" s="695"/>
      <c r="AN59" s="823"/>
      <c r="AO59" s="377"/>
      <c r="AP59" s="705"/>
      <c r="AQ59" s="694"/>
      <c r="AR59" s="695"/>
      <c r="AS59" s="823"/>
      <c r="AT59" s="377"/>
      <c r="AU59" s="705"/>
      <c r="AV59" s="694"/>
      <c r="AW59" s="695"/>
      <c r="AX59" s="823"/>
      <c r="AY59" s="377"/>
      <c r="AZ59" s="705"/>
      <c r="BA59" s="694"/>
      <c r="BB59" s="695"/>
      <c r="BC59" s="823"/>
      <c r="BD59" s="377"/>
      <c r="BE59" s="705"/>
      <c r="BF59" s="694"/>
      <c r="BG59" s="695"/>
      <c r="BH59" s="823"/>
      <c r="BI59" s="377"/>
      <c r="BJ59" s="705"/>
      <c r="BK59" s="694"/>
      <c r="BL59" s="695"/>
      <c r="BM59" s="823"/>
      <c r="BN59" s="377"/>
      <c r="BO59" s="705"/>
      <c r="BP59" s="694"/>
      <c r="BQ59" s="695"/>
      <c r="BR59" s="823"/>
      <c r="BS59" s="377"/>
      <c r="BT59" s="705"/>
      <c r="BU59" s="694"/>
      <c r="BV59" s="695"/>
      <c r="BW59" s="823"/>
      <c r="BX59" s="377"/>
      <c r="BY59" s="705"/>
      <c r="BZ59" s="694"/>
      <c r="CA59" s="695"/>
      <c r="CB59" s="823"/>
      <c r="CC59" s="377"/>
      <c r="CD59" s="705"/>
      <c r="CE59" s="694"/>
      <c r="CF59" s="695"/>
      <c r="CG59" s="823"/>
      <c r="CH59" s="377"/>
      <c r="CI59" s="705"/>
      <c r="CJ59" s="694"/>
      <c r="CK59" s="695"/>
      <c r="CL59" s="823"/>
      <c r="CM59" s="377"/>
      <c r="CN59" s="705"/>
      <c r="CO59" s="694"/>
      <c r="CP59" s="695"/>
      <c r="CQ59" s="823"/>
      <c r="CR59" s="377"/>
      <c r="CS59" s="705"/>
      <c r="CT59" s="694"/>
      <c r="CU59" s="695"/>
      <c r="CV59" s="823"/>
      <c r="CW59" s="377"/>
      <c r="CX59" s="705"/>
      <c r="CY59" s="694"/>
      <c r="CZ59" s="695"/>
      <c r="DA59" s="823"/>
      <c r="DB59" s="377"/>
      <c r="DC59" s="705"/>
      <c r="DD59" s="694"/>
      <c r="DE59" s="695"/>
      <c r="DF59" s="823"/>
      <c r="DG59" s="377"/>
      <c r="DH59" s="705"/>
      <c r="DI59" s="694"/>
      <c r="DJ59" s="695"/>
      <c r="DK59" s="823"/>
      <c r="DL59" s="377"/>
      <c r="DM59" s="705"/>
      <c r="DN59" s="694"/>
      <c r="DO59" s="695"/>
      <c r="DP59" s="823"/>
      <c r="DQ59" s="377"/>
      <c r="DR59" s="705"/>
      <c r="DS59" s="694"/>
      <c r="DT59" s="695"/>
      <c r="DU59" s="823"/>
      <c r="DV59" s="824"/>
      <c r="DW59" s="825"/>
      <c r="DX59" s="822"/>
      <c r="DY59" s="823"/>
      <c r="DZ59" s="819"/>
      <c r="EA59" s="705"/>
      <c r="EB59" s="694"/>
      <c r="EC59" s="695"/>
      <c r="ED59" s="823"/>
      <c r="EE59" s="824"/>
      <c r="EF59" s="825"/>
      <c r="EG59" s="822"/>
      <c r="EH59" s="823"/>
      <c r="EI59" s="819"/>
      <c r="EJ59" s="705"/>
      <c r="EK59" s="694"/>
      <c r="EL59" s="695"/>
      <c r="EM59" s="823"/>
      <c r="EN59" s="824"/>
      <c r="EO59" s="825"/>
      <c r="EP59" s="822"/>
      <c r="EQ59" s="823"/>
      <c r="ER59" s="819"/>
      <c r="ES59" s="346"/>
    </row>
    <row r="60" spans="1:149" x14ac:dyDescent="0.25">
      <c r="A60" s="692">
        <f t="shared" si="0"/>
        <v>48</v>
      </c>
      <c r="B60" s="705"/>
      <c r="C60" s="694"/>
      <c r="D60" s="695"/>
      <c r="E60" s="823"/>
      <c r="F60" s="377"/>
      <c r="G60" s="705"/>
      <c r="H60" s="694"/>
      <c r="I60" s="695"/>
      <c r="J60" s="823"/>
      <c r="K60" s="377"/>
      <c r="L60" s="705"/>
      <c r="M60" s="694"/>
      <c r="N60" s="695"/>
      <c r="O60" s="823"/>
      <c r="P60" s="377"/>
      <c r="Q60" s="705"/>
      <c r="R60" s="694"/>
      <c r="S60" s="695"/>
      <c r="T60" s="823"/>
      <c r="U60" s="377"/>
      <c r="V60" s="705"/>
      <c r="W60" s="694"/>
      <c r="X60" s="695"/>
      <c r="Y60" s="823"/>
      <c r="Z60" s="377"/>
      <c r="AA60" s="705"/>
      <c r="AB60" s="694"/>
      <c r="AC60" s="695"/>
      <c r="AD60" s="823"/>
      <c r="AE60" s="377"/>
      <c r="AF60" s="705"/>
      <c r="AG60" s="694"/>
      <c r="AH60" s="695"/>
      <c r="AI60" s="823"/>
      <c r="AJ60" s="377"/>
      <c r="AK60" s="705"/>
      <c r="AL60" s="694"/>
      <c r="AM60" s="695"/>
      <c r="AN60" s="823"/>
      <c r="AO60" s="377"/>
      <c r="AP60" s="705"/>
      <c r="AQ60" s="694"/>
      <c r="AR60" s="695"/>
      <c r="AS60" s="823"/>
      <c r="AT60" s="377"/>
      <c r="AU60" s="705"/>
      <c r="AV60" s="694"/>
      <c r="AW60" s="695"/>
      <c r="AX60" s="823"/>
      <c r="AY60" s="377"/>
      <c r="AZ60" s="705"/>
      <c r="BA60" s="694"/>
      <c r="BB60" s="695"/>
      <c r="BC60" s="823"/>
      <c r="BD60" s="377"/>
      <c r="BE60" s="705"/>
      <c r="BF60" s="694"/>
      <c r="BG60" s="695"/>
      <c r="BH60" s="823"/>
      <c r="BI60" s="377"/>
      <c r="BJ60" s="705"/>
      <c r="BK60" s="694"/>
      <c r="BL60" s="695"/>
      <c r="BM60" s="823"/>
      <c r="BN60" s="377"/>
      <c r="BO60" s="705"/>
      <c r="BP60" s="694"/>
      <c r="BQ60" s="695"/>
      <c r="BR60" s="823"/>
      <c r="BS60" s="377"/>
      <c r="BT60" s="705"/>
      <c r="BU60" s="694"/>
      <c r="BV60" s="695"/>
      <c r="BW60" s="823"/>
      <c r="BX60" s="377"/>
      <c r="BY60" s="705"/>
      <c r="BZ60" s="694"/>
      <c r="CA60" s="695"/>
      <c r="CB60" s="823"/>
      <c r="CC60" s="377"/>
      <c r="CD60" s="705"/>
      <c r="CE60" s="694"/>
      <c r="CF60" s="695"/>
      <c r="CG60" s="823"/>
      <c r="CH60" s="377"/>
      <c r="CI60" s="705"/>
      <c r="CJ60" s="694"/>
      <c r="CK60" s="695"/>
      <c r="CL60" s="823"/>
      <c r="CM60" s="377"/>
      <c r="CN60" s="705"/>
      <c r="CO60" s="694"/>
      <c r="CP60" s="695"/>
      <c r="CQ60" s="823"/>
      <c r="CR60" s="377"/>
      <c r="CS60" s="705"/>
      <c r="CT60" s="694"/>
      <c r="CU60" s="695"/>
      <c r="CV60" s="823"/>
      <c r="CW60" s="377"/>
      <c r="CX60" s="705"/>
      <c r="CY60" s="694"/>
      <c r="CZ60" s="695"/>
      <c r="DA60" s="823"/>
      <c r="DB60" s="377"/>
      <c r="DC60" s="705"/>
      <c r="DD60" s="694"/>
      <c r="DE60" s="695"/>
      <c r="DF60" s="823"/>
      <c r="DG60" s="377"/>
      <c r="DH60" s="705"/>
      <c r="DI60" s="694"/>
      <c r="DJ60" s="695"/>
      <c r="DK60" s="823"/>
      <c r="DL60" s="377"/>
      <c r="DM60" s="705"/>
      <c r="DN60" s="694"/>
      <c r="DO60" s="695"/>
      <c r="DP60" s="823"/>
      <c r="DQ60" s="377"/>
      <c r="DR60" s="705"/>
      <c r="DS60" s="694"/>
      <c r="DT60" s="695"/>
      <c r="DU60" s="823"/>
      <c r="DV60" s="824"/>
      <c r="DW60" s="825"/>
      <c r="DX60" s="822"/>
      <c r="DY60" s="823"/>
      <c r="DZ60" s="819"/>
      <c r="EA60" s="705"/>
      <c r="EB60" s="694"/>
      <c r="EC60" s="695"/>
      <c r="ED60" s="823"/>
      <c r="EE60" s="824"/>
      <c r="EF60" s="825"/>
      <c r="EG60" s="822"/>
      <c r="EH60" s="823"/>
      <c r="EI60" s="819"/>
      <c r="EJ60" s="705"/>
      <c r="EK60" s="694"/>
      <c r="EL60" s="695"/>
      <c r="EM60" s="823"/>
      <c r="EN60" s="824"/>
      <c r="EO60" s="825"/>
      <c r="EP60" s="822"/>
      <c r="EQ60" s="823"/>
      <c r="ER60" s="819"/>
      <c r="ES60" s="346"/>
    </row>
    <row r="61" spans="1:149" x14ac:dyDescent="0.25">
      <c r="A61" s="692">
        <f t="shared" si="0"/>
        <v>49</v>
      </c>
      <c r="B61" s="705"/>
      <c r="C61" s="694"/>
      <c r="D61" s="695"/>
      <c r="E61" s="823"/>
      <c r="F61" s="377"/>
      <c r="G61" s="705"/>
      <c r="H61" s="694"/>
      <c r="I61" s="695"/>
      <c r="J61" s="823"/>
      <c r="K61" s="377"/>
      <c r="L61" s="705"/>
      <c r="M61" s="694"/>
      <c r="N61" s="695"/>
      <c r="O61" s="823"/>
      <c r="P61" s="377"/>
      <c r="Q61" s="705"/>
      <c r="R61" s="694"/>
      <c r="S61" s="695"/>
      <c r="T61" s="823"/>
      <c r="U61" s="377"/>
      <c r="V61" s="705"/>
      <c r="W61" s="694"/>
      <c r="X61" s="695"/>
      <c r="Y61" s="823"/>
      <c r="Z61" s="377"/>
      <c r="AA61" s="705"/>
      <c r="AB61" s="694"/>
      <c r="AC61" s="695"/>
      <c r="AD61" s="823"/>
      <c r="AE61" s="377"/>
      <c r="AF61" s="705"/>
      <c r="AG61" s="694"/>
      <c r="AH61" s="695"/>
      <c r="AI61" s="823"/>
      <c r="AJ61" s="377"/>
      <c r="AK61" s="705"/>
      <c r="AL61" s="694"/>
      <c r="AM61" s="695"/>
      <c r="AN61" s="823"/>
      <c r="AO61" s="377"/>
      <c r="AP61" s="705"/>
      <c r="AQ61" s="694"/>
      <c r="AR61" s="695"/>
      <c r="AS61" s="823"/>
      <c r="AT61" s="377"/>
      <c r="AU61" s="705"/>
      <c r="AV61" s="694"/>
      <c r="AW61" s="695"/>
      <c r="AX61" s="823"/>
      <c r="AY61" s="377"/>
      <c r="AZ61" s="705"/>
      <c r="BA61" s="694"/>
      <c r="BB61" s="695"/>
      <c r="BC61" s="823"/>
      <c r="BD61" s="377"/>
      <c r="BE61" s="705"/>
      <c r="BF61" s="694"/>
      <c r="BG61" s="695"/>
      <c r="BH61" s="823"/>
      <c r="BI61" s="377"/>
      <c r="BJ61" s="705"/>
      <c r="BK61" s="694"/>
      <c r="BL61" s="695"/>
      <c r="BM61" s="823"/>
      <c r="BN61" s="377"/>
      <c r="BO61" s="705"/>
      <c r="BP61" s="694"/>
      <c r="BQ61" s="695"/>
      <c r="BR61" s="823"/>
      <c r="BS61" s="377"/>
      <c r="BT61" s="705"/>
      <c r="BU61" s="694"/>
      <c r="BV61" s="695"/>
      <c r="BW61" s="823"/>
      <c r="BX61" s="377"/>
      <c r="BY61" s="705"/>
      <c r="BZ61" s="694"/>
      <c r="CA61" s="695"/>
      <c r="CB61" s="823"/>
      <c r="CC61" s="377"/>
      <c r="CD61" s="705"/>
      <c r="CE61" s="694"/>
      <c r="CF61" s="695"/>
      <c r="CG61" s="823"/>
      <c r="CH61" s="377"/>
      <c r="CI61" s="705"/>
      <c r="CJ61" s="694"/>
      <c r="CK61" s="695"/>
      <c r="CL61" s="823"/>
      <c r="CM61" s="377"/>
      <c r="CN61" s="705"/>
      <c r="CO61" s="694"/>
      <c r="CP61" s="695"/>
      <c r="CQ61" s="823"/>
      <c r="CR61" s="377"/>
      <c r="CS61" s="705"/>
      <c r="CT61" s="694"/>
      <c r="CU61" s="695"/>
      <c r="CV61" s="823"/>
      <c r="CW61" s="377"/>
      <c r="CX61" s="705"/>
      <c r="CY61" s="694"/>
      <c r="CZ61" s="695"/>
      <c r="DA61" s="823"/>
      <c r="DB61" s="377"/>
      <c r="DC61" s="705"/>
      <c r="DD61" s="694"/>
      <c r="DE61" s="695"/>
      <c r="DF61" s="823"/>
      <c r="DG61" s="377"/>
      <c r="DH61" s="705"/>
      <c r="DI61" s="694"/>
      <c r="DJ61" s="695"/>
      <c r="DK61" s="823"/>
      <c r="DL61" s="377"/>
      <c r="DM61" s="705"/>
      <c r="DN61" s="694"/>
      <c r="DO61" s="695"/>
      <c r="DP61" s="823"/>
      <c r="DQ61" s="377"/>
      <c r="DR61" s="705"/>
      <c r="DS61" s="694"/>
      <c r="DT61" s="695"/>
      <c r="DU61" s="823"/>
      <c r="DV61" s="824"/>
      <c r="DW61" s="816"/>
      <c r="DX61" s="822"/>
      <c r="DY61" s="823"/>
      <c r="DZ61" s="819"/>
      <c r="EA61" s="705"/>
      <c r="EB61" s="694"/>
      <c r="EC61" s="695"/>
      <c r="ED61" s="823"/>
      <c r="EE61" s="824"/>
      <c r="EF61" s="816"/>
      <c r="EG61" s="822"/>
      <c r="EH61" s="823"/>
      <c r="EI61" s="819"/>
      <c r="EJ61" s="705"/>
      <c r="EK61" s="694"/>
      <c r="EL61" s="695"/>
      <c r="EM61" s="823"/>
      <c r="EN61" s="824"/>
      <c r="EO61" s="816"/>
      <c r="EP61" s="822"/>
      <c r="EQ61" s="823"/>
      <c r="ER61" s="819"/>
      <c r="ES61" s="346"/>
    </row>
    <row r="62" spans="1:149" x14ac:dyDescent="0.25">
      <c r="A62" s="692">
        <f t="shared" si="0"/>
        <v>50</v>
      </c>
      <c r="B62" s="705"/>
      <c r="C62" s="694"/>
      <c r="D62" s="695"/>
      <c r="E62" s="823"/>
      <c r="F62" s="377"/>
      <c r="G62" s="705"/>
      <c r="H62" s="694"/>
      <c r="I62" s="695"/>
      <c r="J62" s="823"/>
      <c r="K62" s="377"/>
      <c r="L62" s="705"/>
      <c r="M62" s="694"/>
      <c r="N62" s="695"/>
      <c r="O62" s="823"/>
      <c r="P62" s="377"/>
      <c r="Q62" s="705"/>
      <c r="R62" s="694"/>
      <c r="S62" s="695"/>
      <c r="T62" s="823"/>
      <c r="U62" s="377"/>
      <c r="V62" s="705"/>
      <c r="W62" s="694"/>
      <c r="X62" s="695"/>
      <c r="Y62" s="823"/>
      <c r="Z62" s="377"/>
      <c r="AA62" s="705"/>
      <c r="AB62" s="694"/>
      <c r="AC62" s="695"/>
      <c r="AD62" s="823"/>
      <c r="AE62" s="377"/>
      <c r="AF62" s="705"/>
      <c r="AG62" s="694"/>
      <c r="AH62" s="695"/>
      <c r="AI62" s="823"/>
      <c r="AJ62" s="377"/>
      <c r="AK62" s="705"/>
      <c r="AL62" s="694"/>
      <c r="AM62" s="695"/>
      <c r="AN62" s="823"/>
      <c r="AO62" s="377"/>
      <c r="AP62" s="705"/>
      <c r="AQ62" s="694"/>
      <c r="AR62" s="695"/>
      <c r="AS62" s="823"/>
      <c r="AT62" s="377"/>
      <c r="AU62" s="705"/>
      <c r="AV62" s="694"/>
      <c r="AW62" s="695"/>
      <c r="AX62" s="823"/>
      <c r="AY62" s="377"/>
      <c r="AZ62" s="705"/>
      <c r="BA62" s="694"/>
      <c r="BB62" s="695"/>
      <c r="BC62" s="823"/>
      <c r="BD62" s="377"/>
      <c r="BE62" s="705"/>
      <c r="BF62" s="694"/>
      <c r="BG62" s="695"/>
      <c r="BH62" s="823"/>
      <c r="BI62" s="377"/>
      <c r="BJ62" s="705"/>
      <c r="BK62" s="694"/>
      <c r="BL62" s="695"/>
      <c r="BM62" s="823"/>
      <c r="BN62" s="377"/>
      <c r="BO62" s="705"/>
      <c r="BP62" s="694"/>
      <c r="BQ62" s="695"/>
      <c r="BR62" s="823"/>
      <c r="BS62" s="377"/>
      <c r="BT62" s="705"/>
      <c r="BU62" s="694"/>
      <c r="BV62" s="695"/>
      <c r="BW62" s="823"/>
      <c r="BX62" s="377"/>
      <c r="BY62" s="705"/>
      <c r="BZ62" s="694"/>
      <c r="CA62" s="695"/>
      <c r="CB62" s="823"/>
      <c r="CC62" s="377"/>
      <c r="CD62" s="705"/>
      <c r="CE62" s="694"/>
      <c r="CF62" s="695"/>
      <c r="CG62" s="823"/>
      <c r="CH62" s="377"/>
      <c r="CI62" s="705"/>
      <c r="CJ62" s="694"/>
      <c r="CK62" s="695"/>
      <c r="CL62" s="823"/>
      <c r="CM62" s="377"/>
      <c r="CN62" s="705"/>
      <c r="CO62" s="694"/>
      <c r="CP62" s="695"/>
      <c r="CQ62" s="823"/>
      <c r="CR62" s="377"/>
      <c r="CS62" s="705"/>
      <c r="CT62" s="694"/>
      <c r="CU62" s="695"/>
      <c r="CV62" s="823"/>
      <c r="CW62" s="377"/>
      <c r="CX62" s="705"/>
      <c r="CY62" s="694"/>
      <c r="CZ62" s="695"/>
      <c r="DA62" s="823"/>
      <c r="DB62" s="377"/>
      <c r="DC62" s="705"/>
      <c r="DD62" s="694"/>
      <c r="DE62" s="695"/>
      <c r="DF62" s="823"/>
      <c r="DG62" s="377"/>
      <c r="DH62" s="705"/>
      <c r="DI62" s="694"/>
      <c r="DJ62" s="695"/>
      <c r="DK62" s="823"/>
      <c r="DL62" s="377"/>
      <c r="DM62" s="705"/>
      <c r="DN62" s="694"/>
      <c r="DO62" s="695"/>
      <c r="DP62" s="823"/>
      <c r="DQ62" s="377"/>
      <c r="DR62" s="705"/>
      <c r="DS62" s="694"/>
      <c r="DT62" s="695"/>
      <c r="DU62" s="823"/>
      <c r="DV62" s="824"/>
      <c r="DW62" s="825"/>
      <c r="DX62" s="822"/>
      <c r="DY62" s="823"/>
      <c r="DZ62" s="819"/>
      <c r="EA62" s="705"/>
      <c r="EB62" s="694"/>
      <c r="EC62" s="695"/>
      <c r="ED62" s="823"/>
      <c r="EE62" s="824"/>
      <c r="EF62" s="825"/>
      <c r="EG62" s="822"/>
      <c r="EH62" s="823"/>
      <c r="EI62" s="819"/>
      <c r="EJ62" s="705"/>
      <c r="EK62" s="694"/>
      <c r="EL62" s="695"/>
      <c r="EM62" s="823"/>
      <c r="EN62" s="824"/>
      <c r="EO62" s="825"/>
      <c r="EP62" s="822"/>
      <c r="EQ62" s="823"/>
      <c r="ER62" s="819"/>
      <c r="ES62" s="346"/>
    </row>
    <row r="63" spans="1:149" x14ac:dyDescent="0.25">
      <c r="A63" s="692">
        <f t="shared" si="0"/>
        <v>51</v>
      </c>
      <c r="B63" s="705"/>
      <c r="C63" s="694"/>
      <c r="D63" s="695"/>
      <c r="E63" s="823"/>
      <c r="F63" s="377"/>
      <c r="G63" s="705"/>
      <c r="H63" s="694"/>
      <c r="I63" s="695"/>
      <c r="J63" s="823"/>
      <c r="K63" s="377"/>
      <c r="L63" s="705"/>
      <c r="M63" s="694"/>
      <c r="N63" s="695"/>
      <c r="O63" s="823"/>
      <c r="P63" s="377"/>
      <c r="Q63" s="705"/>
      <c r="R63" s="694"/>
      <c r="S63" s="695"/>
      <c r="T63" s="823"/>
      <c r="U63" s="377"/>
      <c r="V63" s="705"/>
      <c r="W63" s="694"/>
      <c r="X63" s="695"/>
      <c r="Y63" s="823"/>
      <c r="Z63" s="377"/>
      <c r="AA63" s="705"/>
      <c r="AB63" s="694"/>
      <c r="AC63" s="695"/>
      <c r="AD63" s="823"/>
      <c r="AE63" s="377"/>
      <c r="AF63" s="705"/>
      <c r="AG63" s="694"/>
      <c r="AH63" s="695"/>
      <c r="AI63" s="823"/>
      <c r="AJ63" s="377"/>
      <c r="AK63" s="705"/>
      <c r="AL63" s="694"/>
      <c r="AM63" s="695"/>
      <c r="AN63" s="823"/>
      <c r="AO63" s="377"/>
      <c r="AP63" s="705"/>
      <c r="AQ63" s="694"/>
      <c r="AR63" s="695"/>
      <c r="AS63" s="823"/>
      <c r="AT63" s="377"/>
      <c r="AU63" s="705"/>
      <c r="AV63" s="694"/>
      <c r="AW63" s="695"/>
      <c r="AX63" s="823"/>
      <c r="AY63" s="377"/>
      <c r="AZ63" s="705"/>
      <c r="BA63" s="694"/>
      <c r="BB63" s="695"/>
      <c r="BC63" s="823"/>
      <c r="BD63" s="377"/>
      <c r="BE63" s="705"/>
      <c r="BF63" s="694"/>
      <c r="BG63" s="695"/>
      <c r="BH63" s="823"/>
      <c r="BI63" s="377"/>
      <c r="BJ63" s="705"/>
      <c r="BK63" s="694"/>
      <c r="BL63" s="695"/>
      <c r="BM63" s="823"/>
      <c r="BN63" s="377"/>
      <c r="BO63" s="705"/>
      <c r="BP63" s="694"/>
      <c r="BQ63" s="695"/>
      <c r="BR63" s="823"/>
      <c r="BS63" s="377"/>
      <c r="BT63" s="705"/>
      <c r="BU63" s="694"/>
      <c r="BV63" s="695"/>
      <c r="BW63" s="823"/>
      <c r="BX63" s="377"/>
      <c r="BY63" s="705"/>
      <c r="BZ63" s="694"/>
      <c r="CA63" s="695"/>
      <c r="CB63" s="823"/>
      <c r="CC63" s="377"/>
      <c r="CD63" s="705"/>
      <c r="CE63" s="694"/>
      <c r="CF63" s="695"/>
      <c r="CG63" s="823"/>
      <c r="CH63" s="377"/>
      <c r="CI63" s="705"/>
      <c r="CJ63" s="694"/>
      <c r="CK63" s="695"/>
      <c r="CL63" s="823"/>
      <c r="CM63" s="377"/>
      <c r="CN63" s="705"/>
      <c r="CO63" s="694"/>
      <c r="CP63" s="695"/>
      <c r="CQ63" s="823"/>
      <c r="CR63" s="377"/>
      <c r="CS63" s="705"/>
      <c r="CT63" s="694"/>
      <c r="CU63" s="695"/>
      <c r="CV63" s="823"/>
      <c r="CW63" s="377"/>
      <c r="CX63" s="705"/>
      <c r="CY63" s="694"/>
      <c r="CZ63" s="695"/>
      <c r="DA63" s="823"/>
      <c r="DB63" s="377"/>
      <c r="DC63" s="705"/>
      <c r="DD63" s="694"/>
      <c r="DE63" s="695"/>
      <c r="DF63" s="823"/>
      <c r="DG63" s="377"/>
      <c r="DH63" s="705"/>
      <c r="DI63" s="694"/>
      <c r="DJ63" s="695"/>
      <c r="DK63" s="823"/>
      <c r="DL63" s="377"/>
      <c r="DM63" s="705"/>
      <c r="DN63" s="694"/>
      <c r="DO63" s="695"/>
      <c r="DP63" s="823"/>
      <c r="DQ63" s="377"/>
      <c r="DR63" s="705"/>
      <c r="DS63" s="694"/>
      <c r="DT63" s="695"/>
      <c r="DU63" s="823"/>
      <c r="DV63" s="824"/>
      <c r="DW63" s="825"/>
      <c r="DX63" s="822"/>
      <c r="DY63" s="823"/>
      <c r="DZ63" s="819"/>
      <c r="EA63" s="705"/>
      <c r="EB63" s="694"/>
      <c r="EC63" s="695"/>
      <c r="ED63" s="823"/>
      <c r="EE63" s="824"/>
      <c r="EF63" s="825"/>
      <c r="EG63" s="822"/>
      <c r="EH63" s="823"/>
      <c r="EI63" s="819"/>
      <c r="EJ63" s="705"/>
      <c r="EK63" s="694"/>
      <c r="EL63" s="695"/>
      <c r="EM63" s="823"/>
      <c r="EN63" s="824"/>
      <c r="EO63" s="825"/>
      <c r="EP63" s="822"/>
      <c r="EQ63" s="823"/>
      <c r="ER63" s="819"/>
      <c r="ES63" s="346"/>
    </row>
    <row r="64" spans="1:149" x14ac:dyDescent="0.25">
      <c r="A64" s="692">
        <f t="shared" si="0"/>
        <v>52</v>
      </c>
      <c r="B64" s="705"/>
      <c r="C64" s="694"/>
      <c r="D64" s="695"/>
      <c r="E64" s="823"/>
      <c r="F64" s="377"/>
      <c r="G64" s="705"/>
      <c r="H64" s="694"/>
      <c r="I64" s="695"/>
      <c r="J64" s="823"/>
      <c r="K64" s="377"/>
      <c r="L64" s="705"/>
      <c r="M64" s="694"/>
      <c r="N64" s="695"/>
      <c r="O64" s="823"/>
      <c r="P64" s="377"/>
      <c r="Q64" s="705"/>
      <c r="R64" s="694"/>
      <c r="S64" s="695"/>
      <c r="T64" s="823"/>
      <c r="U64" s="377"/>
      <c r="V64" s="705"/>
      <c r="W64" s="694"/>
      <c r="X64" s="695"/>
      <c r="Y64" s="823"/>
      <c r="Z64" s="377"/>
      <c r="AA64" s="705"/>
      <c r="AB64" s="694"/>
      <c r="AC64" s="695"/>
      <c r="AD64" s="823"/>
      <c r="AE64" s="377"/>
      <c r="AF64" s="705"/>
      <c r="AG64" s="694"/>
      <c r="AH64" s="695"/>
      <c r="AI64" s="823"/>
      <c r="AJ64" s="377"/>
      <c r="AK64" s="705"/>
      <c r="AL64" s="694"/>
      <c r="AM64" s="695"/>
      <c r="AN64" s="823"/>
      <c r="AO64" s="377"/>
      <c r="AP64" s="705"/>
      <c r="AQ64" s="694"/>
      <c r="AR64" s="695"/>
      <c r="AS64" s="823"/>
      <c r="AT64" s="377"/>
      <c r="AU64" s="705"/>
      <c r="AV64" s="694"/>
      <c r="AW64" s="695"/>
      <c r="AX64" s="823"/>
      <c r="AY64" s="377"/>
      <c r="AZ64" s="705"/>
      <c r="BA64" s="694"/>
      <c r="BB64" s="695"/>
      <c r="BC64" s="823"/>
      <c r="BD64" s="377"/>
      <c r="BE64" s="705"/>
      <c r="BF64" s="694"/>
      <c r="BG64" s="695"/>
      <c r="BH64" s="823"/>
      <c r="BI64" s="377"/>
      <c r="BJ64" s="705"/>
      <c r="BK64" s="694"/>
      <c r="BL64" s="695"/>
      <c r="BM64" s="823"/>
      <c r="BN64" s="377"/>
      <c r="BO64" s="705"/>
      <c r="BP64" s="694"/>
      <c r="BQ64" s="695"/>
      <c r="BR64" s="823"/>
      <c r="BS64" s="377"/>
      <c r="BT64" s="705"/>
      <c r="BU64" s="694"/>
      <c r="BV64" s="695"/>
      <c r="BW64" s="823"/>
      <c r="BX64" s="377"/>
      <c r="BY64" s="705"/>
      <c r="BZ64" s="694"/>
      <c r="CA64" s="695"/>
      <c r="CB64" s="823"/>
      <c r="CC64" s="377"/>
      <c r="CD64" s="705"/>
      <c r="CE64" s="694"/>
      <c r="CF64" s="695"/>
      <c r="CG64" s="823"/>
      <c r="CH64" s="377"/>
      <c r="CI64" s="705"/>
      <c r="CJ64" s="694"/>
      <c r="CK64" s="695"/>
      <c r="CL64" s="823"/>
      <c r="CM64" s="377"/>
      <c r="CN64" s="705"/>
      <c r="CO64" s="694"/>
      <c r="CP64" s="695"/>
      <c r="CQ64" s="823"/>
      <c r="CR64" s="377"/>
      <c r="CS64" s="705"/>
      <c r="CT64" s="694"/>
      <c r="CU64" s="695"/>
      <c r="CV64" s="823"/>
      <c r="CW64" s="377"/>
      <c r="CX64" s="705"/>
      <c r="CY64" s="694"/>
      <c r="CZ64" s="695"/>
      <c r="DA64" s="823"/>
      <c r="DB64" s="377"/>
      <c r="DC64" s="705"/>
      <c r="DD64" s="694"/>
      <c r="DE64" s="695"/>
      <c r="DF64" s="823"/>
      <c r="DG64" s="377"/>
      <c r="DH64" s="705"/>
      <c r="DI64" s="694"/>
      <c r="DJ64" s="695"/>
      <c r="DK64" s="823"/>
      <c r="DL64" s="377"/>
      <c r="DM64" s="705"/>
      <c r="DN64" s="694"/>
      <c r="DO64" s="695"/>
      <c r="DP64" s="823"/>
      <c r="DQ64" s="377"/>
      <c r="DR64" s="705"/>
      <c r="DS64" s="694"/>
      <c r="DT64" s="695"/>
      <c r="DU64" s="823"/>
      <c r="DV64" s="824"/>
      <c r="DW64" s="816"/>
      <c r="DX64" s="822"/>
      <c r="DY64" s="823"/>
      <c r="DZ64" s="819"/>
      <c r="EA64" s="705"/>
      <c r="EB64" s="694"/>
      <c r="EC64" s="695"/>
      <c r="ED64" s="823"/>
      <c r="EE64" s="824"/>
      <c r="EF64" s="816"/>
      <c r="EG64" s="822"/>
      <c r="EH64" s="823"/>
      <c r="EI64" s="819"/>
      <c r="EJ64" s="705"/>
      <c r="EK64" s="694"/>
      <c r="EL64" s="695"/>
      <c r="EM64" s="823"/>
      <c r="EN64" s="824"/>
      <c r="EO64" s="816"/>
      <c r="EP64" s="822"/>
      <c r="EQ64" s="823"/>
      <c r="ER64" s="819"/>
      <c r="ES64" s="346"/>
    </row>
    <row r="65" spans="1:149" x14ac:dyDescent="0.25">
      <c r="A65" s="692">
        <f t="shared" si="0"/>
        <v>53</v>
      </c>
      <c r="B65" s="705"/>
      <c r="C65" s="694"/>
      <c r="D65" s="695"/>
      <c r="E65" s="823"/>
      <c r="F65" s="377"/>
      <c r="G65" s="705"/>
      <c r="H65" s="694"/>
      <c r="I65" s="695"/>
      <c r="J65" s="823"/>
      <c r="K65" s="377"/>
      <c r="L65" s="705"/>
      <c r="M65" s="694"/>
      <c r="N65" s="695"/>
      <c r="O65" s="823"/>
      <c r="P65" s="377"/>
      <c r="Q65" s="705"/>
      <c r="R65" s="694"/>
      <c r="S65" s="695"/>
      <c r="T65" s="823"/>
      <c r="U65" s="377"/>
      <c r="V65" s="705"/>
      <c r="W65" s="694"/>
      <c r="X65" s="695"/>
      <c r="Y65" s="823"/>
      <c r="Z65" s="377"/>
      <c r="AA65" s="705"/>
      <c r="AB65" s="694"/>
      <c r="AC65" s="695"/>
      <c r="AD65" s="823"/>
      <c r="AE65" s="377"/>
      <c r="AF65" s="705"/>
      <c r="AG65" s="694"/>
      <c r="AH65" s="695"/>
      <c r="AI65" s="823"/>
      <c r="AJ65" s="377"/>
      <c r="AK65" s="705"/>
      <c r="AL65" s="694"/>
      <c r="AM65" s="695"/>
      <c r="AN65" s="823"/>
      <c r="AO65" s="377"/>
      <c r="AP65" s="705"/>
      <c r="AQ65" s="694"/>
      <c r="AR65" s="695"/>
      <c r="AS65" s="823"/>
      <c r="AT65" s="377"/>
      <c r="AU65" s="705"/>
      <c r="AV65" s="694"/>
      <c r="AW65" s="695"/>
      <c r="AX65" s="823"/>
      <c r="AY65" s="377"/>
      <c r="AZ65" s="705"/>
      <c r="BA65" s="694"/>
      <c r="BB65" s="695"/>
      <c r="BC65" s="823"/>
      <c r="BD65" s="377"/>
      <c r="BE65" s="705"/>
      <c r="BF65" s="694"/>
      <c r="BG65" s="695"/>
      <c r="BH65" s="823"/>
      <c r="BI65" s="377"/>
      <c r="BJ65" s="705"/>
      <c r="BK65" s="694"/>
      <c r="BL65" s="695"/>
      <c r="BM65" s="823"/>
      <c r="BN65" s="377"/>
      <c r="BO65" s="705"/>
      <c r="BP65" s="694"/>
      <c r="BQ65" s="695"/>
      <c r="BR65" s="823"/>
      <c r="BS65" s="377"/>
      <c r="BT65" s="705"/>
      <c r="BU65" s="694"/>
      <c r="BV65" s="695"/>
      <c r="BW65" s="823"/>
      <c r="BX65" s="377"/>
      <c r="BY65" s="705"/>
      <c r="BZ65" s="694"/>
      <c r="CA65" s="695"/>
      <c r="CB65" s="823"/>
      <c r="CC65" s="377"/>
      <c r="CD65" s="705"/>
      <c r="CE65" s="694"/>
      <c r="CF65" s="695"/>
      <c r="CG65" s="823"/>
      <c r="CH65" s="377"/>
      <c r="CI65" s="705"/>
      <c r="CJ65" s="694"/>
      <c r="CK65" s="695"/>
      <c r="CL65" s="823"/>
      <c r="CM65" s="377"/>
      <c r="CN65" s="705"/>
      <c r="CO65" s="694"/>
      <c r="CP65" s="695"/>
      <c r="CQ65" s="823"/>
      <c r="CR65" s="377"/>
      <c r="CS65" s="705"/>
      <c r="CT65" s="694"/>
      <c r="CU65" s="695"/>
      <c r="CV65" s="823"/>
      <c r="CW65" s="377"/>
      <c r="CX65" s="705"/>
      <c r="CY65" s="694"/>
      <c r="CZ65" s="695"/>
      <c r="DA65" s="823"/>
      <c r="DB65" s="377"/>
      <c r="DC65" s="705"/>
      <c r="DD65" s="694"/>
      <c r="DE65" s="695"/>
      <c r="DF65" s="823"/>
      <c r="DG65" s="377"/>
      <c r="DH65" s="705"/>
      <c r="DI65" s="694"/>
      <c r="DJ65" s="695"/>
      <c r="DK65" s="823"/>
      <c r="DL65" s="377"/>
      <c r="DM65" s="705"/>
      <c r="DN65" s="694"/>
      <c r="DO65" s="695"/>
      <c r="DP65" s="823"/>
      <c r="DQ65" s="377"/>
      <c r="DR65" s="705"/>
      <c r="DS65" s="694"/>
      <c r="DT65" s="695"/>
      <c r="DU65" s="823"/>
      <c r="DV65" s="824"/>
      <c r="DW65" s="825"/>
      <c r="DX65" s="822"/>
      <c r="DY65" s="823"/>
      <c r="DZ65" s="819"/>
      <c r="EA65" s="705"/>
      <c r="EB65" s="694"/>
      <c r="EC65" s="695"/>
      <c r="ED65" s="823"/>
      <c r="EE65" s="824"/>
      <c r="EF65" s="825"/>
      <c r="EG65" s="822"/>
      <c r="EH65" s="823"/>
      <c r="EI65" s="819"/>
      <c r="EJ65" s="705"/>
      <c r="EK65" s="694"/>
      <c r="EL65" s="695"/>
      <c r="EM65" s="823"/>
      <c r="EN65" s="824"/>
      <c r="EO65" s="825"/>
      <c r="EP65" s="822"/>
      <c r="EQ65" s="823"/>
      <c r="ER65" s="819"/>
      <c r="ES65" s="346"/>
    </row>
    <row r="66" spans="1:149" x14ac:dyDescent="0.25">
      <c r="A66" s="692">
        <f t="shared" si="0"/>
        <v>54</v>
      </c>
      <c r="B66" s="705"/>
      <c r="C66" s="694"/>
      <c r="D66" s="695"/>
      <c r="E66" s="823"/>
      <c r="F66" s="377"/>
      <c r="G66" s="705"/>
      <c r="H66" s="694"/>
      <c r="I66" s="695"/>
      <c r="J66" s="823"/>
      <c r="K66" s="377"/>
      <c r="L66" s="705"/>
      <c r="M66" s="694"/>
      <c r="N66" s="695"/>
      <c r="O66" s="823"/>
      <c r="P66" s="377"/>
      <c r="Q66" s="705"/>
      <c r="R66" s="694"/>
      <c r="S66" s="695"/>
      <c r="T66" s="823"/>
      <c r="U66" s="377"/>
      <c r="V66" s="705"/>
      <c r="W66" s="694"/>
      <c r="X66" s="695"/>
      <c r="Y66" s="823"/>
      <c r="Z66" s="377"/>
      <c r="AA66" s="705"/>
      <c r="AB66" s="694"/>
      <c r="AC66" s="695"/>
      <c r="AD66" s="823"/>
      <c r="AE66" s="377"/>
      <c r="AF66" s="705"/>
      <c r="AG66" s="694"/>
      <c r="AH66" s="695"/>
      <c r="AI66" s="823"/>
      <c r="AJ66" s="377"/>
      <c r="AK66" s="705"/>
      <c r="AL66" s="694"/>
      <c r="AM66" s="695"/>
      <c r="AN66" s="823"/>
      <c r="AO66" s="377"/>
      <c r="AP66" s="705"/>
      <c r="AQ66" s="694"/>
      <c r="AR66" s="695"/>
      <c r="AS66" s="823"/>
      <c r="AT66" s="377"/>
      <c r="AU66" s="705"/>
      <c r="AV66" s="694"/>
      <c r="AW66" s="695"/>
      <c r="AX66" s="823"/>
      <c r="AY66" s="377"/>
      <c r="AZ66" s="705"/>
      <c r="BA66" s="694"/>
      <c r="BB66" s="695"/>
      <c r="BC66" s="823"/>
      <c r="BD66" s="377"/>
      <c r="BE66" s="705"/>
      <c r="BF66" s="694"/>
      <c r="BG66" s="695"/>
      <c r="BH66" s="823"/>
      <c r="BI66" s="377"/>
      <c r="BJ66" s="705"/>
      <c r="BK66" s="694"/>
      <c r="BL66" s="695"/>
      <c r="BM66" s="823"/>
      <c r="BN66" s="377"/>
      <c r="BO66" s="705"/>
      <c r="BP66" s="694"/>
      <c r="BQ66" s="695"/>
      <c r="BR66" s="823"/>
      <c r="BS66" s="377"/>
      <c r="BT66" s="705"/>
      <c r="BU66" s="694"/>
      <c r="BV66" s="695"/>
      <c r="BW66" s="823"/>
      <c r="BX66" s="377"/>
      <c r="BY66" s="705"/>
      <c r="BZ66" s="694"/>
      <c r="CA66" s="695"/>
      <c r="CB66" s="823"/>
      <c r="CC66" s="377"/>
      <c r="CD66" s="705"/>
      <c r="CE66" s="694"/>
      <c r="CF66" s="695"/>
      <c r="CG66" s="823"/>
      <c r="CH66" s="377"/>
      <c r="CI66" s="705"/>
      <c r="CJ66" s="694"/>
      <c r="CK66" s="695"/>
      <c r="CL66" s="823"/>
      <c r="CM66" s="377"/>
      <c r="CN66" s="705"/>
      <c r="CO66" s="694"/>
      <c r="CP66" s="695"/>
      <c r="CQ66" s="823"/>
      <c r="CR66" s="377"/>
      <c r="CS66" s="705"/>
      <c r="CT66" s="694"/>
      <c r="CU66" s="695"/>
      <c r="CV66" s="823"/>
      <c r="CW66" s="377"/>
      <c r="CX66" s="705"/>
      <c r="CY66" s="694"/>
      <c r="CZ66" s="695"/>
      <c r="DA66" s="823"/>
      <c r="DB66" s="377"/>
      <c r="DC66" s="705"/>
      <c r="DD66" s="694"/>
      <c r="DE66" s="695"/>
      <c r="DF66" s="823"/>
      <c r="DG66" s="377"/>
      <c r="DH66" s="705"/>
      <c r="DI66" s="694"/>
      <c r="DJ66" s="695"/>
      <c r="DK66" s="823"/>
      <c r="DL66" s="377"/>
      <c r="DM66" s="705"/>
      <c r="DN66" s="694"/>
      <c r="DO66" s="695"/>
      <c r="DP66" s="823"/>
      <c r="DQ66" s="377"/>
      <c r="DR66" s="705"/>
      <c r="DS66" s="694"/>
      <c r="DT66" s="695"/>
      <c r="DU66" s="823"/>
      <c r="DV66" s="824"/>
      <c r="DW66" s="825"/>
      <c r="DX66" s="822"/>
      <c r="DY66" s="823"/>
      <c r="DZ66" s="819"/>
      <c r="EA66" s="705"/>
      <c r="EB66" s="694"/>
      <c r="EC66" s="695"/>
      <c r="ED66" s="823"/>
      <c r="EE66" s="824"/>
      <c r="EF66" s="825"/>
      <c r="EG66" s="822"/>
      <c r="EH66" s="823"/>
      <c r="EI66" s="819"/>
      <c r="EJ66" s="705"/>
      <c r="EK66" s="694"/>
      <c r="EL66" s="695"/>
      <c r="EM66" s="823"/>
      <c r="EN66" s="824"/>
      <c r="EO66" s="825"/>
      <c r="EP66" s="822"/>
      <c r="EQ66" s="823"/>
      <c r="ER66" s="819"/>
      <c r="ES66" s="346"/>
    </row>
    <row r="67" spans="1:149" x14ac:dyDescent="0.25">
      <c r="A67" s="692">
        <f t="shared" si="0"/>
        <v>55</v>
      </c>
      <c r="B67" s="705"/>
      <c r="C67" s="694"/>
      <c r="D67" s="695"/>
      <c r="E67" s="823"/>
      <c r="F67" s="377"/>
      <c r="G67" s="705"/>
      <c r="H67" s="694"/>
      <c r="I67" s="695"/>
      <c r="J67" s="823"/>
      <c r="K67" s="377"/>
      <c r="L67" s="705"/>
      <c r="M67" s="694"/>
      <c r="N67" s="695"/>
      <c r="O67" s="823"/>
      <c r="P67" s="377"/>
      <c r="Q67" s="705"/>
      <c r="R67" s="694"/>
      <c r="S67" s="695"/>
      <c r="T67" s="823"/>
      <c r="U67" s="377"/>
      <c r="V67" s="705"/>
      <c r="W67" s="694"/>
      <c r="X67" s="695"/>
      <c r="Y67" s="823"/>
      <c r="Z67" s="377"/>
      <c r="AA67" s="705"/>
      <c r="AB67" s="694"/>
      <c r="AC67" s="695"/>
      <c r="AD67" s="823"/>
      <c r="AE67" s="377"/>
      <c r="AF67" s="705"/>
      <c r="AG67" s="694"/>
      <c r="AH67" s="695"/>
      <c r="AI67" s="823"/>
      <c r="AJ67" s="377"/>
      <c r="AK67" s="705"/>
      <c r="AL67" s="694"/>
      <c r="AM67" s="695"/>
      <c r="AN67" s="823"/>
      <c r="AO67" s="377"/>
      <c r="AP67" s="705"/>
      <c r="AQ67" s="694"/>
      <c r="AR67" s="695"/>
      <c r="AS67" s="823"/>
      <c r="AT67" s="377"/>
      <c r="AU67" s="705"/>
      <c r="AV67" s="694"/>
      <c r="AW67" s="695"/>
      <c r="AX67" s="823"/>
      <c r="AY67" s="377"/>
      <c r="AZ67" s="705"/>
      <c r="BA67" s="694"/>
      <c r="BB67" s="695"/>
      <c r="BC67" s="823"/>
      <c r="BD67" s="377"/>
      <c r="BE67" s="705"/>
      <c r="BF67" s="694"/>
      <c r="BG67" s="695"/>
      <c r="BH67" s="823"/>
      <c r="BI67" s="377"/>
      <c r="BJ67" s="705"/>
      <c r="BK67" s="694"/>
      <c r="BL67" s="695"/>
      <c r="BM67" s="823"/>
      <c r="BN67" s="377"/>
      <c r="BO67" s="705"/>
      <c r="BP67" s="694"/>
      <c r="BQ67" s="695"/>
      <c r="BR67" s="823"/>
      <c r="BS67" s="377"/>
      <c r="BT67" s="705"/>
      <c r="BU67" s="694"/>
      <c r="BV67" s="695"/>
      <c r="BW67" s="823"/>
      <c r="BX67" s="377"/>
      <c r="BY67" s="705"/>
      <c r="BZ67" s="694"/>
      <c r="CA67" s="695"/>
      <c r="CB67" s="823"/>
      <c r="CC67" s="377"/>
      <c r="CD67" s="705"/>
      <c r="CE67" s="694"/>
      <c r="CF67" s="695"/>
      <c r="CG67" s="823"/>
      <c r="CH67" s="377"/>
      <c r="CI67" s="705"/>
      <c r="CJ67" s="694"/>
      <c r="CK67" s="695"/>
      <c r="CL67" s="823"/>
      <c r="CM67" s="377"/>
      <c r="CN67" s="705"/>
      <c r="CO67" s="694"/>
      <c r="CP67" s="695"/>
      <c r="CQ67" s="823"/>
      <c r="CR67" s="377"/>
      <c r="CS67" s="705"/>
      <c r="CT67" s="694"/>
      <c r="CU67" s="695"/>
      <c r="CV67" s="823"/>
      <c r="CW67" s="377"/>
      <c r="CX67" s="705"/>
      <c r="CY67" s="694"/>
      <c r="CZ67" s="695"/>
      <c r="DA67" s="823"/>
      <c r="DB67" s="377"/>
      <c r="DC67" s="705"/>
      <c r="DD67" s="694"/>
      <c r="DE67" s="695"/>
      <c r="DF67" s="823"/>
      <c r="DG67" s="377"/>
      <c r="DH67" s="705"/>
      <c r="DI67" s="694"/>
      <c r="DJ67" s="695"/>
      <c r="DK67" s="823"/>
      <c r="DL67" s="377"/>
      <c r="DM67" s="705"/>
      <c r="DN67" s="694"/>
      <c r="DO67" s="695"/>
      <c r="DP67" s="823"/>
      <c r="DQ67" s="377"/>
      <c r="DR67" s="705"/>
      <c r="DS67" s="694"/>
      <c r="DT67" s="695"/>
      <c r="DU67" s="823"/>
      <c r="DV67" s="824"/>
      <c r="DW67" s="816"/>
      <c r="DX67" s="822"/>
      <c r="DY67" s="823"/>
      <c r="DZ67" s="819"/>
      <c r="EA67" s="705"/>
      <c r="EB67" s="694"/>
      <c r="EC67" s="695"/>
      <c r="ED67" s="823"/>
      <c r="EE67" s="824"/>
      <c r="EF67" s="816"/>
      <c r="EG67" s="822"/>
      <c r="EH67" s="823"/>
      <c r="EI67" s="819"/>
      <c r="EJ67" s="705"/>
      <c r="EK67" s="694"/>
      <c r="EL67" s="695"/>
      <c r="EM67" s="823"/>
      <c r="EN67" s="824"/>
      <c r="EO67" s="816"/>
      <c r="EP67" s="822"/>
      <c r="EQ67" s="823"/>
      <c r="ER67" s="819"/>
      <c r="ES67" s="346"/>
    </row>
    <row r="68" spans="1:149" x14ac:dyDescent="0.25">
      <c r="A68" s="692">
        <f t="shared" si="0"/>
        <v>56</v>
      </c>
      <c r="B68" s="705"/>
      <c r="C68" s="694"/>
      <c r="D68" s="695"/>
      <c r="E68" s="823"/>
      <c r="F68" s="377"/>
      <c r="G68" s="705"/>
      <c r="H68" s="694"/>
      <c r="I68" s="695"/>
      <c r="J68" s="823"/>
      <c r="K68" s="377"/>
      <c r="L68" s="705"/>
      <c r="M68" s="694"/>
      <c r="N68" s="695"/>
      <c r="O68" s="823"/>
      <c r="P68" s="377"/>
      <c r="Q68" s="705"/>
      <c r="R68" s="694"/>
      <c r="S68" s="695"/>
      <c r="T68" s="823"/>
      <c r="U68" s="377"/>
      <c r="V68" s="705"/>
      <c r="W68" s="694"/>
      <c r="X68" s="695"/>
      <c r="Y68" s="823"/>
      <c r="Z68" s="377"/>
      <c r="AA68" s="705"/>
      <c r="AB68" s="694"/>
      <c r="AC68" s="695"/>
      <c r="AD68" s="823"/>
      <c r="AE68" s="377"/>
      <c r="AF68" s="705"/>
      <c r="AG68" s="694"/>
      <c r="AH68" s="695"/>
      <c r="AI68" s="823"/>
      <c r="AJ68" s="377"/>
      <c r="AK68" s="705"/>
      <c r="AL68" s="694"/>
      <c r="AM68" s="695"/>
      <c r="AN68" s="823"/>
      <c r="AO68" s="377"/>
      <c r="AP68" s="705"/>
      <c r="AQ68" s="694"/>
      <c r="AR68" s="695"/>
      <c r="AS68" s="823"/>
      <c r="AT68" s="377"/>
      <c r="AU68" s="705"/>
      <c r="AV68" s="694"/>
      <c r="AW68" s="695"/>
      <c r="AX68" s="823"/>
      <c r="AY68" s="377"/>
      <c r="AZ68" s="705"/>
      <c r="BA68" s="694"/>
      <c r="BB68" s="695"/>
      <c r="BC68" s="823"/>
      <c r="BD68" s="377"/>
      <c r="BE68" s="705"/>
      <c r="BF68" s="694"/>
      <c r="BG68" s="695"/>
      <c r="BH68" s="823"/>
      <c r="BI68" s="377"/>
      <c r="BJ68" s="705"/>
      <c r="BK68" s="694"/>
      <c r="BL68" s="695"/>
      <c r="BM68" s="823"/>
      <c r="BN68" s="377"/>
      <c r="BO68" s="705"/>
      <c r="BP68" s="694"/>
      <c r="BQ68" s="695"/>
      <c r="BR68" s="823"/>
      <c r="BS68" s="377"/>
      <c r="BT68" s="705"/>
      <c r="BU68" s="694"/>
      <c r="BV68" s="695"/>
      <c r="BW68" s="823"/>
      <c r="BX68" s="377"/>
      <c r="BY68" s="705"/>
      <c r="BZ68" s="694"/>
      <c r="CA68" s="695"/>
      <c r="CB68" s="823"/>
      <c r="CC68" s="377"/>
      <c r="CD68" s="705"/>
      <c r="CE68" s="694"/>
      <c r="CF68" s="695"/>
      <c r="CG68" s="823"/>
      <c r="CH68" s="377"/>
      <c r="CI68" s="705"/>
      <c r="CJ68" s="694"/>
      <c r="CK68" s="695"/>
      <c r="CL68" s="823"/>
      <c r="CM68" s="377"/>
      <c r="CN68" s="705"/>
      <c r="CO68" s="694"/>
      <c r="CP68" s="695"/>
      <c r="CQ68" s="823"/>
      <c r="CR68" s="377"/>
      <c r="CS68" s="705"/>
      <c r="CT68" s="694"/>
      <c r="CU68" s="695"/>
      <c r="CV68" s="823"/>
      <c r="CW68" s="377"/>
      <c r="CX68" s="705"/>
      <c r="CY68" s="694"/>
      <c r="CZ68" s="695"/>
      <c r="DA68" s="823"/>
      <c r="DB68" s="377"/>
      <c r="DC68" s="705"/>
      <c r="DD68" s="694"/>
      <c r="DE68" s="695"/>
      <c r="DF68" s="823"/>
      <c r="DG68" s="377"/>
      <c r="DH68" s="705"/>
      <c r="DI68" s="694"/>
      <c r="DJ68" s="695"/>
      <c r="DK68" s="823"/>
      <c r="DL68" s="377"/>
      <c r="DM68" s="705"/>
      <c r="DN68" s="694"/>
      <c r="DO68" s="695"/>
      <c r="DP68" s="823"/>
      <c r="DQ68" s="377"/>
      <c r="DR68" s="705"/>
      <c r="DS68" s="694"/>
      <c r="DT68" s="695"/>
      <c r="DU68" s="823"/>
      <c r="DV68" s="824"/>
      <c r="DW68" s="825"/>
      <c r="DX68" s="822"/>
      <c r="DY68" s="823"/>
      <c r="DZ68" s="819"/>
      <c r="EA68" s="705"/>
      <c r="EB68" s="694"/>
      <c r="EC68" s="695"/>
      <c r="ED68" s="823"/>
      <c r="EE68" s="824"/>
      <c r="EF68" s="825"/>
      <c r="EG68" s="822"/>
      <c r="EH68" s="823"/>
      <c r="EI68" s="819"/>
      <c r="EJ68" s="705"/>
      <c r="EK68" s="694"/>
      <c r="EL68" s="695"/>
      <c r="EM68" s="823"/>
      <c r="EN68" s="824"/>
      <c r="EO68" s="825"/>
      <c r="EP68" s="822"/>
      <c r="EQ68" s="823"/>
      <c r="ER68" s="819"/>
      <c r="ES68" s="346"/>
    </row>
    <row r="69" spans="1:149" x14ac:dyDescent="0.25">
      <c r="A69" s="692">
        <f t="shared" si="0"/>
        <v>57</v>
      </c>
      <c r="B69" s="705"/>
      <c r="C69" s="694"/>
      <c r="D69" s="695"/>
      <c r="E69" s="823"/>
      <c r="F69" s="377"/>
      <c r="G69" s="705"/>
      <c r="H69" s="694"/>
      <c r="I69" s="695"/>
      <c r="J69" s="823"/>
      <c r="K69" s="377"/>
      <c r="L69" s="705"/>
      <c r="M69" s="694"/>
      <c r="N69" s="695"/>
      <c r="O69" s="823"/>
      <c r="P69" s="377"/>
      <c r="Q69" s="705"/>
      <c r="R69" s="694"/>
      <c r="S69" s="695"/>
      <c r="T69" s="823"/>
      <c r="U69" s="377"/>
      <c r="V69" s="705"/>
      <c r="W69" s="694"/>
      <c r="X69" s="695"/>
      <c r="Y69" s="823"/>
      <c r="Z69" s="377"/>
      <c r="AA69" s="705"/>
      <c r="AB69" s="694"/>
      <c r="AC69" s="695"/>
      <c r="AD69" s="823"/>
      <c r="AE69" s="377"/>
      <c r="AF69" s="705"/>
      <c r="AG69" s="694"/>
      <c r="AH69" s="695"/>
      <c r="AI69" s="823"/>
      <c r="AJ69" s="377"/>
      <c r="AK69" s="705"/>
      <c r="AL69" s="694"/>
      <c r="AM69" s="695"/>
      <c r="AN69" s="823"/>
      <c r="AO69" s="377"/>
      <c r="AP69" s="705"/>
      <c r="AQ69" s="694"/>
      <c r="AR69" s="695"/>
      <c r="AS69" s="823"/>
      <c r="AT69" s="377"/>
      <c r="AU69" s="705"/>
      <c r="AV69" s="694"/>
      <c r="AW69" s="695"/>
      <c r="AX69" s="823"/>
      <c r="AY69" s="377"/>
      <c r="AZ69" s="705"/>
      <c r="BA69" s="694"/>
      <c r="BB69" s="695"/>
      <c r="BC69" s="823"/>
      <c r="BD69" s="377"/>
      <c r="BE69" s="705"/>
      <c r="BF69" s="694"/>
      <c r="BG69" s="695"/>
      <c r="BH69" s="823"/>
      <c r="BI69" s="377"/>
      <c r="BJ69" s="705"/>
      <c r="BK69" s="694"/>
      <c r="BL69" s="695"/>
      <c r="BM69" s="823"/>
      <c r="BN69" s="377"/>
      <c r="BO69" s="705"/>
      <c r="BP69" s="694"/>
      <c r="BQ69" s="695"/>
      <c r="BR69" s="823"/>
      <c r="BS69" s="377"/>
      <c r="BT69" s="705"/>
      <c r="BU69" s="694"/>
      <c r="BV69" s="695"/>
      <c r="BW69" s="823"/>
      <c r="BX69" s="377"/>
      <c r="BY69" s="705"/>
      <c r="BZ69" s="694"/>
      <c r="CA69" s="695"/>
      <c r="CB69" s="823"/>
      <c r="CC69" s="377"/>
      <c r="CD69" s="705"/>
      <c r="CE69" s="694"/>
      <c r="CF69" s="695"/>
      <c r="CG69" s="823"/>
      <c r="CH69" s="377"/>
      <c r="CI69" s="705"/>
      <c r="CJ69" s="694"/>
      <c r="CK69" s="695"/>
      <c r="CL69" s="823"/>
      <c r="CM69" s="377"/>
      <c r="CN69" s="705"/>
      <c r="CO69" s="694"/>
      <c r="CP69" s="695"/>
      <c r="CQ69" s="823"/>
      <c r="CR69" s="377"/>
      <c r="CS69" s="705"/>
      <c r="CT69" s="694"/>
      <c r="CU69" s="695"/>
      <c r="CV69" s="823"/>
      <c r="CW69" s="377"/>
      <c r="CX69" s="705"/>
      <c r="CY69" s="694"/>
      <c r="CZ69" s="695"/>
      <c r="DA69" s="823"/>
      <c r="DB69" s="377"/>
      <c r="DC69" s="705"/>
      <c r="DD69" s="694"/>
      <c r="DE69" s="695"/>
      <c r="DF69" s="823"/>
      <c r="DG69" s="377"/>
      <c r="DH69" s="705"/>
      <c r="DI69" s="694"/>
      <c r="DJ69" s="695"/>
      <c r="DK69" s="823"/>
      <c r="DL69" s="377"/>
      <c r="DM69" s="705"/>
      <c r="DN69" s="694"/>
      <c r="DO69" s="695"/>
      <c r="DP69" s="823"/>
      <c r="DQ69" s="377"/>
      <c r="DR69" s="705"/>
      <c r="DS69" s="694"/>
      <c r="DT69" s="695"/>
      <c r="DU69" s="823"/>
      <c r="DV69" s="824"/>
      <c r="DW69" s="825"/>
      <c r="DX69" s="822"/>
      <c r="DY69" s="823"/>
      <c r="DZ69" s="819"/>
      <c r="EA69" s="705"/>
      <c r="EB69" s="694"/>
      <c r="EC69" s="695"/>
      <c r="ED69" s="823"/>
      <c r="EE69" s="824"/>
      <c r="EF69" s="825"/>
      <c r="EG69" s="822"/>
      <c r="EH69" s="823"/>
      <c r="EI69" s="819"/>
      <c r="EJ69" s="705"/>
      <c r="EK69" s="694"/>
      <c r="EL69" s="695"/>
      <c r="EM69" s="823"/>
      <c r="EN69" s="824"/>
      <c r="EO69" s="825"/>
      <c r="EP69" s="822"/>
      <c r="EQ69" s="823"/>
      <c r="ER69" s="819"/>
      <c r="ES69" s="346"/>
    </row>
    <row r="70" spans="1:149" x14ac:dyDescent="0.25">
      <c r="A70" s="692">
        <f t="shared" si="0"/>
        <v>58</v>
      </c>
      <c r="B70" s="705"/>
      <c r="C70" s="694"/>
      <c r="D70" s="695"/>
      <c r="E70" s="823"/>
      <c r="F70" s="377"/>
      <c r="G70" s="705"/>
      <c r="H70" s="694"/>
      <c r="I70" s="695"/>
      <c r="J70" s="823"/>
      <c r="K70" s="377"/>
      <c r="L70" s="705"/>
      <c r="M70" s="694"/>
      <c r="N70" s="695"/>
      <c r="O70" s="823"/>
      <c r="P70" s="377"/>
      <c r="Q70" s="705"/>
      <c r="R70" s="694"/>
      <c r="S70" s="695"/>
      <c r="T70" s="823"/>
      <c r="U70" s="377"/>
      <c r="V70" s="705"/>
      <c r="W70" s="694"/>
      <c r="X70" s="695"/>
      <c r="Y70" s="823"/>
      <c r="Z70" s="377"/>
      <c r="AA70" s="705"/>
      <c r="AB70" s="694"/>
      <c r="AC70" s="695"/>
      <c r="AD70" s="823"/>
      <c r="AE70" s="377"/>
      <c r="AF70" s="705"/>
      <c r="AG70" s="694"/>
      <c r="AH70" s="695"/>
      <c r="AI70" s="823"/>
      <c r="AJ70" s="377"/>
      <c r="AK70" s="705"/>
      <c r="AL70" s="694"/>
      <c r="AM70" s="695"/>
      <c r="AN70" s="823"/>
      <c r="AO70" s="377"/>
      <c r="AP70" s="705"/>
      <c r="AQ70" s="694"/>
      <c r="AR70" s="695"/>
      <c r="AS70" s="823"/>
      <c r="AT70" s="377"/>
      <c r="AU70" s="705"/>
      <c r="AV70" s="694"/>
      <c r="AW70" s="695"/>
      <c r="AX70" s="823"/>
      <c r="AY70" s="377"/>
      <c r="AZ70" s="705"/>
      <c r="BA70" s="694"/>
      <c r="BB70" s="695"/>
      <c r="BC70" s="823"/>
      <c r="BD70" s="377"/>
      <c r="BE70" s="705"/>
      <c r="BF70" s="694"/>
      <c r="BG70" s="695"/>
      <c r="BH70" s="823"/>
      <c r="BI70" s="377"/>
      <c r="BJ70" s="705"/>
      <c r="BK70" s="694"/>
      <c r="BL70" s="695"/>
      <c r="BM70" s="823"/>
      <c r="BN70" s="377"/>
      <c r="BO70" s="705"/>
      <c r="BP70" s="694"/>
      <c r="BQ70" s="695"/>
      <c r="BR70" s="823"/>
      <c r="BS70" s="377"/>
      <c r="BT70" s="705"/>
      <c r="BU70" s="694"/>
      <c r="BV70" s="695"/>
      <c r="BW70" s="823"/>
      <c r="BX70" s="377"/>
      <c r="BY70" s="705"/>
      <c r="BZ70" s="694"/>
      <c r="CA70" s="695"/>
      <c r="CB70" s="823"/>
      <c r="CC70" s="377"/>
      <c r="CD70" s="705"/>
      <c r="CE70" s="694"/>
      <c r="CF70" s="695"/>
      <c r="CG70" s="823"/>
      <c r="CH70" s="377"/>
      <c r="CI70" s="705"/>
      <c r="CJ70" s="694"/>
      <c r="CK70" s="695"/>
      <c r="CL70" s="823"/>
      <c r="CM70" s="377"/>
      <c r="CN70" s="705"/>
      <c r="CO70" s="694"/>
      <c r="CP70" s="695"/>
      <c r="CQ70" s="823"/>
      <c r="CR70" s="377"/>
      <c r="CS70" s="705"/>
      <c r="CT70" s="694"/>
      <c r="CU70" s="695"/>
      <c r="CV70" s="823"/>
      <c r="CW70" s="377"/>
      <c r="CX70" s="705"/>
      <c r="CY70" s="694"/>
      <c r="CZ70" s="695"/>
      <c r="DA70" s="823"/>
      <c r="DB70" s="377"/>
      <c r="DC70" s="705"/>
      <c r="DD70" s="694"/>
      <c r="DE70" s="695"/>
      <c r="DF70" s="823"/>
      <c r="DG70" s="377"/>
      <c r="DH70" s="705"/>
      <c r="DI70" s="694"/>
      <c r="DJ70" s="695"/>
      <c r="DK70" s="823"/>
      <c r="DL70" s="377"/>
      <c r="DM70" s="705"/>
      <c r="DN70" s="694"/>
      <c r="DO70" s="695"/>
      <c r="DP70" s="823"/>
      <c r="DQ70" s="377"/>
      <c r="DR70" s="705"/>
      <c r="DS70" s="694"/>
      <c r="DT70" s="695"/>
      <c r="DU70" s="823"/>
      <c r="DV70" s="824"/>
      <c r="DW70" s="816"/>
      <c r="DX70" s="822"/>
      <c r="DY70" s="823"/>
      <c r="DZ70" s="819"/>
      <c r="EA70" s="705"/>
      <c r="EB70" s="694"/>
      <c r="EC70" s="695"/>
      <c r="ED70" s="823"/>
      <c r="EE70" s="824"/>
      <c r="EF70" s="816"/>
      <c r="EG70" s="822"/>
      <c r="EH70" s="823"/>
      <c r="EI70" s="819"/>
      <c r="EJ70" s="705"/>
      <c r="EK70" s="694"/>
      <c r="EL70" s="695"/>
      <c r="EM70" s="823"/>
      <c r="EN70" s="824"/>
      <c r="EO70" s="816"/>
      <c r="EP70" s="822"/>
      <c r="EQ70" s="823"/>
      <c r="ER70" s="819"/>
      <c r="ES70" s="346"/>
    </row>
    <row r="71" spans="1:149" x14ac:dyDescent="0.25">
      <c r="A71" s="692">
        <f t="shared" si="0"/>
        <v>59</v>
      </c>
      <c r="B71" s="705"/>
      <c r="C71" s="694"/>
      <c r="D71" s="695"/>
      <c r="E71" s="823"/>
      <c r="F71" s="377"/>
      <c r="G71" s="705"/>
      <c r="H71" s="694"/>
      <c r="I71" s="695"/>
      <c r="J71" s="823"/>
      <c r="K71" s="377"/>
      <c r="L71" s="705"/>
      <c r="M71" s="694"/>
      <c r="N71" s="695"/>
      <c r="O71" s="823"/>
      <c r="P71" s="377"/>
      <c r="Q71" s="705"/>
      <c r="R71" s="694"/>
      <c r="S71" s="695"/>
      <c r="T71" s="823"/>
      <c r="U71" s="377"/>
      <c r="V71" s="705"/>
      <c r="W71" s="694"/>
      <c r="X71" s="695"/>
      <c r="Y71" s="823"/>
      <c r="Z71" s="377"/>
      <c r="AA71" s="705"/>
      <c r="AB71" s="694"/>
      <c r="AC71" s="695"/>
      <c r="AD71" s="823"/>
      <c r="AE71" s="377"/>
      <c r="AF71" s="705"/>
      <c r="AG71" s="694"/>
      <c r="AH71" s="695"/>
      <c r="AI71" s="823"/>
      <c r="AJ71" s="377"/>
      <c r="AK71" s="705"/>
      <c r="AL71" s="694"/>
      <c r="AM71" s="695"/>
      <c r="AN71" s="823"/>
      <c r="AO71" s="377"/>
      <c r="AP71" s="705"/>
      <c r="AQ71" s="694"/>
      <c r="AR71" s="695"/>
      <c r="AS71" s="823"/>
      <c r="AT71" s="377"/>
      <c r="AU71" s="705"/>
      <c r="AV71" s="694"/>
      <c r="AW71" s="695"/>
      <c r="AX71" s="823"/>
      <c r="AY71" s="377"/>
      <c r="AZ71" s="705"/>
      <c r="BA71" s="694"/>
      <c r="BB71" s="695"/>
      <c r="BC71" s="823"/>
      <c r="BD71" s="377"/>
      <c r="BE71" s="705"/>
      <c r="BF71" s="694"/>
      <c r="BG71" s="695"/>
      <c r="BH71" s="823"/>
      <c r="BI71" s="377"/>
      <c r="BJ71" s="705"/>
      <c r="BK71" s="694"/>
      <c r="BL71" s="695"/>
      <c r="BM71" s="823"/>
      <c r="BN71" s="377"/>
      <c r="BO71" s="705"/>
      <c r="BP71" s="694"/>
      <c r="BQ71" s="695"/>
      <c r="BR71" s="823"/>
      <c r="BS71" s="377"/>
      <c r="BT71" s="705"/>
      <c r="BU71" s="694"/>
      <c r="BV71" s="695"/>
      <c r="BW71" s="823"/>
      <c r="BX71" s="377"/>
      <c r="BY71" s="705"/>
      <c r="BZ71" s="694"/>
      <c r="CA71" s="695"/>
      <c r="CB71" s="823"/>
      <c r="CC71" s="377"/>
      <c r="CD71" s="705"/>
      <c r="CE71" s="694"/>
      <c r="CF71" s="695"/>
      <c r="CG71" s="823"/>
      <c r="CH71" s="377"/>
      <c r="CI71" s="705"/>
      <c r="CJ71" s="694"/>
      <c r="CK71" s="695"/>
      <c r="CL71" s="823"/>
      <c r="CM71" s="377"/>
      <c r="CN71" s="705"/>
      <c r="CO71" s="694"/>
      <c r="CP71" s="695"/>
      <c r="CQ71" s="823"/>
      <c r="CR71" s="377"/>
      <c r="CS71" s="705"/>
      <c r="CT71" s="694"/>
      <c r="CU71" s="695"/>
      <c r="CV71" s="823"/>
      <c r="CW71" s="377"/>
      <c r="CX71" s="705"/>
      <c r="CY71" s="694"/>
      <c r="CZ71" s="695"/>
      <c r="DA71" s="823"/>
      <c r="DB71" s="377"/>
      <c r="DC71" s="705"/>
      <c r="DD71" s="694"/>
      <c r="DE71" s="695"/>
      <c r="DF71" s="823"/>
      <c r="DG71" s="377"/>
      <c r="DH71" s="705"/>
      <c r="DI71" s="694"/>
      <c r="DJ71" s="695"/>
      <c r="DK71" s="823"/>
      <c r="DL71" s="377"/>
      <c r="DM71" s="705"/>
      <c r="DN71" s="694"/>
      <c r="DO71" s="695"/>
      <c r="DP71" s="823"/>
      <c r="DQ71" s="377"/>
      <c r="DR71" s="705"/>
      <c r="DS71" s="694"/>
      <c r="DT71" s="695"/>
      <c r="DU71" s="823"/>
      <c r="DV71" s="824"/>
      <c r="DW71" s="825"/>
      <c r="DX71" s="822"/>
      <c r="DY71" s="823"/>
      <c r="DZ71" s="819"/>
      <c r="EA71" s="705"/>
      <c r="EB71" s="694"/>
      <c r="EC71" s="695"/>
      <c r="ED71" s="823"/>
      <c r="EE71" s="824"/>
      <c r="EF71" s="825"/>
      <c r="EG71" s="822"/>
      <c r="EH71" s="823"/>
      <c r="EI71" s="819"/>
      <c r="EJ71" s="705"/>
      <c r="EK71" s="694"/>
      <c r="EL71" s="695"/>
      <c r="EM71" s="823"/>
      <c r="EN71" s="824"/>
      <c r="EO71" s="825"/>
      <c r="EP71" s="822"/>
      <c r="EQ71" s="823"/>
      <c r="ER71" s="819"/>
      <c r="ES71" s="346"/>
    </row>
    <row r="72" spans="1:149" ht="15.75" thickBot="1" x14ac:dyDescent="0.3">
      <c r="A72" s="706">
        <f t="shared" si="0"/>
        <v>60</v>
      </c>
      <c r="B72" s="717"/>
      <c r="C72" s="708"/>
      <c r="D72" s="709"/>
      <c r="E72" s="826"/>
      <c r="F72" s="827"/>
      <c r="G72" s="717"/>
      <c r="H72" s="708"/>
      <c r="I72" s="709"/>
      <c r="J72" s="826"/>
      <c r="K72" s="827"/>
      <c r="L72" s="717"/>
      <c r="M72" s="708"/>
      <c r="N72" s="709"/>
      <c r="O72" s="826"/>
      <c r="P72" s="827"/>
      <c r="Q72" s="717"/>
      <c r="R72" s="708"/>
      <c r="S72" s="709"/>
      <c r="T72" s="826"/>
      <c r="U72" s="827"/>
      <c r="V72" s="717"/>
      <c r="W72" s="708"/>
      <c r="X72" s="709"/>
      <c r="Y72" s="826"/>
      <c r="Z72" s="827"/>
      <c r="AA72" s="717"/>
      <c r="AB72" s="708"/>
      <c r="AC72" s="709"/>
      <c r="AD72" s="826"/>
      <c r="AE72" s="827"/>
      <c r="AF72" s="717"/>
      <c r="AG72" s="708"/>
      <c r="AH72" s="709"/>
      <c r="AI72" s="826"/>
      <c r="AJ72" s="827"/>
      <c r="AK72" s="717"/>
      <c r="AL72" s="708"/>
      <c r="AM72" s="709"/>
      <c r="AN72" s="826"/>
      <c r="AO72" s="827"/>
      <c r="AP72" s="717"/>
      <c r="AQ72" s="708"/>
      <c r="AR72" s="709"/>
      <c r="AS72" s="826"/>
      <c r="AT72" s="827"/>
      <c r="AU72" s="717"/>
      <c r="AV72" s="708"/>
      <c r="AW72" s="709"/>
      <c r="AX72" s="826"/>
      <c r="AY72" s="827"/>
      <c r="AZ72" s="717"/>
      <c r="BA72" s="708"/>
      <c r="BB72" s="709"/>
      <c r="BC72" s="826"/>
      <c r="BD72" s="827"/>
      <c r="BE72" s="717"/>
      <c r="BF72" s="708"/>
      <c r="BG72" s="709"/>
      <c r="BH72" s="826"/>
      <c r="BI72" s="827"/>
      <c r="BJ72" s="717"/>
      <c r="BK72" s="708"/>
      <c r="BL72" s="709"/>
      <c r="BM72" s="826"/>
      <c r="BN72" s="827"/>
      <c r="BO72" s="717"/>
      <c r="BP72" s="708"/>
      <c r="BQ72" s="709"/>
      <c r="BR72" s="826"/>
      <c r="BS72" s="827"/>
      <c r="BT72" s="717"/>
      <c r="BU72" s="708"/>
      <c r="BV72" s="709"/>
      <c r="BW72" s="826"/>
      <c r="BX72" s="827"/>
      <c r="BY72" s="717"/>
      <c r="BZ72" s="708"/>
      <c r="CA72" s="709"/>
      <c r="CB72" s="826"/>
      <c r="CC72" s="827"/>
      <c r="CD72" s="717"/>
      <c r="CE72" s="708"/>
      <c r="CF72" s="709"/>
      <c r="CG72" s="826"/>
      <c r="CH72" s="827"/>
      <c r="CI72" s="717"/>
      <c r="CJ72" s="708"/>
      <c r="CK72" s="709"/>
      <c r="CL72" s="826"/>
      <c r="CM72" s="827"/>
      <c r="CN72" s="717"/>
      <c r="CO72" s="708"/>
      <c r="CP72" s="709"/>
      <c r="CQ72" s="826"/>
      <c r="CR72" s="827"/>
      <c r="CS72" s="717"/>
      <c r="CT72" s="708"/>
      <c r="CU72" s="709"/>
      <c r="CV72" s="826"/>
      <c r="CW72" s="827"/>
      <c r="CX72" s="717"/>
      <c r="CY72" s="708"/>
      <c r="CZ72" s="709"/>
      <c r="DA72" s="826"/>
      <c r="DB72" s="827"/>
      <c r="DC72" s="717"/>
      <c r="DD72" s="708"/>
      <c r="DE72" s="709"/>
      <c r="DF72" s="826"/>
      <c r="DG72" s="827"/>
      <c r="DH72" s="717"/>
      <c r="DI72" s="708"/>
      <c r="DJ72" s="709"/>
      <c r="DK72" s="826"/>
      <c r="DL72" s="827"/>
      <c r="DM72" s="717"/>
      <c r="DN72" s="708"/>
      <c r="DO72" s="709"/>
      <c r="DP72" s="826"/>
      <c r="DQ72" s="827"/>
      <c r="DR72" s="717"/>
      <c r="DS72" s="708"/>
      <c r="DT72" s="709"/>
      <c r="DU72" s="826"/>
      <c r="DV72" s="828"/>
      <c r="DW72" s="829"/>
      <c r="DX72" s="830"/>
      <c r="DY72" s="826"/>
      <c r="DZ72" s="831"/>
      <c r="EA72" s="717"/>
      <c r="EB72" s="708"/>
      <c r="EC72" s="709"/>
      <c r="ED72" s="826"/>
      <c r="EE72" s="828"/>
      <c r="EF72" s="829"/>
      <c r="EG72" s="830"/>
      <c r="EH72" s="826"/>
      <c r="EI72" s="831"/>
      <c r="EJ72" s="717"/>
      <c r="EK72" s="708"/>
      <c r="EL72" s="709"/>
      <c r="EM72" s="826"/>
      <c r="EN72" s="828"/>
      <c r="EO72" s="829"/>
      <c r="EP72" s="830"/>
      <c r="EQ72" s="826"/>
      <c r="ER72" s="831"/>
      <c r="ES72" s="346"/>
    </row>
    <row r="73" spans="1:149" x14ac:dyDescent="0.25">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c r="BS73" s="405"/>
      <c r="BT73" s="405"/>
      <c r="BU73" s="405"/>
      <c r="BV73" s="405"/>
      <c r="BW73" s="405"/>
      <c r="BX73" s="405"/>
      <c r="BY73" s="719"/>
      <c r="BZ73" s="719"/>
      <c r="CA73" s="405"/>
      <c r="CB73" s="719"/>
      <c r="CC73" s="405"/>
      <c r="CD73" s="719"/>
      <c r="CE73" s="719"/>
      <c r="CF73" s="405"/>
      <c r="CG73" s="720"/>
      <c r="CH73" s="720"/>
      <c r="CI73" s="405"/>
      <c r="CJ73" s="405"/>
      <c r="CK73" s="405"/>
      <c r="CL73" s="405"/>
      <c r="CM73" s="405"/>
      <c r="CN73" s="405"/>
      <c r="CO73" s="405"/>
      <c r="CP73" s="405"/>
      <c r="CQ73" s="405"/>
      <c r="CR73" s="405"/>
      <c r="CS73" s="405"/>
      <c r="CT73" s="405"/>
      <c r="CU73" s="405"/>
      <c r="CV73" s="405"/>
      <c r="CW73" s="405"/>
      <c r="CX73" s="405"/>
      <c r="CY73" s="405"/>
      <c r="CZ73" s="405"/>
      <c r="DA73" s="405"/>
      <c r="DB73" s="405"/>
      <c r="DC73" s="405"/>
      <c r="DD73" s="405"/>
      <c r="DE73" s="405"/>
      <c r="DF73" s="405"/>
      <c r="DG73" s="405"/>
      <c r="DH73" s="405"/>
      <c r="DI73" s="405"/>
      <c r="DJ73" s="405"/>
      <c r="DK73" s="405"/>
      <c r="DL73" s="405"/>
      <c r="DM73" s="405"/>
      <c r="DN73" s="405"/>
      <c r="DO73" s="405"/>
      <c r="DP73" s="405"/>
      <c r="DQ73" s="405"/>
      <c r="DR73" s="405"/>
      <c r="DS73" s="405"/>
      <c r="DT73" s="405"/>
      <c r="DU73" s="405"/>
      <c r="DV73" s="405"/>
      <c r="DW73" s="405"/>
      <c r="DX73" s="405"/>
      <c r="DY73" s="405"/>
      <c r="DZ73" s="405"/>
      <c r="EA73" s="405"/>
      <c r="EB73" s="405"/>
      <c r="EC73" s="405"/>
      <c r="ED73" s="405"/>
      <c r="EE73" s="405"/>
      <c r="EF73" s="405"/>
      <c r="EG73" s="405"/>
      <c r="EH73" s="405"/>
      <c r="EI73" s="405"/>
      <c r="EJ73" s="405"/>
      <c r="EK73" s="405"/>
      <c r="EL73" s="405"/>
      <c r="EM73" s="405"/>
      <c r="EN73" s="405"/>
      <c r="EO73" s="405"/>
      <c r="EP73" s="405"/>
      <c r="EQ73" s="405"/>
      <c r="ER73" s="405"/>
      <c r="ES73" s="401"/>
    </row>
    <row r="74" spans="1:149" x14ac:dyDescent="0.25">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5"/>
      <c r="BV74" s="405"/>
      <c r="BW74" s="405"/>
      <c r="BX74" s="405"/>
      <c r="BY74" s="719"/>
      <c r="BZ74" s="719"/>
      <c r="CA74" s="405"/>
      <c r="CB74" s="719"/>
      <c r="CC74" s="405"/>
      <c r="CD74" s="719"/>
      <c r="CE74" s="719"/>
      <c r="CF74" s="405"/>
      <c r="CG74" s="720"/>
      <c r="CH74" s="720"/>
      <c r="CI74" s="405"/>
      <c r="CJ74" s="405"/>
      <c r="CK74" s="405"/>
      <c r="CL74" s="405"/>
      <c r="CM74" s="405"/>
      <c r="CN74" s="405"/>
      <c r="CO74" s="405"/>
      <c r="CP74" s="405"/>
      <c r="CQ74" s="405"/>
      <c r="CR74" s="405"/>
      <c r="CS74" s="405"/>
      <c r="CT74" s="405"/>
      <c r="CU74" s="405"/>
      <c r="CV74" s="405"/>
      <c r="CW74" s="405"/>
      <c r="CX74" s="405"/>
      <c r="CY74" s="405"/>
      <c r="CZ74" s="405"/>
      <c r="DA74" s="405"/>
      <c r="DB74" s="405"/>
      <c r="DC74" s="405"/>
      <c r="DD74" s="405"/>
      <c r="DE74" s="405"/>
      <c r="DF74" s="405"/>
      <c r="DG74" s="405"/>
      <c r="DH74" s="405"/>
      <c r="DI74" s="405"/>
      <c r="DJ74" s="405"/>
      <c r="DK74" s="405"/>
      <c r="DL74" s="405"/>
      <c r="DM74" s="405"/>
      <c r="DN74" s="405"/>
      <c r="DO74" s="405"/>
      <c r="DP74" s="405"/>
      <c r="DQ74" s="405"/>
      <c r="DR74" s="405"/>
      <c r="DS74" s="405"/>
      <c r="DT74" s="405"/>
      <c r="DU74" s="405"/>
      <c r="DV74" s="405"/>
      <c r="DW74" s="405"/>
      <c r="DX74" s="405"/>
      <c r="DY74" s="405"/>
      <c r="DZ74" s="405"/>
      <c r="EA74" s="405"/>
      <c r="EB74" s="405"/>
      <c r="EC74" s="405"/>
      <c r="ED74" s="405"/>
      <c r="EE74" s="405"/>
      <c r="EF74" s="405"/>
      <c r="EG74" s="405"/>
      <c r="EH74" s="405"/>
      <c r="EI74" s="405"/>
      <c r="EJ74" s="405"/>
      <c r="EK74" s="405"/>
      <c r="EL74" s="405"/>
      <c r="EM74" s="405"/>
      <c r="EN74" s="405"/>
      <c r="EO74" s="405"/>
      <c r="EP74" s="405"/>
      <c r="EQ74" s="405"/>
      <c r="ER74" s="405"/>
      <c r="ES74" s="401"/>
    </row>
    <row r="75" spans="1:149" x14ac:dyDescent="0.25">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719"/>
      <c r="BZ75" s="719"/>
      <c r="CA75" s="405"/>
      <c r="CB75" s="719"/>
      <c r="CC75" s="405"/>
      <c r="CD75" s="719"/>
      <c r="CE75" s="719"/>
      <c r="CF75" s="405"/>
      <c r="CG75" s="720"/>
      <c r="CH75" s="720"/>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c r="DK75" s="405"/>
      <c r="DL75" s="405"/>
      <c r="DM75" s="405"/>
      <c r="DN75" s="405"/>
      <c r="DO75" s="405"/>
      <c r="DP75" s="405"/>
      <c r="DQ75" s="405"/>
      <c r="DR75" s="405"/>
      <c r="DS75" s="405"/>
      <c r="DT75" s="405"/>
      <c r="DU75" s="405"/>
      <c r="DV75" s="405"/>
      <c r="DW75" s="405"/>
      <c r="DX75" s="405"/>
      <c r="DY75" s="405"/>
      <c r="DZ75" s="405"/>
      <c r="EA75" s="405"/>
      <c r="EB75" s="405"/>
      <c r="EC75" s="405"/>
      <c r="ED75" s="405"/>
      <c r="EE75" s="405"/>
      <c r="EF75" s="405"/>
      <c r="EG75" s="405"/>
      <c r="EH75" s="405"/>
      <c r="EI75" s="405"/>
      <c r="EJ75" s="405"/>
      <c r="EK75" s="405"/>
      <c r="EL75" s="405"/>
      <c r="EM75" s="405"/>
      <c r="EN75" s="405"/>
      <c r="EO75" s="405"/>
      <c r="EP75" s="405"/>
      <c r="EQ75" s="405"/>
      <c r="ER75" s="405"/>
      <c r="ES75" s="401"/>
    </row>
    <row r="76" spans="1:149" ht="15.75" thickBot="1" x14ac:dyDescent="0.3">
      <c r="A76" s="414"/>
      <c r="B76" s="414"/>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414"/>
      <c r="AJ76" s="414"/>
      <c r="AK76" s="414"/>
      <c r="AL76" s="414"/>
      <c r="AM76" s="414"/>
      <c r="AN76" s="414"/>
      <c r="AO76" s="414"/>
      <c r="AP76" s="414"/>
      <c r="AQ76" s="414"/>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414"/>
      <c r="BZ76" s="414"/>
      <c r="CA76" s="414"/>
      <c r="CB76" s="721"/>
      <c r="CC76" s="414"/>
      <c r="CD76" s="721"/>
      <c r="CE76" s="721"/>
      <c r="CF76" s="414"/>
      <c r="CG76" s="414"/>
      <c r="CH76" s="414"/>
      <c r="CI76" s="414"/>
      <c r="CJ76" s="414"/>
      <c r="CK76" s="414"/>
      <c r="CL76" s="414"/>
      <c r="CM76" s="414"/>
      <c r="CN76" s="414"/>
      <c r="CO76" s="414"/>
      <c r="CP76" s="414"/>
      <c r="CQ76" s="414"/>
      <c r="CR76" s="414"/>
      <c r="CS76" s="414"/>
      <c r="CT76" s="414"/>
      <c r="CU76" s="414"/>
      <c r="CV76" s="414"/>
      <c r="CW76" s="414"/>
      <c r="CX76" s="414"/>
      <c r="CY76" s="414"/>
      <c r="CZ76" s="414"/>
      <c r="DA76" s="414"/>
      <c r="DB76" s="414"/>
      <c r="DC76" s="414"/>
      <c r="DD76" s="414"/>
      <c r="DE76" s="414"/>
      <c r="DF76" s="414"/>
      <c r="DG76" s="414"/>
      <c r="DH76" s="414"/>
      <c r="DI76" s="414"/>
      <c r="DJ76" s="414"/>
      <c r="DK76" s="414"/>
      <c r="DL76" s="414"/>
      <c r="DM76" s="414"/>
      <c r="DN76" s="414"/>
      <c r="DO76" s="414"/>
      <c r="DP76" s="414"/>
      <c r="DQ76" s="414"/>
      <c r="DR76" s="414"/>
      <c r="DS76" s="414"/>
      <c r="DT76" s="414"/>
      <c r="DU76" s="414"/>
      <c r="DV76" s="414"/>
      <c r="DW76" s="414"/>
      <c r="DX76" s="414"/>
      <c r="DY76" s="414"/>
      <c r="DZ76" s="414"/>
      <c r="EA76" s="414"/>
      <c r="EB76" s="414"/>
      <c r="EC76" s="414"/>
      <c r="ED76" s="414"/>
      <c r="EE76" s="414"/>
      <c r="EF76" s="414"/>
      <c r="EG76" s="414"/>
      <c r="EH76" s="414"/>
      <c r="EI76" s="414"/>
      <c r="EJ76" s="414"/>
      <c r="EK76" s="414"/>
      <c r="EL76" s="414"/>
      <c r="EM76" s="414"/>
      <c r="EN76" s="414"/>
      <c r="EO76" s="414"/>
      <c r="EP76" s="414"/>
      <c r="EQ76" s="414"/>
      <c r="ER76" s="414"/>
      <c r="ES76" s="415"/>
    </row>
    <row r="77" spans="1:149" x14ac:dyDescent="0.25">
      <c r="CB77" s="114"/>
    </row>
    <row r="78" spans="1:149" x14ac:dyDescent="0.25">
      <c r="CB78" s="114"/>
    </row>
    <row r="79" spans="1:149" x14ac:dyDescent="0.25">
      <c r="CB79" s="114"/>
    </row>
    <row r="80" spans="1:149" x14ac:dyDescent="0.25">
      <c r="CB80" s="114"/>
    </row>
    <row r="81" spans="80:80" x14ac:dyDescent="0.25">
      <c r="CB81" s="114"/>
    </row>
    <row r="82" spans="80:80" x14ac:dyDescent="0.25">
      <c r="CB82" s="114"/>
    </row>
    <row r="83" spans="80:80" x14ac:dyDescent="0.25">
      <c r="CB83" s="114"/>
    </row>
    <row r="84" spans="80:80" x14ac:dyDescent="0.25">
      <c r="CB84" s="114"/>
    </row>
  </sheetData>
  <phoneticPr fontId="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8000"/>
  </sheetPr>
  <dimension ref="A1:IO140"/>
  <sheetViews>
    <sheetView topLeftCell="A8" workbookViewId="0"/>
  </sheetViews>
  <sheetFormatPr defaultColWidth="9.140625" defaultRowHeight="15" x14ac:dyDescent="0.25"/>
  <cols>
    <col min="1" max="1" width="12" style="10" customWidth="1"/>
    <col min="2" max="2" width="11.140625" style="10" customWidth="1"/>
    <col min="3" max="3" width="10.28515625" style="10" customWidth="1"/>
    <col min="4" max="9" width="7.7109375" style="10" customWidth="1"/>
    <col min="10" max="10" width="10.28515625" style="10" customWidth="1"/>
    <col min="11" max="11" width="11" style="10" customWidth="1"/>
    <col min="12" max="241" width="7.7109375" style="10" customWidth="1"/>
    <col min="242" max="242" width="7.140625" style="10" customWidth="1"/>
    <col min="243" max="16384" width="9.140625" style="10"/>
  </cols>
  <sheetData>
    <row r="1" spans="1:244" ht="15.75" thickBot="1" x14ac:dyDescent="0.3">
      <c r="A1" s="1179" t="s">
        <v>180</v>
      </c>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c r="AS1" s="631"/>
      <c r="AT1" s="631"/>
      <c r="AU1" s="631"/>
      <c r="AV1" s="631"/>
      <c r="AW1" s="631"/>
      <c r="AX1" s="631"/>
      <c r="AY1" s="631"/>
      <c r="AZ1" s="631"/>
      <c r="BA1" s="631"/>
      <c r="BB1" s="631"/>
      <c r="BC1" s="631"/>
      <c r="BD1" s="631"/>
      <c r="BE1" s="631"/>
      <c r="BF1" s="631"/>
      <c r="BG1" s="631"/>
      <c r="BH1" s="631"/>
      <c r="BI1" s="631"/>
      <c r="BJ1" s="631"/>
      <c r="BK1" s="631"/>
      <c r="BL1" s="631"/>
      <c r="BM1" s="631"/>
      <c r="BN1" s="631"/>
      <c r="BO1" s="631"/>
      <c r="BP1" s="631"/>
      <c r="BQ1" s="631"/>
      <c r="BR1" s="631"/>
      <c r="BS1" s="631"/>
      <c r="BT1" s="631"/>
      <c r="BU1" s="631"/>
      <c r="BV1" s="631"/>
      <c r="BW1" s="631"/>
      <c r="BX1" s="631"/>
      <c r="BY1" s="631"/>
      <c r="BZ1" s="631"/>
      <c r="CA1" s="631"/>
      <c r="CB1" s="631"/>
      <c r="CC1" s="631"/>
      <c r="CD1" s="631"/>
      <c r="CE1" s="631"/>
      <c r="CF1" s="631"/>
      <c r="CG1" s="631"/>
      <c r="CH1" s="631"/>
      <c r="CI1" s="631"/>
      <c r="CJ1" s="631"/>
      <c r="CK1" s="631"/>
      <c r="CL1" s="631"/>
      <c r="CM1" s="631"/>
      <c r="CN1" s="631"/>
      <c r="CO1" s="631"/>
      <c r="CP1" s="631"/>
      <c r="CQ1" s="631"/>
      <c r="CR1" s="631"/>
      <c r="CS1" s="631"/>
      <c r="CT1" s="631"/>
      <c r="CU1" s="631"/>
      <c r="CV1" s="631"/>
      <c r="CW1" s="631"/>
      <c r="CX1" s="631"/>
      <c r="CY1" s="631"/>
      <c r="CZ1" s="631"/>
      <c r="DA1" s="631"/>
      <c r="DB1" s="631"/>
      <c r="DC1" s="631"/>
      <c r="DD1" s="631"/>
      <c r="DE1" s="631"/>
      <c r="DF1" s="631"/>
      <c r="DG1" s="631"/>
      <c r="DH1" s="631"/>
      <c r="DI1" s="631"/>
      <c r="DJ1" s="631"/>
      <c r="DK1" s="631"/>
      <c r="DL1" s="631"/>
      <c r="DM1" s="631"/>
      <c r="DN1" s="631"/>
      <c r="DO1" s="631"/>
      <c r="DP1" s="631"/>
      <c r="DQ1" s="631"/>
      <c r="DR1" s="631"/>
      <c r="DS1" s="631"/>
      <c r="DT1" s="631"/>
      <c r="DU1" s="631"/>
      <c r="DV1" s="631"/>
      <c r="DW1" s="631"/>
      <c r="DX1" s="631"/>
      <c r="DY1" s="631"/>
      <c r="DZ1" s="631"/>
      <c r="EA1" s="631"/>
      <c r="EB1" s="631"/>
      <c r="EC1" s="631"/>
      <c r="ED1" s="631"/>
      <c r="EE1" s="631"/>
      <c r="EF1" s="631"/>
      <c r="EG1" s="631"/>
      <c r="EH1" s="631"/>
      <c r="EI1" s="631"/>
      <c r="EJ1" s="631"/>
      <c r="EK1" s="631"/>
      <c r="EL1" s="631"/>
      <c r="EM1" s="631"/>
      <c r="EN1" s="631"/>
      <c r="EO1" s="631"/>
      <c r="EP1" s="631"/>
      <c r="EQ1" s="631"/>
      <c r="ER1" s="631"/>
      <c r="ES1" s="631"/>
      <c r="ET1" s="631"/>
      <c r="EU1" s="631"/>
      <c r="EV1" s="631"/>
      <c r="EW1" s="631"/>
      <c r="EX1" s="631"/>
      <c r="EY1" s="631"/>
      <c r="EZ1" s="631"/>
      <c r="FA1" s="631"/>
      <c r="FB1" s="631"/>
      <c r="FC1" s="631"/>
      <c r="FD1" s="631"/>
      <c r="FE1" s="631"/>
      <c r="FF1" s="631"/>
      <c r="FG1" s="631"/>
      <c r="FH1" s="631"/>
      <c r="FI1" s="631"/>
      <c r="FJ1" s="631"/>
      <c r="FK1" s="631"/>
      <c r="FL1" s="631"/>
      <c r="FM1" s="631"/>
      <c r="FN1" s="631"/>
      <c r="FO1" s="631"/>
      <c r="FP1" s="631"/>
      <c r="FQ1" s="631"/>
      <c r="FR1" s="631"/>
      <c r="FS1" s="631"/>
      <c r="FT1" s="631"/>
      <c r="FU1" s="631"/>
      <c r="FV1" s="631"/>
      <c r="FW1" s="631"/>
      <c r="FX1" s="631"/>
      <c r="FY1" s="631"/>
      <c r="FZ1" s="631"/>
      <c r="GA1" s="631"/>
      <c r="GB1" s="631"/>
      <c r="GC1" s="631"/>
      <c r="GD1" s="631"/>
      <c r="GE1" s="631"/>
      <c r="GF1" s="631"/>
      <c r="GG1" s="631"/>
      <c r="GH1" s="631"/>
      <c r="GI1" s="631"/>
      <c r="GJ1" s="631"/>
      <c r="GK1" s="631"/>
      <c r="GL1" s="631"/>
      <c r="GM1" s="631"/>
      <c r="GN1" s="631"/>
      <c r="GO1" s="631"/>
      <c r="GP1" s="631"/>
      <c r="GQ1" s="631"/>
      <c r="GR1" s="631"/>
      <c r="GS1" s="631"/>
      <c r="GT1" s="631"/>
      <c r="GU1" s="631"/>
      <c r="GV1" s="631"/>
      <c r="GW1" s="631"/>
      <c r="GX1" s="631"/>
      <c r="GY1" s="631"/>
      <c r="GZ1" s="631"/>
      <c r="HA1" s="631"/>
      <c r="HB1" s="631"/>
      <c r="HC1" s="631"/>
      <c r="HD1" s="631"/>
      <c r="HE1" s="631"/>
      <c r="HF1" s="631"/>
      <c r="HG1" s="631"/>
      <c r="HH1" s="631"/>
      <c r="HI1" s="631"/>
      <c r="HJ1" s="631"/>
      <c r="HK1" s="631"/>
      <c r="HL1" s="631"/>
      <c r="HM1" s="631"/>
      <c r="HN1" s="631"/>
      <c r="HO1" s="631"/>
      <c r="HP1" s="631"/>
      <c r="HQ1" s="631"/>
      <c r="HR1" s="631"/>
      <c r="HS1" s="631"/>
      <c r="HT1" s="631"/>
      <c r="HU1" s="631"/>
      <c r="HV1" s="631"/>
      <c r="HW1" s="631"/>
      <c r="HX1" s="631"/>
      <c r="HY1" s="631"/>
      <c r="HZ1" s="631"/>
      <c r="IA1" s="631"/>
      <c r="IB1" s="631"/>
      <c r="IC1" s="631"/>
      <c r="ID1" s="631"/>
      <c r="IE1" s="631"/>
      <c r="IF1" s="631"/>
      <c r="IG1" s="631"/>
      <c r="IH1" s="734"/>
    </row>
    <row r="2" spans="1:244" s="740" customFormat="1" ht="15.75" thickBot="1" x14ac:dyDescent="0.3">
      <c r="A2" s="735" t="s">
        <v>173</v>
      </c>
      <c r="B2" s="736">
        <v>1</v>
      </c>
      <c r="C2" s="737"/>
      <c r="D2" s="737"/>
      <c r="E2" s="737"/>
      <c r="F2" s="737"/>
      <c r="G2" s="737"/>
      <c r="H2" s="737"/>
      <c r="I2" s="738"/>
      <c r="J2" s="736">
        <v>2</v>
      </c>
      <c r="K2" s="737"/>
      <c r="L2" s="737"/>
      <c r="M2" s="737"/>
      <c r="N2" s="737"/>
      <c r="O2" s="737"/>
      <c r="P2" s="737"/>
      <c r="Q2" s="737"/>
      <c r="R2" s="736">
        <v>3</v>
      </c>
      <c r="S2" s="737"/>
      <c r="T2" s="737"/>
      <c r="U2" s="737"/>
      <c r="V2" s="737"/>
      <c r="W2" s="737"/>
      <c r="X2" s="737"/>
      <c r="Y2" s="738"/>
      <c r="Z2" s="738">
        <v>4</v>
      </c>
      <c r="AA2" s="737"/>
      <c r="AB2" s="737"/>
      <c r="AC2" s="737"/>
      <c r="AD2" s="737"/>
      <c r="AE2" s="737"/>
      <c r="AF2" s="737"/>
      <c r="AG2" s="737"/>
      <c r="AH2" s="736">
        <v>5</v>
      </c>
      <c r="AI2" s="737"/>
      <c r="AJ2" s="737"/>
      <c r="AK2" s="737"/>
      <c r="AL2" s="737"/>
      <c r="AM2" s="737"/>
      <c r="AN2" s="737"/>
      <c r="AO2" s="738"/>
      <c r="AP2" s="738">
        <v>6</v>
      </c>
      <c r="AQ2" s="737"/>
      <c r="AR2" s="737"/>
      <c r="AS2" s="737"/>
      <c r="AT2" s="737"/>
      <c r="AU2" s="737"/>
      <c r="AV2" s="737"/>
      <c r="AW2" s="737"/>
      <c r="AX2" s="736">
        <v>7</v>
      </c>
      <c r="AY2" s="737"/>
      <c r="AZ2" s="737"/>
      <c r="BA2" s="737"/>
      <c r="BB2" s="737"/>
      <c r="BC2" s="737"/>
      <c r="BD2" s="737"/>
      <c r="BE2" s="738"/>
      <c r="BF2" s="738">
        <v>8</v>
      </c>
      <c r="BG2" s="737"/>
      <c r="BH2" s="737"/>
      <c r="BI2" s="737"/>
      <c r="BJ2" s="737"/>
      <c r="BK2" s="737"/>
      <c r="BL2" s="737"/>
      <c r="BM2" s="737"/>
      <c r="BN2" s="736">
        <v>9</v>
      </c>
      <c r="BO2" s="737"/>
      <c r="BP2" s="737"/>
      <c r="BQ2" s="737"/>
      <c r="BR2" s="737"/>
      <c r="BS2" s="737"/>
      <c r="BT2" s="737"/>
      <c r="BU2" s="738"/>
      <c r="BV2" s="738">
        <v>10</v>
      </c>
      <c r="BW2" s="737"/>
      <c r="BX2" s="737"/>
      <c r="BY2" s="737"/>
      <c r="BZ2" s="737"/>
      <c r="CA2" s="737"/>
      <c r="CB2" s="737"/>
      <c r="CC2" s="737"/>
      <c r="CD2" s="736">
        <v>11</v>
      </c>
      <c r="CE2" s="737"/>
      <c r="CF2" s="737"/>
      <c r="CG2" s="737"/>
      <c r="CH2" s="737"/>
      <c r="CI2" s="737"/>
      <c r="CJ2" s="737"/>
      <c r="CK2" s="738"/>
      <c r="CL2" s="738">
        <v>12</v>
      </c>
      <c r="CM2" s="737"/>
      <c r="CN2" s="737"/>
      <c r="CO2" s="737"/>
      <c r="CP2" s="737"/>
      <c r="CQ2" s="737"/>
      <c r="CR2" s="737"/>
      <c r="CS2" s="737"/>
      <c r="CT2" s="736">
        <v>13</v>
      </c>
      <c r="CU2" s="737"/>
      <c r="CV2" s="737"/>
      <c r="CW2" s="737"/>
      <c r="CX2" s="737"/>
      <c r="CY2" s="737"/>
      <c r="CZ2" s="737"/>
      <c r="DA2" s="738"/>
      <c r="DB2" s="738">
        <v>14</v>
      </c>
      <c r="DC2" s="737"/>
      <c r="DD2" s="737"/>
      <c r="DE2" s="737"/>
      <c r="DF2" s="737"/>
      <c r="DG2" s="737"/>
      <c r="DH2" s="737"/>
      <c r="DI2" s="737"/>
      <c r="DJ2" s="736">
        <v>15</v>
      </c>
      <c r="DK2" s="737"/>
      <c r="DL2" s="737"/>
      <c r="DM2" s="737"/>
      <c r="DN2" s="737"/>
      <c r="DO2" s="737"/>
      <c r="DP2" s="737"/>
      <c r="DQ2" s="738"/>
      <c r="DR2" s="738">
        <v>16</v>
      </c>
      <c r="DS2" s="737"/>
      <c r="DT2" s="737"/>
      <c r="DU2" s="737"/>
      <c r="DV2" s="737"/>
      <c r="DW2" s="737"/>
      <c r="DX2" s="737"/>
      <c r="DY2" s="737"/>
      <c r="DZ2" s="736">
        <v>17</v>
      </c>
      <c r="EA2" s="737"/>
      <c r="EB2" s="737"/>
      <c r="EC2" s="737"/>
      <c r="ED2" s="737"/>
      <c r="EE2" s="737"/>
      <c r="EF2" s="737"/>
      <c r="EG2" s="738"/>
      <c r="EH2" s="738">
        <v>18</v>
      </c>
      <c r="EI2" s="737"/>
      <c r="EJ2" s="737"/>
      <c r="EK2" s="737"/>
      <c r="EL2" s="737"/>
      <c r="EM2" s="737"/>
      <c r="EN2" s="737"/>
      <c r="EO2" s="737"/>
      <c r="EP2" s="736">
        <v>19</v>
      </c>
      <c r="EQ2" s="737"/>
      <c r="ER2" s="737"/>
      <c r="ES2" s="737"/>
      <c r="ET2" s="737"/>
      <c r="EU2" s="737"/>
      <c r="EV2" s="737"/>
      <c r="EW2" s="738"/>
      <c r="EX2" s="738">
        <v>20</v>
      </c>
      <c r="EY2" s="737"/>
      <c r="EZ2" s="737"/>
      <c r="FA2" s="737"/>
      <c r="FB2" s="737"/>
      <c r="FC2" s="737"/>
      <c r="FD2" s="737"/>
      <c r="FE2" s="737"/>
      <c r="FF2" s="736">
        <v>21</v>
      </c>
      <c r="FG2" s="737"/>
      <c r="FH2" s="737"/>
      <c r="FI2" s="737"/>
      <c r="FJ2" s="737"/>
      <c r="FK2" s="737"/>
      <c r="FL2" s="737"/>
      <c r="FM2" s="738"/>
      <c r="FN2" s="738">
        <v>22</v>
      </c>
      <c r="FO2" s="737"/>
      <c r="FP2" s="737"/>
      <c r="FQ2" s="737"/>
      <c r="FR2" s="737"/>
      <c r="FS2" s="737"/>
      <c r="FT2" s="737"/>
      <c r="FU2" s="737"/>
      <c r="FV2" s="736">
        <v>23</v>
      </c>
      <c r="FW2" s="737"/>
      <c r="FX2" s="737"/>
      <c r="FY2" s="737"/>
      <c r="FZ2" s="737"/>
      <c r="GA2" s="737"/>
      <c r="GB2" s="737"/>
      <c r="GC2" s="738"/>
      <c r="GD2" s="738">
        <v>24</v>
      </c>
      <c r="GE2" s="737"/>
      <c r="GF2" s="737"/>
      <c r="GG2" s="737"/>
      <c r="GH2" s="737"/>
      <c r="GI2" s="737"/>
      <c r="GJ2" s="737"/>
      <c r="GK2" s="737"/>
      <c r="GL2" s="736">
        <v>25</v>
      </c>
      <c r="GM2" s="737"/>
      <c r="GN2" s="737"/>
      <c r="GO2" s="737"/>
      <c r="GP2" s="737"/>
      <c r="GQ2" s="737"/>
      <c r="GR2" s="737"/>
      <c r="GS2" s="738"/>
      <c r="GT2" s="738">
        <v>26</v>
      </c>
      <c r="GU2" s="737"/>
      <c r="GV2" s="737"/>
      <c r="GW2" s="737"/>
      <c r="GX2" s="737"/>
      <c r="GY2" s="737"/>
      <c r="GZ2" s="737"/>
      <c r="HA2" s="737"/>
      <c r="HB2" s="736">
        <v>27</v>
      </c>
      <c r="HC2" s="737"/>
      <c r="HD2" s="737"/>
      <c r="HE2" s="737"/>
      <c r="HF2" s="737"/>
      <c r="HG2" s="737"/>
      <c r="HH2" s="737"/>
      <c r="HI2" s="738"/>
      <c r="HJ2" s="738">
        <v>28</v>
      </c>
      <c r="HK2" s="737"/>
      <c r="HL2" s="737"/>
      <c r="HM2" s="737"/>
      <c r="HN2" s="737"/>
      <c r="HO2" s="737"/>
      <c r="HP2" s="737"/>
      <c r="HQ2" s="737"/>
      <c r="HR2" s="736">
        <v>29</v>
      </c>
      <c r="HS2" s="737"/>
      <c r="HT2" s="737"/>
      <c r="HU2" s="737"/>
      <c r="HV2" s="737"/>
      <c r="HW2" s="737"/>
      <c r="HX2" s="737"/>
      <c r="HY2" s="738"/>
      <c r="HZ2" s="738">
        <v>30</v>
      </c>
      <c r="IA2" s="737"/>
      <c r="IB2" s="737"/>
      <c r="IC2" s="737"/>
      <c r="ID2" s="737"/>
      <c r="IE2" s="737"/>
      <c r="IF2" s="737"/>
      <c r="IG2" s="737"/>
      <c r="IH2" s="739"/>
    </row>
    <row r="3" spans="1:244" s="744" customFormat="1" ht="15.75" thickBot="1" x14ac:dyDescent="0.25">
      <c r="A3" s="741" t="s">
        <v>52</v>
      </c>
      <c r="B3" s="742" t="s">
        <v>528</v>
      </c>
      <c r="C3" s="644"/>
      <c r="D3" s="644"/>
      <c r="E3" s="644"/>
      <c r="F3" s="644"/>
      <c r="G3" s="644"/>
      <c r="H3" s="645" t="s">
        <v>329</v>
      </c>
      <c r="I3" s="644"/>
      <c r="J3" s="742"/>
      <c r="K3" s="644"/>
      <c r="L3" s="644"/>
      <c r="M3" s="644"/>
      <c r="N3" s="644"/>
      <c r="O3" s="644"/>
      <c r="P3" s="645"/>
      <c r="Q3" s="644"/>
      <c r="R3" s="742"/>
      <c r="S3" s="644"/>
      <c r="T3" s="644"/>
      <c r="U3" s="644"/>
      <c r="V3" s="644"/>
      <c r="W3" s="644"/>
      <c r="X3" s="645"/>
      <c r="Y3" s="647"/>
      <c r="Z3" s="742"/>
      <c r="AA3" s="644"/>
      <c r="AB3" s="644"/>
      <c r="AC3" s="644"/>
      <c r="AD3" s="644"/>
      <c r="AE3" s="644"/>
      <c r="AF3" s="644"/>
      <c r="AG3" s="644"/>
      <c r="AH3" s="742"/>
      <c r="AI3" s="644"/>
      <c r="AJ3" s="644"/>
      <c r="AK3" s="644"/>
      <c r="AL3" s="644"/>
      <c r="AM3" s="644"/>
      <c r="AN3" s="644"/>
      <c r="AO3" s="647"/>
      <c r="AP3" s="644"/>
      <c r="AQ3" s="644"/>
      <c r="AR3" s="644"/>
      <c r="AS3" s="644"/>
      <c r="AT3" s="644"/>
      <c r="AU3" s="644"/>
      <c r="AV3" s="644"/>
      <c r="AW3" s="647"/>
      <c r="AX3" s="742"/>
      <c r="AY3" s="644"/>
      <c r="AZ3" s="644"/>
      <c r="BA3" s="644"/>
      <c r="BB3" s="644"/>
      <c r="BC3" s="644"/>
      <c r="BD3" s="644"/>
      <c r="BE3" s="647"/>
      <c r="BF3" s="742"/>
      <c r="BG3" s="644"/>
      <c r="BH3" s="644"/>
      <c r="BI3" s="644"/>
      <c r="BJ3" s="644"/>
      <c r="BK3" s="644"/>
      <c r="BL3" s="644"/>
      <c r="BM3" s="644"/>
      <c r="BN3" s="742"/>
      <c r="BO3" s="644"/>
      <c r="BP3" s="644"/>
      <c r="BQ3" s="644"/>
      <c r="BR3" s="644"/>
      <c r="BS3" s="644"/>
      <c r="BT3" s="644"/>
      <c r="BU3" s="647"/>
      <c r="BV3" s="644"/>
      <c r="BW3" s="644"/>
      <c r="BX3" s="644"/>
      <c r="BY3" s="644"/>
      <c r="BZ3" s="644"/>
      <c r="CA3" s="644"/>
      <c r="CB3" s="644"/>
      <c r="CC3" s="644"/>
      <c r="CD3" s="742"/>
      <c r="CE3" s="644"/>
      <c r="CF3" s="644"/>
      <c r="CG3" s="644"/>
      <c r="CH3" s="644"/>
      <c r="CI3" s="644"/>
      <c r="CJ3" s="644"/>
      <c r="CK3" s="647"/>
      <c r="CL3" s="644"/>
      <c r="CM3" s="644"/>
      <c r="CN3" s="644"/>
      <c r="CO3" s="644"/>
      <c r="CP3" s="644"/>
      <c r="CQ3" s="644"/>
      <c r="CR3" s="644"/>
      <c r="CS3" s="644"/>
      <c r="CT3" s="742"/>
      <c r="CU3" s="644"/>
      <c r="CV3" s="644"/>
      <c r="CW3" s="644"/>
      <c r="CX3" s="644"/>
      <c r="CY3" s="644"/>
      <c r="CZ3" s="644"/>
      <c r="DA3" s="647"/>
      <c r="DB3" s="644"/>
      <c r="DC3" s="644"/>
      <c r="DD3" s="644"/>
      <c r="DE3" s="644"/>
      <c r="DF3" s="644"/>
      <c r="DG3" s="644"/>
      <c r="DH3" s="644"/>
      <c r="DI3" s="644"/>
      <c r="DJ3" s="742"/>
      <c r="DK3" s="644"/>
      <c r="DL3" s="644"/>
      <c r="DM3" s="644"/>
      <c r="DN3" s="644"/>
      <c r="DO3" s="644"/>
      <c r="DP3" s="644"/>
      <c r="DQ3" s="647"/>
      <c r="DR3" s="742"/>
      <c r="DS3" s="644"/>
      <c r="DT3" s="644"/>
      <c r="DU3" s="644"/>
      <c r="DV3" s="644"/>
      <c r="DW3" s="644"/>
      <c r="DX3" s="644"/>
      <c r="DY3" s="644"/>
      <c r="DZ3" s="742"/>
      <c r="EA3" s="644"/>
      <c r="EB3" s="644"/>
      <c r="EC3" s="644"/>
      <c r="ED3" s="644"/>
      <c r="EE3" s="644"/>
      <c r="EF3" s="644"/>
      <c r="EG3" s="647"/>
      <c r="EH3" s="742"/>
      <c r="EI3" s="644"/>
      <c r="EJ3" s="644"/>
      <c r="EK3" s="644"/>
      <c r="EL3" s="644"/>
      <c r="EM3" s="644"/>
      <c r="EN3" s="644"/>
      <c r="EO3" s="644"/>
      <c r="EP3" s="742"/>
      <c r="EQ3" s="644"/>
      <c r="ER3" s="644"/>
      <c r="ES3" s="644"/>
      <c r="ET3" s="644"/>
      <c r="EU3" s="644"/>
      <c r="EV3" s="644"/>
      <c r="EW3" s="647"/>
      <c r="EX3" s="742"/>
      <c r="EY3" s="644"/>
      <c r="EZ3" s="644"/>
      <c r="FA3" s="644"/>
      <c r="FB3" s="644"/>
      <c r="FC3" s="644"/>
      <c r="FD3" s="644"/>
      <c r="FE3" s="644"/>
      <c r="FF3" s="742"/>
      <c r="FG3" s="644"/>
      <c r="FH3" s="644"/>
      <c r="FI3" s="644"/>
      <c r="FJ3" s="644"/>
      <c r="FK3" s="644"/>
      <c r="FL3" s="644"/>
      <c r="FM3" s="647"/>
      <c r="FN3" s="644"/>
      <c r="FO3" s="644"/>
      <c r="FP3" s="644"/>
      <c r="FQ3" s="644"/>
      <c r="FR3" s="644"/>
      <c r="FS3" s="644"/>
      <c r="FT3" s="644"/>
      <c r="FU3" s="644"/>
      <c r="FV3" s="742"/>
      <c r="FW3" s="644"/>
      <c r="FX3" s="644"/>
      <c r="FY3" s="644"/>
      <c r="FZ3" s="644"/>
      <c r="GA3" s="644"/>
      <c r="GB3" s="644"/>
      <c r="GC3" s="647"/>
      <c r="GD3" s="742"/>
      <c r="GE3" s="644"/>
      <c r="GF3" s="644"/>
      <c r="GG3" s="644"/>
      <c r="GH3" s="644"/>
      <c r="GI3" s="644"/>
      <c r="GJ3" s="644"/>
      <c r="GK3" s="644"/>
      <c r="GL3" s="742"/>
      <c r="GM3" s="644"/>
      <c r="GN3" s="644"/>
      <c r="GO3" s="644"/>
      <c r="GP3" s="644"/>
      <c r="GQ3" s="644"/>
      <c r="GR3" s="644"/>
      <c r="GS3" s="647"/>
      <c r="GT3" s="742"/>
      <c r="GU3" s="644"/>
      <c r="GV3" s="644"/>
      <c r="GW3" s="644"/>
      <c r="GX3" s="644"/>
      <c r="GY3" s="644"/>
      <c r="GZ3" s="644"/>
      <c r="HA3" s="647"/>
      <c r="HB3" s="742"/>
      <c r="HC3" s="644"/>
      <c r="HD3" s="644"/>
      <c r="HE3" s="644"/>
      <c r="HF3" s="644"/>
      <c r="HG3" s="644"/>
      <c r="HH3" s="644"/>
      <c r="HI3" s="644"/>
      <c r="HJ3" s="742"/>
      <c r="HK3" s="644"/>
      <c r="HL3" s="644"/>
      <c r="HM3" s="644"/>
      <c r="HN3" s="644"/>
      <c r="HO3" s="644"/>
      <c r="HP3" s="644"/>
      <c r="HQ3" s="644"/>
      <c r="HR3" s="742"/>
      <c r="HS3" s="644"/>
      <c r="HT3" s="644"/>
      <c r="HU3" s="644"/>
      <c r="HV3" s="644"/>
      <c r="HW3" s="644"/>
      <c r="HX3" s="644"/>
      <c r="HY3" s="647"/>
      <c r="HZ3" s="644"/>
      <c r="IA3" s="644"/>
      <c r="IB3" s="644"/>
      <c r="IC3" s="644"/>
      <c r="ID3" s="644"/>
      <c r="IE3" s="644"/>
      <c r="IF3" s="644"/>
      <c r="IG3" s="644"/>
      <c r="IH3" s="743"/>
    </row>
    <row r="4" spans="1:244" s="744" customFormat="1" ht="15.75" thickBot="1" x14ac:dyDescent="0.25">
      <c r="A4" s="741" t="s">
        <v>56</v>
      </c>
      <c r="B4" s="745" t="s">
        <v>538</v>
      </c>
      <c r="C4" s="644"/>
      <c r="D4" s="644"/>
      <c r="E4" s="644"/>
      <c r="F4" s="644"/>
      <c r="G4" s="644"/>
      <c r="H4" s="645">
        <v>1500</v>
      </c>
      <c r="I4" s="644"/>
      <c r="J4" s="742"/>
      <c r="K4" s="644"/>
      <c r="L4" s="644"/>
      <c r="M4" s="644"/>
      <c r="N4" s="644"/>
      <c r="O4" s="644"/>
      <c r="P4" s="645"/>
      <c r="Q4" s="644"/>
      <c r="R4" s="742"/>
      <c r="S4" s="644"/>
      <c r="T4" s="644"/>
      <c r="U4" s="644"/>
      <c r="V4" s="644"/>
      <c r="W4" s="644"/>
      <c r="X4" s="645"/>
      <c r="Y4" s="647"/>
      <c r="Z4" s="742"/>
      <c r="AA4" s="644"/>
      <c r="AB4" s="644"/>
      <c r="AC4" s="644"/>
      <c r="AD4" s="644"/>
      <c r="AE4" s="644"/>
      <c r="AF4" s="644"/>
      <c r="AG4" s="644"/>
      <c r="AH4" s="742"/>
      <c r="AI4" s="644"/>
      <c r="AJ4" s="644"/>
      <c r="AK4" s="644"/>
      <c r="AL4" s="644"/>
      <c r="AM4" s="644"/>
      <c r="AN4" s="644"/>
      <c r="AO4" s="647"/>
      <c r="AP4" s="644"/>
      <c r="AQ4" s="644"/>
      <c r="AR4" s="644"/>
      <c r="AS4" s="644"/>
      <c r="AT4" s="644"/>
      <c r="AU4" s="644"/>
      <c r="AV4" s="644"/>
      <c r="AW4" s="647"/>
      <c r="AX4" s="742"/>
      <c r="AY4" s="644"/>
      <c r="AZ4" s="644"/>
      <c r="BA4" s="644"/>
      <c r="BB4" s="644"/>
      <c r="BC4" s="644"/>
      <c r="BD4" s="644"/>
      <c r="BE4" s="647"/>
      <c r="BF4" s="742"/>
      <c r="BG4" s="644"/>
      <c r="BH4" s="644"/>
      <c r="BI4" s="644"/>
      <c r="BJ4" s="644"/>
      <c r="BK4" s="644"/>
      <c r="BL4" s="644"/>
      <c r="BM4" s="644"/>
      <c r="BN4" s="742"/>
      <c r="BO4" s="644"/>
      <c r="BP4" s="644"/>
      <c r="BQ4" s="644"/>
      <c r="BR4" s="644"/>
      <c r="BS4" s="644"/>
      <c r="BT4" s="644"/>
      <c r="BU4" s="647"/>
      <c r="BV4" s="644"/>
      <c r="BW4" s="644"/>
      <c r="BX4" s="644"/>
      <c r="BY4" s="644"/>
      <c r="BZ4" s="644"/>
      <c r="CA4" s="644"/>
      <c r="CB4" s="644"/>
      <c r="CC4" s="644"/>
      <c r="CD4" s="742"/>
      <c r="CE4" s="644"/>
      <c r="CF4" s="644"/>
      <c r="CG4" s="644"/>
      <c r="CH4" s="644"/>
      <c r="CI4" s="644"/>
      <c r="CJ4" s="644"/>
      <c r="CK4" s="647"/>
      <c r="CL4" s="644"/>
      <c r="CM4" s="644"/>
      <c r="CN4" s="644"/>
      <c r="CO4" s="644"/>
      <c r="CP4" s="644"/>
      <c r="CQ4" s="644"/>
      <c r="CR4" s="644"/>
      <c r="CS4" s="644"/>
      <c r="CT4" s="742"/>
      <c r="CU4" s="644"/>
      <c r="CV4" s="644"/>
      <c r="CW4" s="644"/>
      <c r="CX4" s="644"/>
      <c r="CY4" s="644"/>
      <c r="CZ4" s="644"/>
      <c r="DA4" s="647"/>
      <c r="DB4" s="644"/>
      <c r="DC4" s="644"/>
      <c r="DD4" s="644"/>
      <c r="DE4" s="644"/>
      <c r="DF4" s="644"/>
      <c r="DG4" s="644"/>
      <c r="DH4" s="644"/>
      <c r="DI4" s="644"/>
      <c r="DJ4" s="742"/>
      <c r="DK4" s="644"/>
      <c r="DL4" s="644"/>
      <c r="DM4" s="644"/>
      <c r="DN4" s="644"/>
      <c r="DO4" s="644"/>
      <c r="DP4" s="644"/>
      <c r="DQ4" s="647"/>
      <c r="DR4" s="742"/>
      <c r="DS4" s="644"/>
      <c r="DT4" s="644"/>
      <c r="DU4" s="644"/>
      <c r="DV4" s="644"/>
      <c r="DW4" s="644"/>
      <c r="DX4" s="644"/>
      <c r="DY4" s="644"/>
      <c r="DZ4" s="742"/>
      <c r="EA4" s="644"/>
      <c r="EB4" s="644"/>
      <c r="EC4" s="644"/>
      <c r="ED4" s="644"/>
      <c r="EE4" s="644"/>
      <c r="EF4" s="644"/>
      <c r="EG4" s="647"/>
      <c r="EH4" s="742"/>
      <c r="EI4" s="644"/>
      <c r="EJ4" s="644"/>
      <c r="EK4" s="644"/>
      <c r="EL4" s="644"/>
      <c r="EM4" s="644"/>
      <c r="EN4" s="644"/>
      <c r="EO4" s="644"/>
      <c r="EP4" s="742"/>
      <c r="EQ4" s="644"/>
      <c r="ER4" s="644"/>
      <c r="ES4" s="644"/>
      <c r="ET4" s="644"/>
      <c r="EU4" s="644"/>
      <c r="EV4" s="644"/>
      <c r="EW4" s="647"/>
      <c r="EX4" s="742"/>
      <c r="EY4" s="644"/>
      <c r="EZ4" s="644"/>
      <c r="FA4" s="644"/>
      <c r="FB4" s="644"/>
      <c r="FC4" s="644"/>
      <c r="FD4" s="644"/>
      <c r="FE4" s="644"/>
      <c r="FF4" s="742"/>
      <c r="FG4" s="644"/>
      <c r="FH4" s="644"/>
      <c r="FI4" s="644"/>
      <c r="FJ4" s="644"/>
      <c r="FK4" s="644"/>
      <c r="FL4" s="644"/>
      <c r="FM4" s="647"/>
      <c r="FN4" s="644"/>
      <c r="FO4" s="644"/>
      <c r="FP4" s="644"/>
      <c r="FQ4" s="644"/>
      <c r="FR4" s="644"/>
      <c r="FS4" s="644"/>
      <c r="FT4" s="644"/>
      <c r="FU4" s="644"/>
      <c r="FV4" s="742"/>
      <c r="FW4" s="644"/>
      <c r="FX4" s="644"/>
      <c r="FY4" s="644"/>
      <c r="FZ4" s="644"/>
      <c r="GA4" s="644"/>
      <c r="GB4" s="644"/>
      <c r="GC4" s="647"/>
      <c r="GD4" s="742"/>
      <c r="GE4" s="644"/>
      <c r="GF4" s="644"/>
      <c r="GG4" s="644"/>
      <c r="GH4" s="644"/>
      <c r="GI4" s="644"/>
      <c r="GJ4" s="644"/>
      <c r="GK4" s="644"/>
      <c r="GL4" s="742"/>
      <c r="GM4" s="644"/>
      <c r="GN4" s="644"/>
      <c r="GO4" s="644"/>
      <c r="GP4" s="644"/>
      <c r="GQ4" s="644"/>
      <c r="GR4" s="644"/>
      <c r="GS4" s="647"/>
      <c r="GT4" s="742"/>
      <c r="GU4" s="644"/>
      <c r="GV4" s="644"/>
      <c r="GW4" s="644"/>
      <c r="GX4" s="644"/>
      <c r="GY4" s="644"/>
      <c r="GZ4" s="644"/>
      <c r="HA4" s="647"/>
      <c r="HB4" s="742"/>
      <c r="HC4" s="644"/>
      <c r="HD4" s="644"/>
      <c r="HE4" s="644"/>
      <c r="HF4" s="644"/>
      <c r="HG4" s="644"/>
      <c r="HH4" s="644"/>
      <c r="HI4" s="644"/>
      <c r="HJ4" s="742"/>
      <c r="HK4" s="644"/>
      <c r="HL4" s="644"/>
      <c r="HM4" s="644"/>
      <c r="HN4" s="644"/>
      <c r="HO4" s="644"/>
      <c r="HP4" s="644"/>
      <c r="HQ4" s="644"/>
      <c r="HR4" s="644"/>
      <c r="HS4" s="644"/>
      <c r="HT4" s="644"/>
      <c r="HU4" s="644"/>
      <c r="HV4" s="644"/>
      <c r="HW4" s="644"/>
      <c r="HX4" s="644"/>
      <c r="HY4" s="647"/>
      <c r="HZ4" s="644"/>
      <c r="IA4" s="644"/>
      <c r="IB4" s="644"/>
      <c r="IC4" s="644"/>
      <c r="ID4" s="644"/>
      <c r="IE4" s="644"/>
      <c r="IF4" s="644"/>
      <c r="IG4" s="644"/>
      <c r="IH4" s="743"/>
    </row>
    <row r="5" spans="1:244" ht="15.75" thickBot="1" x14ac:dyDescent="0.3">
      <c r="A5" s="741" t="s">
        <v>67</v>
      </c>
      <c r="B5" s="742"/>
      <c r="C5" s="644"/>
      <c r="D5" s="644"/>
      <c r="E5" s="644"/>
      <c r="F5" s="644"/>
      <c r="G5" s="644"/>
      <c r="H5" s="644"/>
      <c r="I5" s="647"/>
      <c r="J5" s="742"/>
      <c r="K5" s="644"/>
      <c r="L5" s="644"/>
      <c r="M5" s="644"/>
      <c r="N5" s="644"/>
      <c r="O5" s="644"/>
      <c r="P5" s="644"/>
      <c r="Q5" s="644"/>
      <c r="R5" s="742"/>
      <c r="S5" s="644"/>
      <c r="T5" s="644"/>
      <c r="U5" s="644"/>
      <c r="V5" s="644"/>
      <c r="W5" s="644"/>
      <c r="X5" s="644"/>
      <c r="Y5" s="647"/>
      <c r="Z5" s="742"/>
      <c r="AA5" s="644"/>
      <c r="AB5" s="644"/>
      <c r="AC5" s="644"/>
      <c r="AD5" s="644"/>
      <c r="AE5" s="644"/>
      <c r="AF5" s="644"/>
      <c r="AG5" s="644"/>
      <c r="AH5" s="742"/>
      <c r="AI5" s="644"/>
      <c r="AJ5" s="644"/>
      <c r="AK5" s="644"/>
      <c r="AL5" s="644"/>
      <c r="AM5" s="644"/>
      <c r="AN5" s="644"/>
      <c r="AO5" s="647"/>
      <c r="AP5" s="644"/>
      <c r="AQ5" s="644"/>
      <c r="AR5" s="644"/>
      <c r="AS5" s="644"/>
      <c r="AT5" s="644"/>
      <c r="AU5" s="644"/>
      <c r="AV5" s="644"/>
      <c r="AW5" s="647"/>
      <c r="AX5" s="742"/>
      <c r="AY5" s="644"/>
      <c r="AZ5" s="644"/>
      <c r="BA5" s="644"/>
      <c r="BB5" s="644"/>
      <c r="BC5" s="644"/>
      <c r="BD5" s="644"/>
      <c r="BE5" s="647"/>
      <c r="BF5" s="742"/>
      <c r="BG5" s="644"/>
      <c r="BH5" s="644"/>
      <c r="BI5" s="644"/>
      <c r="BJ5" s="644"/>
      <c r="BK5" s="644"/>
      <c r="BL5" s="644"/>
      <c r="BM5" s="644"/>
      <c r="BN5" s="742"/>
      <c r="BO5" s="644"/>
      <c r="BP5" s="644"/>
      <c r="BQ5" s="644"/>
      <c r="BR5" s="644"/>
      <c r="BS5" s="644"/>
      <c r="BT5" s="644"/>
      <c r="BU5" s="647"/>
      <c r="BV5" s="644"/>
      <c r="BW5" s="644"/>
      <c r="BX5" s="644"/>
      <c r="BY5" s="644"/>
      <c r="BZ5" s="644"/>
      <c r="CA5" s="644"/>
      <c r="CB5" s="644"/>
      <c r="CC5" s="644"/>
      <c r="CD5" s="742"/>
      <c r="CE5" s="644"/>
      <c r="CF5" s="644"/>
      <c r="CG5" s="644"/>
      <c r="CH5" s="644"/>
      <c r="CI5" s="644"/>
      <c r="CJ5" s="644"/>
      <c r="CK5" s="647"/>
      <c r="CL5" s="644"/>
      <c r="CM5" s="644"/>
      <c r="CN5" s="644"/>
      <c r="CO5" s="644"/>
      <c r="CP5" s="644"/>
      <c r="CQ5" s="644"/>
      <c r="CR5" s="644"/>
      <c r="CS5" s="644"/>
      <c r="CT5" s="742"/>
      <c r="CU5" s="644"/>
      <c r="CV5" s="644"/>
      <c r="CW5" s="644"/>
      <c r="CX5" s="644"/>
      <c r="CY5" s="644"/>
      <c r="CZ5" s="644"/>
      <c r="DA5" s="647"/>
      <c r="DB5" s="644"/>
      <c r="DC5" s="644"/>
      <c r="DD5" s="644"/>
      <c r="DE5" s="644"/>
      <c r="DF5" s="644"/>
      <c r="DG5" s="644"/>
      <c r="DH5" s="644"/>
      <c r="DI5" s="644"/>
      <c r="DJ5" s="742"/>
      <c r="DK5" s="644"/>
      <c r="DL5" s="644"/>
      <c r="DM5" s="644"/>
      <c r="DN5" s="644"/>
      <c r="DO5" s="644"/>
      <c r="DP5" s="644"/>
      <c r="DQ5" s="647"/>
      <c r="DR5" s="742"/>
      <c r="DS5" s="644"/>
      <c r="DT5" s="644"/>
      <c r="DU5" s="644"/>
      <c r="DV5" s="644"/>
      <c r="DW5" s="644"/>
      <c r="DX5" s="644"/>
      <c r="DY5" s="644"/>
      <c r="DZ5" s="742"/>
      <c r="EA5" s="644"/>
      <c r="EB5" s="644"/>
      <c r="EC5" s="644"/>
      <c r="ED5" s="644"/>
      <c r="EE5" s="644"/>
      <c r="EF5" s="644"/>
      <c r="EG5" s="647"/>
      <c r="EH5" s="742"/>
      <c r="EI5" s="644"/>
      <c r="EJ5" s="644"/>
      <c r="EK5" s="644"/>
      <c r="EL5" s="644"/>
      <c r="EM5" s="644"/>
      <c r="EN5" s="644"/>
      <c r="EO5" s="644"/>
      <c r="EP5" s="742"/>
      <c r="EQ5" s="644"/>
      <c r="ER5" s="644"/>
      <c r="ES5" s="644"/>
      <c r="ET5" s="644"/>
      <c r="EU5" s="644"/>
      <c r="EV5" s="644"/>
      <c r="EW5" s="647"/>
      <c r="EX5" s="742"/>
      <c r="EY5" s="644"/>
      <c r="EZ5" s="644"/>
      <c r="FA5" s="644"/>
      <c r="FB5" s="644"/>
      <c r="FC5" s="644"/>
      <c r="FD5" s="644"/>
      <c r="FE5" s="644"/>
      <c r="FF5" s="742"/>
      <c r="FG5" s="644"/>
      <c r="FH5" s="644"/>
      <c r="FI5" s="644"/>
      <c r="FJ5" s="644"/>
      <c r="FK5" s="644"/>
      <c r="FL5" s="644"/>
      <c r="FM5" s="647"/>
      <c r="FN5" s="644"/>
      <c r="FO5" s="644"/>
      <c r="FP5" s="644"/>
      <c r="FQ5" s="644"/>
      <c r="FR5" s="644"/>
      <c r="FS5" s="644"/>
      <c r="FT5" s="644"/>
      <c r="FU5" s="644"/>
      <c r="FV5" s="742"/>
      <c r="FW5" s="644"/>
      <c r="FX5" s="644"/>
      <c r="FY5" s="644"/>
      <c r="FZ5" s="644"/>
      <c r="GA5" s="644"/>
      <c r="GB5" s="644"/>
      <c r="GC5" s="647"/>
      <c r="GD5" s="742"/>
      <c r="GE5" s="644"/>
      <c r="GF5" s="644"/>
      <c r="GG5" s="644"/>
      <c r="GH5" s="644"/>
      <c r="GI5" s="644"/>
      <c r="GJ5" s="644"/>
      <c r="GK5" s="644"/>
      <c r="GL5" s="742"/>
      <c r="GM5" s="644"/>
      <c r="GN5" s="644"/>
      <c r="GO5" s="644"/>
      <c r="GP5" s="644"/>
      <c r="GQ5" s="644"/>
      <c r="GR5" s="644"/>
      <c r="GS5" s="647"/>
      <c r="GT5" s="742"/>
      <c r="GU5" s="644"/>
      <c r="GV5" s="644"/>
      <c r="GW5" s="644"/>
      <c r="GX5" s="644"/>
      <c r="GY5" s="644"/>
      <c r="GZ5" s="644"/>
      <c r="HA5" s="647"/>
      <c r="HB5" s="742"/>
      <c r="HC5" s="644"/>
      <c r="HD5" s="644"/>
      <c r="HE5" s="644"/>
      <c r="HF5" s="644"/>
      <c r="HG5" s="644"/>
      <c r="HH5" s="644"/>
      <c r="HI5" s="644"/>
      <c r="HJ5" s="742"/>
      <c r="HK5" s="644"/>
      <c r="HL5" s="644"/>
      <c r="HM5" s="644"/>
      <c r="HN5" s="644"/>
      <c r="HO5" s="644"/>
      <c r="HP5" s="644"/>
      <c r="HQ5" s="644"/>
      <c r="HR5" s="644"/>
      <c r="HS5" s="644"/>
      <c r="HT5" s="644"/>
      <c r="HU5" s="644"/>
      <c r="HV5" s="644"/>
      <c r="HW5" s="644"/>
      <c r="HX5" s="644"/>
      <c r="HY5" s="647"/>
      <c r="HZ5" s="644"/>
      <c r="IA5" s="644"/>
      <c r="IB5" s="644"/>
      <c r="IC5" s="644"/>
      <c r="ID5" s="644"/>
      <c r="IE5" s="644"/>
      <c r="IF5" s="644"/>
      <c r="IG5" s="644"/>
      <c r="IH5" s="746"/>
    </row>
    <row r="6" spans="1:244" ht="15.75" thickBot="1" x14ac:dyDescent="0.3">
      <c r="A6" s="741" t="s">
        <v>68</v>
      </c>
      <c r="B6" s="745">
        <v>8</v>
      </c>
      <c r="C6" s="747"/>
      <c r="D6" s="747"/>
      <c r="E6" s="747"/>
      <c r="F6" s="747"/>
      <c r="G6" s="747"/>
      <c r="H6" s="747"/>
      <c r="I6" s="748"/>
      <c r="J6" s="749"/>
      <c r="K6" s="644"/>
      <c r="L6" s="644"/>
      <c r="M6" s="644"/>
      <c r="N6" s="644"/>
      <c r="O6" s="644"/>
      <c r="P6" s="644"/>
      <c r="Q6" s="644"/>
      <c r="R6" s="745"/>
      <c r="S6" s="747"/>
      <c r="T6" s="747"/>
      <c r="U6" s="747"/>
      <c r="V6" s="747"/>
      <c r="W6" s="747"/>
      <c r="X6" s="747"/>
      <c r="Y6" s="748"/>
      <c r="Z6" s="749"/>
      <c r="AA6" s="644"/>
      <c r="AB6" s="644"/>
      <c r="AC6" s="644"/>
      <c r="AD6" s="644"/>
      <c r="AE6" s="644"/>
      <c r="AF6" s="644"/>
      <c r="AG6" s="644"/>
      <c r="AH6" s="749"/>
      <c r="AI6" s="644"/>
      <c r="AJ6" s="644"/>
      <c r="AK6" s="644"/>
      <c r="AL6" s="644"/>
      <c r="AM6" s="644"/>
      <c r="AN6" s="644"/>
      <c r="AO6" s="647"/>
      <c r="AP6" s="750"/>
      <c r="AQ6" s="644"/>
      <c r="AR6" s="644"/>
      <c r="AS6" s="644"/>
      <c r="AT6" s="644"/>
      <c r="AU6" s="644"/>
      <c r="AV6" s="644"/>
      <c r="AW6" s="647"/>
      <c r="AX6" s="749"/>
      <c r="AY6" s="644"/>
      <c r="AZ6" s="644"/>
      <c r="BA6" s="644"/>
      <c r="BB6" s="644"/>
      <c r="BC6" s="644"/>
      <c r="BD6" s="644"/>
      <c r="BE6" s="647"/>
      <c r="BF6" s="749"/>
      <c r="BG6" s="644"/>
      <c r="BH6" s="644"/>
      <c r="BI6" s="644"/>
      <c r="BJ6" s="644"/>
      <c r="BK6" s="644"/>
      <c r="BL6" s="644"/>
      <c r="BM6" s="644"/>
      <c r="BN6" s="749"/>
      <c r="BO6" s="644"/>
      <c r="BP6" s="644"/>
      <c r="BQ6" s="644"/>
      <c r="BR6" s="644"/>
      <c r="BS6" s="644"/>
      <c r="BT6" s="644"/>
      <c r="BU6" s="647"/>
      <c r="BV6" s="644"/>
      <c r="BW6" s="644"/>
      <c r="BX6" s="644"/>
      <c r="BY6" s="644"/>
      <c r="BZ6" s="644"/>
      <c r="CA6" s="644"/>
      <c r="CB6" s="644"/>
      <c r="CC6" s="644"/>
      <c r="CD6" s="742"/>
      <c r="CE6" s="644"/>
      <c r="CF6" s="644"/>
      <c r="CG6" s="644"/>
      <c r="CH6" s="644"/>
      <c r="CI6" s="644"/>
      <c r="CJ6" s="644"/>
      <c r="CK6" s="647"/>
      <c r="CL6" s="644"/>
      <c r="CM6" s="644"/>
      <c r="CN6" s="644"/>
      <c r="CO6" s="644"/>
      <c r="CP6" s="644"/>
      <c r="CQ6" s="644"/>
      <c r="CR6" s="644"/>
      <c r="CS6" s="644"/>
      <c r="CT6" s="742"/>
      <c r="CU6" s="644"/>
      <c r="CV6" s="644"/>
      <c r="CW6" s="644"/>
      <c r="CX6" s="644"/>
      <c r="CY6" s="644"/>
      <c r="CZ6" s="644"/>
      <c r="DA6" s="647"/>
      <c r="DB6" s="644"/>
      <c r="DC6" s="644"/>
      <c r="DD6" s="644"/>
      <c r="DE6" s="644"/>
      <c r="DF6" s="644"/>
      <c r="DG6" s="644"/>
      <c r="DH6" s="644"/>
      <c r="DI6" s="644"/>
      <c r="DJ6" s="742"/>
      <c r="DK6" s="644"/>
      <c r="DL6" s="644"/>
      <c r="DM6" s="644"/>
      <c r="DN6" s="644"/>
      <c r="DO6" s="644"/>
      <c r="DP6" s="644"/>
      <c r="DQ6" s="647"/>
      <c r="DR6" s="749"/>
      <c r="DS6" s="644"/>
      <c r="DT6" s="644"/>
      <c r="DU6" s="644"/>
      <c r="DV6" s="644"/>
      <c r="DW6" s="644"/>
      <c r="DX6" s="644"/>
      <c r="DY6" s="644"/>
      <c r="DZ6" s="742"/>
      <c r="EA6" s="644"/>
      <c r="EB6" s="644"/>
      <c r="EC6" s="644"/>
      <c r="ED6" s="644"/>
      <c r="EE6" s="644"/>
      <c r="EF6" s="644"/>
      <c r="EG6" s="647"/>
      <c r="EH6" s="749"/>
      <c r="EI6" s="644"/>
      <c r="EJ6" s="644"/>
      <c r="EK6" s="644"/>
      <c r="EL6" s="644"/>
      <c r="EM6" s="644"/>
      <c r="EN6" s="644"/>
      <c r="EO6" s="644"/>
      <c r="EP6" s="742"/>
      <c r="EQ6" s="644"/>
      <c r="ER6" s="644"/>
      <c r="ES6" s="644"/>
      <c r="ET6" s="644"/>
      <c r="EU6" s="644"/>
      <c r="EV6" s="644"/>
      <c r="EW6" s="647"/>
      <c r="EX6" s="742"/>
      <c r="EY6" s="644"/>
      <c r="EZ6" s="644"/>
      <c r="FA6" s="644"/>
      <c r="FB6" s="644"/>
      <c r="FC6" s="644"/>
      <c r="FD6" s="644"/>
      <c r="FE6" s="644"/>
      <c r="FF6" s="742"/>
      <c r="FG6" s="644"/>
      <c r="FH6" s="644"/>
      <c r="FI6" s="644"/>
      <c r="FJ6" s="644"/>
      <c r="FK6" s="644"/>
      <c r="FL6" s="644"/>
      <c r="FM6" s="647"/>
      <c r="FN6" s="644"/>
      <c r="FO6" s="644"/>
      <c r="FP6" s="644"/>
      <c r="FQ6" s="644"/>
      <c r="FR6" s="644"/>
      <c r="FS6" s="644"/>
      <c r="FT6" s="644"/>
      <c r="FU6" s="644"/>
      <c r="FV6" s="742"/>
      <c r="FW6" s="644"/>
      <c r="FX6" s="644"/>
      <c r="FY6" s="644"/>
      <c r="FZ6" s="644"/>
      <c r="GA6" s="644"/>
      <c r="GB6" s="644"/>
      <c r="GC6" s="647"/>
      <c r="GD6" s="742"/>
      <c r="GE6" s="644"/>
      <c r="GF6" s="644"/>
      <c r="GG6" s="644"/>
      <c r="GH6" s="644"/>
      <c r="GI6" s="644"/>
      <c r="GJ6" s="644"/>
      <c r="GK6" s="644"/>
      <c r="GL6" s="742"/>
      <c r="GM6" s="644"/>
      <c r="GN6" s="644"/>
      <c r="GO6" s="644"/>
      <c r="GP6" s="644"/>
      <c r="GQ6" s="644"/>
      <c r="GR6" s="644"/>
      <c r="GS6" s="647"/>
      <c r="GT6" s="742"/>
      <c r="GU6" s="644"/>
      <c r="GV6" s="644"/>
      <c r="GW6" s="644"/>
      <c r="GX6" s="644"/>
      <c r="GY6" s="644"/>
      <c r="GZ6" s="644"/>
      <c r="HA6" s="647"/>
      <c r="HB6" s="749"/>
      <c r="HC6" s="644"/>
      <c r="HD6" s="644"/>
      <c r="HE6" s="644"/>
      <c r="HF6" s="644"/>
      <c r="HG6" s="644"/>
      <c r="HH6" s="644"/>
      <c r="HI6" s="644"/>
      <c r="HJ6" s="742"/>
      <c r="HK6" s="644"/>
      <c r="HL6" s="644"/>
      <c r="HM6" s="644"/>
      <c r="HN6" s="644"/>
      <c r="HO6" s="644"/>
      <c r="HP6" s="644"/>
      <c r="HQ6" s="644"/>
      <c r="HR6" s="644"/>
      <c r="HS6" s="644"/>
      <c r="HT6" s="644"/>
      <c r="HU6" s="644"/>
      <c r="HV6" s="644"/>
      <c r="HW6" s="644"/>
      <c r="HX6" s="644"/>
      <c r="HY6" s="647"/>
      <c r="HZ6" s="644"/>
      <c r="IA6" s="644"/>
      <c r="IB6" s="644"/>
      <c r="IC6" s="644"/>
      <c r="ID6" s="644"/>
      <c r="IE6" s="644"/>
      <c r="IF6" s="644"/>
      <c r="IG6" s="644"/>
      <c r="IH6" s="739"/>
    </row>
    <row r="7" spans="1:244" ht="101.25" customHeight="1" thickBot="1" x14ac:dyDescent="0.3">
      <c r="A7" s="751" t="s">
        <v>51</v>
      </c>
      <c r="B7" s="752" t="str">
        <f t="shared" ref="B7:H7" si="0">CONCATENATE($B$2," ",B8)</f>
        <v>1 trees planted</v>
      </c>
      <c r="C7" s="665" t="str">
        <f t="shared" si="0"/>
        <v>1 trees harvested</v>
      </c>
      <c r="D7" s="665" t="str">
        <f t="shared" si="0"/>
        <v>1 tree height</v>
      </c>
      <c r="E7" s="665" t="str">
        <f t="shared" si="0"/>
        <v>1 prune height</v>
      </c>
      <c r="F7" s="665" t="str">
        <f t="shared" si="0"/>
        <v>1 standing timber</v>
      </c>
      <c r="G7" s="665" t="str">
        <f t="shared" si="0"/>
        <v>1 standing firewood</v>
      </c>
      <c r="H7" s="665" t="str">
        <f t="shared" si="0"/>
        <v>1 harvested firewood</v>
      </c>
      <c r="I7" s="667" t="str">
        <f>CONCATENATE($B$2," ",I8)</f>
        <v>1 by-product 1</v>
      </c>
      <c r="J7" s="752" t="str">
        <f t="shared" ref="J7:Q7" si="1">CONCATENATE($J$2," ",J8)</f>
        <v>2 trees planted</v>
      </c>
      <c r="K7" s="665" t="str">
        <f t="shared" si="1"/>
        <v>2 trees harvested</v>
      </c>
      <c r="L7" s="665" t="str">
        <f t="shared" si="1"/>
        <v>2 tree height</v>
      </c>
      <c r="M7" s="665" t="str">
        <f t="shared" si="1"/>
        <v>2 prune height</v>
      </c>
      <c r="N7" s="665" t="str">
        <f t="shared" si="1"/>
        <v>2 standing timber</v>
      </c>
      <c r="O7" s="665" t="str">
        <f t="shared" si="1"/>
        <v>2 standing firewood</v>
      </c>
      <c r="P7" s="665" t="str">
        <f t="shared" si="1"/>
        <v>2 harvested firewood</v>
      </c>
      <c r="Q7" s="667" t="str">
        <f t="shared" si="1"/>
        <v>2 by-product 1</v>
      </c>
      <c r="R7" s="752" t="str">
        <f t="shared" ref="R7:Y7" si="2">CONCATENATE($R$2," ",R8)</f>
        <v>3 trees planted</v>
      </c>
      <c r="S7" s="665" t="str">
        <f t="shared" si="2"/>
        <v>3 trees harvested</v>
      </c>
      <c r="T7" s="665" t="str">
        <f t="shared" si="2"/>
        <v>3 tree height</v>
      </c>
      <c r="U7" s="665" t="str">
        <f t="shared" si="2"/>
        <v>3 prune height</v>
      </c>
      <c r="V7" s="665" t="str">
        <f t="shared" si="2"/>
        <v>3 standing timber</v>
      </c>
      <c r="W7" s="665" t="str">
        <f t="shared" si="2"/>
        <v>3 standing firewood</v>
      </c>
      <c r="X7" s="665" t="str">
        <f t="shared" si="2"/>
        <v>3 harvested firewood</v>
      </c>
      <c r="Y7" s="667" t="str">
        <f t="shared" si="2"/>
        <v>3 by-product 1</v>
      </c>
      <c r="Z7" s="665" t="str">
        <f t="shared" ref="Z7:AG7" si="3">CONCATENATE($Z$2," ",Z8)</f>
        <v>4 trees planted</v>
      </c>
      <c r="AA7" s="665" t="str">
        <f t="shared" si="3"/>
        <v>4 trees harvested</v>
      </c>
      <c r="AB7" s="665" t="str">
        <f t="shared" si="3"/>
        <v>4 tree height</v>
      </c>
      <c r="AC7" s="665" t="str">
        <f t="shared" si="3"/>
        <v>4 prune height</v>
      </c>
      <c r="AD7" s="665" t="str">
        <f t="shared" si="3"/>
        <v>4 standing timber</v>
      </c>
      <c r="AE7" s="665" t="str">
        <f t="shared" si="3"/>
        <v>4 standing firewood</v>
      </c>
      <c r="AF7" s="665" t="str">
        <f t="shared" si="3"/>
        <v>4 harvested firewood</v>
      </c>
      <c r="AG7" s="665" t="str">
        <f t="shared" si="3"/>
        <v>4 by-product 1</v>
      </c>
      <c r="AH7" s="752" t="str">
        <f t="shared" ref="AH7:AO7" si="4">CONCATENATE($AH$2," ",AH8)</f>
        <v>5 trees planted</v>
      </c>
      <c r="AI7" s="665" t="str">
        <f t="shared" si="4"/>
        <v>5 trees harvested</v>
      </c>
      <c r="AJ7" s="665" t="str">
        <f t="shared" si="4"/>
        <v>5 tree height</v>
      </c>
      <c r="AK7" s="665" t="str">
        <f t="shared" si="4"/>
        <v>5 prune height</v>
      </c>
      <c r="AL7" s="665" t="str">
        <f t="shared" si="4"/>
        <v>5 standing timber</v>
      </c>
      <c r="AM7" s="665" t="str">
        <f t="shared" si="4"/>
        <v>5 standing firewood</v>
      </c>
      <c r="AN7" s="665" t="str">
        <f t="shared" si="4"/>
        <v>5 harvested firewood</v>
      </c>
      <c r="AO7" s="667" t="str">
        <f t="shared" si="4"/>
        <v>5 by-product 1</v>
      </c>
      <c r="AP7" s="665" t="str">
        <f t="shared" ref="AP7:AW7" si="5">CONCATENATE($AP$2," ",AP8)</f>
        <v>6 trees planted</v>
      </c>
      <c r="AQ7" s="665" t="str">
        <f t="shared" si="5"/>
        <v>6 trees harvested</v>
      </c>
      <c r="AR7" s="665" t="str">
        <f t="shared" si="5"/>
        <v>6 tree height</v>
      </c>
      <c r="AS7" s="665" t="str">
        <f t="shared" si="5"/>
        <v>6 prune height</v>
      </c>
      <c r="AT7" s="665" t="str">
        <f t="shared" si="5"/>
        <v>6 standing timber</v>
      </c>
      <c r="AU7" s="665" t="str">
        <f t="shared" si="5"/>
        <v>6 standing firewood</v>
      </c>
      <c r="AV7" s="665" t="str">
        <f t="shared" si="5"/>
        <v>6 harvested firewood</v>
      </c>
      <c r="AW7" s="665" t="str">
        <f t="shared" si="5"/>
        <v>6 by-product 1</v>
      </c>
      <c r="AX7" s="752" t="str">
        <f t="shared" ref="AX7:BE7" si="6">CONCATENATE($AX$2," ",AX8)</f>
        <v>7 trees planted</v>
      </c>
      <c r="AY7" s="665" t="str">
        <f t="shared" si="6"/>
        <v>7 trees harvested</v>
      </c>
      <c r="AZ7" s="665" t="str">
        <f t="shared" si="6"/>
        <v>7 tree height</v>
      </c>
      <c r="BA7" s="665" t="str">
        <f t="shared" si="6"/>
        <v>7 prune height</v>
      </c>
      <c r="BB7" s="665" t="str">
        <f t="shared" si="6"/>
        <v>7 standing timber</v>
      </c>
      <c r="BC7" s="665" t="str">
        <f t="shared" si="6"/>
        <v>7 standing firewood</v>
      </c>
      <c r="BD7" s="665" t="str">
        <f t="shared" si="6"/>
        <v>7 harvested firewood</v>
      </c>
      <c r="BE7" s="667" t="str">
        <f t="shared" si="6"/>
        <v>7 by-product 1</v>
      </c>
      <c r="BF7" s="665" t="str">
        <f t="shared" ref="BF7:BM7" si="7">CONCATENATE($BF$2," ",BF8)</f>
        <v>8 trees planted</v>
      </c>
      <c r="BG7" s="665" t="str">
        <f t="shared" si="7"/>
        <v>8 trees harvested</v>
      </c>
      <c r="BH7" s="665" t="str">
        <f t="shared" si="7"/>
        <v>8 tree height</v>
      </c>
      <c r="BI7" s="665" t="str">
        <f t="shared" si="7"/>
        <v>8 prune height</v>
      </c>
      <c r="BJ7" s="665" t="str">
        <f t="shared" si="7"/>
        <v>8 standing timber</v>
      </c>
      <c r="BK7" s="665" t="str">
        <f t="shared" si="7"/>
        <v>8 standing firewood</v>
      </c>
      <c r="BL7" s="665" t="str">
        <f t="shared" si="7"/>
        <v>8 harvested firewood</v>
      </c>
      <c r="BM7" s="665" t="str">
        <f t="shared" si="7"/>
        <v>8 by-product 1</v>
      </c>
      <c r="BN7" s="752" t="str">
        <f t="shared" ref="BN7:BU7" si="8">CONCATENATE($BN$2," ",BN8)</f>
        <v>9 trees planted</v>
      </c>
      <c r="BO7" s="665" t="str">
        <f t="shared" si="8"/>
        <v>9 trees harvested</v>
      </c>
      <c r="BP7" s="665" t="str">
        <f t="shared" si="8"/>
        <v>9 tree height</v>
      </c>
      <c r="BQ7" s="665" t="str">
        <f t="shared" si="8"/>
        <v>9 prune height</v>
      </c>
      <c r="BR7" s="665" t="str">
        <f t="shared" si="8"/>
        <v>9 standing timber</v>
      </c>
      <c r="BS7" s="665" t="str">
        <f t="shared" si="8"/>
        <v>9 standing firewood</v>
      </c>
      <c r="BT7" s="665" t="str">
        <f t="shared" si="8"/>
        <v>9 harvested firewood</v>
      </c>
      <c r="BU7" s="667" t="str">
        <f t="shared" si="8"/>
        <v>9 by-product 1</v>
      </c>
      <c r="BV7" s="665" t="str">
        <f t="shared" ref="BV7:CC7" si="9">CONCATENATE($BV$2," ",BV8)</f>
        <v>10 trees planted</v>
      </c>
      <c r="BW7" s="665" t="str">
        <f t="shared" si="9"/>
        <v>10 trees harvested</v>
      </c>
      <c r="BX7" s="665" t="str">
        <f t="shared" si="9"/>
        <v>10 tree height</v>
      </c>
      <c r="BY7" s="665" t="str">
        <f t="shared" si="9"/>
        <v>10 prune height</v>
      </c>
      <c r="BZ7" s="665" t="str">
        <f t="shared" si="9"/>
        <v>10 standing timber</v>
      </c>
      <c r="CA7" s="665" t="str">
        <f t="shared" si="9"/>
        <v>10 standing firewood</v>
      </c>
      <c r="CB7" s="665" t="str">
        <f t="shared" si="9"/>
        <v>10 harvested firewood</v>
      </c>
      <c r="CC7" s="665" t="str">
        <f t="shared" si="9"/>
        <v>10 by-product 1</v>
      </c>
      <c r="CD7" s="752" t="str">
        <f t="shared" ref="CD7:CK7" si="10">CONCATENATE($CD$2," ",CD8)</f>
        <v>11 trees planted</v>
      </c>
      <c r="CE7" s="665" t="str">
        <f t="shared" si="10"/>
        <v>11 trees harvested</v>
      </c>
      <c r="CF7" s="665" t="str">
        <f t="shared" si="10"/>
        <v>11 tree height</v>
      </c>
      <c r="CG7" s="665" t="str">
        <f t="shared" si="10"/>
        <v>11 prune height</v>
      </c>
      <c r="CH7" s="665" t="str">
        <f t="shared" si="10"/>
        <v>11 standing timber</v>
      </c>
      <c r="CI7" s="665" t="str">
        <f t="shared" si="10"/>
        <v>11 standing firewood</v>
      </c>
      <c r="CJ7" s="665" t="str">
        <f t="shared" si="10"/>
        <v>11 harvested firewood</v>
      </c>
      <c r="CK7" s="667" t="str">
        <f t="shared" si="10"/>
        <v>11 by-product 1</v>
      </c>
      <c r="CL7" s="665" t="str">
        <f t="shared" ref="CL7:CS7" si="11">CONCATENATE($CL$2," ",CL8)</f>
        <v>12 trees planted</v>
      </c>
      <c r="CM7" s="665" t="str">
        <f t="shared" si="11"/>
        <v>12 trees harvested</v>
      </c>
      <c r="CN7" s="665" t="str">
        <f t="shared" si="11"/>
        <v>12 tree height</v>
      </c>
      <c r="CO7" s="665" t="str">
        <f t="shared" si="11"/>
        <v>12 prune height</v>
      </c>
      <c r="CP7" s="665" t="str">
        <f t="shared" si="11"/>
        <v>12 standing timber</v>
      </c>
      <c r="CQ7" s="665" t="str">
        <f t="shared" si="11"/>
        <v>12 standing firewood</v>
      </c>
      <c r="CR7" s="665" t="str">
        <f t="shared" si="11"/>
        <v>12 harvested firewood</v>
      </c>
      <c r="CS7" s="665" t="str">
        <f t="shared" si="11"/>
        <v>12 by-product 1</v>
      </c>
      <c r="CT7" s="752" t="str">
        <f t="shared" ref="CT7:DA7" si="12">CONCATENATE($CT$2," ",CT8)</f>
        <v>13 trees planted</v>
      </c>
      <c r="CU7" s="665" t="str">
        <f t="shared" si="12"/>
        <v>13 trees harvested</v>
      </c>
      <c r="CV7" s="665" t="str">
        <f t="shared" si="12"/>
        <v>13 tree height</v>
      </c>
      <c r="CW7" s="665" t="str">
        <f t="shared" si="12"/>
        <v>13 prune height</v>
      </c>
      <c r="CX7" s="665" t="str">
        <f t="shared" si="12"/>
        <v>13 standing timber</v>
      </c>
      <c r="CY7" s="665" t="str">
        <f t="shared" si="12"/>
        <v>13 standing firewood</v>
      </c>
      <c r="CZ7" s="665" t="str">
        <f t="shared" si="12"/>
        <v>13 harvested firewood</v>
      </c>
      <c r="DA7" s="667" t="str">
        <f t="shared" si="12"/>
        <v>13 by-product 1</v>
      </c>
      <c r="DB7" s="665" t="str">
        <f t="shared" ref="DB7:DI7" si="13">CONCATENATE($DB$2," ",DB8)</f>
        <v>14 trees planted</v>
      </c>
      <c r="DC7" s="665" t="str">
        <f t="shared" si="13"/>
        <v>14 trees harvested</v>
      </c>
      <c r="DD7" s="665" t="str">
        <f t="shared" si="13"/>
        <v>14 tree height</v>
      </c>
      <c r="DE7" s="665" t="str">
        <f t="shared" si="13"/>
        <v>14 prune height</v>
      </c>
      <c r="DF7" s="665" t="str">
        <f t="shared" si="13"/>
        <v>14 standing timber</v>
      </c>
      <c r="DG7" s="665" t="str">
        <f t="shared" si="13"/>
        <v>14 standing firewood</v>
      </c>
      <c r="DH7" s="665" t="str">
        <f t="shared" si="13"/>
        <v>14 harvested firewood</v>
      </c>
      <c r="DI7" s="665" t="str">
        <f t="shared" si="13"/>
        <v>14 by-product 1</v>
      </c>
      <c r="DJ7" s="752" t="str">
        <f t="shared" ref="DJ7:DQ7" si="14">CONCATENATE($DJ$2," ",DJ8)</f>
        <v>15 trees planted</v>
      </c>
      <c r="DK7" s="665" t="str">
        <f t="shared" si="14"/>
        <v>15 trees harvested</v>
      </c>
      <c r="DL7" s="665" t="str">
        <f t="shared" si="14"/>
        <v>15 tree height</v>
      </c>
      <c r="DM7" s="665" t="str">
        <f t="shared" si="14"/>
        <v>15 prune height</v>
      </c>
      <c r="DN7" s="665" t="str">
        <f t="shared" si="14"/>
        <v>15 standing timber</v>
      </c>
      <c r="DO7" s="665" t="str">
        <f t="shared" si="14"/>
        <v>15 standing firewood</v>
      </c>
      <c r="DP7" s="665" t="str">
        <f t="shared" si="14"/>
        <v>15 harvested firewood</v>
      </c>
      <c r="DQ7" s="667" t="str">
        <f t="shared" si="14"/>
        <v>15 by-product 1</v>
      </c>
      <c r="DR7" s="665" t="str">
        <f t="shared" ref="DR7:DY7" si="15">CONCATENATE($DR$2," ",DR8)</f>
        <v>16 trees planted</v>
      </c>
      <c r="DS7" s="665" t="str">
        <f t="shared" si="15"/>
        <v>16 trees harvested</v>
      </c>
      <c r="DT7" s="665" t="str">
        <f t="shared" si="15"/>
        <v>16 tree height</v>
      </c>
      <c r="DU7" s="665" t="str">
        <f t="shared" si="15"/>
        <v>16 prune height</v>
      </c>
      <c r="DV7" s="665" t="str">
        <f t="shared" si="15"/>
        <v>16 standing timber</v>
      </c>
      <c r="DW7" s="665" t="str">
        <f t="shared" si="15"/>
        <v>16 standing firewood</v>
      </c>
      <c r="DX7" s="665" t="str">
        <f t="shared" si="15"/>
        <v>16 harvested firewood</v>
      </c>
      <c r="DY7" s="665" t="str">
        <f t="shared" si="15"/>
        <v>16 by-product 1</v>
      </c>
      <c r="DZ7" s="752" t="str">
        <f t="shared" ref="DZ7:EG7" si="16">CONCATENATE($DZ$2," ",DZ8)</f>
        <v>17 trees planted</v>
      </c>
      <c r="EA7" s="665" t="str">
        <f t="shared" si="16"/>
        <v>17 trees harvested</v>
      </c>
      <c r="EB7" s="665" t="str">
        <f t="shared" si="16"/>
        <v>17 tree height</v>
      </c>
      <c r="EC7" s="665" t="str">
        <f t="shared" si="16"/>
        <v>17 prune height</v>
      </c>
      <c r="ED7" s="665" t="str">
        <f t="shared" si="16"/>
        <v>17 standing timber</v>
      </c>
      <c r="EE7" s="665" t="str">
        <f t="shared" si="16"/>
        <v>17 standing firewood</v>
      </c>
      <c r="EF7" s="665" t="str">
        <f t="shared" si="16"/>
        <v>17 harvested firewood</v>
      </c>
      <c r="EG7" s="667" t="str">
        <f t="shared" si="16"/>
        <v>17 by-product 1</v>
      </c>
      <c r="EH7" s="665" t="str">
        <f t="shared" ref="EH7:EO7" si="17">CONCATENATE($EH$2," ",EH8)</f>
        <v>18 trees planted</v>
      </c>
      <c r="EI7" s="665" t="str">
        <f t="shared" si="17"/>
        <v>18 trees harvested</v>
      </c>
      <c r="EJ7" s="665" t="str">
        <f t="shared" si="17"/>
        <v>18 tree height</v>
      </c>
      <c r="EK7" s="665" t="str">
        <f t="shared" si="17"/>
        <v>18 prune height</v>
      </c>
      <c r="EL7" s="665" t="str">
        <f t="shared" si="17"/>
        <v>18 standing timber</v>
      </c>
      <c r="EM7" s="665" t="str">
        <f t="shared" si="17"/>
        <v>18 standing firewood</v>
      </c>
      <c r="EN7" s="665" t="str">
        <f t="shared" si="17"/>
        <v>18 harvested firewood</v>
      </c>
      <c r="EO7" s="665" t="str">
        <f t="shared" si="17"/>
        <v>18 by-product 1</v>
      </c>
      <c r="EP7" s="752" t="str">
        <f t="shared" ref="EP7:EW7" si="18">CONCATENATE($EP$2," ",EP8)</f>
        <v>19 trees planted</v>
      </c>
      <c r="EQ7" s="665" t="str">
        <f t="shared" si="18"/>
        <v>19 trees harvested</v>
      </c>
      <c r="ER7" s="665" t="str">
        <f t="shared" si="18"/>
        <v>19 tree height</v>
      </c>
      <c r="ES7" s="665" t="str">
        <f t="shared" si="18"/>
        <v>19 prune height</v>
      </c>
      <c r="ET7" s="665" t="str">
        <f t="shared" si="18"/>
        <v>19 standing timber</v>
      </c>
      <c r="EU7" s="665" t="str">
        <f t="shared" si="18"/>
        <v>19 standing firewood</v>
      </c>
      <c r="EV7" s="665" t="str">
        <f t="shared" si="18"/>
        <v>19 harvested firewood</v>
      </c>
      <c r="EW7" s="667" t="str">
        <f t="shared" si="18"/>
        <v>19 by-product 1</v>
      </c>
      <c r="EX7" s="665" t="str">
        <f t="shared" ref="EX7:FE7" si="19">CONCATENATE($EX$2," ",EX8)</f>
        <v>20 trees planted</v>
      </c>
      <c r="EY7" s="665" t="str">
        <f t="shared" si="19"/>
        <v>20 trees harvested</v>
      </c>
      <c r="EZ7" s="665" t="str">
        <f t="shared" si="19"/>
        <v>20 tree height</v>
      </c>
      <c r="FA7" s="665" t="str">
        <f t="shared" si="19"/>
        <v>20 prune height</v>
      </c>
      <c r="FB7" s="665" t="str">
        <f t="shared" si="19"/>
        <v>20 standing timber</v>
      </c>
      <c r="FC7" s="665" t="str">
        <f t="shared" si="19"/>
        <v>20 standing firewood</v>
      </c>
      <c r="FD7" s="665" t="str">
        <f t="shared" si="19"/>
        <v>20 harvested firewood</v>
      </c>
      <c r="FE7" s="665" t="str">
        <f t="shared" si="19"/>
        <v>20 by-product 1</v>
      </c>
      <c r="FF7" s="752" t="str">
        <f t="shared" ref="FF7:FM7" si="20">CONCATENATE($FF$2," ",FF8)</f>
        <v>21 trees planted</v>
      </c>
      <c r="FG7" s="665" t="str">
        <f t="shared" si="20"/>
        <v>21 trees harvested</v>
      </c>
      <c r="FH7" s="665" t="str">
        <f t="shared" si="20"/>
        <v>21 tree height</v>
      </c>
      <c r="FI7" s="665" t="str">
        <f t="shared" si="20"/>
        <v>21 prune height</v>
      </c>
      <c r="FJ7" s="665" t="str">
        <f t="shared" si="20"/>
        <v>21 standing timber</v>
      </c>
      <c r="FK7" s="665" t="str">
        <f t="shared" si="20"/>
        <v>21 standing firewood</v>
      </c>
      <c r="FL7" s="665" t="str">
        <f t="shared" si="20"/>
        <v>21 harvested firewood</v>
      </c>
      <c r="FM7" s="667" t="str">
        <f t="shared" si="20"/>
        <v>21 by-product 1</v>
      </c>
      <c r="FN7" s="665" t="str">
        <f t="shared" ref="FN7:FU7" si="21">CONCATENATE($FN$2," ",FN8)</f>
        <v>22 trees planted</v>
      </c>
      <c r="FO7" s="665" t="str">
        <f t="shared" si="21"/>
        <v>22 trees harvested</v>
      </c>
      <c r="FP7" s="665" t="str">
        <f t="shared" si="21"/>
        <v>22 tree height</v>
      </c>
      <c r="FQ7" s="665" t="str">
        <f t="shared" si="21"/>
        <v>22 prune height</v>
      </c>
      <c r="FR7" s="665" t="str">
        <f t="shared" si="21"/>
        <v>22 standing timber</v>
      </c>
      <c r="FS7" s="665" t="str">
        <f t="shared" si="21"/>
        <v>22 standing firewood</v>
      </c>
      <c r="FT7" s="665" t="str">
        <f t="shared" si="21"/>
        <v>22 harvested firewood</v>
      </c>
      <c r="FU7" s="665" t="str">
        <f t="shared" si="21"/>
        <v>22 by-product 1</v>
      </c>
      <c r="FV7" s="752" t="str">
        <f t="shared" ref="FV7:GC7" si="22">CONCATENATE($FV$2," ",FV8)</f>
        <v>23 trees planted</v>
      </c>
      <c r="FW7" s="665" t="str">
        <f t="shared" si="22"/>
        <v>23 trees harvested</v>
      </c>
      <c r="FX7" s="665" t="str">
        <f t="shared" si="22"/>
        <v>23 tree height</v>
      </c>
      <c r="FY7" s="665" t="str">
        <f t="shared" si="22"/>
        <v>23 prune height</v>
      </c>
      <c r="FZ7" s="665" t="str">
        <f t="shared" si="22"/>
        <v>23 standing timber</v>
      </c>
      <c r="GA7" s="665" t="str">
        <f t="shared" si="22"/>
        <v>23 standing firewood</v>
      </c>
      <c r="GB7" s="665" t="str">
        <f t="shared" si="22"/>
        <v>23 harvested firewood</v>
      </c>
      <c r="GC7" s="667" t="str">
        <f t="shared" si="22"/>
        <v>23 by-product 1</v>
      </c>
      <c r="GD7" s="665" t="str">
        <f t="shared" ref="GD7:GK7" si="23">CONCATENATE($GD$2," ",GD8)</f>
        <v>24 trees planted</v>
      </c>
      <c r="GE7" s="665" t="str">
        <f t="shared" si="23"/>
        <v>24 trees harvested</v>
      </c>
      <c r="GF7" s="665" t="str">
        <f t="shared" si="23"/>
        <v>24 tree height</v>
      </c>
      <c r="GG7" s="665" t="str">
        <f t="shared" si="23"/>
        <v>24 prune height</v>
      </c>
      <c r="GH7" s="665" t="str">
        <f t="shared" si="23"/>
        <v>24 standing timber</v>
      </c>
      <c r="GI7" s="665" t="str">
        <f t="shared" si="23"/>
        <v>24 standing firewood</v>
      </c>
      <c r="GJ7" s="665" t="str">
        <f t="shared" si="23"/>
        <v>24 harvested firewood</v>
      </c>
      <c r="GK7" s="665" t="str">
        <f t="shared" si="23"/>
        <v>24 by-product 1</v>
      </c>
      <c r="GL7" s="752" t="str">
        <f t="shared" ref="GL7:GS7" si="24">CONCATENATE($GL$2," ",GL8)</f>
        <v>25 trees planted</v>
      </c>
      <c r="GM7" s="665" t="str">
        <f t="shared" si="24"/>
        <v>25 trees harvested</v>
      </c>
      <c r="GN7" s="665" t="str">
        <f t="shared" si="24"/>
        <v>25 tree height</v>
      </c>
      <c r="GO7" s="665" t="str">
        <f t="shared" si="24"/>
        <v>25 prune height</v>
      </c>
      <c r="GP7" s="665" t="str">
        <f t="shared" si="24"/>
        <v>25 standing timber</v>
      </c>
      <c r="GQ7" s="665" t="str">
        <f t="shared" si="24"/>
        <v>25 standing firewood</v>
      </c>
      <c r="GR7" s="665" t="str">
        <f t="shared" si="24"/>
        <v>25 harvested firewood</v>
      </c>
      <c r="GS7" s="667" t="str">
        <f t="shared" si="24"/>
        <v>25 by-product 1</v>
      </c>
      <c r="GT7" s="665" t="str">
        <f t="shared" ref="GT7:HA7" si="25">CONCATENATE($GT$2," ",GT8)</f>
        <v>26 trees planted</v>
      </c>
      <c r="GU7" s="665" t="str">
        <f t="shared" si="25"/>
        <v>26 trees harvested</v>
      </c>
      <c r="GV7" s="665" t="str">
        <f t="shared" si="25"/>
        <v>26 tree height</v>
      </c>
      <c r="GW7" s="665" t="str">
        <f t="shared" si="25"/>
        <v>26 prune height</v>
      </c>
      <c r="GX7" s="665" t="str">
        <f t="shared" si="25"/>
        <v>26 standing timber</v>
      </c>
      <c r="GY7" s="665" t="str">
        <f t="shared" si="25"/>
        <v>26 standing firewood</v>
      </c>
      <c r="GZ7" s="665" t="str">
        <f t="shared" si="25"/>
        <v>26 harvested firewood</v>
      </c>
      <c r="HA7" s="665" t="str">
        <f t="shared" si="25"/>
        <v>26 by-product 1</v>
      </c>
      <c r="HB7" s="752" t="str">
        <f t="shared" ref="HB7:HI7" si="26">CONCATENATE($HB$2," ",HB8)</f>
        <v>27 trees planted</v>
      </c>
      <c r="HC7" s="665" t="str">
        <f t="shared" si="26"/>
        <v>27 trees harvested</v>
      </c>
      <c r="HD7" s="665" t="str">
        <f t="shared" si="26"/>
        <v>27 tree height</v>
      </c>
      <c r="HE7" s="665" t="str">
        <f t="shared" si="26"/>
        <v>27 prune height</v>
      </c>
      <c r="HF7" s="665" t="str">
        <f t="shared" si="26"/>
        <v>27 standing timber</v>
      </c>
      <c r="HG7" s="665" t="str">
        <f t="shared" si="26"/>
        <v>27 standing firewood</v>
      </c>
      <c r="HH7" s="665" t="str">
        <f t="shared" si="26"/>
        <v>27 harvested firewood</v>
      </c>
      <c r="HI7" s="667" t="str">
        <f t="shared" si="26"/>
        <v>27 by-product 1</v>
      </c>
      <c r="HJ7" s="665" t="str">
        <f t="shared" ref="HJ7:HQ7" si="27">CONCATENATE($HJ$2," ",HJ8)</f>
        <v>28 trees planted</v>
      </c>
      <c r="HK7" s="665" t="str">
        <f t="shared" si="27"/>
        <v>28 trees harvested</v>
      </c>
      <c r="HL7" s="665" t="str">
        <f t="shared" si="27"/>
        <v>28 tree height</v>
      </c>
      <c r="HM7" s="665" t="str">
        <f t="shared" si="27"/>
        <v>28 prune height</v>
      </c>
      <c r="HN7" s="665" t="str">
        <f t="shared" si="27"/>
        <v>28 standing timber</v>
      </c>
      <c r="HO7" s="665" t="str">
        <f t="shared" si="27"/>
        <v>28 standing firewood</v>
      </c>
      <c r="HP7" s="665" t="str">
        <f t="shared" si="27"/>
        <v>28 harvested firewood</v>
      </c>
      <c r="HQ7" s="665" t="str">
        <f t="shared" si="27"/>
        <v>28 by-product 1</v>
      </c>
      <c r="HR7" s="752" t="str">
        <f t="shared" ref="HR7:HY7" si="28">CONCATENATE($HR$2," ",HR8)</f>
        <v>29 trees planted</v>
      </c>
      <c r="HS7" s="665" t="str">
        <f t="shared" si="28"/>
        <v>29 trees harvested</v>
      </c>
      <c r="HT7" s="665" t="str">
        <f t="shared" si="28"/>
        <v>29 tree height</v>
      </c>
      <c r="HU7" s="665" t="str">
        <f t="shared" si="28"/>
        <v>29 prune height</v>
      </c>
      <c r="HV7" s="665" t="str">
        <f t="shared" si="28"/>
        <v>29 standing timber</v>
      </c>
      <c r="HW7" s="665" t="str">
        <f t="shared" si="28"/>
        <v>29 standing firewood</v>
      </c>
      <c r="HX7" s="665" t="str">
        <f t="shared" si="28"/>
        <v>29 harvested firewood</v>
      </c>
      <c r="HY7" s="667" t="str">
        <f t="shared" si="28"/>
        <v>29 by-product 1</v>
      </c>
      <c r="HZ7" s="665" t="str">
        <f t="shared" ref="HZ7:IG7" si="29">CONCATENATE($HZ$2," ",HZ8)</f>
        <v>30 trees planted</v>
      </c>
      <c r="IA7" s="665" t="str">
        <f t="shared" si="29"/>
        <v>30 trees harvested</v>
      </c>
      <c r="IB7" s="665" t="str">
        <f t="shared" si="29"/>
        <v>30 tree height</v>
      </c>
      <c r="IC7" s="665" t="str">
        <f t="shared" si="29"/>
        <v>30 prune height</v>
      </c>
      <c r="ID7" s="665" t="str">
        <f t="shared" si="29"/>
        <v>30 standing timber</v>
      </c>
      <c r="IE7" s="665" t="str">
        <f t="shared" si="29"/>
        <v>30 standing firewood</v>
      </c>
      <c r="IF7" s="665" t="str">
        <f t="shared" si="29"/>
        <v>30 harvested firewood</v>
      </c>
      <c r="IG7" s="665" t="str">
        <f t="shared" si="29"/>
        <v>30 by-product 1</v>
      </c>
      <c r="IH7" s="743"/>
    </row>
    <row r="8" spans="1:244" ht="99" thickBot="1" x14ac:dyDescent="0.3">
      <c r="A8" s="753" t="s">
        <v>174</v>
      </c>
      <c r="B8" s="754" t="s">
        <v>64</v>
      </c>
      <c r="C8" s="671" t="s">
        <v>65</v>
      </c>
      <c r="D8" s="671" t="s">
        <v>66</v>
      </c>
      <c r="E8" s="671" t="s">
        <v>305</v>
      </c>
      <c r="F8" s="671" t="s">
        <v>348</v>
      </c>
      <c r="G8" s="671" t="s">
        <v>352</v>
      </c>
      <c r="H8" s="671" t="s">
        <v>347</v>
      </c>
      <c r="I8" s="673" t="s">
        <v>63</v>
      </c>
      <c r="J8" s="754" t="s">
        <v>64</v>
      </c>
      <c r="K8" s="671" t="s">
        <v>65</v>
      </c>
      <c r="L8" s="671" t="s">
        <v>66</v>
      </c>
      <c r="M8" s="671" t="s">
        <v>305</v>
      </c>
      <c r="N8" s="671" t="s">
        <v>348</v>
      </c>
      <c r="O8" s="671" t="s">
        <v>352</v>
      </c>
      <c r="P8" s="671" t="s">
        <v>347</v>
      </c>
      <c r="Q8" s="673" t="s">
        <v>63</v>
      </c>
      <c r="R8" s="754" t="s">
        <v>64</v>
      </c>
      <c r="S8" s="671" t="s">
        <v>65</v>
      </c>
      <c r="T8" s="671" t="s">
        <v>66</v>
      </c>
      <c r="U8" s="671" t="s">
        <v>305</v>
      </c>
      <c r="V8" s="671" t="s">
        <v>348</v>
      </c>
      <c r="W8" s="671" t="s">
        <v>352</v>
      </c>
      <c r="X8" s="671" t="s">
        <v>347</v>
      </c>
      <c r="Y8" s="673" t="s">
        <v>63</v>
      </c>
      <c r="Z8" s="754" t="s">
        <v>64</v>
      </c>
      <c r="AA8" s="671" t="s">
        <v>65</v>
      </c>
      <c r="AB8" s="671" t="s">
        <v>66</v>
      </c>
      <c r="AC8" s="671" t="s">
        <v>305</v>
      </c>
      <c r="AD8" s="671" t="s">
        <v>348</v>
      </c>
      <c r="AE8" s="671" t="s">
        <v>352</v>
      </c>
      <c r="AF8" s="671" t="s">
        <v>347</v>
      </c>
      <c r="AG8" s="673" t="s">
        <v>63</v>
      </c>
      <c r="AH8" s="754" t="s">
        <v>64</v>
      </c>
      <c r="AI8" s="671" t="s">
        <v>65</v>
      </c>
      <c r="AJ8" s="671" t="s">
        <v>66</v>
      </c>
      <c r="AK8" s="671" t="s">
        <v>305</v>
      </c>
      <c r="AL8" s="671" t="s">
        <v>348</v>
      </c>
      <c r="AM8" s="671" t="s">
        <v>352</v>
      </c>
      <c r="AN8" s="671" t="s">
        <v>347</v>
      </c>
      <c r="AO8" s="673" t="s">
        <v>63</v>
      </c>
      <c r="AP8" s="754" t="s">
        <v>64</v>
      </c>
      <c r="AQ8" s="671" t="s">
        <v>65</v>
      </c>
      <c r="AR8" s="671" t="s">
        <v>66</v>
      </c>
      <c r="AS8" s="671" t="s">
        <v>305</v>
      </c>
      <c r="AT8" s="671" t="s">
        <v>348</v>
      </c>
      <c r="AU8" s="671" t="s">
        <v>352</v>
      </c>
      <c r="AV8" s="671" t="s">
        <v>347</v>
      </c>
      <c r="AW8" s="673" t="s">
        <v>63</v>
      </c>
      <c r="AX8" s="754" t="s">
        <v>64</v>
      </c>
      <c r="AY8" s="671" t="s">
        <v>65</v>
      </c>
      <c r="AZ8" s="671" t="s">
        <v>66</v>
      </c>
      <c r="BA8" s="671" t="s">
        <v>305</v>
      </c>
      <c r="BB8" s="671" t="s">
        <v>348</v>
      </c>
      <c r="BC8" s="671" t="s">
        <v>352</v>
      </c>
      <c r="BD8" s="671" t="s">
        <v>347</v>
      </c>
      <c r="BE8" s="673" t="s">
        <v>63</v>
      </c>
      <c r="BF8" s="754" t="s">
        <v>64</v>
      </c>
      <c r="BG8" s="671" t="s">
        <v>65</v>
      </c>
      <c r="BH8" s="671" t="s">
        <v>66</v>
      </c>
      <c r="BI8" s="671" t="s">
        <v>305</v>
      </c>
      <c r="BJ8" s="671" t="s">
        <v>348</v>
      </c>
      <c r="BK8" s="671" t="s">
        <v>352</v>
      </c>
      <c r="BL8" s="671" t="s">
        <v>347</v>
      </c>
      <c r="BM8" s="673" t="s">
        <v>63</v>
      </c>
      <c r="BN8" s="754" t="s">
        <v>64</v>
      </c>
      <c r="BO8" s="671" t="s">
        <v>65</v>
      </c>
      <c r="BP8" s="671" t="s">
        <v>66</v>
      </c>
      <c r="BQ8" s="671" t="s">
        <v>305</v>
      </c>
      <c r="BR8" s="671" t="s">
        <v>348</v>
      </c>
      <c r="BS8" s="671" t="s">
        <v>352</v>
      </c>
      <c r="BT8" s="671" t="s">
        <v>347</v>
      </c>
      <c r="BU8" s="673" t="s">
        <v>63</v>
      </c>
      <c r="BV8" s="754" t="s">
        <v>64</v>
      </c>
      <c r="BW8" s="671" t="s">
        <v>65</v>
      </c>
      <c r="BX8" s="671" t="s">
        <v>66</v>
      </c>
      <c r="BY8" s="671" t="s">
        <v>305</v>
      </c>
      <c r="BZ8" s="671" t="s">
        <v>348</v>
      </c>
      <c r="CA8" s="671" t="s">
        <v>352</v>
      </c>
      <c r="CB8" s="671" t="s">
        <v>347</v>
      </c>
      <c r="CC8" s="673" t="s">
        <v>63</v>
      </c>
      <c r="CD8" s="754" t="s">
        <v>64</v>
      </c>
      <c r="CE8" s="671" t="s">
        <v>65</v>
      </c>
      <c r="CF8" s="671" t="s">
        <v>66</v>
      </c>
      <c r="CG8" s="671" t="s">
        <v>305</v>
      </c>
      <c r="CH8" s="671" t="s">
        <v>348</v>
      </c>
      <c r="CI8" s="671" t="s">
        <v>352</v>
      </c>
      <c r="CJ8" s="671" t="s">
        <v>347</v>
      </c>
      <c r="CK8" s="673" t="s">
        <v>63</v>
      </c>
      <c r="CL8" s="754" t="s">
        <v>64</v>
      </c>
      <c r="CM8" s="671" t="s">
        <v>65</v>
      </c>
      <c r="CN8" s="671" t="s">
        <v>66</v>
      </c>
      <c r="CO8" s="671" t="s">
        <v>305</v>
      </c>
      <c r="CP8" s="671" t="s">
        <v>348</v>
      </c>
      <c r="CQ8" s="671" t="s">
        <v>352</v>
      </c>
      <c r="CR8" s="671" t="s">
        <v>347</v>
      </c>
      <c r="CS8" s="673" t="s">
        <v>63</v>
      </c>
      <c r="CT8" s="754" t="s">
        <v>64</v>
      </c>
      <c r="CU8" s="671" t="s">
        <v>65</v>
      </c>
      <c r="CV8" s="671" t="s">
        <v>66</v>
      </c>
      <c r="CW8" s="671" t="s">
        <v>305</v>
      </c>
      <c r="CX8" s="671" t="s">
        <v>348</v>
      </c>
      <c r="CY8" s="671" t="s">
        <v>352</v>
      </c>
      <c r="CZ8" s="671" t="s">
        <v>347</v>
      </c>
      <c r="DA8" s="673" t="s">
        <v>63</v>
      </c>
      <c r="DB8" s="754" t="s">
        <v>64</v>
      </c>
      <c r="DC8" s="671" t="s">
        <v>65</v>
      </c>
      <c r="DD8" s="671" t="s">
        <v>66</v>
      </c>
      <c r="DE8" s="671" t="s">
        <v>305</v>
      </c>
      <c r="DF8" s="671" t="s">
        <v>348</v>
      </c>
      <c r="DG8" s="671" t="s">
        <v>352</v>
      </c>
      <c r="DH8" s="671" t="s">
        <v>347</v>
      </c>
      <c r="DI8" s="673" t="s">
        <v>63</v>
      </c>
      <c r="DJ8" s="754" t="s">
        <v>64</v>
      </c>
      <c r="DK8" s="671" t="s">
        <v>65</v>
      </c>
      <c r="DL8" s="671" t="s">
        <v>66</v>
      </c>
      <c r="DM8" s="671" t="s">
        <v>305</v>
      </c>
      <c r="DN8" s="671" t="s">
        <v>348</v>
      </c>
      <c r="DO8" s="671" t="s">
        <v>352</v>
      </c>
      <c r="DP8" s="671" t="s">
        <v>347</v>
      </c>
      <c r="DQ8" s="673" t="s">
        <v>63</v>
      </c>
      <c r="DR8" s="754" t="s">
        <v>64</v>
      </c>
      <c r="DS8" s="671" t="s">
        <v>65</v>
      </c>
      <c r="DT8" s="671" t="s">
        <v>66</v>
      </c>
      <c r="DU8" s="671" t="s">
        <v>305</v>
      </c>
      <c r="DV8" s="671" t="s">
        <v>348</v>
      </c>
      <c r="DW8" s="671" t="s">
        <v>352</v>
      </c>
      <c r="DX8" s="671" t="s">
        <v>347</v>
      </c>
      <c r="DY8" s="673" t="s">
        <v>63</v>
      </c>
      <c r="DZ8" s="754" t="s">
        <v>64</v>
      </c>
      <c r="EA8" s="671" t="s">
        <v>65</v>
      </c>
      <c r="EB8" s="671" t="s">
        <v>66</v>
      </c>
      <c r="EC8" s="671" t="s">
        <v>305</v>
      </c>
      <c r="ED8" s="671" t="s">
        <v>348</v>
      </c>
      <c r="EE8" s="671" t="s">
        <v>352</v>
      </c>
      <c r="EF8" s="671" t="s">
        <v>347</v>
      </c>
      <c r="EG8" s="673" t="s">
        <v>63</v>
      </c>
      <c r="EH8" s="754" t="s">
        <v>64</v>
      </c>
      <c r="EI8" s="671" t="s">
        <v>65</v>
      </c>
      <c r="EJ8" s="671" t="s">
        <v>66</v>
      </c>
      <c r="EK8" s="671" t="s">
        <v>305</v>
      </c>
      <c r="EL8" s="671" t="s">
        <v>348</v>
      </c>
      <c r="EM8" s="671" t="s">
        <v>352</v>
      </c>
      <c r="EN8" s="671" t="s">
        <v>347</v>
      </c>
      <c r="EO8" s="673" t="s">
        <v>63</v>
      </c>
      <c r="EP8" s="754" t="s">
        <v>64</v>
      </c>
      <c r="EQ8" s="671" t="s">
        <v>65</v>
      </c>
      <c r="ER8" s="671" t="s">
        <v>66</v>
      </c>
      <c r="ES8" s="671" t="s">
        <v>305</v>
      </c>
      <c r="ET8" s="671" t="s">
        <v>348</v>
      </c>
      <c r="EU8" s="671" t="s">
        <v>352</v>
      </c>
      <c r="EV8" s="671" t="s">
        <v>347</v>
      </c>
      <c r="EW8" s="673" t="s">
        <v>63</v>
      </c>
      <c r="EX8" s="754" t="s">
        <v>64</v>
      </c>
      <c r="EY8" s="671" t="s">
        <v>65</v>
      </c>
      <c r="EZ8" s="671" t="s">
        <v>66</v>
      </c>
      <c r="FA8" s="671" t="s">
        <v>305</v>
      </c>
      <c r="FB8" s="671" t="s">
        <v>348</v>
      </c>
      <c r="FC8" s="671" t="s">
        <v>352</v>
      </c>
      <c r="FD8" s="671" t="s">
        <v>347</v>
      </c>
      <c r="FE8" s="673" t="s">
        <v>63</v>
      </c>
      <c r="FF8" s="754" t="s">
        <v>64</v>
      </c>
      <c r="FG8" s="671" t="s">
        <v>65</v>
      </c>
      <c r="FH8" s="671" t="s">
        <v>66</v>
      </c>
      <c r="FI8" s="671" t="s">
        <v>305</v>
      </c>
      <c r="FJ8" s="671" t="s">
        <v>348</v>
      </c>
      <c r="FK8" s="671" t="s">
        <v>352</v>
      </c>
      <c r="FL8" s="671" t="s">
        <v>347</v>
      </c>
      <c r="FM8" s="673" t="s">
        <v>63</v>
      </c>
      <c r="FN8" s="754" t="s">
        <v>64</v>
      </c>
      <c r="FO8" s="671" t="s">
        <v>65</v>
      </c>
      <c r="FP8" s="671" t="s">
        <v>66</v>
      </c>
      <c r="FQ8" s="671" t="s">
        <v>305</v>
      </c>
      <c r="FR8" s="671" t="s">
        <v>348</v>
      </c>
      <c r="FS8" s="671" t="s">
        <v>352</v>
      </c>
      <c r="FT8" s="671" t="s">
        <v>347</v>
      </c>
      <c r="FU8" s="673" t="s">
        <v>63</v>
      </c>
      <c r="FV8" s="754" t="s">
        <v>64</v>
      </c>
      <c r="FW8" s="671" t="s">
        <v>65</v>
      </c>
      <c r="FX8" s="671" t="s">
        <v>66</v>
      </c>
      <c r="FY8" s="671" t="s">
        <v>305</v>
      </c>
      <c r="FZ8" s="671" t="s">
        <v>348</v>
      </c>
      <c r="GA8" s="671" t="s">
        <v>352</v>
      </c>
      <c r="GB8" s="671" t="s">
        <v>347</v>
      </c>
      <c r="GC8" s="673" t="s">
        <v>63</v>
      </c>
      <c r="GD8" s="754" t="s">
        <v>64</v>
      </c>
      <c r="GE8" s="671" t="s">
        <v>65</v>
      </c>
      <c r="GF8" s="671" t="s">
        <v>66</v>
      </c>
      <c r="GG8" s="671" t="s">
        <v>305</v>
      </c>
      <c r="GH8" s="671" t="s">
        <v>348</v>
      </c>
      <c r="GI8" s="671" t="s">
        <v>352</v>
      </c>
      <c r="GJ8" s="671" t="s">
        <v>347</v>
      </c>
      <c r="GK8" s="673" t="s">
        <v>63</v>
      </c>
      <c r="GL8" s="754" t="s">
        <v>64</v>
      </c>
      <c r="GM8" s="671" t="s">
        <v>65</v>
      </c>
      <c r="GN8" s="671" t="s">
        <v>66</v>
      </c>
      <c r="GO8" s="671" t="s">
        <v>305</v>
      </c>
      <c r="GP8" s="671" t="s">
        <v>348</v>
      </c>
      <c r="GQ8" s="671" t="s">
        <v>352</v>
      </c>
      <c r="GR8" s="671" t="s">
        <v>347</v>
      </c>
      <c r="GS8" s="673" t="s">
        <v>63</v>
      </c>
      <c r="GT8" s="754" t="s">
        <v>64</v>
      </c>
      <c r="GU8" s="671" t="s">
        <v>65</v>
      </c>
      <c r="GV8" s="671" t="s">
        <v>66</v>
      </c>
      <c r="GW8" s="671" t="s">
        <v>305</v>
      </c>
      <c r="GX8" s="671" t="s">
        <v>348</v>
      </c>
      <c r="GY8" s="671" t="s">
        <v>352</v>
      </c>
      <c r="GZ8" s="671" t="s">
        <v>347</v>
      </c>
      <c r="HA8" s="673" t="s">
        <v>63</v>
      </c>
      <c r="HB8" s="754" t="s">
        <v>64</v>
      </c>
      <c r="HC8" s="671" t="s">
        <v>65</v>
      </c>
      <c r="HD8" s="671" t="s">
        <v>66</v>
      </c>
      <c r="HE8" s="671" t="s">
        <v>305</v>
      </c>
      <c r="HF8" s="671" t="s">
        <v>348</v>
      </c>
      <c r="HG8" s="671" t="s">
        <v>352</v>
      </c>
      <c r="HH8" s="671" t="s">
        <v>347</v>
      </c>
      <c r="HI8" s="673" t="s">
        <v>63</v>
      </c>
      <c r="HJ8" s="754" t="s">
        <v>64</v>
      </c>
      <c r="HK8" s="671" t="s">
        <v>65</v>
      </c>
      <c r="HL8" s="671" t="s">
        <v>66</v>
      </c>
      <c r="HM8" s="671" t="s">
        <v>305</v>
      </c>
      <c r="HN8" s="671" t="s">
        <v>348</v>
      </c>
      <c r="HO8" s="671" t="s">
        <v>352</v>
      </c>
      <c r="HP8" s="671" t="s">
        <v>347</v>
      </c>
      <c r="HQ8" s="673" t="s">
        <v>63</v>
      </c>
      <c r="HR8" s="754" t="s">
        <v>64</v>
      </c>
      <c r="HS8" s="671" t="s">
        <v>65</v>
      </c>
      <c r="HT8" s="671" t="s">
        <v>66</v>
      </c>
      <c r="HU8" s="671" t="s">
        <v>305</v>
      </c>
      <c r="HV8" s="671" t="s">
        <v>348</v>
      </c>
      <c r="HW8" s="671" t="s">
        <v>352</v>
      </c>
      <c r="HX8" s="671" t="s">
        <v>347</v>
      </c>
      <c r="HY8" s="673" t="s">
        <v>63</v>
      </c>
      <c r="HZ8" s="754" t="s">
        <v>64</v>
      </c>
      <c r="IA8" s="671" t="s">
        <v>65</v>
      </c>
      <c r="IB8" s="671" t="s">
        <v>66</v>
      </c>
      <c r="IC8" s="671" t="s">
        <v>305</v>
      </c>
      <c r="ID8" s="671" t="s">
        <v>348</v>
      </c>
      <c r="IE8" s="671" t="s">
        <v>352</v>
      </c>
      <c r="IF8" s="671" t="s">
        <v>347</v>
      </c>
      <c r="IG8" s="673" t="s">
        <v>63</v>
      </c>
      <c r="IH8" s="746"/>
      <c r="IJ8" s="755"/>
    </row>
    <row r="9" spans="1:244" ht="18" thickBot="1" x14ac:dyDescent="0.3">
      <c r="A9" s="756" t="s">
        <v>172</v>
      </c>
      <c r="B9" s="757" t="s">
        <v>562</v>
      </c>
      <c r="C9" s="675" t="s">
        <v>562</v>
      </c>
      <c r="D9" s="675" t="s">
        <v>39</v>
      </c>
      <c r="E9" s="675" t="s">
        <v>39</v>
      </c>
      <c r="F9" s="676" t="s">
        <v>563</v>
      </c>
      <c r="G9" s="675" t="s">
        <v>563</v>
      </c>
      <c r="H9" s="675" t="s">
        <v>563</v>
      </c>
      <c r="I9" s="677" t="s">
        <v>561</v>
      </c>
      <c r="J9" s="757" t="s">
        <v>562</v>
      </c>
      <c r="K9" s="675" t="s">
        <v>562</v>
      </c>
      <c r="L9" s="675" t="s">
        <v>39</v>
      </c>
      <c r="M9" s="675" t="s">
        <v>39</v>
      </c>
      <c r="N9" s="676" t="s">
        <v>563</v>
      </c>
      <c r="O9" s="675" t="s">
        <v>563</v>
      </c>
      <c r="P9" s="675" t="s">
        <v>563</v>
      </c>
      <c r="Q9" s="677" t="s">
        <v>561</v>
      </c>
      <c r="R9" s="757" t="s">
        <v>562</v>
      </c>
      <c r="S9" s="675" t="s">
        <v>562</v>
      </c>
      <c r="T9" s="675" t="s">
        <v>39</v>
      </c>
      <c r="U9" s="675" t="s">
        <v>39</v>
      </c>
      <c r="V9" s="676" t="s">
        <v>563</v>
      </c>
      <c r="W9" s="675" t="s">
        <v>563</v>
      </c>
      <c r="X9" s="675" t="s">
        <v>563</v>
      </c>
      <c r="Y9" s="677" t="s">
        <v>561</v>
      </c>
      <c r="Z9" s="757" t="s">
        <v>562</v>
      </c>
      <c r="AA9" s="675" t="s">
        <v>562</v>
      </c>
      <c r="AB9" s="675" t="s">
        <v>39</v>
      </c>
      <c r="AC9" s="675" t="s">
        <v>39</v>
      </c>
      <c r="AD9" s="676" t="s">
        <v>563</v>
      </c>
      <c r="AE9" s="675" t="s">
        <v>563</v>
      </c>
      <c r="AF9" s="675" t="s">
        <v>563</v>
      </c>
      <c r="AG9" s="677" t="s">
        <v>561</v>
      </c>
      <c r="AH9" s="757" t="s">
        <v>562</v>
      </c>
      <c r="AI9" s="675" t="s">
        <v>562</v>
      </c>
      <c r="AJ9" s="675" t="s">
        <v>39</v>
      </c>
      <c r="AK9" s="675" t="s">
        <v>39</v>
      </c>
      <c r="AL9" s="676" t="s">
        <v>563</v>
      </c>
      <c r="AM9" s="675" t="s">
        <v>563</v>
      </c>
      <c r="AN9" s="675" t="s">
        <v>563</v>
      </c>
      <c r="AO9" s="677" t="s">
        <v>561</v>
      </c>
      <c r="AP9" s="757" t="s">
        <v>562</v>
      </c>
      <c r="AQ9" s="675" t="s">
        <v>562</v>
      </c>
      <c r="AR9" s="675" t="s">
        <v>39</v>
      </c>
      <c r="AS9" s="675" t="s">
        <v>39</v>
      </c>
      <c r="AT9" s="676" t="s">
        <v>563</v>
      </c>
      <c r="AU9" s="675" t="s">
        <v>563</v>
      </c>
      <c r="AV9" s="675" t="s">
        <v>563</v>
      </c>
      <c r="AW9" s="677" t="s">
        <v>561</v>
      </c>
      <c r="AX9" s="757" t="s">
        <v>562</v>
      </c>
      <c r="AY9" s="675" t="s">
        <v>562</v>
      </c>
      <c r="AZ9" s="675" t="s">
        <v>39</v>
      </c>
      <c r="BA9" s="675" t="s">
        <v>39</v>
      </c>
      <c r="BB9" s="676" t="s">
        <v>563</v>
      </c>
      <c r="BC9" s="675" t="s">
        <v>563</v>
      </c>
      <c r="BD9" s="675" t="s">
        <v>563</v>
      </c>
      <c r="BE9" s="677" t="s">
        <v>561</v>
      </c>
      <c r="BF9" s="757" t="s">
        <v>562</v>
      </c>
      <c r="BG9" s="675" t="s">
        <v>562</v>
      </c>
      <c r="BH9" s="675" t="s">
        <v>39</v>
      </c>
      <c r="BI9" s="675" t="s">
        <v>39</v>
      </c>
      <c r="BJ9" s="676" t="s">
        <v>563</v>
      </c>
      <c r="BK9" s="675" t="s">
        <v>563</v>
      </c>
      <c r="BL9" s="675" t="s">
        <v>563</v>
      </c>
      <c r="BM9" s="677" t="s">
        <v>561</v>
      </c>
      <c r="BN9" s="757" t="s">
        <v>562</v>
      </c>
      <c r="BO9" s="675" t="s">
        <v>562</v>
      </c>
      <c r="BP9" s="675" t="s">
        <v>39</v>
      </c>
      <c r="BQ9" s="675" t="s">
        <v>39</v>
      </c>
      <c r="BR9" s="676" t="s">
        <v>563</v>
      </c>
      <c r="BS9" s="675" t="s">
        <v>563</v>
      </c>
      <c r="BT9" s="675" t="s">
        <v>563</v>
      </c>
      <c r="BU9" s="677" t="s">
        <v>561</v>
      </c>
      <c r="BV9" s="757" t="s">
        <v>562</v>
      </c>
      <c r="BW9" s="675" t="s">
        <v>562</v>
      </c>
      <c r="BX9" s="675" t="s">
        <v>39</v>
      </c>
      <c r="BY9" s="675" t="s">
        <v>39</v>
      </c>
      <c r="BZ9" s="676" t="s">
        <v>563</v>
      </c>
      <c r="CA9" s="675" t="s">
        <v>563</v>
      </c>
      <c r="CB9" s="675" t="s">
        <v>563</v>
      </c>
      <c r="CC9" s="677" t="s">
        <v>561</v>
      </c>
      <c r="CD9" s="757" t="s">
        <v>562</v>
      </c>
      <c r="CE9" s="675" t="s">
        <v>562</v>
      </c>
      <c r="CF9" s="675" t="s">
        <v>39</v>
      </c>
      <c r="CG9" s="675" t="s">
        <v>39</v>
      </c>
      <c r="CH9" s="676" t="s">
        <v>563</v>
      </c>
      <c r="CI9" s="675" t="s">
        <v>563</v>
      </c>
      <c r="CJ9" s="675" t="s">
        <v>563</v>
      </c>
      <c r="CK9" s="677" t="s">
        <v>561</v>
      </c>
      <c r="CL9" s="757" t="s">
        <v>562</v>
      </c>
      <c r="CM9" s="675" t="s">
        <v>562</v>
      </c>
      <c r="CN9" s="675" t="s">
        <v>39</v>
      </c>
      <c r="CO9" s="675" t="s">
        <v>39</v>
      </c>
      <c r="CP9" s="676" t="s">
        <v>563</v>
      </c>
      <c r="CQ9" s="675" t="s">
        <v>563</v>
      </c>
      <c r="CR9" s="675" t="s">
        <v>563</v>
      </c>
      <c r="CS9" s="677" t="s">
        <v>561</v>
      </c>
      <c r="CT9" s="757" t="s">
        <v>562</v>
      </c>
      <c r="CU9" s="675" t="s">
        <v>562</v>
      </c>
      <c r="CV9" s="675" t="s">
        <v>39</v>
      </c>
      <c r="CW9" s="675" t="s">
        <v>39</v>
      </c>
      <c r="CX9" s="676" t="s">
        <v>563</v>
      </c>
      <c r="CY9" s="675" t="s">
        <v>563</v>
      </c>
      <c r="CZ9" s="675" t="s">
        <v>563</v>
      </c>
      <c r="DA9" s="677" t="s">
        <v>561</v>
      </c>
      <c r="DB9" s="757" t="s">
        <v>562</v>
      </c>
      <c r="DC9" s="675" t="s">
        <v>562</v>
      </c>
      <c r="DD9" s="675" t="s">
        <v>39</v>
      </c>
      <c r="DE9" s="675" t="s">
        <v>39</v>
      </c>
      <c r="DF9" s="676" t="s">
        <v>563</v>
      </c>
      <c r="DG9" s="675" t="s">
        <v>563</v>
      </c>
      <c r="DH9" s="675" t="s">
        <v>563</v>
      </c>
      <c r="DI9" s="677" t="s">
        <v>561</v>
      </c>
      <c r="DJ9" s="757" t="s">
        <v>562</v>
      </c>
      <c r="DK9" s="675" t="s">
        <v>562</v>
      </c>
      <c r="DL9" s="675" t="s">
        <v>39</v>
      </c>
      <c r="DM9" s="675" t="s">
        <v>39</v>
      </c>
      <c r="DN9" s="676" t="s">
        <v>563</v>
      </c>
      <c r="DO9" s="675" t="s">
        <v>563</v>
      </c>
      <c r="DP9" s="675" t="s">
        <v>563</v>
      </c>
      <c r="DQ9" s="677" t="s">
        <v>561</v>
      </c>
      <c r="DR9" s="757" t="s">
        <v>562</v>
      </c>
      <c r="DS9" s="675" t="s">
        <v>562</v>
      </c>
      <c r="DT9" s="675" t="s">
        <v>39</v>
      </c>
      <c r="DU9" s="675" t="s">
        <v>39</v>
      </c>
      <c r="DV9" s="676" t="s">
        <v>563</v>
      </c>
      <c r="DW9" s="675" t="s">
        <v>563</v>
      </c>
      <c r="DX9" s="675" t="s">
        <v>563</v>
      </c>
      <c r="DY9" s="677" t="s">
        <v>561</v>
      </c>
      <c r="DZ9" s="757" t="s">
        <v>562</v>
      </c>
      <c r="EA9" s="675" t="s">
        <v>562</v>
      </c>
      <c r="EB9" s="675" t="s">
        <v>39</v>
      </c>
      <c r="EC9" s="675" t="s">
        <v>39</v>
      </c>
      <c r="ED9" s="676" t="s">
        <v>563</v>
      </c>
      <c r="EE9" s="675" t="s">
        <v>563</v>
      </c>
      <c r="EF9" s="675" t="s">
        <v>563</v>
      </c>
      <c r="EG9" s="677" t="s">
        <v>561</v>
      </c>
      <c r="EH9" s="757" t="s">
        <v>562</v>
      </c>
      <c r="EI9" s="675" t="s">
        <v>562</v>
      </c>
      <c r="EJ9" s="675" t="s">
        <v>39</v>
      </c>
      <c r="EK9" s="675" t="s">
        <v>39</v>
      </c>
      <c r="EL9" s="676" t="s">
        <v>563</v>
      </c>
      <c r="EM9" s="675" t="s">
        <v>563</v>
      </c>
      <c r="EN9" s="675" t="s">
        <v>563</v>
      </c>
      <c r="EO9" s="677" t="s">
        <v>561</v>
      </c>
      <c r="EP9" s="757" t="s">
        <v>562</v>
      </c>
      <c r="EQ9" s="675" t="s">
        <v>562</v>
      </c>
      <c r="ER9" s="675" t="s">
        <v>39</v>
      </c>
      <c r="ES9" s="675" t="s">
        <v>39</v>
      </c>
      <c r="ET9" s="676" t="s">
        <v>563</v>
      </c>
      <c r="EU9" s="675" t="s">
        <v>563</v>
      </c>
      <c r="EV9" s="675" t="s">
        <v>563</v>
      </c>
      <c r="EW9" s="677" t="s">
        <v>561</v>
      </c>
      <c r="EX9" s="757" t="s">
        <v>562</v>
      </c>
      <c r="EY9" s="675" t="s">
        <v>562</v>
      </c>
      <c r="EZ9" s="675" t="s">
        <v>39</v>
      </c>
      <c r="FA9" s="675" t="s">
        <v>39</v>
      </c>
      <c r="FB9" s="676" t="s">
        <v>563</v>
      </c>
      <c r="FC9" s="675" t="s">
        <v>563</v>
      </c>
      <c r="FD9" s="675" t="s">
        <v>563</v>
      </c>
      <c r="FE9" s="677" t="s">
        <v>561</v>
      </c>
      <c r="FF9" s="757" t="s">
        <v>562</v>
      </c>
      <c r="FG9" s="675" t="s">
        <v>562</v>
      </c>
      <c r="FH9" s="675" t="s">
        <v>39</v>
      </c>
      <c r="FI9" s="675" t="s">
        <v>39</v>
      </c>
      <c r="FJ9" s="676" t="s">
        <v>563</v>
      </c>
      <c r="FK9" s="675" t="s">
        <v>563</v>
      </c>
      <c r="FL9" s="675" t="s">
        <v>563</v>
      </c>
      <c r="FM9" s="677" t="s">
        <v>561</v>
      </c>
      <c r="FN9" s="757" t="s">
        <v>562</v>
      </c>
      <c r="FO9" s="675" t="s">
        <v>562</v>
      </c>
      <c r="FP9" s="675" t="s">
        <v>39</v>
      </c>
      <c r="FQ9" s="675" t="s">
        <v>39</v>
      </c>
      <c r="FR9" s="676" t="s">
        <v>563</v>
      </c>
      <c r="FS9" s="675" t="s">
        <v>563</v>
      </c>
      <c r="FT9" s="675" t="s">
        <v>563</v>
      </c>
      <c r="FU9" s="677" t="s">
        <v>561</v>
      </c>
      <c r="FV9" s="757" t="s">
        <v>562</v>
      </c>
      <c r="FW9" s="675" t="s">
        <v>562</v>
      </c>
      <c r="FX9" s="675" t="s">
        <v>39</v>
      </c>
      <c r="FY9" s="675" t="s">
        <v>39</v>
      </c>
      <c r="FZ9" s="676" t="s">
        <v>563</v>
      </c>
      <c r="GA9" s="675" t="s">
        <v>563</v>
      </c>
      <c r="GB9" s="675" t="s">
        <v>563</v>
      </c>
      <c r="GC9" s="677" t="s">
        <v>561</v>
      </c>
      <c r="GD9" s="757" t="s">
        <v>562</v>
      </c>
      <c r="GE9" s="675" t="s">
        <v>562</v>
      </c>
      <c r="GF9" s="675" t="s">
        <v>39</v>
      </c>
      <c r="GG9" s="675" t="s">
        <v>39</v>
      </c>
      <c r="GH9" s="676" t="s">
        <v>563</v>
      </c>
      <c r="GI9" s="675" t="s">
        <v>563</v>
      </c>
      <c r="GJ9" s="675" t="s">
        <v>563</v>
      </c>
      <c r="GK9" s="677" t="s">
        <v>561</v>
      </c>
      <c r="GL9" s="757" t="s">
        <v>562</v>
      </c>
      <c r="GM9" s="675" t="s">
        <v>562</v>
      </c>
      <c r="GN9" s="675" t="s">
        <v>39</v>
      </c>
      <c r="GO9" s="675" t="s">
        <v>39</v>
      </c>
      <c r="GP9" s="676" t="s">
        <v>563</v>
      </c>
      <c r="GQ9" s="675" t="s">
        <v>563</v>
      </c>
      <c r="GR9" s="675" t="s">
        <v>563</v>
      </c>
      <c r="GS9" s="677" t="s">
        <v>561</v>
      </c>
      <c r="GT9" s="757" t="s">
        <v>562</v>
      </c>
      <c r="GU9" s="675" t="s">
        <v>562</v>
      </c>
      <c r="GV9" s="675" t="s">
        <v>39</v>
      </c>
      <c r="GW9" s="675" t="s">
        <v>39</v>
      </c>
      <c r="GX9" s="676" t="s">
        <v>563</v>
      </c>
      <c r="GY9" s="675" t="s">
        <v>563</v>
      </c>
      <c r="GZ9" s="675" t="s">
        <v>563</v>
      </c>
      <c r="HA9" s="677" t="s">
        <v>561</v>
      </c>
      <c r="HB9" s="757" t="s">
        <v>562</v>
      </c>
      <c r="HC9" s="675" t="s">
        <v>562</v>
      </c>
      <c r="HD9" s="675" t="s">
        <v>39</v>
      </c>
      <c r="HE9" s="675" t="s">
        <v>39</v>
      </c>
      <c r="HF9" s="676" t="s">
        <v>563</v>
      </c>
      <c r="HG9" s="675" t="s">
        <v>563</v>
      </c>
      <c r="HH9" s="675" t="s">
        <v>563</v>
      </c>
      <c r="HI9" s="677" t="s">
        <v>561</v>
      </c>
      <c r="HJ9" s="757" t="s">
        <v>562</v>
      </c>
      <c r="HK9" s="675" t="s">
        <v>562</v>
      </c>
      <c r="HL9" s="675" t="s">
        <v>39</v>
      </c>
      <c r="HM9" s="675" t="s">
        <v>39</v>
      </c>
      <c r="HN9" s="676" t="s">
        <v>563</v>
      </c>
      <c r="HO9" s="675" t="s">
        <v>563</v>
      </c>
      <c r="HP9" s="675" t="s">
        <v>563</v>
      </c>
      <c r="HQ9" s="677" t="s">
        <v>561</v>
      </c>
      <c r="HR9" s="757" t="s">
        <v>562</v>
      </c>
      <c r="HS9" s="675" t="s">
        <v>562</v>
      </c>
      <c r="HT9" s="675" t="s">
        <v>39</v>
      </c>
      <c r="HU9" s="675" t="s">
        <v>39</v>
      </c>
      <c r="HV9" s="676" t="s">
        <v>563</v>
      </c>
      <c r="HW9" s="675" t="s">
        <v>563</v>
      </c>
      <c r="HX9" s="675" t="s">
        <v>563</v>
      </c>
      <c r="HY9" s="677" t="s">
        <v>561</v>
      </c>
      <c r="HZ9" s="757" t="s">
        <v>562</v>
      </c>
      <c r="IA9" s="675" t="s">
        <v>562</v>
      </c>
      <c r="IB9" s="675" t="s">
        <v>39</v>
      </c>
      <c r="IC9" s="675" t="s">
        <v>39</v>
      </c>
      <c r="ID9" s="676" t="s">
        <v>563</v>
      </c>
      <c r="IE9" s="675" t="s">
        <v>563</v>
      </c>
      <c r="IF9" s="675" t="s">
        <v>563</v>
      </c>
      <c r="IG9" s="676" t="s">
        <v>561</v>
      </c>
      <c r="IH9" s="746"/>
      <c r="IJ9" s="755"/>
    </row>
    <row r="10" spans="1:244" x14ac:dyDescent="0.25">
      <c r="A10" s="758">
        <v>0</v>
      </c>
      <c r="B10" s="759">
        <v>156</v>
      </c>
      <c r="C10" s="685"/>
      <c r="D10" s="760"/>
      <c r="E10" s="761"/>
      <c r="F10" s="761"/>
      <c r="G10" s="760"/>
      <c r="H10" s="761"/>
      <c r="I10" s="762"/>
      <c r="J10" s="759"/>
      <c r="K10" s="685"/>
      <c r="L10" s="760"/>
      <c r="M10" s="761"/>
      <c r="N10" s="761"/>
      <c r="O10" s="760"/>
      <c r="P10" s="761"/>
      <c r="Q10" s="762"/>
      <c r="R10" s="759"/>
      <c r="S10" s="685"/>
      <c r="T10" s="760"/>
      <c r="U10" s="761"/>
      <c r="V10" s="761"/>
      <c r="W10" s="760"/>
      <c r="X10" s="761"/>
      <c r="Y10" s="762"/>
      <c r="Z10" s="759"/>
      <c r="AA10" s="685"/>
      <c r="AB10" s="760"/>
      <c r="AC10" s="761"/>
      <c r="AD10" s="761"/>
      <c r="AE10" s="760"/>
      <c r="AF10" s="761"/>
      <c r="AG10" s="762"/>
      <c r="AH10" s="759"/>
      <c r="AI10" s="685"/>
      <c r="AJ10" s="760"/>
      <c r="AK10" s="761"/>
      <c r="AL10" s="761"/>
      <c r="AM10" s="760"/>
      <c r="AN10" s="761"/>
      <c r="AO10" s="762"/>
      <c r="AP10" s="759"/>
      <c r="AQ10" s="685"/>
      <c r="AR10" s="760"/>
      <c r="AS10" s="761"/>
      <c r="AT10" s="761"/>
      <c r="AU10" s="760"/>
      <c r="AV10" s="761"/>
      <c r="AW10" s="762"/>
      <c r="AX10" s="759"/>
      <c r="AY10" s="685"/>
      <c r="AZ10" s="760"/>
      <c r="BA10" s="761"/>
      <c r="BB10" s="761"/>
      <c r="BC10" s="760"/>
      <c r="BD10" s="761"/>
      <c r="BE10" s="762"/>
      <c r="BF10" s="759"/>
      <c r="BG10" s="685"/>
      <c r="BH10" s="760"/>
      <c r="BI10" s="761"/>
      <c r="BJ10" s="761"/>
      <c r="BK10" s="760"/>
      <c r="BL10" s="761"/>
      <c r="BM10" s="762"/>
      <c r="BN10" s="759"/>
      <c r="BO10" s="685"/>
      <c r="BP10" s="760"/>
      <c r="BQ10" s="761"/>
      <c r="BR10" s="761"/>
      <c r="BS10" s="760"/>
      <c r="BT10" s="761"/>
      <c r="BU10" s="762"/>
      <c r="BV10" s="759"/>
      <c r="BW10" s="685"/>
      <c r="BX10" s="760"/>
      <c r="BY10" s="761"/>
      <c r="BZ10" s="761"/>
      <c r="CA10" s="760"/>
      <c r="CB10" s="761"/>
      <c r="CC10" s="762"/>
      <c r="CD10" s="759"/>
      <c r="CE10" s="685"/>
      <c r="CF10" s="760"/>
      <c r="CG10" s="761"/>
      <c r="CH10" s="761"/>
      <c r="CI10" s="760"/>
      <c r="CJ10" s="761"/>
      <c r="CK10" s="762"/>
      <c r="CL10" s="759"/>
      <c r="CM10" s="685"/>
      <c r="CN10" s="760"/>
      <c r="CO10" s="761"/>
      <c r="CP10" s="761"/>
      <c r="CQ10" s="760"/>
      <c r="CR10" s="761"/>
      <c r="CS10" s="762"/>
      <c r="CT10" s="759"/>
      <c r="CU10" s="685"/>
      <c r="CV10" s="760"/>
      <c r="CW10" s="761"/>
      <c r="CX10" s="761"/>
      <c r="CY10" s="760"/>
      <c r="CZ10" s="761"/>
      <c r="DA10" s="762"/>
      <c r="DB10" s="759"/>
      <c r="DC10" s="685"/>
      <c r="DD10" s="760"/>
      <c r="DE10" s="761"/>
      <c r="DF10" s="761"/>
      <c r="DG10" s="760"/>
      <c r="DH10" s="761"/>
      <c r="DI10" s="762"/>
      <c r="DJ10" s="759"/>
      <c r="DK10" s="685"/>
      <c r="DL10" s="760"/>
      <c r="DM10" s="761"/>
      <c r="DN10" s="761"/>
      <c r="DO10" s="760"/>
      <c r="DP10" s="761"/>
      <c r="DQ10" s="762"/>
      <c r="DR10" s="759"/>
      <c r="DS10" s="685"/>
      <c r="DT10" s="760"/>
      <c r="DU10" s="761"/>
      <c r="DV10" s="761"/>
      <c r="DW10" s="760"/>
      <c r="DX10" s="761"/>
      <c r="DY10" s="762"/>
      <c r="DZ10" s="759"/>
      <c r="EA10" s="685"/>
      <c r="EB10" s="760"/>
      <c r="EC10" s="761"/>
      <c r="ED10" s="761"/>
      <c r="EE10" s="760"/>
      <c r="EF10" s="761"/>
      <c r="EG10" s="762"/>
      <c r="EH10" s="759"/>
      <c r="EI10" s="685"/>
      <c r="EJ10" s="760"/>
      <c r="EK10" s="761"/>
      <c r="EL10" s="761"/>
      <c r="EM10" s="760"/>
      <c r="EN10" s="761"/>
      <c r="EO10" s="762"/>
      <c r="EP10" s="759"/>
      <c r="EQ10" s="685"/>
      <c r="ER10" s="760"/>
      <c r="ES10" s="761"/>
      <c r="ET10" s="761"/>
      <c r="EU10" s="760"/>
      <c r="EV10" s="761"/>
      <c r="EW10" s="762"/>
      <c r="EX10" s="759"/>
      <c r="EY10" s="685"/>
      <c r="EZ10" s="760"/>
      <c r="FA10" s="761"/>
      <c r="FB10" s="761"/>
      <c r="FC10" s="760"/>
      <c r="FD10" s="761"/>
      <c r="FE10" s="762"/>
      <c r="FF10" s="759"/>
      <c r="FG10" s="685"/>
      <c r="FH10" s="760"/>
      <c r="FI10" s="761"/>
      <c r="FJ10" s="761"/>
      <c r="FK10" s="760"/>
      <c r="FL10" s="761"/>
      <c r="FM10" s="762"/>
      <c r="FN10" s="759"/>
      <c r="FO10" s="685"/>
      <c r="FP10" s="760"/>
      <c r="FQ10" s="761"/>
      <c r="FR10" s="761"/>
      <c r="FS10" s="760"/>
      <c r="FT10" s="761"/>
      <c r="FU10" s="762"/>
      <c r="FV10" s="759"/>
      <c r="FW10" s="685"/>
      <c r="FX10" s="760"/>
      <c r="FY10" s="761"/>
      <c r="FZ10" s="761"/>
      <c r="GA10" s="760"/>
      <c r="GB10" s="761"/>
      <c r="GC10" s="762"/>
      <c r="GD10" s="759"/>
      <c r="GE10" s="685"/>
      <c r="GF10" s="760"/>
      <c r="GG10" s="761"/>
      <c r="GH10" s="761"/>
      <c r="GI10" s="760"/>
      <c r="GJ10" s="761"/>
      <c r="GK10" s="762"/>
      <c r="GL10" s="759"/>
      <c r="GM10" s="685"/>
      <c r="GN10" s="760"/>
      <c r="GO10" s="761"/>
      <c r="GP10" s="761"/>
      <c r="GQ10" s="760"/>
      <c r="GR10" s="761"/>
      <c r="GS10" s="762"/>
      <c r="GT10" s="759"/>
      <c r="GU10" s="685"/>
      <c r="GV10" s="760"/>
      <c r="GW10" s="761"/>
      <c r="GX10" s="761"/>
      <c r="GY10" s="760"/>
      <c r="GZ10" s="761"/>
      <c r="HA10" s="762"/>
      <c r="HB10" s="759"/>
      <c r="HC10" s="685"/>
      <c r="HD10" s="760"/>
      <c r="HE10" s="761"/>
      <c r="HF10" s="761"/>
      <c r="HG10" s="760"/>
      <c r="HH10" s="761"/>
      <c r="HI10" s="762"/>
      <c r="HJ10" s="759"/>
      <c r="HK10" s="685"/>
      <c r="HL10" s="760"/>
      <c r="HM10" s="761"/>
      <c r="HN10" s="761"/>
      <c r="HO10" s="760"/>
      <c r="HP10" s="761"/>
      <c r="HQ10" s="762"/>
      <c r="HR10" s="759"/>
      <c r="HS10" s="685"/>
      <c r="HT10" s="760"/>
      <c r="HU10" s="761"/>
      <c r="HV10" s="761"/>
      <c r="HW10" s="760"/>
      <c r="HX10" s="761"/>
      <c r="HY10" s="762"/>
      <c r="HZ10" s="759"/>
      <c r="IA10" s="685"/>
      <c r="IB10" s="760"/>
      <c r="IC10" s="761"/>
      <c r="ID10" s="761"/>
      <c r="IE10" s="760"/>
      <c r="IF10" s="761"/>
      <c r="IG10" s="760"/>
      <c r="IH10" s="746"/>
      <c r="IJ10" s="755"/>
    </row>
    <row r="11" spans="1:244" x14ac:dyDescent="0.25">
      <c r="A11" s="763">
        <v>1</v>
      </c>
      <c r="B11" s="764" t="s">
        <v>537</v>
      </c>
      <c r="C11" s="699">
        <v>0</v>
      </c>
      <c r="D11" s="765">
        <v>1.4592373029457841</v>
      </c>
      <c r="E11" s="766">
        <v>0</v>
      </c>
      <c r="F11" s="766">
        <v>2.8267045991225252E-2</v>
      </c>
      <c r="G11" s="765">
        <v>1.2464282740101161E-2</v>
      </c>
      <c r="H11" s="766">
        <v>0</v>
      </c>
      <c r="I11" s="767">
        <v>0</v>
      </c>
      <c r="J11" s="764"/>
      <c r="K11" s="699"/>
      <c r="L11" s="765"/>
      <c r="M11" s="766"/>
      <c r="N11" s="766"/>
      <c r="O11" s="765"/>
      <c r="P11" s="766"/>
      <c r="Q11" s="767"/>
      <c r="R11" s="764"/>
      <c r="S11" s="699"/>
      <c r="T11" s="765"/>
      <c r="U11" s="766"/>
      <c r="V11" s="766"/>
      <c r="W11" s="765"/>
      <c r="X11" s="766"/>
      <c r="Y11" s="767"/>
      <c r="Z11" s="764"/>
      <c r="AA11" s="699"/>
      <c r="AB11" s="765"/>
      <c r="AC11" s="766"/>
      <c r="AD11" s="766"/>
      <c r="AE11" s="765"/>
      <c r="AF11" s="766"/>
      <c r="AG11" s="767"/>
      <c r="AH11" s="764"/>
      <c r="AI11" s="699"/>
      <c r="AJ11" s="765"/>
      <c r="AK11" s="766"/>
      <c r="AL11" s="766"/>
      <c r="AM11" s="765"/>
      <c r="AN11" s="766"/>
      <c r="AO11" s="767"/>
      <c r="AP11" s="764"/>
      <c r="AQ11" s="699"/>
      <c r="AR11" s="765"/>
      <c r="AS11" s="766"/>
      <c r="AT11" s="766"/>
      <c r="AU11" s="765"/>
      <c r="AV11" s="766"/>
      <c r="AW11" s="767"/>
      <c r="AX11" s="764"/>
      <c r="AY11" s="699"/>
      <c r="AZ11" s="765"/>
      <c r="BA11" s="766"/>
      <c r="BB11" s="766"/>
      <c r="BC11" s="765"/>
      <c r="BD11" s="766"/>
      <c r="BE11" s="767"/>
      <c r="BF11" s="764"/>
      <c r="BG11" s="699"/>
      <c r="BH11" s="765"/>
      <c r="BI11" s="766"/>
      <c r="BJ11" s="766"/>
      <c r="BK11" s="765"/>
      <c r="BL11" s="766"/>
      <c r="BM11" s="767"/>
      <c r="BN11" s="764"/>
      <c r="BO11" s="699"/>
      <c r="BP11" s="765"/>
      <c r="BQ11" s="766"/>
      <c r="BR11" s="766"/>
      <c r="BS11" s="765"/>
      <c r="BT11" s="766"/>
      <c r="BU11" s="767"/>
      <c r="BV11" s="764"/>
      <c r="BW11" s="699"/>
      <c r="BX11" s="765"/>
      <c r="BY11" s="766"/>
      <c r="BZ11" s="766"/>
      <c r="CA11" s="765"/>
      <c r="CB11" s="766"/>
      <c r="CC11" s="767"/>
      <c r="CD11" s="764"/>
      <c r="CE11" s="699"/>
      <c r="CF11" s="765"/>
      <c r="CG11" s="766"/>
      <c r="CH11" s="766"/>
      <c r="CI11" s="765"/>
      <c r="CJ11" s="766"/>
      <c r="CK11" s="767"/>
      <c r="CL11" s="764"/>
      <c r="CM11" s="699"/>
      <c r="CN11" s="765"/>
      <c r="CO11" s="766"/>
      <c r="CP11" s="766"/>
      <c r="CQ11" s="765"/>
      <c r="CR11" s="766"/>
      <c r="CS11" s="767"/>
      <c r="CT11" s="764"/>
      <c r="CU11" s="699"/>
      <c r="CV11" s="765"/>
      <c r="CW11" s="766"/>
      <c r="CX11" s="766"/>
      <c r="CY11" s="765"/>
      <c r="CZ11" s="766"/>
      <c r="DA11" s="767"/>
      <c r="DB11" s="764"/>
      <c r="DC11" s="699"/>
      <c r="DD11" s="765"/>
      <c r="DE11" s="766"/>
      <c r="DF11" s="766"/>
      <c r="DG11" s="765"/>
      <c r="DH11" s="766"/>
      <c r="DI11" s="767"/>
      <c r="DJ11" s="764"/>
      <c r="DK11" s="699"/>
      <c r="DL11" s="765"/>
      <c r="DM11" s="766"/>
      <c r="DN11" s="766"/>
      <c r="DO11" s="765"/>
      <c r="DP11" s="766"/>
      <c r="DQ11" s="767"/>
      <c r="DR11" s="764"/>
      <c r="DS11" s="699"/>
      <c r="DT11" s="765"/>
      <c r="DU11" s="766"/>
      <c r="DV11" s="766"/>
      <c r="DW11" s="765"/>
      <c r="DX11" s="766"/>
      <c r="DY11" s="767"/>
      <c r="DZ11" s="764"/>
      <c r="EA11" s="699"/>
      <c r="EB11" s="765"/>
      <c r="EC11" s="766"/>
      <c r="ED11" s="766"/>
      <c r="EE11" s="765"/>
      <c r="EF11" s="766"/>
      <c r="EG11" s="767"/>
      <c r="EH11" s="764"/>
      <c r="EI11" s="699"/>
      <c r="EJ11" s="765"/>
      <c r="EK11" s="766"/>
      <c r="EL11" s="766"/>
      <c r="EM11" s="765"/>
      <c r="EN11" s="766"/>
      <c r="EO11" s="767"/>
      <c r="EP11" s="764"/>
      <c r="EQ11" s="699"/>
      <c r="ER11" s="765"/>
      <c r="ES11" s="766"/>
      <c r="ET11" s="766"/>
      <c r="EU11" s="765"/>
      <c r="EV11" s="766"/>
      <c r="EW11" s="767"/>
      <c r="EX11" s="764"/>
      <c r="EY11" s="699"/>
      <c r="EZ11" s="765"/>
      <c r="FA11" s="766"/>
      <c r="FB11" s="766"/>
      <c r="FC11" s="765"/>
      <c r="FD11" s="766"/>
      <c r="FE11" s="767"/>
      <c r="FF11" s="764"/>
      <c r="FG11" s="699"/>
      <c r="FH11" s="765"/>
      <c r="FI11" s="766"/>
      <c r="FJ11" s="766"/>
      <c r="FK11" s="765"/>
      <c r="FL11" s="766"/>
      <c r="FM11" s="767"/>
      <c r="FN11" s="764"/>
      <c r="FO11" s="699"/>
      <c r="FP11" s="765"/>
      <c r="FQ11" s="766"/>
      <c r="FR11" s="766"/>
      <c r="FS11" s="765"/>
      <c r="FT11" s="766"/>
      <c r="FU11" s="767"/>
      <c r="FV11" s="764"/>
      <c r="FW11" s="699"/>
      <c r="FX11" s="765"/>
      <c r="FY11" s="766"/>
      <c r="FZ11" s="766"/>
      <c r="GA11" s="765"/>
      <c r="GB11" s="766"/>
      <c r="GC11" s="767"/>
      <c r="GD11" s="764"/>
      <c r="GE11" s="699"/>
      <c r="GF11" s="765"/>
      <c r="GG11" s="766"/>
      <c r="GH11" s="766"/>
      <c r="GI11" s="765"/>
      <c r="GJ11" s="766"/>
      <c r="GK11" s="767"/>
      <c r="GL11" s="764"/>
      <c r="GM11" s="699"/>
      <c r="GN11" s="765"/>
      <c r="GO11" s="766"/>
      <c r="GP11" s="766"/>
      <c r="GQ11" s="765"/>
      <c r="GR11" s="766"/>
      <c r="GS11" s="767"/>
      <c r="GT11" s="764"/>
      <c r="GU11" s="699"/>
      <c r="GV11" s="765"/>
      <c r="GW11" s="766"/>
      <c r="GX11" s="766"/>
      <c r="GY11" s="765"/>
      <c r="GZ11" s="766"/>
      <c r="HA11" s="767"/>
      <c r="HB11" s="764"/>
      <c r="HC11" s="699"/>
      <c r="HD11" s="765"/>
      <c r="HE11" s="766"/>
      <c r="HF11" s="766"/>
      <c r="HG11" s="765"/>
      <c r="HH11" s="766"/>
      <c r="HI11" s="767"/>
      <c r="HJ11" s="764"/>
      <c r="HK11" s="699"/>
      <c r="HL11" s="765"/>
      <c r="HM11" s="766"/>
      <c r="HN11" s="766"/>
      <c r="HO11" s="765"/>
      <c r="HP11" s="766"/>
      <c r="HQ11" s="767"/>
      <c r="HR11" s="764"/>
      <c r="HS11" s="699"/>
      <c r="HT11" s="765"/>
      <c r="HU11" s="766"/>
      <c r="HV11" s="766"/>
      <c r="HW11" s="765"/>
      <c r="HX11" s="766"/>
      <c r="HY11" s="767"/>
      <c r="HZ11" s="764"/>
      <c r="IA11" s="699"/>
      <c r="IB11" s="765"/>
      <c r="IC11" s="766"/>
      <c r="ID11" s="766"/>
      <c r="IE11" s="765"/>
      <c r="IF11" s="766"/>
      <c r="IG11" s="765"/>
      <c r="IH11" s="739"/>
    </row>
    <row r="12" spans="1:244" x14ac:dyDescent="0.25">
      <c r="A12" s="763">
        <f t="shared" ref="A12:A43" si="30">A11+1</f>
        <v>2</v>
      </c>
      <c r="B12" s="764"/>
      <c r="C12" s="699">
        <v>0</v>
      </c>
      <c r="D12" s="765">
        <v>1.8299207624268055</v>
      </c>
      <c r="E12" s="766">
        <v>0</v>
      </c>
      <c r="F12" s="766">
        <v>5.5744177291407571E-2</v>
      </c>
      <c r="G12" s="765">
        <v>2.4580254586564015E-2</v>
      </c>
      <c r="H12" s="766">
        <v>0</v>
      </c>
      <c r="I12" s="767">
        <v>0</v>
      </c>
      <c r="J12" s="764"/>
      <c r="K12" s="699"/>
      <c r="L12" s="765"/>
      <c r="M12" s="766"/>
      <c r="N12" s="766"/>
      <c r="O12" s="765"/>
      <c r="P12" s="766"/>
      <c r="Q12" s="767"/>
      <c r="R12" s="764"/>
      <c r="S12" s="699"/>
      <c r="T12" s="765"/>
      <c r="U12" s="766"/>
      <c r="V12" s="766"/>
      <c r="W12" s="765"/>
      <c r="X12" s="766"/>
      <c r="Y12" s="767"/>
      <c r="Z12" s="764"/>
      <c r="AA12" s="699"/>
      <c r="AB12" s="765"/>
      <c r="AC12" s="766"/>
      <c r="AD12" s="766"/>
      <c r="AE12" s="765"/>
      <c r="AF12" s="766"/>
      <c r="AG12" s="767"/>
      <c r="AH12" s="764"/>
      <c r="AI12" s="699"/>
      <c r="AJ12" s="765"/>
      <c r="AK12" s="766"/>
      <c r="AL12" s="766"/>
      <c r="AM12" s="765"/>
      <c r="AN12" s="766"/>
      <c r="AO12" s="767"/>
      <c r="AP12" s="764"/>
      <c r="AQ12" s="699"/>
      <c r="AR12" s="765"/>
      <c r="AS12" s="766"/>
      <c r="AT12" s="766"/>
      <c r="AU12" s="765"/>
      <c r="AV12" s="766"/>
      <c r="AW12" s="767"/>
      <c r="AX12" s="764"/>
      <c r="AY12" s="699"/>
      <c r="AZ12" s="765"/>
      <c r="BA12" s="766"/>
      <c r="BB12" s="766"/>
      <c r="BC12" s="765"/>
      <c r="BD12" s="766"/>
      <c r="BE12" s="767"/>
      <c r="BF12" s="764"/>
      <c r="BG12" s="699"/>
      <c r="BH12" s="765"/>
      <c r="BI12" s="766"/>
      <c r="BJ12" s="766"/>
      <c r="BK12" s="765"/>
      <c r="BL12" s="766"/>
      <c r="BM12" s="767"/>
      <c r="BN12" s="764"/>
      <c r="BO12" s="699"/>
      <c r="BP12" s="765"/>
      <c r="BQ12" s="766"/>
      <c r="BR12" s="766"/>
      <c r="BS12" s="765"/>
      <c r="BT12" s="766"/>
      <c r="BU12" s="767"/>
      <c r="BV12" s="764"/>
      <c r="BW12" s="699"/>
      <c r="BX12" s="765"/>
      <c r="BY12" s="766"/>
      <c r="BZ12" s="766"/>
      <c r="CA12" s="765"/>
      <c r="CB12" s="766"/>
      <c r="CC12" s="767"/>
      <c r="CD12" s="764"/>
      <c r="CE12" s="699"/>
      <c r="CF12" s="765"/>
      <c r="CG12" s="766"/>
      <c r="CH12" s="766"/>
      <c r="CI12" s="765"/>
      <c r="CJ12" s="766"/>
      <c r="CK12" s="767"/>
      <c r="CL12" s="764"/>
      <c r="CM12" s="699"/>
      <c r="CN12" s="765"/>
      <c r="CO12" s="766"/>
      <c r="CP12" s="766"/>
      <c r="CQ12" s="765"/>
      <c r="CR12" s="766"/>
      <c r="CS12" s="767"/>
      <c r="CT12" s="764"/>
      <c r="CU12" s="699"/>
      <c r="CV12" s="765"/>
      <c r="CW12" s="766"/>
      <c r="CX12" s="766"/>
      <c r="CY12" s="765"/>
      <c r="CZ12" s="766"/>
      <c r="DA12" s="767"/>
      <c r="DB12" s="764"/>
      <c r="DC12" s="699"/>
      <c r="DD12" s="765"/>
      <c r="DE12" s="766"/>
      <c r="DF12" s="766"/>
      <c r="DG12" s="765"/>
      <c r="DH12" s="766"/>
      <c r="DI12" s="767"/>
      <c r="DJ12" s="764"/>
      <c r="DK12" s="699"/>
      <c r="DL12" s="765"/>
      <c r="DM12" s="766"/>
      <c r="DN12" s="766"/>
      <c r="DO12" s="765"/>
      <c r="DP12" s="766"/>
      <c r="DQ12" s="767"/>
      <c r="DR12" s="764"/>
      <c r="DS12" s="699"/>
      <c r="DT12" s="765"/>
      <c r="DU12" s="766"/>
      <c r="DV12" s="766"/>
      <c r="DW12" s="765"/>
      <c r="DX12" s="766"/>
      <c r="DY12" s="767"/>
      <c r="DZ12" s="764"/>
      <c r="EA12" s="699"/>
      <c r="EB12" s="765"/>
      <c r="EC12" s="766"/>
      <c r="ED12" s="766"/>
      <c r="EE12" s="765"/>
      <c r="EF12" s="766"/>
      <c r="EG12" s="767"/>
      <c r="EH12" s="764"/>
      <c r="EI12" s="699"/>
      <c r="EJ12" s="765"/>
      <c r="EK12" s="766"/>
      <c r="EL12" s="766"/>
      <c r="EM12" s="765"/>
      <c r="EN12" s="766"/>
      <c r="EO12" s="767"/>
      <c r="EP12" s="764"/>
      <c r="EQ12" s="699"/>
      <c r="ER12" s="765"/>
      <c r="ES12" s="766"/>
      <c r="ET12" s="766"/>
      <c r="EU12" s="765"/>
      <c r="EV12" s="766"/>
      <c r="EW12" s="767"/>
      <c r="EX12" s="764"/>
      <c r="EY12" s="699"/>
      <c r="EZ12" s="765"/>
      <c r="FA12" s="766"/>
      <c r="FB12" s="766"/>
      <c r="FC12" s="765"/>
      <c r="FD12" s="766"/>
      <c r="FE12" s="767"/>
      <c r="FF12" s="764"/>
      <c r="FG12" s="699"/>
      <c r="FH12" s="765"/>
      <c r="FI12" s="766"/>
      <c r="FJ12" s="766"/>
      <c r="FK12" s="765"/>
      <c r="FL12" s="766"/>
      <c r="FM12" s="767"/>
      <c r="FN12" s="764"/>
      <c r="FO12" s="699"/>
      <c r="FP12" s="765"/>
      <c r="FQ12" s="766"/>
      <c r="FR12" s="766"/>
      <c r="FS12" s="765"/>
      <c r="FT12" s="766"/>
      <c r="FU12" s="767"/>
      <c r="FV12" s="764"/>
      <c r="FW12" s="699"/>
      <c r="FX12" s="765"/>
      <c r="FY12" s="766"/>
      <c r="FZ12" s="766"/>
      <c r="GA12" s="765"/>
      <c r="GB12" s="766"/>
      <c r="GC12" s="767"/>
      <c r="GD12" s="764"/>
      <c r="GE12" s="699"/>
      <c r="GF12" s="765"/>
      <c r="GG12" s="766"/>
      <c r="GH12" s="766"/>
      <c r="GI12" s="765"/>
      <c r="GJ12" s="766"/>
      <c r="GK12" s="767"/>
      <c r="GL12" s="764"/>
      <c r="GM12" s="699"/>
      <c r="GN12" s="765"/>
      <c r="GO12" s="766"/>
      <c r="GP12" s="766"/>
      <c r="GQ12" s="765"/>
      <c r="GR12" s="766"/>
      <c r="GS12" s="767"/>
      <c r="GT12" s="764"/>
      <c r="GU12" s="699"/>
      <c r="GV12" s="765"/>
      <c r="GW12" s="766"/>
      <c r="GX12" s="766"/>
      <c r="GY12" s="765"/>
      <c r="GZ12" s="766"/>
      <c r="HA12" s="767"/>
      <c r="HB12" s="764"/>
      <c r="HC12" s="699"/>
      <c r="HD12" s="765"/>
      <c r="HE12" s="766"/>
      <c r="HF12" s="766"/>
      <c r="HG12" s="765"/>
      <c r="HH12" s="766"/>
      <c r="HI12" s="767"/>
      <c r="HJ12" s="764"/>
      <c r="HK12" s="699"/>
      <c r="HL12" s="765"/>
      <c r="HM12" s="766"/>
      <c r="HN12" s="766"/>
      <c r="HO12" s="765"/>
      <c r="HP12" s="766"/>
      <c r="HQ12" s="767"/>
      <c r="HR12" s="764"/>
      <c r="HS12" s="699"/>
      <c r="HT12" s="765"/>
      <c r="HU12" s="766"/>
      <c r="HV12" s="766"/>
      <c r="HW12" s="765"/>
      <c r="HX12" s="766"/>
      <c r="HY12" s="767"/>
      <c r="HZ12" s="764"/>
      <c r="IA12" s="699"/>
      <c r="IB12" s="765"/>
      <c r="IC12" s="766"/>
      <c r="ID12" s="766"/>
      <c r="IE12" s="765"/>
      <c r="IF12" s="766"/>
      <c r="IG12" s="765"/>
      <c r="IH12" s="739"/>
    </row>
    <row r="13" spans="1:244" x14ac:dyDescent="0.25">
      <c r="A13" s="763">
        <f t="shared" si="30"/>
        <v>3</v>
      </c>
      <c r="B13" s="764"/>
      <c r="C13" s="699">
        <v>0</v>
      </c>
      <c r="D13" s="765">
        <v>2.3398691363728927</v>
      </c>
      <c r="E13" s="766">
        <v>1.5</v>
      </c>
      <c r="F13" s="766">
        <v>0.11654063041516</v>
      </c>
      <c r="G13" s="765">
        <v>5.1388297477391397E-2</v>
      </c>
      <c r="H13" s="766">
        <v>0</v>
      </c>
      <c r="I13" s="767">
        <v>0</v>
      </c>
      <c r="J13" s="764"/>
      <c r="K13" s="699"/>
      <c r="L13" s="765"/>
      <c r="M13" s="766"/>
      <c r="N13" s="766"/>
      <c r="O13" s="765"/>
      <c r="P13" s="766"/>
      <c r="Q13" s="767"/>
      <c r="R13" s="764"/>
      <c r="S13" s="699"/>
      <c r="T13" s="765"/>
      <c r="U13" s="766"/>
      <c r="V13" s="766"/>
      <c r="W13" s="765"/>
      <c r="X13" s="766"/>
      <c r="Y13" s="767"/>
      <c r="Z13" s="764"/>
      <c r="AA13" s="699"/>
      <c r="AB13" s="765"/>
      <c r="AC13" s="766"/>
      <c r="AD13" s="766"/>
      <c r="AE13" s="765"/>
      <c r="AF13" s="766"/>
      <c r="AG13" s="767"/>
      <c r="AH13" s="764"/>
      <c r="AI13" s="699"/>
      <c r="AJ13" s="765"/>
      <c r="AK13" s="766"/>
      <c r="AL13" s="766"/>
      <c r="AM13" s="765"/>
      <c r="AN13" s="766"/>
      <c r="AO13" s="767"/>
      <c r="AP13" s="764"/>
      <c r="AQ13" s="699"/>
      <c r="AR13" s="765"/>
      <c r="AS13" s="766"/>
      <c r="AT13" s="766"/>
      <c r="AU13" s="765"/>
      <c r="AV13" s="766"/>
      <c r="AW13" s="767"/>
      <c r="AX13" s="764"/>
      <c r="AY13" s="699"/>
      <c r="AZ13" s="765"/>
      <c r="BA13" s="766"/>
      <c r="BB13" s="766"/>
      <c r="BC13" s="765"/>
      <c r="BD13" s="766"/>
      <c r="BE13" s="767"/>
      <c r="BF13" s="764"/>
      <c r="BG13" s="699"/>
      <c r="BH13" s="765"/>
      <c r="BI13" s="766"/>
      <c r="BJ13" s="766"/>
      <c r="BK13" s="765"/>
      <c r="BL13" s="766"/>
      <c r="BM13" s="767"/>
      <c r="BN13" s="764"/>
      <c r="BO13" s="699"/>
      <c r="BP13" s="765"/>
      <c r="BQ13" s="766"/>
      <c r="BR13" s="766"/>
      <c r="BS13" s="765"/>
      <c r="BT13" s="766"/>
      <c r="BU13" s="767"/>
      <c r="BV13" s="764"/>
      <c r="BW13" s="699"/>
      <c r="BX13" s="765"/>
      <c r="BY13" s="766"/>
      <c r="BZ13" s="766"/>
      <c r="CA13" s="765"/>
      <c r="CB13" s="766"/>
      <c r="CC13" s="767"/>
      <c r="CD13" s="764"/>
      <c r="CE13" s="699"/>
      <c r="CF13" s="765"/>
      <c r="CG13" s="766"/>
      <c r="CH13" s="766"/>
      <c r="CI13" s="765"/>
      <c r="CJ13" s="766"/>
      <c r="CK13" s="767"/>
      <c r="CL13" s="764"/>
      <c r="CM13" s="699"/>
      <c r="CN13" s="765"/>
      <c r="CO13" s="766"/>
      <c r="CP13" s="766"/>
      <c r="CQ13" s="765"/>
      <c r="CR13" s="766"/>
      <c r="CS13" s="767"/>
      <c r="CT13" s="764"/>
      <c r="CU13" s="699"/>
      <c r="CV13" s="765"/>
      <c r="CW13" s="766"/>
      <c r="CX13" s="766"/>
      <c r="CY13" s="765"/>
      <c r="CZ13" s="766"/>
      <c r="DA13" s="767"/>
      <c r="DB13" s="764"/>
      <c r="DC13" s="699"/>
      <c r="DD13" s="765"/>
      <c r="DE13" s="766"/>
      <c r="DF13" s="766"/>
      <c r="DG13" s="765"/>
      <c r="DH13" s="766"/>
      <c r="DI13" s="767"/>
      <c r="DJ13" s="764"/>
      <c r="DK13" s="699"/>
      <c r="DL13" s="765"/>
      <c r="DM13" s="766"/>
      <c r="DN13" s="766"/>
      <c r="DO13" s="765"/>
      <c r="DP13" s="766"/>
      <c r="DQ13" s="767"/>
      <c r="DR13" s="764"/>
      <c r="DS13" s="699"/>
      <c r="DT13" s="765"/>
      <c r="DU13" s="766"/>
      <c r="DV13" s="766"/>
      <c r="DW13" s="765"/>
      <c r="DX13" s="766"/>
      <c r="DY13" s="767"/>
      <c r="DZ13" s="764"/>
      <c r="EA13" s="699"/>
      <c r="EB13" s="765"/>
      <c r="EC13" s="766"/>
      <c r="ED13" s="766"/>
      <c r="EE13" s="765"/>
      <c r="EF13" s="766"/>
      <c r="EG13" s="767"/>
      <c r="EH13" s="764"/>
      <c r="EI13" s="699"/>
      <c r="EJ13" s="765"/>
      <c r="EK13" s="766"/>
      <c r="EL13" s="766"/>
      <c r="EM13" s="765"/>
      <c r="EN13" s="766"/>
      <c r="EO13" s="767"/>
      <c r="EP13" s="764"/>
      <c r="EQ13" s="699"/>
      <c r="ER13" s="765"/>
      <c r="ES13" s="766"/>
      <c r="ET13" s="766"/>
      <c r="EU13" s="765"/>
      <c r="EV13" s="766"/>
      <c r="EW13" s="767"/>
      <c r="EX13" s="764"/>
      <c r="EY13" s="699"/>
      <c r="EZ13" s="765"/>
      <c r="FA13" s="766"/>
      <c r="FB13" s="766"/>
      <c r="FC13" s="765"/>
      <c r="FD13" s="766"/>
      <c r="FE13" s="767"/>
      <c r="FF13" s="764"/>
      <c r="FG13" s="699"/>
      <c r="FH13" s="765"/>
      <c r="FI13" s="766"/>
      <c r="FJ13" s="766"/>
      <c r="FK13" s="765"/>
      <c r="FL13" s="766"/>
      <c r="FM13" s="767"/>
      <c r="FN13" s="764"/>
      <c r="FO13" s="699"/>
      <c r="FP13" s="765"/>
      <c r="FQ13" s="766"/>
      <c r="FR13" s="766"/>
      <c r="FS13" s="765"/>
      <c r="FT13" s="766"/>
      <c r="FU13" s="767"/>
      <c r="FV13" s="764"/>
      <c r="FW13" s="699"/>
      <c r="FX13" s="765"/>
      <c r="FY13" s="766"/>
      <c r="FZ13" s="766"/>
      <c r="GA13" s="765"/>
      <c r="GB13" s="766"/>
      <c r="GC13" s="767"/>
      <c r="GD13" s="764"/>
      <c r="GE13" s="699"/>
      <c r="GF13" s="765"/>
      <c r="GG13" s="766"/>
      <c r="GH13" s="766"/>
      <c r="GI13" s="765"/>
      <c r="GJ13" s="766"/>
      <c r="GK13" s="767"/>
      <c r="GL13" s="764"/>
      <c r="GM13" s="699"/>
      <c r="GN13" s="765"/>
      <c r="GO13" s="766"/>
      <c r="GP13" s="766"/>
      <c r="GQ13" s="765"/>
      <c r="GR13" s="766"/>
      <c r="GS13" s="767"/>
      <c r="GT13" s="764"/>
      <c r="GU13" s="699"/>
      <c r="GV13" s="765"/>
      <c r="GW13" s="766"/>
      <c r="GX13" s="766"/>
      <c r="GY13" s="765"/>
      <c r="GZ13" s="766"/>
      <c r="HA13" s="767"/>
      <c r="HB13" s="764"/>
      <c r="HC13" s="699"/>
      <c r="HD13" s="765"/>
      <c r="HE13" s="766"/>
      <c r="HF13" s="766"/>
      <c r="HG13" s="765"/>
      <c r="HH13" s="766"/>
      <c r="HI13" s="767"/>
      <c r="HJ13" s="764"/>
      <c r="HK13" s="699"/>
      <c r="HL13" s="765"/>
      <c r="HM13" s="766"/>
      <c r="HN13" s="766"/>
      <c r="HO13" s="765"/>
      <c r="HP13" s="766"/>
      <c r="HQ13" s="767"/>
      <c r="HR13" s="764"/>
      <c r="HS13" s="699"/>
      <c r="HT13" s="765"/>
      <c r="HU13" s="766"/>
      <c r="HV13" s="766"/>
      <c r="HW13" s="765"/>
      <c r="HX13" s="766"/>
      <c r="HY13" s="767"/>
      <c r="HZ13" s="764"/>
      <c r="IA13" s="699"/>
      <c r="IB13" s="765"/>
      <c r="IC13" s="766"/>
      <c r="ID13" s="766"/>
      <c r="IE13" s="765"/>
      <c r="IF13" s="766"/>
      <c r="IG13" s="765"/>
      <c r="IH13" s="739"/>
    </row>
    <row r="14" spans="1:244" x14ac:dyDescent="0.25">
      <c r="A14" s="763">
        <f t="shared" si="30"/>
        <v>4</v>
      </c>
      <c r="B14" s="764"/>
      <c r="C14" s="699">
        <v>0</v>
      </c>
      <c r="D14" s="765">
        <v>2.9554375323531632</v>
      </c>
      <c r="E14" s="766">
        <v>1.5</v>
      </c>
      <c r="F14" s="766">
        <v>0.2348378031700093</v>
      </c>
      <c r="G14" s="765">
        <v>0.10355113787566821</v>
      </c>
      <c r="H14" s="766">
        <v>0</v>
      </c>
      <c r="I14" s="767">
        <v>0</v>
      </c>
      <c r="J14" s="764"/>
      <c r="K14" s="699"/>
      <c r="L14" s="765"/>
      <c r="M14" s="766"/>
      <c r="N14" s="766"/>
      <c r="O14" s="765"/>
      <c r="P14" s="766"/>
      <c r="Q14" s="767"/>
      <c r="R14" s="764"/>
      <c r="S14" s="699"/>
      <c r="T14" s="765"/>
      <c r="U14" s="766"/>
      <c r="V14" s="766"/>
      <c r="W14" s="765"/>
      <c r="X14" s="766"/>
      <c r="Y14" s="767"/>
      <c r="Z14" s="764"/>
      <c r="AA14" s="699"/>
      <c r="AB14" s="765"/>
      <c r="AC14" s="766"/>
      <c r="AD14" s="766"/>
      <c r="AE14" s="765"/>
      <c r="AF14" s="766"/>
      <c r="AG14" s="767"/>
      <c r="AH14" s="764"/>
      <c r="AI14" s="699"/>
      <c r="AJ14" s="765"/>
      <c r="AK14" s="766"/>
      <c r="AL14" s="766"/>
      <c r="AM14" s="765"/>
      <c r="AN14" s="766"/>
      <c r="AO14" s="767"/>
      <c r="AP14" s="764"/>
      <c r="AQ14" s="699"/>
      <c r="AR14" s="765"/>
      <c r="AS14" s="766"/>
      <c r="AT14" s="766"/>
      <c r="AU14" s="765"/>
      <c r="AV14" s="766"/>
      <c r="AW14" s="767"/>
      <c r="AX14" s="764"/>
      <c r="AY14" s="699"/>
      <c r="AZ14" s="765"/>
      <c r="BA14" s="766"/>
      <c r="BB14" s="766"/>
      <c r="BC14" s="765"/>
      <c r="BD14" s="766"/>
      <c r="BE14" s="767"/>
      <c r="BF14" s="764"/>
      <c r="BG14" s="699"/>
      <c r="BH14" s="765"/>
      <c r="BI14" s="766"/>
      <c r="BJ14" s="766"/>
      <c r="BK14" s="765"/>
      <c r="BL14" s="766"/>
      <c r="BM14" s="767"/>
      <c r="BN14" s="764"/>
      <c r="BO14" s="699"/>
      <c r="BP14" s="765"/>
      <c r="BQ14" s="766"/>
      <c r="BR14" s="766"/>
      <c r="BS14" s="765"/>
      <c r="BT14" s="766"/>
      <c r="BU14" s="767"/>
      <c r="BV14" s="764"/>
      <c r="BW14" s="699"/>
      <c r="BX14" s="765"/>
      <c r="BY14" s="766"/>
      <c r="BZ14" s="766"/>
      <c r="CA14" s="765"/>
      <c r="CB14" s="766"/>
      <c r="CC14" s="767"/>
      <c r="CD14" s="764"/>
      <c r="CE14" s="699"/>
      <c r="CF14" s="765"/>
      <c r="CG14" s="766"/>
      <c r="CH14" s="766"/>
      <c r="CI14" s="765"/>
      <c r="CJ14" s="766"/>
      <c r="CK14" s="767"/>
      <c r="CL14" s="764"/>
      <c r="CM14" s="699"/>
      <c r="CN14" s="765"/>
      <c r="CO14" s="766"/>
      <c r="CP14" s="766"/>
      <c r="CQ14" s="765"/>
      <c r="CR14" s="766"/>
      <c r="CS14" s="767"/>
      <c r="CT14" s="764"/>
      <c r="CU14" s="699"/>
      <c r="CV14" s="765"/>
      <c r="CW14" s="766"/>
      <c r="CX14" s="766"/>
      <c r="CY14" s="765"/>
      <c r="CZ14" s="766"/>
      <c r="DA14" s="767"/>
      <c r="DB14" s="764"/>
      <c r="DC14" s="699"/>
      <c r="DD14" s="765"/>
      <c r="DE14" s="766"/>
      <c r="DF14" s="766"/>
      <c r="DG14" s="765"/>
      <c r="DH14" s="766"/>
      <c r="DI14" s="767"/>
      <c r="DJ14" s="764"/>
      <c r="DK14" s="699"/>
      <c r="DL14" s="765"/>
      <c r="DM14" s="766"/>
      <c r="DN14" s="766"/>
      <c r="DO14" s="765"/>
      <c r="DP14" s="766"/>
      <c r="DQ14" s="767"/>
      <c r="DR14" s="764"/>
      <c r="DS14" s="699"/>
      <c r="DT14" s="765"/>
      <c r="DU14" s="766"/>
      <c r="DV14" s="766"/>
      <c r="DW14" s="765"/>
      <c r="DX14" s="766"/>
      <c r="DY14" s="767"/>
      <c r="DZ14" s="764"/>
      <c r="EA14" s="699"/>
      <c r="EB14" s="765"/>
      <c r="EC14" s="766"/>
      <c r="ED14" s="766"/>
      <c r="EE14" s="765"/>
      <c r="EF14" s="766"/>
      <c r="EG14" s="767"/>
      <c r="EH14" s="764"/>
      <c r="EI14" s="699"/>
      <c r="EJ14" s="765"/>
      <c r="EK14" s="766"/>
      <c r="EL14" s="766"/>
      <c r="EM14" s="765"/>
      <c r="EN14" s="766"/>
      <c r="EO14" s="767"/>
      <c r="EP14" s="764"/>
      <c r="EQ14" s="699"/>
      <c r="ER14" s="765"/>
      <c r="ES14" s="766"/>
      <c r="ET14" s="766"/>
      <c r="EU14" s="765"/>
      <c r="EV14" s="766"/>
      <c r="EW14" s="767"/>
      <c r="EX14" s="764"/>
      <c r="EY14" s="699"/>
      <c r="EZ14" s="765"/>
      <c r="FA14" s="766"/>
      <c r="FB14" s="766"/>
      <c r="FC14" s="765"/>
      <c r="FD14" s="766"/>
      <c r="FE14" s="767"/>
      <c r="FF14" s="764"/>
      <c r="FG14" s="699"/>
      <c r="FH14" s="765"/>
      <c r="FI14" s="766"/>
      <c r="FJ14" s="766"/>
      <c r="FK14" s="765"/>
      <c r="FL14" s="766"/>
      <c r="FM14" s="767"/>
      <c r="FN14" s="764"/>
      <c r="FO14" s="699"/>
      <c r="FP14" s="765"/>
      <c r="FQ14" s="766"/>
      <c r="FR14" s="766"/>
      <c r="FS14" s="765"/>
      <c r="FT14" s="766"/>
      <c r="FU14" s="767"/>
      <c r="FV14" s="764"/>
      <c r="FW14" s="699"/>
      <c r="FX14" s="765"/>
      <c r="FY14" s="766"/>
      <c r="FZ14" s="766"/>
      <c r="GA14" s="765"/>
      <c r="GB14" s="766"/>
      <c r="GC14" s="767"/>
      <c r="GD14" s="764"/>
      <c r="GE14" s="699"/>
      <c r="GF14" s="765"/>
      <c r="GG14" s="766"/>
      <c r="GH14" s="766"/>
      <c r="GI14" s="765"/>
      <c r="GJ14" s="766"/>
      <c r="GK14" s="767"/>
      <c r="GL14" s="764"/>
      <c r="GM14" s="699"/>
      <c r="GN14" s="765"/>
      <c r="GO14" s="766"/>
      <c r="GP14" s="766"/>
      <c r="GQ14" s="765"/>
      <c r="GR14" s="766"/>
      <c r="GS14" s="767"/>
      <c r="GT14" s="764"/>
      <c r="GU14" s="699"/>
      <c r="GV14" s="765"/>
      <c r="GW14" s="766"/>
      <c r="GX14" s="766"/>
      <c r="GY14" s="765"/>
      <c r="GZ14" s="766"/>
      <c r="HA14" s="767"/>
      <c r="HB14" s="764"/>
      <c r="HC14" s="699"/>
      <c r="HD14" s="765"/>
      <c r="HE14" s="766"/>
      <c r="HF14" s="766"/>
      <c r="HG14" s="765"/>
      <c r="HH14" s="766"/>
      <c r="HI14" s="767"/>
      <c r="HJ14" s="764"/>
      <c r="HK14" s="699"/>
      <c r="HL14" s="765"/>
      <c r="HM14" s="766"/>
      <c r="HN14" s="766"/>
      <c r="HO14" s="765"/>
      <c r="HP14" s="766"/>
      <c r="HQ14" s="767"/>
      <c r="HR14" s="764"/>
      <c r="HS14" s="699"/>
      <c r="HT14" s="765"/>
      <c r="HU14" s="766"/>
      <c r="HV14" s="766"/>
      <c r="HW14" s="765"/>
      <c r="HX14" s="766"/>
      <c r="HY14" s="767"/>
      <c r="HZ14" s="764"/>
      <c r="IA14" s="699"/>
      <c r="IB14" s="765"/>
      <c r="IC14" s="766"/>
      <c r="ID14" s="766"/>
      <c r="IE14" s="765"/>
      <c r="IF14" s="766"/>
      <c r="IG14" s="765"/>
      <c r="IH14" s="739"/>
    </row>
    <row r="15" spans="1:244" x14ac:dyDescent="0.25">
      <c r="A15" s="763">
        <f t="shared" si="30"/>
        <v>5</v>
      </c>
      <c r="B15" s="764"/>
      <c r="C15" s="699">
        <v>0</v>
      </c>
      <c r="D15" s="765">
        <v>3.6936856888204792</v>
      </c>
      <c r="E15" s="766">
        <v>1.5</v>
      </c>
      <c r="F15" s="766">
        <v>0.45843996039034762</v>
      </c>
      <c r="G15" s="765">
        <v>0.20214794596647515</v>
      </c>
      <c r="H15" s="766">
        <v>0</v>
      </c>
      <c r="I15" s="767">
        <v>0</v>
      </c>
      <c r="J15" s="764"/>
      <c r="K15" s="699"/>
      <c r="L15" s="765"/>
      <c r="M15" s="766"/>
      <c r="N15" s="766"/>
      <c r="O15" s="765"/>
      <c r="P15" s="766"/>
      <c r="Q15" s="767"/>
      <c r="R15" s="764"/>
      <c r="S15" s="699"/>
      <c r="T15" s="765"/>
      <c r="U15" s="766"/>
      <c r="V15" s="766"/>
      <c r="W15" s="765"/>
      <c r="X15" s="766"/>
      <c r="Y15" s="767"/>
      <c r="Z15" s="764"/>
      <c r="AA15" s="699"/>
      <c r="AB15" s="765"/>
      <c r="AC15" s="766"/>
      <c r="AD15" s="766"/>
      <c r="AE15" s="765"/>
      <c r="AF15" s="766"/>
      <c r="AG15" s="767"/>
      <c r="AH15" s="764"/>
      <c r="AI15" s="699"/>
      <c r="AJ15" s="765"/>
      <c r="AK15" s="766"/>
      <c r="AL15" s="766"/>
      <c r="AM15" s="765"/>
      <c r="AN15" s="766"/>
      <c r="AO15" s="767"/>
      <c r="AP15" s="764"/>
      <c r="AQ15" s="699"/>
      <c r="AR15" s="765"/>
      <c r="AS15" s="766"/>
      <c r="AT15" s="766"/>
      <c r="AU15" s="765"/>
      <c r="AV15" s="766"/>
      <c r="AW15" s="767"/>
      <c r="AX15" s="764"/>
      <c r="AY15" s="699"/>
      <c r="AZ15" s="765"/>
      <c r="BA15" s="766"/>
      <c r="BB15" s="766"/>
      <c r="BC15" s="765"/>
      <c r="BD15" s="766"/>
      <c r="BE15" s="767"/>
      <c r="BF15" s="764"/>
      <c r="BG15" s="699"/>
      <c r="BH15" s="765"/>
      <c r="BI15" s="766"/>
      <c r="BJ15" s="766"/>
      <c r="BK15" s="765"/>
      <c r="BL15" s="766"/>
      <c r="BM15" s="767"/>
      <c r="BN15" s="764"/>
      <c r="BO15" s="699"/>
      <c r="BP15" s="765"/>
      <c r="BQ15" s="766"/>
      <c r="BR15" s="766"/>
      <c r="BS15" s="765"/>
      <c r="BT15" s="766"/>
      <c r="BU15" s="767"/>
      <c r="BV15" s="764"/>
      <c r="BW15" s="699"/>
      <c r="BX15" s="765"/>
      <c r="BY15" s="766"/>
      <c r="BZ15" s="766"/>
      <c r="CA15" s="765"/>
      <c r="CB15" s="766"/>
      <c r="CC15" s="767"/>
      <c r="CD15" s="764"/>
      <c r="CE15" s="699"/>
      <c r="CF15" s="765"/>
      <c r="CG15" s="766"/>
      <c r="CH15" s="766"/>
      <c r="CI15" s="765"/>
      <c r="CJ15" s="766"/>
      <c r="CK15" s="767"/>
      <c r="CL15" s="764"/>
      <c r="CM15" s="699"/>
      <c r="CN15" s="765"/>
      <c r="CO15" s="766"/>
      <c r="CP15" s="766"/>
      <c r="CQ15" s="765"/>
      <c r="CR15" s="766"/>
      <c r="CS15" s="767"/>
      <c r="CT15" s="764"/>
      <c r="CU15" s="699"/>
      <c r="CV15" s="765"/>
      <c r="CW15" s="766"/>
      <c r="CX15" s="766"/>
      <c r="CY15" s="765"/>
      <c r="CZ15" s="766"/>
      <c r="DA15" s="767"/>
      <c r="DB15" s="764"/>
      <c r="DC15" s="699"/>
      <c r="DD15" s="765"/>
      <c r="DE15" s="766"/>
      <c r="DF15" s="766"/>
      <c r="DG15" s="765"/>
      <c r="DH15" s="766"/>
      <c r="DI15" s="767"/>
      <c r="DJ15" s="764"/>
      <c r="DK15" s="699"/>
      <c r="DL15" s="765"/>
      <c r="DM15" s="766"/>
      <c r="DN15" s="766"/>
      <c r="DO15" s="765"/>
      <c r="DP15" s="766"/>
      <c r="DQ15" s="767"/>
      <c r="DR15" s="764"/>
      <c r="DS15" s="699"/>
      <c r="DT15" s="765"/>
      <c r="DU15" s="766"/>
      <c r="DV15" s="766"/>
      <c r="DW15" s="765"/>
      <c r="DX15" s="766"/>
      <c r="DY15" s="767"/>
      <c r="DZ15" s="764"/>
      <c r="EA15" s="699"/>
      <c r="EB15" s="765"/>
      <c r="EC15" s="766"/>
      <c r="ED15" s="766"/>
      <c r="EE15" s="765"/>
      <c r="EF15" s="766"/>
      <c r="EG15" s="767"/>
      <c r="EH15" s="764"/>
      <c r="EI15" s="699"/>
      <c r="EJ15" s="765"/>
      <c r="EK15" s="766"/>
      <c r="EL15" s="766"/>
      <c r="EM15" s="765"/>
      <c r="EN15" s="766"/>
      <c r="EO15" s="767"/>
      <c r="EP15" s="764"/>
      <c r="EQ15" s="699"/>
      <c r="ER15" s="765"/>
      <c r="ES15" s="766"/>
      <c r="ET15" s="766"/>
      <c r="EU15" s="765"/>
      <c r="EV15" s="766"/>
      <c r="EW15" s="767"/>
      <c r="EX15" s="764"/>
      <c r="EY15" s="699"/>
      <c r="EZ15" s="765"/>
      <c r="FA15" s="766"/>
      <c r="FB15" s="766"/>
      <c r="FC15" s="765"/>
      <c r="FD15" s="766"/>
      <c r="FE15" s="767"/>
      <c r="FF15" s="764"/>
      <c r="FG15" s="699"/>
      <c r="FH15" s="765"/>
      <c r="FI15" s="766"/>
      <c r="FJ15" s="766"/>
      <c r="FK15" s="765"/>
      <c r="FL15" s="766"/>
      <c r="FM15" s="767"/>
      <c r="FN15" s="764"/>
      <c r="FO15" s="699"/>
      <c r="FP15" s="765"/>
      <c r="FQ15" s="766"/>
      <c r="FR15" s="766"/>
      <c r="FS15" s="765"/>
      <c r="FT15" s="766"/>
      <c r="FU15" s="767"/>
      <c r="FV15" s="764"/>
      <c r="FW15" s="699"/>
      <c r="FX15" s="765"/>
      <c r="FY15" s="766"/>
      <c r="FZ15" s="766"/>
      <c r="GA15" s="765"/>
      <c r="GB15" s="766"/>
      <c r="GC15" s="767"/>
      <c r="GD15" s="764"/>
      <c r="GE15" s="699"/>
      <c r="GF15" s="765"/>
      <c r="GG15" s="766"/>
      <c r="GH15" s="766"/>
      <c r="GI15" s="765"/>
      <c r="GJ15" s="766"/>
      <c r="GK15" s="767"/>
      <c r="GL15" s="764"/>
      <c r="GM15" s="699"/>
      <c r="GN15" s="765"/>
      <c r="GO15" s="766"/>
      <c r="GP15" s="766"/>
      <c r="GQ15" s="765"/>
      <c r="GR15" s="766"/>
      <c r="GS15" s="767"/>
      <c r="GT15" s="764"/>
      <c r="GU15" s="699"/>
      <c r="GV15" s="765"/>
      <c r="GW15" s="766"/>
      <c r="GX15" s="766"/>
      <c r="GY15" s="765"/>
      <c r="GZ15" s="766"/>
      <c r="HA15" s="767"/>
      <c r="HB15" s="764"/>
      <c r="HC15" s="699"/>
      <c r="HD15" s="765"/>
      <c r="HE15" s="766"/>
      <c r="HF15" s="766"/>
      <c r="HG15" s="765"/>
      <c r="HH15" s="766"/>
      <c r="HI15" s="767"/>
      <c r="HJ15" s="764"/>
      <c r="HK15" s="699"/>
      <c r="HL15" s="765"/>
      <c r="HM15" s="766"/>
      <c r="HN15" s="766"/>
      <c r="HO15" s="765"/>
      <c r="HP15" s="766"/>
      <c r="HQ15" s="767"/>
      <c r="HR15" s="764"/>
      <c r="HS15" s="699"/>
      <c r="HT15" s="765"/>
      <c r="HU15" s="766"/>
      <c r="HV15" s="766"/>
      <c r="HW15" s="765"/>
      <c r="HX15" s="766"/>
      <c r="HY15" s="767"/>
      <c r="HZ15" s="764"/>
      <c r="IA15" s="699"/>
      <c r="IB15" s="765"/>
      <c r="IC15" s="766"/>
      <c r="ID15" s="766"/>
      <c r="IE15" s="765"/>
      <c r="IF15" s="766"/>
      <c r="IG15" s="765"/>
      <c r="IH15" s="739"/>
    </row>
    <row r="16" spans="1:244" x14ac:dyDescent="0.25">
      <c r="A16" s="763">
        <f t="shared" si="30"/>
        <v>6</v>
      </c>
      <c r="B16" s="764"/>
      <c r="C16" s="699">
        <v>0</v>
      </c>
      <c r="D16" s="765">
        <v>4.7092102408061614</v>
      </c>
      <c r="E16" s="766">
        <v>3</v>
      </c>
      <c r="F16" s="766">
        <v>0.95005094756148822</v>
      </c>
      <c r="G16" s="765">
        <v>0.41892257265167893</v>
      </c>
      <c r="H16" s="766">
        <v>0</v>
      </c>
      <c r="I16" s="767">
        <v>0</v>
      </c>
      <c r="J16" s="764"/>
      <c r="K16" s="699"/>
      <c r="L16" s="765"/>
      <c r="M16" s="766"/>
      <c r="N16" s="766"/>
      <c r="O16" s="765"/>
      <c r="P16" s="766"/>
      <c r="Q16" s="767"/>
      <c r="R16" s="764"/>
      <c r="S16" s="699"/>
      <c r="T16" s="765"/>
      <c r="U16" s="766"/>
      <c r="V16" s="766"/>
      <c r="W16" s="765"/>
      <c r="X16" s="766"/>
      <c r="Y16" s="767"/>
      <c r="Z16" s="764"/>
      <c r="AA16" s="699"/>
      <c r="AB16" s="765"/>
      <c r="AC16" s="766"/>
      <c r="AD16" s="766"/>
      <c r="AE16" s="765"/>
      <c r="AF16" s="766"/>
      <c r="AG16" s="767"/>
      <c r="AH16" s="764"/>
      <c r="AI16" s="699"/>
      <c r="AJ16" s="765"/>
      <c r="AK16" s="766"/>
      <c r="AL16" s="766"/>
      <c r="AM16" s="765"/>
      <c r="AN16" s="766"/>
      <c r="AO16" s="767"/>
      <c r="AP16" s="764"/>
      <c r="AQ16" s="699"/>
      <c r="AR16" s="765"/>
      <c r="AS16" s="766"/>
      <c r="AT16" s="766"/>
      <c r="AU16" s="765"/>
      <c r="AV16" s="766"/>
      <c r="AW16" s="767"/>
      <c r="AX16" s="764"/>
      <c r="AY16" s="699"/>
      <c r="AZ16" s="765"/>
      <c r="BA16" s="766"/>
      <c r="BB16" s="766"/>
      <c r="BC16" s="765"/>
      <c r="BD16" s="766"/>
      <c r="BE16" s="767"/>
      <c r="BF16" s="764"/>
      <c r="BG16" s="699"/>
      <c r="BH16" s="765"/>
      <c r="BI16" s="766"/>
      <c r="BJ16" s="766"/>
      <c r="BK16" s="765"/>
      <c r="BL16" s="766"/>
      <c r="BM16" s="767"/>
      <c r="BN16" s="764"/>
      <c r="BO16" s="699"/>
      <c r="BP16" s="765"/>
      <c r="BQ16" s="766"/>
      <c r="BR16" s="766"/>
      <c r="BS16" s="765"/>
      <c r="BT16" s="766"/>
      <c r="BU16" s="767"/>
      <c r="BV16" s="764"/>
      <c r="BW16" s="699"/>
      <c r="BX16" s="765"/>
      <c r="BY16" s="766"/>
      <c r="BZ16" s="766"/>
      <c r="CA16" s="765"/>
      <c r="CB16" s="766"/>
      <c r="CC16" s="767"/>
      <c r="CD16" s="764"/>
      <c r="CE16" s="699"/>
      <c r="CF16" s="765"/>
      <c r="CG16" s="766"/>
      <c r="CH16" s="766"/>
      <c r="CI16" s="765"/>
      <c r="CJ16" s="766"/>
      <c r="CK16" s="767"/>
      <c r="CL16" s="764"/>
      <c r="CM16" s="699"/>
      <c r="CN16" s="765"/>
      <c r="CO16" s="766"/>
      <c r="CP16" s="766"/>
      <c r="CQ16" s="765"/>
      <c r="CR16" s="766"/>
      <c r="CS16" s="767"/>
      <c r="CT16" s="764"/>
      <c r="CU16" s="699"/>
      <c r="CV16" s="765"/>
      <c r="CW16" s="766"/>
      <c r="CX16" s="766"/>
      <c r="CY16" s="765"/>
      <c r="CZ16" s="766"/>
      <c r="DA16" s="767"/>
      <c r="DB16" s="764"/>
      <c r="DC16" s="699"/>
      <c r="DD16" s="765"/>
      <c r="DE16" s="766"/>
      <c r="DF16" s="766"/>
      <c r="DG16" s="765"/>
      <c r="DH16" s="766"/>
      <c r="DI16" s="767"/>
      <c r="DJ16" s="764"/>
      <c r="DK16" s="699"/>
      <c r="DL16" s="765"/>
      <c r="DM16" s="766"/>
      <c r="DN16" s="766"/>
      <c r="DO16" s="765"/>
      <c r="DP16" s="766"/>
      <c r="DQ16" s="767"/>
      <c r="DR16" s="764"/>
      <c r="DS16" s="699"/>
      <c r="DT16" s="765"/>
      <c r="DU16" s="766"/>
      <c r="DV16" s="766"/>
      <c r="DW16" s="765"/>
      <c r="DX16" s="766"/>
      <c r="DY16" s="767"/>
      <c r="DZ16" s="764"/>
      <c r="EA16" s="699"/>
      <c r="EB16" s="765"/>
      <c r="EC16" s="766"/>
      <c r="ED16" s="766"/>
      <c r="EE16" s="765"/>
      <c r="EF16" s="766"/>
      <c r="EG16" s="767"/>
      <c r="EH16" s="764"/>
      <c r="EI16" s="699"/>
      <c r="EJ16" s="765"/>
      <c r="EK16" s="766"/>
      <c r="EL16" s="766"/>
      <c r="EM16" s="765"/>
      <c r="EN16" s="766"/>
      <c r="EO16" s="767"/>
      <c r="EP16" s="764"/>
      <c r="EQ16" s="699"/>
      <c r="ER16" s="765"/>
      <c r="ES16" s="766"/>
      <c r="ET16" s="766"/>
      <c r="EU16" s="765"/>
      <c r="EV16" s="766"/>
      <c r="EW16" s="767"/>
      <c r="EX16" s="764"/>
      <c r="EY16" s="699"/>
      <c r="EZ16" s="765"/>
      <c r="FA16" s="766"/>
      <c r="FB16" s="766"/>
      <c r="FC16" s="765"/>
      <c r="FD16" s="766"/>
      <c r="FE16" s="767"/>
      <c r="FF16" s="764"/>
      <c r="FG16" s="699"/>
      <c r="FH16" s="765"/>
      <c r="FI16" s="766"/>
      <c r="FJ16" s="766"/>
      <c r="FK16" s="765"/>
      <c r="FL16" s="766"/>
      <c r="FM16" s="767"/>
      <c r="FN16" s="764"/>
      <c r="FO16" s="699"/>
      <c r="FP16" s="765"/>
      <c r="FQ16" s="766"/>
      <c r="FR16" s="766"/>
      <c r="FS16" s="765"/>
      <c r="FT16" s="766"/>
      <c r="FU16" s="767"/>
      <c r="FV16" s="764"/>
      <c r="FW16" s="699"/>
      <c r="FX16" s="765"/>
      <c r="FY16" s="766"/>
      <c r="FZ16" s="766"/>
      <c r="GA16" s="765"/>
      <c r="GB16" s="766"/>
      <c r="GC16" s="767"/>
      <c r="GD16" s="764"/>
      <c r="GE16" s="699"/>
      <c r="GF16" s="765"/>
      <c r="GG16" s="766"/>
      <c r="GH16" s="766"/>
      <c r="GI16" s="765"/>
      <c r="GJ16" s="766"/>
      <c r="GK16" s="767"/>
      <c r="GL16" s="764"/>
      <c r="GM16" s="699"/>
      <c r="GN16" s="765"/>
      <c r="GO16" s="766"/>
      <c r="GP16" s="766"/>
      <c r="GQ16" s="765"/>
      <c r="GR16" s="766"/>
      <c r="GS16" s="767"/>
      <c r="GT16" s="764"/>
      <c r="GU16" s="699"/>
      <c r="GV16" s="765"/>
      <c r="GW16" s="766"/>
      <c r="GX16" s="766"/>
      <c r="GY16" s="765"/>
      <c r="GZ16" s="766"/>
      <c r="HA16" s="767"/>
      <c r="HB16" s="764"/>
      <c r="HC16" s="699"/>
      <c r="HD16" s="765"/>
      <c r="HE16" s="766"/>
      <c r="HF16" s="766"/>
      <c r="HG16" s="765"/>
      <c r="HH16" s="766"/>
      <c r="HI16" s="767"/>
      <c r="HJ16" s="764"/>
      <c r="HK16" s="699"/>
      <c r="HL16" s="765"/>
      <c r="HM16" s="766"/>
      <c r="HN16" s="766"/>
      <c r="HO16" s="765"/>
      <c r="HP16" s="766"/>
      <c r="HQ16" s="767"/>
      <c r="HR16" s="764"/>
      <c r="HS16" s="699"/>
      <c r="HT16" s="765"/>
      <c r="HU16" s="766"/>
      <c r="HV16" s="766"/>
      <c r="HW16" s="765"/>
      <c r="HX16" s="766"/>
      <c r="HY16" s="767"/>
      <c r="HZ16" s="764"/>
      <c r="IA16" s="699"/>
      <c r="IB16" s="765"/>
      <c r="IC16" s="766"/>
      <c r="ID16" s="766"/>
      <c r="IE16" s="765"/>
      <c r="IF16" s="766"/>
      <c r="IG16" s="765"/>
      <c r="IH16" s="739"/>
    </row>
    <row r="17" spans="1:249" x14ac:dyDescent="0.25">
      <c r="A17" s="763">
        <f t="shared" si="30"/>
        <v>7</v>
      </c>
      <c r="B17" s="764"/>
      <c r="C17" s="699">
        <v>0</v>
      </c>
      <c r="D17" s="765">
        <v>5.82796497475052</v>
      </c>
      <c r="E17" s="766">
        <v>3</v>
      </c>
      <c r="F17" s="766">
        <v>1.8007501319971386</v>
      </c>
      <c r="G17" s="765">
        <v>0.794036235567533</v>
      </c>
      <c r="H17" s="766">
        <v>0</v>
      </c>
      <c r="I17" s="767">
        <v>0</v>
      </c>
      <c r="J17" s="764"/>
      <c r="K17" s="699"/>
      <c r="L17" s="765"/>
      <c r="M17" s="766"/>
      <c r="N17" s="766"/>
      <c r="O17" s="765"/>
      <c r="P17" s="766"/>
      <c r="Q17" s="767"/>
      <c r="R17" s="764"/>
      <c r="S17" s="699"/>
      <c r="T17" s="765"/>
      <c r="U17" s="766"/>
      <c r="V17" s="766"/>
      <c r="W17" s="765"/>
      <c r="X17" s="766"/>
      <c r="Y17" s="767"/>
      <c r="Z17" s="764"/>
      <c r="AA17" s="699"/>
      <c r="AB17" s="765"/>
      <c r="AC17" s="766"/>
      <c r="AD17" s="766"/>
      <c r="AE17" s="765"/>
      <c r="AF17" s="766"/>
      <c r="AG17" s="767"/>
      <c r="AH17" s="764"/>
      <c r="AI17" s="699"/>
      <c r="AJ17" s="765"/>
      <c r="AK17" s="766"/>
      <c r="AL17" s="766"/>
      <c r="AM17" s="765"/>
      <c r="AN17" s="766"/>
      <c r="AO17" s="767"/>
      <c r="AP17" s="764"/>
      <c r="AQ17" s="699"/>
      <c r="AR17" s="765"/>
      <c r="AS17" s="766"/>
      <c r="AT17" s="766"/>
      <c r="AU17" s="765"/>
      <c r="AV17" s="766"/>
      <c r="AW17" s="767"/>
      <c r="AX17" s="764"/>
      <c r="AY17" s="699"/>
      <c r="AZ17" s="765"/>
      <c r="BA17" s="766"/>
      <c r="BB17" s="766"/>
      <c r="BC17" s="765"/>
      <c r="BD17" s="766"/>
      <c r="BE17" s="767"/>
      <c r="BF17" s="764"/>
      <c r="BG17" s="699"/>
      <c r="BH17" s="765"/>
      <c r="BI17" s="766"/>
      <c r="BJ17" s="766"/>
      <c r="BK17" s="765"/>
      <c r="BL17" s="766"/>
      <c r="BM17" s="767"/>
      <c r="BN17" s="764"/>
      <c r="BO17" s="699"/>
      <c r="BP17" s="765"/>
      <c r="BQ17" s="766"/>
      <c r="BR17" s="766"/>
      <c r="BS17" s="765"/>
      <c r="BT17" s="766"/>
      <c r="BU17" s="767"/>
      <c r="BV17" s="764"/>
      <c r="BW17" s="699"/>
      <c r="BX17" s="765"/>
      <c r="BY17" s="766"/>
      <c r="BZ17" s="766"/>
      <c r="CA17" s="765"/>
      <c r="CB17" s="766"/>
      <c r="CC17" s="767"/>
      <c r="CD17" s="764"/>
      <c r="CE17" s="699"/>
      <c r="CF17" s="765"/>
      <c r="CG17" s="766"/>
      <c r="CH17" s="766"/>
      <c r="CI17" s="765"/>
      <c r="CJ17" s="766"/>
      <c r="CK17" s="767"/>
      <c r="CL17" s="764"/>
      <c r="CM17" s="699"/>
      <c r="CN17" s="765"/>
      <c r="CO17" s="766"/>
      <c r="CP17" s="766"/>
      <c r="CQ17" s="765"/>
      <c r="CR17" s="766"/>
      <c r="CS17" s="767"/>
      <c r="CT17" s="764"/>
      <c r="CU17" s="699"/>
      <c r="CV17" s="765"/>
      <c r="CW17" s="766"/>
      <c r="CX17" s="766"/>
      <c r="CY17" s="765"/>
      <c r="CZ17" s="766"/>
      <c r="DA17" s="767"/>
      <c r="DB17" s="764"/>
      <c r="DC17" s="699"/>
      <c r="DD17" s="765"/>
      <c r="DE17" s="766"/>
      <c r="DF17" s="766"/>
      <c r="DG17" s="765"/>
      <c r="DH17" s="766"/>
      <c r="DI17" s="767"/>
      <c r="DJ17" s="764"/>
      <c r="DK17" s="699"/>
      <c r="DL17" s="765"/>
      <c r="DM17" s="766"/>
      <c r="DN17" s="766"/>
      <c r="DO17" s="765"/>
      <c r="DP17" s="766"/>
      <c r="DQ17" s="767"/>
      <c r="DR17" s="764"/>
      <c r="DS17" s="699"/>
      <c r="DT17" s="765"/>
      <c r="DU17" s="766"/>
      <c r="DV17" s="766"/>
      <c r="DW17" s="765"/>
      <c r="DX17" s="766"/>
      <c r="DY17" s="767"/>
      <c r="DZ17" s="764"/>
      <c r="EA17" s="699"/>
      <c r="EB17" s="765"/>
      <c r="EC17" s="766"/>
      <c r="ED17" s="766"/>
      <c r="EE17" s="765"/>
      <c r="EF17" s="766"/>
      <c r="EG17" s="767"/>
      <c r="EH17" s="764"/>
      <c r="EI17" s="699"/>
      <c r="EJ17" s="765"/>
      <c r="EK17" s="766"/>
      <c r="EL17" s="766"/>
      <c r="EM17" s="765"/>
      <c r="EN17" s="766"/>
      <c r="EO17" s="767"/>
      <c r="EP17" s="764"/>
      <c r="EQ17" s="699"/>
      <c r="ER17" s="765"/>
      <c r="ES17" s="766"/>
      <c r="ET17" s="766"/>
      <c r="EU17" s="765"/>
      <c r="EV17" s="766"/>
      <c r="EW17" s="767"/>
      <c r="EX17" s="764"/>
      <c r="EY17" s="699"/>
      <c r="EZ17" s="765"/>
      <c r="FA17" s="766"/>
      <c r="FB17" s="766"/>
      <c r="FC17" s="765"/>
      <c r="FD17" s="766"/>
      <c r="FE17" s="767"/>
      <c r="FF17" s="764"/>
      <c r="FG17" s="699"/>
      <c r="FH17" s="765"/>
      <c r="FI17" s="766"/>
      <c r="FJ17" s="766"/>
      <c r="FK17" s="765"/>
      <c r="FL17" s="766"/>
      <c r="FM17" s="767"/>
      <c r="FN17" s="764"/>
      <c r="FO17" s="699"/>
      <c r="FP17" s="765"/>
      <c r="FQ17" s="766"/>
      <c r="FR17" s="766"/>
      <c r="FS17" s="765"/>
      <c r="FT17" s="766"/>
      <c r="FU17" s="767"/>
      <c r="FV17" s="764"/>
      <c r="FW17" s="699"/>
      <c r="FX17" s="765"/>
      <c r="FY17" s="766"/>
      <c r="FZ17" s="766"/>
      <c r="GA17" s="765"/>
      <c r="GB17" s="766"/>
      <c r="GC17" s="767"/>
      <c r="GD17" s="764"/>
      <c r="GE17" s="699"/>
      <c r="GF17" s="765"/>
      <c r="GG17" s="766"/>
      <c r="GH17" s="766"/>
      <c r="GI17" s="765"/>
      <c r="GJ17" s="766"/>
      <c r="GK17" s="767"/>
      <c r="GL17" s="764"/>
      <c r="GM17" s="699"/>
      <c r="GN17" s="765"/>
      <c r="GO17" s="766"/>
      <c r="GP17" s="766"/>
      <c r="GQ17" s="765"/>
      <c r="GR17" s="766"/>
      <c r="GS17" s="767"/>
      <c r="GT17" s="764"/>
      <c r="GU17" s="699"/>
      <c r="GV17" s="765"/>
      <c r="GW17" s="766"/>
      <c r="GX17" s="766"/>
      <c r="GY17" s="765"/>
      <c r="GZ17" s="766"/>
      <c r="HA17" s="767"/>
      <c r="HB17" s="764"/>
      <c r="HC17" s="699"/>
      <c r="HD17" s="765"/>
      <c r="HE17" s="766"/>
      <c r="HF17" s="766"/>
      <c r="HG17" s="765"/>
      <c r="HH17" s="766"/>
      <c r="HI17" s="767"/>
      <c r="HJ17" s="764"/>
      <c r="HK17" s="699"/>
      <c r="HL17" s="765"/>
      <c r="HM17" s="766"/>
      <c r="HN17" s="766"/>
      <c r="HO17" s="765"/>
      <c r="HP17" s="766"/>
      <c r="HQ17" s="767"/>
      <c r="HR17" s="764"/>
      <c r="HS17" s="699"/>
      <c r="HT17" s="765"/>
      <c r="HU17" s="766"/>
      <c r="HV17" s="766"/>
      <c r="HW17" s="765"/>
      <c r="HX17" s="766"/>
      <c r="HY17" s="767"/>
      <c r="HZ17" s="764"/>
      <c r="IA17" s="699"/>
      <c r="IB17" s="765"/>
      <c r="IC17" s="766"/>
      <c r="ID17" s="766"/>
      <c r="IE17" s="765"/>
      <c r="IF17" s="766"/>
      <c r="IG17" s="765"/>
      <c r="IH17" s="739"/>
    </row>
    <row r="18" spans="1:249" x14ac:dyDescent="0.25">
      <c r="A18" s="763">
        <f t="shared" si="30"/>
        <v>8</v>
      </c>
      <c r="B18" s="764"/>
      <c r="C18" s="699">
        <v>0</v>
      </c>
      <c r="D18" s="765">
        <v>6.8861306138199492</v>
      </c>
      <c r="E18" s="766">
        <v>4.5</v>
      </c>
      <c r="F18" s="766">
        <v>2.9704922531954656</v>
      </c>
      <c r="G18" s="765">
        <v>1.3098310779485727</v>
      </c>
      <c r="H18" s="766">
        <v>0</v>
      </c>
      <c r="I18" s="767">
        <v>0</v>
      </c>
      <c r="J18" s="764"/>
      <c r="K18" s="699"/>
      <c r="L18" s="765"/>
      <c r="M18" s="766"/>
      <c r="N18" s="766"/>
      <c r="O18" s="765"/>
      <c r="P18" s="766"/>
      <c r="Q18" s="767"/>
      <c r="R18" s="764"/>
      <c r="S18" s="699"/>
      <c r="T18" s="765"/>
      <c r="U18" s="766"/>
      <c r="V18" s="766"/>
      <c r="W18" s="765"/>
      <c r="X18" s="766"/>
      <c r="Y18" s="767"/>
      <c r="Z18" s="764"/>
      <c r="AA18" s="699"/>
      <c r="AB18" s="765"/>
      <c r="AC18" s="766"/>
      <c r="AD18" s="766"/>
      <c r="AE18" s="765"/>
      <c r="AF18" s="766"/>
      <c r="AG18" s="767"/>
      <c r="AH18" s="764"/>
      <c r="AI18" s="699"/>
      <c r="AJ18" s="765"/>
      <c r="AK18" s="766"/>
      <c r="AL18" s="766"/>
      <c r="AM18" s="765"/>
      <c r="AN18" s="766"/>
      <c r="AO18" s="767"/>
      <c r="AP18" s="764"/>
      <c r="AQ18" s="699"/>
      <c r="AR18" s="765"/>
      <c r="AS18" s="766"/>
      <c r="AT18" s="766"/>
      <c r="AU18" s="765"/>
      <c r="AV18" s="766"/>
      <c r="AW18" s="767"/>
      <c r="AX18" s="764"/>
      <c r="AY18" s="699"/>
      <c r="AZ18" s="765"/>
      <c r="BA18" s="766"/>
      <c r="BB18" s="766"/>
      <c r="BC18" s="765"/>
      <c r="BD18" s="766"/>
      <c r="BE18" s="767"/>
      <c r="BF18" s="764"/>
      <c r="BG18" s="699"/>
      <c r="BH18" s="765"/>
      <c r="BI18" s="766"/>
      <c r="BJ18" s="766"/>
      <c r="BK18" s="765"/>
      <c r="BL18" s="766"/>
      <c r="BM18" s="767"/>
      <c r="BN18" s="764"/>
      <c r="BO18" s="699"/>
      <c r="BP18" s="765"/>
      <c r="BQ18" s="766"/>
      <c r="BR18" s="766"/>
      <c r="BS18" s="765"/>
      <c r="BT18" s="766"/>
      <c r="BU18" s="767"/>
      <c r="BV18" s="764"/>
      <c r="BW18" s="699"/>
      <c r="BX18" s="765"/>
      <c r="BY18" s="766"/>
      <c r="BZ18" s="766"/>
      <c r="CA18" s="765"/>
      <c r="CB18" s="766"/>
      <c r="CC18" s="767"/>
      <c r="CD18" s="764"/>
      <c r="CE18" s="699"/>
      <c r="CF18" s="765"/>
      <c r="CG18" s="766"/>
      <c r="CH18" s="766"/>
      <c r="CI18" s="765"/>
      <c r="CJ18" s="766"/>
      <c r="CK18" s="767"/>
      <c r="CL18" s="764"/>
      <c r="CM18" s="699"/>
      <c r="CN18" s="765"/>
      <c r="CO18" s="766"/>
      <c r="CP18" s="766"/>
      <c r="CQ18" s="765"/>
      <c r="CR18" s="766"/>
      <c r="CS18" s="767"/>
      <c r="CT18" s="764"/>
      <c r="CU18" s="699"/>
      <c r="CV18" s="765"/>
      <c r="CW18" s="766"/>
      <c r="CX18" s="766"/>
      <c r="CY18" s="765"/>
      <c r="CZ18" s="766"/>
      <c r="DA18" s="767"/>
      <c r="DB18" s="764"/>
      <c r="DC18" s="699"/>
      <c r="DD18" s="765"/>
      <c r="DE18" s="766"/>
      <c r="DF18" s="766"/>
      <c r="DG18" s="765"/>
      <c r="DH18" s="766"/>
      <c r="DI18" s="767"/>
      <c r="DJ18" s="764"/>
      <c r="DK18" s="699"/>
      <c r="DL18" s="765"/>
      <c r="DM18" s="766"/>
      <c r="DN18" s="766"/>
      <c r="DO18" s="765"/>
      <c r="DP18" s="766"/>
      <c r="DQ18" s="767"/>
      <c r="DR18" s="764"/>
      <c r="DS18" s="699"/>
      <c r="DT18" s="765"/>
      <c r="DU18" s="766"/>
      <c r="DV18" s="766"/>
      <c r="DW18" s="765"/>
      <c r="DX18" s="766"/>
      <c r="DY18" s="767"/>
      <c r="DZ18" s="764"/>
      <c r="EA18" s="699"/>
      <c r="EB18" s="765"/>
      <c r="EC18" s="766"/>
      <c r="ED18" s="766"/>
      <c r="EE18" s="765"/>
      <c r="EF18" s="766"/>
      <c r="EG18" s="767"/>
      <c r="EH18" s="764"/>
      <c r="EI18" s="699"/>
      <c r="EJ18" s="765"/>
      <c r="EK18" s="766"/>
      <c r="EL18" s="766"/>
      <c r="EM18" s="765"/>
      <c r="EN18" s="766"/>
      <c r="EO18" s="767"/>
      <c r="EP18" s="764"/>
      <c r="EQ18" s="699"/>
      <c r="ER18" s="765"/>
      <c r="ES18" s="766"/>
      <c r="ET18" s="766"/>
      <c r="EU18" s="765"/>
      <c r="EV18" s="766"/>
      <c r="EW18" s="767"/>
      <c r="EX18" s="764"/>
      <c r="EY18" s="699"/>
      <c r="EZ18" s="765"/>
      <c r="FA18" s="766"/>
      <c r="FB18" s="766"/>
      <c r="FC18" s="765"/>
      <c r="FD18" s="766"/>
      <c r="FE18" s="767"/>
      <c r="FF18" s="764"/>
      <c r="FG18" s="699"/>
      <c r="FH18" s="765"/>
      <c r="FI18" s="766"/>
      <c r="FJ18" s="766"/>
      <c r="FK18" s="765"/>
      <c r="FL18" s="766"/>
      <c r="FM18" s="767"/>
      <c r="FN18" s="764"/>
      <c r="FO18" s="699"/>
      <c r="FP18" s="765"/>
      <c r="FQ18" s="766"/>
      <c r="FR18" s="766"/>
      <c r="FS18" s="765"/>
      <c r="FT18" s="766"/>
      <c r="FU18" s="767"/>
      <c r="FV18" s="764"/>
      <c r="FW18" s="699"/>
      <c r="FX18" s="765"/>
      <c r="FY18" s="766"/>
      <c r="FZ18" s="766"/>
      <c r="GA18" s="765"/>
      <c r="GB18" s="766"/>
      <c r="GC18" s="767"/>
      <c r="GD18" s="764"/>
      <c r="GE18" s="699"/>
      <c r="GF18" s="765"/>
      <c r="GG18" s="766"/>
      <c r="GH18" s="766"/>
      <c r="GI18" s="765"/>
      <c r="GJ18" s="766"/>
      <c r="GK18" s="767"/>
      <c r="GL18" s="764"/>
      <c r="GM18" s="699"/>
      <c r="GN18" s="765"/>
      <c r="GO18" s="766"/>
      <c r="GP18" s="766"/>
      <c r="GQ18" s="765"/>
      <c r="GR18" s="766"/>
      <c r="GS18" s="767"/>
      <c r="GT18" s="764"/>
      <c r="GU18" s="699"/>
      <c r="GV18" s="765"/>
      <c r="GW18" s="766"/>
      <c r="GX18" s="766"/>
      <c r="GY18" s="765"/>
      <c r="GZ18" s="766"/>
      <c r="HA18" s="767"/>
      <c r="HB18" s="764"/>
      <c r="HC18" s="699"/>
      <c r="HD18" s="765"/>
      <c r="HE18" s="766"/>
      <c r="HF18" s="766"/>
      <c r="HG18" s="765"/>
      <c r="HH18" s="766"/>
      <c r="HI18" s="767"/>
      <c r="HJ18" s="764"/>
      <c r="HK18" s="699"/>
      <c r="HL18" s="765"/>
      <c r="HM18" s="766"/>
      <c r="HN18" s="766"/>
      <c r="HO18" s="765"/>
      <c r="HP18" s="766"/>
      <c r="HQ18" s="767"/>
      <c r="HR18" s="764"/>
      <c r="HS18" s="699"/>
      <c r="HT18" s="765"/>
      <c r="HU18" s="766"/>
      <c r="HV18" s="766"/>
      <c r="HW18" s="765"/>
      <c r="HX18" s="766"/>
      <c r="HY18" s="767"/>
      <c r="HZ18" s="764"/>
      <c r="IA18" s="699"/>
      <c r="IB18" s="765"/>
      <c r="IC18" s="766"/>
      <c r="ID18" s="766"/>
      <c r="IE18" s="765"/>
      <c r="IF18" s="766"/>
      <c r="IG18" s="765"/>
      <c r="IH18" s="739"/>
    </row>
    <row r="19" spans="1:249" x14ac:dyDescent="0.25">
      <c r="A19" s="763">
        <f t="shared" si="30"/>
        <v>9</v>
      </c>
      <c r="B19" s="764"/>
      <c r="C19" s="699">
        <v>0</v>
      </c>
      <c r="D19" s="765">
        <v>8.2687675058381345</v>
      </c>
      <c r="E19" s="766">
        <v>6</v>
      </c>
      <c r="F19" s="766">
        <v>5.1431003603587255</v>
      </c>
      <c r="G19" s="765">
        <v>2.2678371511521584</v>
      </c>
      <c r="H19" s="766">
        <v>0</v>
      </c>
      <c r="I19" s="767">
        <v>0</v>
      </c>
      <c r="J19" s="764"/>
      <c r="K19" s="699"/>
      <c r="L19" s="765"/>
      <c r="M19" s="766"/>
      <c r="N19" s="766"/>
      <c r="O19" s="765"/>
      <c r="P19" s="766"/>
      <c r="Q19" s="767"/>
      <c r="R19" s="764"/>
      <c r="S19" s="699"/>
      <c r="T19" s="765"/>
      <c r="U19" s="766"/>
      <c r="V19" s="766"/>
      <c r="W19" s="765"/>
      <c r="X19" s="766"/>
      <c r="Y19" s="767"/>
      <c r="Z19" s="764"/>
      <c r="AA19" s="699"/>
      <c r="AB19" s="765"/>
      <c r="AC19" s="766"/>
      <c r="AD19" s="766"/>
      <c r="AE19" s="765"/>
      <c r="AF19" s="766"/>
      <c r="AG19" s="767"/>
      <c r="AH19" s="764"/>
      <c r="AI19" s="699"/>
      <c r="AJ19" s="765"/>
      <c r="AK19" s="766"/>
      <c r="AL19" s="766"/>
      <c r="AM19" s="765"/>
      <c r="AN19" s="766"/>
      <c r="AO19" s="767"/>
      <c r="AP19" s="764"/>
      <c r="AQ19" s="699"/>
      <c r="AR19" s="765"/>
      <c r="AS19" s="766"/>
      <c r="AT19" s="766"/>
      <c r="AU19" s="765"/>
      <c r="AV19" s="766"/>
      <c r="AW19" s="767"/>
      <c r="AX19" s="764"/>
      <c r="AY19" s="699"/>
      <c r="AZ19" s="765"/>
      <c r="BA19" s="766"/>
      <c r="BB19" s="766"/>
      <c r="BC19" s="765"/>
      <c r="BD19" s="766"/>
      <c r="BE19" s="767"/>
      <c r="BF19" s="764"/>
      <c r="BG19" s="699"/>
      <c r="BH19" s="765"/>
      <c r="BI19" s="766"/>
      <c r="BJ19" s="766"/>
      <c r="BK19" s="765"/>
      <c r="BL19" s="766"/>
      <c r="BM19" s="767"/>
      <c r="BN19" s="764"/>
      <c r="BO19" s="699"/>
      <c r="BP19" s="765"/>
      <c r="BQ19" s="766"/>
      <c r="BR19" s="766"/>
      <c r="BS19" s="765"/>
      <c r="BT19" s="766"/>
      <c r="BU19" s="767"/>
      <c r="BV19" s="764"/>
      <c r="BW19" s="699"/>
      <c r="BX19" s="765"/>
      <c r="BY19" s="766"/>
      <c r="BZ19" s="766"/>
      <c r="CA19" s="765"/>
      <c r="CB19" s="766"/>
      <c r="CC19" s="767"/>
      <c r="CD19" s="764"/>
      <c r="CE19" s="699"/>
      <c r="CF19" s="765"/>
      <c r="CG19" s="766"/>
      <c r="CH19" s="766"/>
      <c r="CI19" s="765"/>
      <c r="CJ19" s="766"/>
      <c r="CK19" s="767"/>
      <c r="CL19" s="764"/>
      <c r="CM19" s="699"/>
      <c r="CN19" s="765"/>
      <c r="CO19" s="766"/>
      <c r="CP19" s="766"/>
      <c r="CQ19" s="765"/>
      <c r="CR19" s="766"/>
      <c r="CS19" s="767"/>
      <c r="CT19" s="764"/>
      <c r="CU19" s="699"/>
      <c r="CV19" s="765"/>
      <c r="CW19" s="766"/>
      <c r="CX19" s="766"/>
      <c r="CY19" s="765"/>
      <c r="CZ19" s="766"/>
      <c r="DA19" s="767"/>
      <c r="DB19" s="764"/>
      <c r="DC19" s="699"/>
      <c r="DD19" s="765"/>
      <c r="DE19" s="766"/>
      <c r="DF19" s="766"/>
      <c r="DG19" s="765"/>
      <c r="DH19" s="766"/>
      <c r="DI19" s="767"/>
      <c r="DJ19" s="764"/>
      <c r="DK19" s="699"/>
      <c r="DL19" s="765"/>
      <c r="DM19" s="766"/>
      <c r="DN19" s="766"/>
      <c r="DO19" s="765"/>
      <c r="DP19" s="766"/>
      <c r="DQ19" s="767"/>
      <c r="DR19" s="764"/>
      <c r="DS19" s="699"/>
      <c r="DT19" s="765"/>
      <c r="DU19" s="766"/>
      <c r="DV19" s="766"/>
      <c r="DW19" s="765"/>
      <c r="DX19" s="766"/>
      <c r="DY19" s="767"/>
      <c r="DZ19" s="764"/>
      <c r="EA19" s="699"/>
      <c r="EB19" s="765"/>
      <c r="EC19" s="766"/>
      <c r="ED19" s="766"/>
      <c r="EE19" s="765"/>
      <c r="EF19" s="766"/>
      <c r="EG19" s="767"/>
      <c r="EH19" s="764"/>
      <c r="EI19" s="699"/>
      <c r="EJ19" s="765"/>
      <c r="EK19" s="766"/>
      <c r="EL19" s="766"/>
      <c r="EM19" s="765"/>
      <c r="EN19" s="766"/>
      <c r="EO19" s="767"/>
      <c r="EP19" s="764"/>
      <c r="EQ19" s="699"/>
      <c r="ER19" s="765"/>
      <c r="ES19" s="766"/>
      <c r="ET19" s="766"/>
      <c r="EU19" s="765"/>
      <c r="EV19" s="766"/>
      <c r="EW19" s="767"/>
      <c r="EX19" s="764"/>
      <c r="EY19" s="699"/>
      <c r="EZ19" s="765"/>
      <c r="FA19" s="766"/>
      <c r="FB19" s="766"/>
      <c r="FC19" s="765"/>
      <c r="FD19" s="766"/>
      <c r="FE19" s="767"/>
      <c r="FF19" s="764"/>
      <c r="FG19" s="699"/>
      <c r="FH19" s="765"/>
      <c r="FI19" s="766"/>
      <c r="FJ19" s="766"/>
      <c r="FK19" s="765"/>
      <c r="FL19" s="766"/>
      <c r="FM19" s="767"/>
      <c r="FN19" s="764"/>
      <c r="FO19" s="699"/>
      <c r="FP19" s="765"/>
      <c r="FQ19" s="766"/>
      <c r="FR19" s="766"/>
      <c r="FS19" s="765"/>
      <c r="FT19" s="766"/>
      <c r="FU19" s="767"/>
      <c r="FV19" s="764"/>
      <c r="FW19" s="699"/>
      <c r="FX19" s="765"/>
      <c r="FY19" s="766"/>
      <c r="FZ19" s="766"/>
      <c r="GA19" s="765"/>
      <c r="GB19" s="766"/>
      <c r="GC19" s="767"/>
      <c r="GD19" s="764"/>
      <c r="GE19" s="699"/>
      <c r="GF19" s="765"/>
      <c r="GG19" s="766"/>
      <c r="GH19" s="766"/>
      <c r="GI19" s="765"/>
      <c r="GJ19" s="766"/>
      <c r="GK19" s="767"/>
      <c r="GL19" s="764"/>
      <c r="GM19" s="699"/>
      <c r="GN19" s="765"/>
      <c r="GO19" s="766"/>
      <c r="GP19" s="766"/>
      <c r="GQ19" s="765"/>
      <c r="GR19" s="766"/>
      <c r="GS19" s="767"/>
      <c r="GT19" s="764"/>
      <c r="GU19" s="699"/>
      <c r="GV19" s="765"/>
      <c r="GW19" s="766"/>
      <c r="GX19" s="766"/>
      <c r="GY19" s="765"/>
      <c r="GZ19" s="766"/>
      <c r="HA19" s="767"/>
      <c r="HB19" s="764"/>
      <c r="HC19" s="699"/>
      <c r="HD19" s="765"/>
      <c r="HE19" s="766"/>
      <c r="HF19" s="766"/>
      <c r="HG19" s="765"/>
      <c r="HH19" s="766"/>
      <c r="HI19" s="767"/>
      <c r="HJ19" s="764"/>
      <c r="HK19" s="699"/>
      <c r="HL19" s="765"/>
      <c r="HM19" s="766"/>
      <c r="HN19" s="766"/>
      <c r="HO19" s="765"/>
      <c r="HP19" s="766"/>
      <c r="HQ19" s="767"/>
      <c r="HR19" s="764"/>
      <c r="HS19" s="699"/>
      <c r="HT19" s="765"/>
      <c r="HU19" s="766"/>
      <c r="HV19" s="766"/>
      <c r="HW19" s="765"/>
      <c r="HX19" s="766"/>
      <c r="HY19" s="767"/>
      <c r="HZ19" s="764"/>
      <c r="IA19" s="699"/>
      <c r="IB19" s="765"/>
      <c r="IC19" s="766"/>
      <c r="ID19" s="766"/>
      <c r="IE19" s="765"/>
      <c r="IF19" s="766"/>
      <c r="IG19" s="765"/>
      <c r="IH19" s="739"/>
    </row>
    <row r="20" spans="1:249" x14ac:dyDescent="0.25">
      <c r="A20" s="763">
        <f t="shared" si="30"/>
        <v>10</v>
      </c>
      <c r="B20" s="764"/>
      <c r="C20" s="699">
        <v>0</v>
      </c>
      <c r="D20" s="765">
        <v>9.6730383950005265</v>
      </c>
      <c r="E20" s="766">
        <v>6</v>
      </c>
      <c r="F20" s="766">
        <v>8.2336308346738214</v>
      </c>
      <c r="G20" s="765">
        <v>3.6305987803906787</v>
      </c>
      <c r="H20" s="766">
        <v>0</v>
      </c>
      <c r="I20" s="767">
        <v>0</v>
      </c>
      <c r="J20" s="764"/>
      <c r="K20" s="699"/>
      <c r="L20" s="765"/>
      <c r="M20" s="766"/>
      <c r="N20" s="766"/>
      <c r="O20" s="765"/>
      <c r="P20" s="766"/>
      <c r="Q20" s="767"/>
      <c r="R20" s="764"/>
      <c r="S20" s="699"/>
      <c r="T20" s="765"/>
      <c r="U20" s="766"/>
      <c r="V20" s="766"/>
      <c r="W20" s="765"/>
      <c r="X20" s="766"/>
      <c r="Y20" s="767"/>
      <c r="Z20" s="764"/>
      <c r="AA20" s="699"/>
      <c r="AB20" s="765"/>
      <c r="AC20" s="766"/>
      <c r="AD20" s="766"/>
      <c r="AE20" s="765"/>
      <c r="AF20" s="766"/>
      <c r="AG20" s="767"/>
      <c r="AH20" s="764"/>
      <c r="AI20" s="699"/>
      <c r="AJ20" s="765"/>
      <c r="AK20" s="766"/>
      <c r="AL20" s="766"/>
      <c r="AM20" s="765"/>
      <c r="AN20" s="766"/>
      <c r="AO20" s="767"/>
      <c r="AP20" s="764"/>
      <c r="AQ20" s="699"/>
      <c r="AR20" s="765"/>
      <c r="AS20" s="766"/>
      <c r="AT20" s="766"/>
      <c r="AU20" s="765"/>
      <c r="AV20" s="766"/>
      <c r="AW20" s="767"/>
      <c r="AX20" s="764"/>
      <c r="AY20" s="699"/>
      <c r="AZ20" s="765"/>
      <c r="BA20" s="766"/>
      <c r="BB20" s="766"/>
      <c r="BC20" s="765"/>
      <c r="BD20" s="766"/>
      <c r="BE20" s="767"/>
      <c r="BF20" s="764"/>
      <c r="BG20" s="699"/>
      <c r="BH20" s="765"/>
      <c r="BI20" s="766"/>
      <c r="BJ20" s="766"/>
      <c r="BK20" s="765"/>
      <c r="BL20" s="766"/>
      <c r="BM20" s="767"/>
      <c r="BN20" s="764"/>
      <c r="BO20" s="699"/>
      <c r="BP20" s="765"/>
      <c r="BQ20" s="766"/>
      <c r="BR20" s="766"/>
      <c r="BS20" s="765"/>
      <c r="BT20" s="766"/>
      <c r="BU20" s="767"/>
      <c r="BV20" s="764"/>
      <c r="BW20" s="699"/>
      <c r="BX20" s="765"/>
      <c r="BY20" s="766"/>
      <c r="BZ20" s="766"/>
      <c r="CA20" s="765"/>
      <c r="CB20" s="766"/>
      <c r="CC20" s="767"/>
      <c r="CD20" s="764"/>
      <c r="CE20" s="699"/>
      <c r="CF20" s="765"/>
      <c r="CG20" s="766"/>
      <c r="CH20" s="766"/>
      <c r="CI20" s="765"/>
      <c r="CJ20" s="766"/>
      <c r="CK20" s="767"/>
      <c r="CL20" s="764"/>
      <c r="CM20" s="699"/>
      <c r="CN20" s="765"/>
      <c r="CO20" s="766"/>
      <c r="CP20" s="766"/>
      <c r="CQ20" s="765"/>
      <c r="CR20" s="766"/>
      <c r="CS20" s="767"/>
      <c r="CT20" s="764"/>
      <c r="CU20" s="699"/>
      <c r="CV20" s="765"/>
      <c r="CW20" s="766"/>
      <c r="CX20" s="766"/>
      <c r="CY20" s="765"/>
      <c r="CZ20" s="766"/>
      <c r="DA20" s="767"/>
      <c r="DB20" s="764"/>
      <c r="DC20" s="699"/>
      <c r="DD20" s="765"/>
      <c r="DE20" s="766"/>
      <c r="DF20" s="766"/>
      <c r="DG20" s="765"/>
      <c r="DH20" s="766"/>
      <c r="DI20" s="767"/>
      <c r="DJ20" s="764"/>
      <c r="DK20" s="699"/>
      <c r="DL20" s="765"/>
      <c r="DM20" s="766"/>
      <c r="DN20" s="766"/>
      <c r="DO20" s="765"/>
      <c r="DP20" s="766"/>
      <c r="DQ20" s="767"/>
      <c r="DR20" s="764"/>
      <c r="DS20" s="699"/>
      <c r="DT20" s="765"/>
      <c r="DU20" s="766"/>
      <c r="DV20" s="766"/>
      <c r="DW20" s="765"/>
      <c r="DX20" s="766"/>
      <c r="DY20" s="767"/>
      <c r="DZ20" s="764"/>
      <c r="EA20" s="699"/>
      <c r="EB20" s="765"/>
      <c r="EC20" s="766"/>
      <c r="ED20" s="766"/>
      <c r="EE20" s="765"/>
      <c r="EF20" s="766"/>
      <c r="EG20" s="767"/>
      <c r="EH20" s="764"/>
      <c r="EI20" s="699"/>
      <c r="EJ20" s="765"/>
      <c r="EK20" s="766"/>
      <c r="EL20" s="766"/>
      <c r="EM20" s="765"/>
      <c r="EN20" s="766"/>
      <c r="EO20" s="767"/>
      <c r="EP20" s="764"/>
      <c r="EQ20" s="699"/>
      <c r="ER20" s="765"/>
      <c r="ES20" s="766"/>
      <c r="ET20" s="766"/>
      <c r="EU20" s="765"/>
      <c r="EV20" s="766"/>
      <c r="EW20" s="767"/>
      <c r="EX20" s="764"/>
      <c r="EY20" s="699"/>
      <c r="EZ20" s="765"/>
      <c r="FA20" s="766"/>
      <c r="FB20" s="766"/>
      <c r="FC20" s="765"/>
      <c r="FD20" s="766"/>
      <c r="FE20" s="767"/>
      <c r="FF20" s="764"/>
      <c r="FG20" s="699"/>
      <c r="FH20" s="765"/>
      <c r="FI20" s="766"/>
      <c r="FJ20" s="766"/>
      <c r="FK20" s="765"/>
      <c r="FL20" s="766"/>
      <c r="FM20" s="767"/>
      <c r="FN20" s="764"/>
      <c r="FO20" s="699"/>
      <c r="FP20" s="765"/>
      <c r="FQ20" s="766"/>
      <c r="FR20" s="766"/>
      <c r="FS20" s="765"/>
      <c r="FT20" s="766"/>
      <c r="FU20" s="767"/>
      <c r="FV20" s="764"/>
      <c r="FW20" s="699"/>
      <c r="FX20" s="765"/>
      <c r="FY20" s="766"/>
      <c r="FZ20" s="766"/>
      <c r="GA20" s="765"/>
      <c r="GB20" s="766"/>
      <c r="GC20" s="767"/>
      <c r="GD20" s="764"/>
      <c r="GE20" s="699"/>
      <c r="GF20" s="765"/>
      <c r="GG20" s="766"/>
      <c r="GH20" s="766"/>
      <c r="GI20" s="765"/>
      <c r="GJ20" s="766"/>
      <c r="GK20" s="767"/>
      <c r="GL20" s="764"/>
      <c r="GM20" s="699"/>
      <c r="GN20" s="765"/>
      <c r="GO20" s="766"/>
      <c r="GP20" s="766"/>
      <c r="GQ20" s="765"/>
      <c r="GR20" s="766"/>
      <c r="GS20" s="767"/>
      <c r="GT20" s="764"/>
      <c r="GU20" s="699"/>
      <c r="GV20" s="765"/>
      <c r="GW20" s="766"/>
      <c r="GX20" s="766"/>
      <c r="GY20" s="765"/>
      <c r="GZ20" s="766"/>
      <c r="HA20" s="767"/>
      <c r="HB20" s="764"/>
      <c r="HC20" s="699"/>
      <c r="HD20" s="765"/>
      <c r="HE20" s="766"/>
      <c r="HF20" s="766"/>
      <c r="HG20" s="765"/>
      <c r="HH20" s="766"/>
      <c r="HI20" s="767"/>
      <c r="HJ20" s="764"/>
      <c r="HK20" s="699"/>
      <c r="HL20" s="765"/>
      <c r="HM20" s="766"/>
      <c r="HN20" s="766"/>
      <c r="HO20" s="765"/>
      <c r="HP20" s="766"/>
      <c r="HQ20" s="767"/>
      <c r="HR20" s="764"/>
      <c r="HS20" s="699"/>
      <c r="HT20" s="765"/>
      <c r="HU20" s="766"/>
      <c r="HV20" s="766"/>
      <c r="HW20" s="765"/>
      <c r="HX20" s="766"/>
      <c r="HY20" s="767"/>
      <c r="HZ20" s="764"/>
      <c r="IA20" s="699"/>
      <c r="IB20" s="765"/>
      <c r="IC20" s="766"/>
      <c r="ID20" s="766"/>
      <c r="IE20" s="765"/>
      <c r="IF20" s="766"/>
      <c r="IG20" s="765"/>
      <c r="IH20" s="739"/>
    </row>
    <row r="21" spans="1:249" x14ac:dyDescent="0.25">
      <c r="A21" s="763">
        <f t="shared" si="30"/>
        <v>11</v>
      </c>
      <c r="B21" s="764"/>
      <c r="C21" s="699">
        <v>0</v>
      </c>
      <c r="D21" s="765">
        <v>11.115801998941063</v>
      </c>
      <c r="E21" s="766">
        <v>7.5</v>
      </c>
      <c r="F21" s="766">
        <v>12.494677842039225</v>
      </c>
      <c r="G21" s="765">
        <v>5.5094967269660353</v>
      </c>
      <c r="H21" s="766">
        <v>0</v>
      </c>
      <c r="I21" s="767">
        <v>0</v>
      </c>
      <c r="J21" s="764"/>
      <c r="K21" s="699"/>
      <c r="L21" s="765"/>
      <c r="M21" s="766"/>
      <c r="N21" s="766"/>
      <c r="O21" s="765"/>
      <c r="P21" s="766"/>
      <c r="Q21" s="767"/>
      <c r="R21" s="764"/>
      <c r="S21" s="699"/>
      <c r="T21" s="765"/>
      <c r="U21" s="766"/>
      <c r="V21" s="766"/>
      <c r="W21" s="765"/>
      <c r="X21" s="766"/>
      <c r="Y21" s="767"/>
      <c r="Z21" s="764"/>
      <c r="AA21" s="699"/>
      <c r="AB21" s="765"/>
      <c r="AC21" s="766"/>
      <c r="AD21" s="766"/>
      <c r="AE21" s="765"/>
      <c r="AF21" s="766"/>
      <c r="AG21" s="767"/>
      <c r="AH21" s="764"/>
      <c r="AI21" s="699"/>
      <c r="AJ21" s="765"/>
      <c r="AK21" s="766"/>
      <c r="AL21" s="766"/>
      <c r="AM21" s="765"/>
      <c r="AN21" s="766"/>
      <c r="AO21" s="767"/>
      <c r="AP21" s="764"/>
      <c r="AQ21" s="699"/>
      <c r="AR21" s="765"/>
      <c r="AS21" s="766"/>
      <c r="AT21" s="766"/>
      <c r="AU21" s="765"/>
      <c r="AV21" s="766"/>
      <c r="AW21" s="767"/>
      <c r="AX21" s="764"/>
      <c r="AY21" s="699"/>
      <c r="AZ21" s="765"/>
      <c r="BA21" s="766"/>
      <c r="BB21" s="766"/>
      <c r="BC21" s="765"/>
      <c r="BD21" s="766"/>
      <c r="BE21" s="767"/>
      <c r="BF21" s="764"/>
      <c r="BG21" s="699"/>
      <c r="BH21" s="765"/>
      <c r="BI21" s="766"/>
      <c r="BJ21" s="766"/>
      <c r="BK21" s="765"/>
      <c r="BL21" s="766"/>
      <c r="BM21" s="767"/>
      <c r="BN21" s="764"/>
      <c r="BO21" s="699"/>
      <c r="BP21" s="765"/>
      <c r="BQ21" s="766"/>
      <c r="BR21" s="766"/>
      <c r="BS21" s="765"/>
      <c r="BT21" s="766"/>
      <c r="BU21" s="767"/>
      <c r="BV21" s="764"/>
      <c r="BW21" s="699"/>
      <c r="BX21" s="765"/>
      <c r="BY21" s="766"/>
      <c r="BZ21" s="766"/>
      <c r="CA21" s="765"/>
      <c r="CB21" s="766"/>
      <c r="CC21" s="767"/>
      <c r="CD21" s="764"/>
      <c r="CE21" s="699"/>
      <c r="CF21" s="765"/>
      <c r="CG21" s="766"/>
      <c r="CH21" s="766"/>
      <c r="CI21" s="765"/>
      <c r="CJ21" s="766"/>
      <c r="CK21" s="767"/>
      <c r="CL21" s="764"/>
      <c r="CM21" s="699"/>
      <c r="CN21" s="765"/>
      <c r="CO21" s="766"/>
      <c r="CP21" s="766"/>
      <c r="CQ21" s="765"/>
      <c r="CR21" s="766"/>
      <c r="CS21" s="767"/>
      <c r="CT21" s="764"/>
      <c r="CU21" s="699"/>
      <c r="CV21" s="765"/>
      <c r="CW21" s="766"/>
      <c r="CX21" s="766"/>
      <c r="CY21" s="765"/>
      <c r="CZ21" s="766"/>
      <c r="DA21" s="767"/>
      <c r="DB21" s="764"/>
      <c r="DC21" s="699"/>
      <c r="DD21" s="765"/>
      <c r="DE21" s="766"/>
      <c r="DF21" s="766"/>
      <c r="DG21" s="765"/>
      <c r="DH21" s="766"/>
      <c r="DI21" s="767"/>
      <c r="DJ21" s="764"/>
      <c r="DK21" s="699"/>
      <c r="DL21" s="765"/>
      <c r="DM21" s="766"/>
      <c r="DN21" s="766"/>
      <c r="DO21" s="765"/>
      <c r="DP21" s="766"/>
      <c r="DQ21" s="767"/>
      <c r="DR21" s="764"/>
      <c r="DS21" s="699"/>
      <c r="DT21" s="765"/>
      <c r="DU21" s="766"/>
      <c r="DV21" s="766"/>
      <c r="DW21" s="765"/>
      <c r="DX21" s="766"/>
      <c r="DY21" s="767"/>
      <c r="DZ21" s="764"/>
      <c r="EA21" s="699"/>
      <c r="EB21" s="765"/>
      <c r="EC21" s="766"/>
      <c r="ED21" s="766"/>
      <c r="EE21" s="765"/>
      <c r="EF21" s="766"/>
      <c r="EG21" s="767"/>
      <c r="EH21" s="764"/>
      <c r="EI21" s="699"/>
      <c r="EJ21" s="765"/>
      <c r="EK21" s="766"/>
      <c r="EL21" s="766"/>
      <c r="EM21" s="765"/>
      <c r="EN21" s="766"/>
      <c r="EO21" s="767"/>
      <c r="EP21" s="764"/>
      <c r="EQ21" s="699"/>
      <c r="ER21" s="765"/>
      <c r="ES21" s="766"/>
      <c r="ET21" s="766"/>
      <c r="EU21" s="765"/>
      <c r="EV21" s="766"/>
      <c r="EW21" s="767"/>
      <c r="EX21" s="764"/>
      <c r="EY21" s="699"/>
      <c r="EZ21" s="765"/>
      <c r="FA21" s="766"/>
      <c r="FB21" s="766"/>
      <c r="FC21" s="765"/>
      <c r="FD21" s="766"/>
      <c r="FE21" s="767"/>
      <c r="FF21" s="764"/>
      <c r="FG21" s="699"/>
      <c r="FH21" s="765"/>
      <c r="FI21" s="766"/>
      <c r="FJ21" s="766"/>
      <c r="FK21" s="765"/>
      <c r="FL21" s="766"/>
      <c r="FM21" s="767"/>
      <c r="FN21" s="764"/>
      <c r="FO21" s="699"/>
      <c r="FP21" s="765"/>
      <c r="FQ21" s="766"/>
      <c r="FR21" s="766"/>
      <c r="FS21" s="765"/>
      <c r="FT21" s="766"/>
      <c r="FU21" s="767"/>
      <c r="FV21" s="764"/>
      <c r="FW21" s="699"/>
      <c r="FX21" s="765"/>
      <c r="FY21" s="766"/>
      <c r="FZ21" s="766"/>
      <c r="GA21" s="765"/>
      <c r="GB21" s="766"/>
      <c r="GC21" s="767"/>
      <c r="GD21" s="764"/>
      <c r="GE21" s="699"/>
      <c r="GF21" s="765"/>
      <c r="GG21" s="766"/>
      <c r="GH21" s="766"/>
      <c r="GI21" s="765"/>
      <c r="GJ21" s="766"/>
      <c r="GK21" s="767"/>
      <c r="GL21" s="764"/>
      <c r="GM21" s="699"/>
      <c r="GN21" s="765"/>
      <c r="GO21" s="766"/>
      <c r="GP21" s="766"/>
      <c r="GQ21" s="765"/>
      <c r="GR21" s="766"/>
      <c r="GS21" s="767"/>
      <c r="GT21" s="764"/>
      <c r="GU21" s="699"/>
      <c r="GV21" s="765"/>
      <c r="GW21" s="766"/>
      <c r="GX21" s="766"/>
      <c r="GY21" s="765"/>
      <c r="GZ21" s="766"/>
      <c r="HA21" s="767"/>
      <c r="HB21" s="764"/>
      <c r="HC21" s="699"/>
      <c r="HD21" s="765"/>
      <c r="HE21" s="766"/>
      <c r="HF21" s="766"/>
      <c r="HG21" s="765"/>
      <c r="HH21" s="766"/>
      <c r="HI21" s="767"/>
      <c r="HJ21" s="764"/>
      <c r="HK21" s="699"/>
      <c r="HL21" s="765"/>
      <c r="HM21" s="766"/>
      <c r="HN21" s="766"/>
      <c r="HO21" s="765"/>
      <c r="HP21" s="766"/>
      <c r="HQ21" s="767"/>
      <c r="HR21" s="764"/>
      <c r="HS21" s="699"/>
      <c r="HT21" s="765"/>
      <c r="HU21" s="766"/>
      <c r="HV21" s="766"/>
      <c r="HW21" s="765"/>
      <c r="HX21" s="766"/>
      <c r="HY21" s="767"/>
      <c r="HZ21" s="764"/>
      <c r="IA21" s="699"/>
      <c r="IB21" s="765"/>
      <c r="IC21" s="766"/>
      <c r="ID21" s="766"/>
      <c r="IE21" s="765"/>
      <c r="IF21" s="766"/>
      <c r="IG21" s="765"/>
      <c r="IH21" s="739"/>
    </row>
    <row r="22" spans="1:249" x14ac:dyDescent="0.25">
      <c r="A22" s="763">
        <f t="shared" si="30"/>
        <v>12</v>
      </c>
      <c r="B22" s="764"/>
      <c r="C22" s="699">
        <v>0</v>
      </c>
      <c r="D22" s="765">
        <v>12.487749425796061</v>
      </c>
      <c r="E22" s="766">
        <v>7.5</v>
      </c>
      <c r="F22" s="766">
        <v>17.715572163609639</v>
      </c>
      <c r="G22" s="765">
        <v>7.8116369293926695</v>
      </c>
      <c r="H22" s="766">
        <v>0</v>
      </c>
      <c r="I22" s="767">
        <v>0</v>
      </c>
      <c r="J22" s="764"/>
      <c r="K22" s="699"/>
      <c r="L22" s="765"/>
      <c r="M22" s="766"/>
      <c r="N22" s="766"/>
      <c r="O22" s="765"/>
      <c r="P22" s="766"/>
      <c r="Q22" s="767"/>
      <c r="R22" s="764"/>
      <c r="S22" s="699"/>
      <c r="T22" s="765"/>
      <c r="U22" s="766"/>
      <c r="V22" s="766"/>
      <c r="W22" s="765"/>
      <c r="X22" s="766"/>
      <c r="Y22" s="767"/>
      <c r="Z22" s="764"/>
      <c r="AA22" s="699"/>
      <c r="AB22" s="765"/>
      <c r="AC22" s="766"/>
      <c r="AD22" s="766"/>
      <c r="AE22" s="765"/>
      <c r="AF22" s="766"/>
      <c r="AG22" s="767"/>
      <c r="AH22" s="764"/>
      <c r="AI22" s="699"/>
      <c r="AJ22" s="765"/>
      <c r="AK22" s="766"/>
      <c r="AL22" s="766"/>
      <c r="AM22" s="765"/>
      <c r="AN22" s="766"/>
      <c r="AO22" s="767"/>
      <c r="AP22" s="764"/>
      <c r="AQ22" s="699"/>
      <c r="AR22" s="765"/>
      <c r="AS22" s="766"/>
      <c r="AT22" s="766"/>
      <c r="AU22" s="765"/>
      <c r="AV22" s="766"/>
      <c r="AW22" s="767"/>
      <c r="AX22" s="764"/>
      <c r="AY22" s="699"/>
      <c r="AZ22" s="765"/>
      <c r="BA22" s="766"/>
      <c r="BB22" s="766"/>
      <c r="BC22" s="765"/>
      <c r="BD22" s="766"/>
      <c r="BE22" s="767"/>
      <c r="BF22" s="764"/>
      <c r="BG22" s="699"/>
      <c r="BH22" s="765"/>
      <c r="BI22" s="766"/>
      <c r="BJ22" s="766"/>
      <c r="BK22" s="765"/>
      <c r="BL22" s="766"/>
      <c r="BM22" s="767"/>
      <c r="BN22" s="764"/>
      <c r="BO22" s="699"/>
      <c r="BP22" s="765"/>
      <c r="BQ22" s="766"/>
      <c r="BR22" s="766"/>
      <c r="BS22" s="765"/>
      <c r="BT22" s="766"/>
      <c r="BU22" s="767"/>
      <c r="BV22" s="764"/>
      <c r="BW22" s="699"/>
      <c r="BX22" s="765"/>
      <c r="BY22" s="766"/>
      <c r="BZ22" s="766"/>
      <c r="CA22" s="765"/>
      <c r="CB22" s="766"/>
      <c r="CC22" s="767"/>
      <c r="CD22" s="764"/>
      <c r="CE22" s="699"/>
      <c r="CF22" s="765"/>
      <c r="CG22" s="766"/>
      <c r="CH22" s="766"/>
      <c r="CI22" s="765"/>
      <c r="CJ22" s="766"/>
      <c r="CK22" s="767"/>
      <c r="CL22" s="764"/>
      <c r="CM22" s="699"/>
      <c r="CN22" s="765"/>
      <c r="CO22" s="766"/>
      <c r="CP22" s="766"/>
      <c r="CQ22" s="765"/>
      <c r="CR22" s="766"/>
      <c r="CS22" s="767"/>
      <c r="CT22" s="764"/>
      <c r="CU22" s="699"/>
      <c r="CV22" s="765"/>
      <c r="CW22" s="766"/>
      <c r="CX22" s="766"/>
      <c r="CY22" s="765"/>
      <c r="CZ22" s="766"/>
      <c r="DA22" s="767"/>
      <c r="DB22" s="764"/>
      <c r="DC22" s="699"/>
      <c r="DD22" s="765"/>
      <c r="DE22" s="766"/>
      <c r="DF22" s="766"/>
      <c r="DG22" s="765"/>
      <c r="DH22" s="766"/>
      <c r="DI22" s="767"/>
      <c r="DJ22" s="764"/>
      <c r="DK22" s="699"/>
      <c r="DL22" s="765"/>
      <c r="DM22" s="766"/>
      <c r="DN22" s="766"/>
      <c r="DO22" s="765"/>
      <c r="DP22" s="766"/>
      <c r="DQ22" s="767"/>
      <c r="DR22" s="764"/>
      <c r="DS22" s="699"/>
      <c r="DT22" s="765"/>
      <c r="DU22" s="766"/>
      <c r="DV22" s="766"/>
      <c r="DW22" s="765"/>
      <c r="DX22" s="766"/>
      <c r="DY22" s="767"/>
      <c r="DZ22" s="764"/>
      <c r="EA22" s="699"/>
      <c r="EB22" s="765"/>
      <c r="EC22" s="766"/>
      <c r="ED22" s="766"/>
      <c r="EE22" s="765"/>
      <c r="EF22" s="766"/>
      <c r="EG22" s="767"/>
      <c r="EH22" s="764"/>
      <c r="EI22" s="699"/>
      <c r="EJ22" s="765"/>
      <c r="EK22" s="766"/>
      <c r="EL22" s="766"/>
      <c r="EM22" s="765"/>
      <c r="EN22" s="766"/>
      <c r="EO22" s="767"/>
      <c r="EP22" s="764"/>
      <c r="EQ22" s="699"/>
      <c r="ER22" s="765"/>
      <c r="ES22" s="766"/>
      <c r="ET22" s="766"/>
      <c r="EU22" s="765"/>
      <c r="EV22" s="766"/>
      <c r="EW22" s="767"/>
      <c r="EX22" s="764"/>
      <c r="EY22" s="699"/>
      <c r="EZ22" s="765"/>
      <c r="FA22" s="766"/>
      <c r="FB22" s="766"/>
      <c r="FC22" s="765"/>
      <c r="FD22" s="766"/>
      <c r="FE22" s="767"/>
      <c r="FF22" s="764"/>
      <c r="FG22" s="699"/>
      <c r="FH22" s="765"/>
      <c r="FI22" s="766"/>
      <c r="FJ22" s="766"/>
      <c r="FK22" s="765"/>
      <c r="FL22" s="766"/>
      <c r="FM22" s="767"/>
      <c r="FN22" s="764"/>
      <c r="FO22" s="699"/>
      <c r="FP22" s="765"/>
      <c r="FQ22" s="766"/>
      <c r="FR22" s="766"/>
      <c r="FS22" s="765"/>
      <c r="FT22" s="766"/>
      <c r="FU22" s="767"/>
      <c r="FV22" s="764"/>
      <c r="FW22" s="699"/>
      <c r="FX22" s="765"/>
      <c r="FY22" s="766"/>
      <c r="FZ22" s="766"/>
      <c r="GA22" s="765"/>
      <c r="GB22" s="766"/>
      <c r="GC22" s="767"/>
      <c r="GD22" s="764"/>
      <c r="GE22" s="699"/>
      <c r="GF22" s="765"/>
      <c r="GG22" s="766"/>
      <c r="GH22" s="766"/>
      <c r="GI22" s="765"/>
      <c r="GJ22" s="766"/>
      <c r="GK22" s="767"/>
      <c r="GL22" s="764"/>
      <c r="GM22" s="699"/>
      <c r="GN22" s="765"/>
      <c r="GO22" s="766"/>
      <c r="GP22" s="766"/>
      <c r="GQ22" s="765"/>
      <c r="GR22" s="766"/>
      <c r="GS22" s="767"/>
      <c r="GT22" s="764"/>
      <c r="GU22" s="699"/>
      <c r="GV22" s="765"/>
      <c r="GW22" s="766"/>
      <c r="GX22" s="766"/>
      <c r="GY22" s="765"/>
      <c r="GZ22" s="766"/>
      <c r="HA22" s="767"/>
      <c r="HB22" s="764"/>
      <c r="HC22" s="699"/>
      <c r="HD22" s="765"/>
      <c r="HE22" s="766"/>
      <c r="HF22" s="766"/>
      <c r="HG22" s="765"/>
      <c r="HH22" s="766"/>
      <c r="HI22" s="767"/>
      <c r="HJ22" s="764"/>
      <c r="HK22" s="699"/>
      <c r="HL22" s="765"/>
      <c r="HM22" s="766"/>
      <c r="HN22" s="766"/>
      <c r="HO22" s="765"/>
      <c r="HP22" s="766"/>
      <c r="HQ22" s="767"/>
      <c r="HR22" s="764"/>
      <c r="HS22" s="699"/>
      <c r="HT22" s="765"/>
      <c r="HU22" s="766"/>
      <c r="HV22" s="766"/>
      <c r="HW22" s="765"/>
      <c r="HX22" s="766"/>
      <c r="HY22" s="767"/>
      <c r="HZ22" s="764"/>
      <c r="IA22" s="699"/>
      <c r="IB22" s="765"/>
      <c r="IC22" s="766"/>
      <c r="ID22" s="766"/>
      <c r="IE22" s="765"/>
      <c r="IF22" s="766"/>
      <c r="IG22" s="765"/>
      <c r="IH22" s="739"/>
    </row>
    <row r="23" spans="1:249" x14ac:dyDescent="0.25">
      <c r="A23" s="763">
        <f t="shared" si="30"/>
        <v>13</v>
      </c>
      <c r="B23" s="764"/>
      <c r="C23" s="699">
        <v>0</v>
      </c>
      <c r="D23" s="765">
        <v>14.033605794248535</v>
      </c>
      <c r="E23" s="766">
        <v>7.5</v>
      </c>
      <c r="F23" s="766">
        <v>25.142616726174616</v>
      </c>
      <c r="G23" s="765">
        <v>11.086573524460919</v>
      </c>
      <c r="H23" s="766">
        <v>0</v>
      </c>
      <c r="I23" s="767">
        <v>0</v>
      </c>
      <c r="J23" s="764"/>
      <c r="K23" s="699"/>
      <c r="L23" s="765"/>
      <c r="M23" s="766"/>
      <c r="N23" s="766"/>
      <c r="O23" s="765"/>
      <c r="P23" s="766"/>
      <c r="Q23" s="767"/>
      <c r="R23" s="764"/>
      <c r="S23" s="699"/>
      <c r="T23" s="765"/>
      <c r="U23" s="766"/>
      <c r="V23" s="766"/>
      <c r="W23" s="765"/>
      <c r="X23" s="766"/>
      <c r="Y23" s="767"/>
      <c r="Z23" s="764"/>
      <c r="AA23" s="699"/>
      <c r="AB23" s="765"/>
      <c r="AC23" s="766"/>
      <c r="AD23" s="766"/>
      <c r="AE23" s="765"/>
      <c r="AF23" s="766"/>
      <c r="AG23" s="767"/>
      <c r="AH23" s="764"/>
      <c r="AI23" s="699"/>
      <c r="AJ23" s="765"/>
      <c r="AK23" s="766"/>
      <c r="AL23" s="766"/>
      <c r="AM23" s="765"/>
      <c r="AN23" s="766"/>
      <c r="AO23" s="767"/>
      <c r="AP23" s="764"/>
      <c r="AQ23" s="699"/>
      <c r="AR23" s="765"/>
      <c r="AS23" s="766"/>
      <c r="AT23" s="766"/>
      <c r="AU23" s="765"/>
      <c r="AV23" s="766"/>
      <c r="AW23" s="767"/>
      <c r="AX23" s="764"/>
      <c r="AY23" s="699"/>
      <c r="AZ23" s="765"/>
      <c r="BA23" s="766"/>
      <c r="BB23" s="766"/>
      <c r="BC23" s="765"/>
      <c r="BD23" s="766"/>
      <c r="BE23" s="767"/>
      <c r="BF23" s="764"/>
      <c r="BG23" s="699"/>
      <c r="BH23" s="765"/>
      <c r="BI23" s="766"/>
      <c r="BJ23" s="766"/>
      <c r="BK23" s="765"/>
      <c r="BL23" s="766"/>
      <c r="BM23" s="767"/>
      <c r="BN23" s="764"/>
      <c r="BO23" s="699"/>
      <c r="BP23" s="765"/>
      <c r="BQ23" s="766"/>
      <c r="BR23" s="766"/>
      <c r="BS23" s="765"/>
      <c r="BT23" s="766"/>
      <c r="BU23" s="767"/>
      <c r="BV23" s="764"/>
      <c r="BW23" s="699"/>
      <c r="BX23" s="765"/>
      <c r="BY23" s="766"/>
      <c r="BZ23" s="766"/>
      <c r="CA23" s="765"/>
      <c r="CB23" s="766"/>
      <c r="CC23" s="767"/>
      <c r="CD23" s="764"/>
      <c r="CE23" s="699"/>
      <c r="CF23" s="765"/>
      <c r="CG23" s="766"/>
      <c r="CH23" s="766"/>
      <c r="CI23" s="765"/>
      <c r="CJ23" s="766"/>
      <c r="CK23" s="767"/>
      <c r="CL23" s="764"/>
      <c r="CM23" s="699"/>
      <c r="CN23" s="765"/>
      <c r="CO23" s="766"/>
      <c r="CP23" s="766"/>
      <c r="CQ23" s="765"/>
      <c r="CR23" s="766"/>
      <c r="CS23" s="767"/>
      <c r="CT23" s="764"/>
      <c r="CU23" s="699"/>
      <c r="CV23" s="765"/>
      <c r="CW23" s="766"/>
      <c r="CX23" s="766"/>
      <c r="CY23" s="765"/>
      <c r="CZ23" s="766"/>
      <c r="DA23" s="767"/>
      <c r="DB23" s="764"/>
      <c r="DC23" s="699"/>
      <c r="DD23" s="765"/>
      <c r="DE23" s="766"/>
      <c r="DF23" s="766"/>
      <c r="DG23" s="765"/>
      <c r="DH23" s="766"/>
      <c r="DI23" s="767"/>
      <c r="DJ23" s="764"/>
      <c r="DK23" s="699"/>
      <c r="DL23" s="765"/>
      <c r="DM23" s="766"/>
      <c r="DN23" s="766"/>
      <c r="DO23" s="765"/>
      <c r="DP23" s="766"/>
      <c r="DQ23" s="767"/>
      <c r="DR23" s="764"/>
      <c r="DS23" s="699"/>
      <c r="DT23" s="765"/>
      <c r="DU23" s="766"/>
      <c r="DV23" s="766"/>
      <c r="DW23" s="765"/>
      <c r="DX23" s="766"/>
      <c r="DY23" s="767"/>
      <c r="DZ23" s="764"/>
      <c r="EA23" s="699"/>
      <c r="EB23" s="765"/>
      <c r="EC23" s="766"/>
      <c r="ED23" s="766"/>
      <c r="EE23" s="765"/>
      <c r="EF23" s="766"/>
      <c r="EG23" s="767"/>
      <c r="EH23" s="764"/>
      <c r="EI23" s="699"/>
      <c r="EJ23" s="765"/>
      <c r="EK23" s="766"/>
      <c r="EL23" s="766"/>
      <c r="EM23" s="765"/>
      <c r="EN23" s="766"/>
      <c r="EO23" s="767"/>
      <c r="EP23" s="764"/>
      <c r="EQ23" s="699"/>
      <c r="ER23" s="765"/>
      <c r="ES23" s="766"/>
      <c r="ET23" s="766"/>
      <c r="EU23" s="765"/>
      <c r="EV23" s="766"/>
      <c r="EW23" s="767"/>
      <c r="EX23" s="764"/>
      <c r="EY23" s="699"/>
      <c r="EZ23" s="765"/>
      <c r="FA23" s="766"/>
      <c r="FB23" s="766"/>
      <c r="FC23" s="765"/>
      <c r="FD23" s="766"/>
      <c r="FE23" s="767"/>
      <c r="FF23" s="764"/>
      <c r="FG23" s="699"/>
      <c r="FH23" s="765"/>
      <c r="FI23" s="766"/>
      <c r="FJ23" s="766"/>
      <c r="FK23" s="765"/>
      <c r="FL23" s="766"/>
      <c r="FM23" s="767"/>
      <c r="FN23" s="764"/>
      <c r="FO23" s="699"/>
      <c r="FP23" s="765"/>
      <c r="FQ23" s="766"/>
      <c r="FR23" s="766"/>
      <c r="FS23" s="765"/>
      <c r="FT23" s="766"/>
      <c r="FU23" s="767"/>
      <c r="FV23" s="764"/>
      <c r="FW23" s="699"/>
      <c r="FX23" s="765"/>
      <c r="FY23" s="766"/>
      <c r="FZ23" s="766"/>
      <c r="GA23" s="765"/>
      <c r="GB23" s="766"/>
      <c r="GC23" s="767"/>
      <c r="GD23" s="764"/>
      <c r="GE23" s="699"/>
      <c r="GF23" s="765"/>
      <c r="GG23" s="766"/>
      <c r="GH23" s="766"/>
      <c r="GI23" s="765"/>
      <c r="GJ23" s="766"/>
      <c r="GK23" s="767"/>
      <c r="GL23" s="764"/>
      <c r="GM23" s="699"/>
      <c r="GN23" s="765"/>
      <c r="GO23" s="766"/>
      <c r="GP23" s="766"/>
      <c r="GQ23" s="765"/>
      <c r="GR23" s="766"/>
      <c r="GS23" s="767"/>
      <c r="GT23" s="764"/>
      <c r="GU23" s="699"/>
      <c r="GV23" s="765"/>
      <c r="GW23" s="766"/>
      <c r="GX23" s="766"/>
      <c r="GY23" s="765"/>
      <c r="GZ23" s="766"/>
      <c r="HA23" s="767"/>
      <c r="HB23" s="764"/>
      <c r="HC23" s="699"/>
      <c r="HD23" s="765"/>
      <c r="HE23" s="766"/>
      <c r="HF23" s="766"/>
      <c r="HG23" s="765"/>
      <c r="HH23" s="766"/>
      <c r="HI23" s="767"/>
      <c r="HJ23" s="764"/>
      <c r="HK23" s="699"/>
      <c r="HL23" s="765"/>
      <c r="HM23" s="766"/>
      <c r="HN23" s="766"/>
      <c r="HO23" s="765"/>
      <c r="HP23" s="766"/>
      <c r="HQ23" s="767"/>
      <c r="HR23" s="764"/>
      <c r="HS23" s="699"/>
      <c r="HT23" s="765"/>
      <c r="HU23" s="766"/>
      <c r="HV23" s="766"/>
      <c r="HW23" s="765"/>
      <c r="HX23" s="766"/>
      <c r="HY23" s="767"/>
      <c r="HZ23" s="764"/>
      <c r="IA23" s="699"/>
      <c r="IB23" s="765"/>
      <c r="IC23" s="766"/>
      <c r="ID23" s="766"/>
      <c r="IE23" s="765"/>
      <c r="IF23" s="766"/>
      <c r="IG23" s="765"/>
      <c r="IH23" s="739"/>
    </row>
    <row r="24" spans="1:249" x14ac:dyDescent="0.25">
      <c r="A24" s="763">
        <f t="shared" si="30"/>
        <v>14</v>
      </c>
      <c r="B24" s="764"/>
      <c r="C24" s="699">
        <v>0</v>
      </c>
      <c r="D24" s="765">
        <v>14.958466732170733</v>
      </c>
      <c r="E24" s="766">
        <v>7.5</v>
      </c>
      <c r="F24" s="766">
        <v>30.448359302089404</v>
      </c>
      <c r="G24" s="765">
        <v>13.426127350952854</v>
      </c>
      <c r="H24" s="766">
        <v>0</v>
      </c>
      <c r="I24" s="767">
        <v>0</v>
      </c>
      <c r="J24" s="764"/>
      <c r="K24" s="699"/>
      <c r="L24" s="765"/>
      <c r="M24" s="766"/>
      <c r="N24" s="766"/>
      <c r="O24" s="765"/>
      <c r="P24" s="766"/>
      <c r="Q24" s="767"/>
      <c r="R24" s="764"/>
      <c r="S24" s="699"/>
      <c r="T24" s="765"/>
      <c r="U24" s="766"/>
      <c r="V24" s="766"/>
      <c r="W24" s="765"/>
      <c r="X24" s="766"/>
      <c r="Y24" s="767"/>
      <c r="Z24" s="764"/>
      <c r="AA24" s="699"/>
      <c r="AB24" s="765"/>
      <c r="AC24" s="766"/>
      <c r="AD24" s="766"/>
      <c r="AE24" s="765"/>
      <c r="AF24" s="766"/>
      <c r="AG24" s="767"/>
      <c r="AH24" s="764"/>
      <c r="AI24" s="699"/>
      <c r="AJ24" s="765"/>
      <c r="AK24" s="766"/>
      <c r="AL24" s="766"/>
      <c r="AM24" s="765"/>
      <c r="AN24" s="766"/>
      <c r="AO24" s="767"/>
      <c r="AP24" s="764"/>
      <c r="AQ24" s="699"/>
      <c r="AR24" s="765"/>
      <c r="AS24" s="766"/>
      <c r="AT24" s="766"/>
      <c r="AU24" s="765"/>
      <c r="AV24" s="766"/>
      <c r="AW24" s="767"/>
      <c r="AX24" s="764"/>
      <c r="AY24" s="699"/>
      <c r="AZ24" s="765"/>
      <c r="BA24" s="766"/>
      <c r="BB24" s="766"/>
      <c r="BC24" s="765"/>
      <c r="BD24" s="766"/>
      <c r="BE24" s="767"/>
      <c r="BF24" s="764"/>
      <c r="BG24" s="699"/>
      <c r="BH24" s="765"/>
      <c r="BI24" s="766"/>
      <c r="BJ24" s="766"/>
      <c r="BK24" s="765"/>
      <c r="BL24" s="766"/>
      <c r="BM24" s="767"/>
      <c r="BN24" s="764"/>
      <c r="BO24" s="699"/>
      <c r="BP24" s="765"/>
      <c r="BQ24" s="766"/>
      <c r="BR24" s="766"/>
      <c r="BS24" s="765"/>
      <c r="BT24" s="766"/>
      <c r="BU24" s="767"/>
      <c r="BV24" s="764"/>
      <c r="BW24" s="699"/>
      <c r="BX24" s="765"/>
      <c r="BY24" s="766"/>
      <c r="BZ24" s="766"/>
      <c r="CA24" s="765"/>
      <c r="CB24" s="766"/>
      <c r="CC24" s="767"/>
      <c r="CD24" s="764"/>
      <c r="CE24" s="699"/>
      <c r="CF24" s="765"/>
      <c r="CG24" s="766"/>
      <c r="CH24" s="766"/>
      <c r="CI24" s="765"/>
      <c r="CJ24" s="766"/>
      <c r="CK24" s="767"/>
      <c r="CL24" s="764"/>
      <c r="CM24" s="699"/>
      <c r="CN24" s="765"/>
      <c r="CO24" s="766"/>
      <c r="CP24" s="766"/>
      <c r="CQ24" s="765"/>
      <c r="CR24" s="766"/>
      <c r="CS24" s="767"/>
      <c r="CT24" s="764"/>
      <c r="CU24" s="699"/>
      <c r="CV24" s="765"/>
      <c r="CW24" s="766"/>
      <c r="CX24" s="766"/>
      <c r="CY24" s="765"/>
      <c r="CZ24" s="766"/>
      <c r="DA24" s="767"/>
      <c r="DB24" s="764"/>
      <c r="DC24" s="699"/>
      <c r="DD24" s="765"/>
      <c r="DE24" s="766"/>
      <c r="DF24" s="766"/>
      <c r="DG24" s="765"/>
      <c r="DH24" s="766"/>
      <c r="DI24" s="767"/>
      <c r="DJ24" s="764"/>
      <c r="DK24" s="699"/>
      <c r="DL24" s="765"/>
      <c r="DM24" s="766"/>
      <c r="DN24" s="766"/>
      <c r="DO24" s="765"/>
      <c r="DP24" s="766"/>
      <c r="DQ24" s="767"/>
      <c r="DR24" s="764"/>
      <c r="DS24" s="699"/>
      <c r="DT24" s="765"/>
      <c r="DU24" s="766"/>
      <c r="DV24" s="766"/>
      <c r="DW24" s="765"/>
      <c r="DX24" s="766"/>
      <c r="DY24" s="767"/>
      <c r="DZ24" s="764"/>
      <c r="EA24" s="699"/>
      <c r="EB24" s="765"/>
      <c r="EC24" s="766"/>
      <c r="ED24" s="766"/>
      <c r="EE24" s="765"/>
      <c r="EF24" s="766"/>
      <c r="EG24" s="767"/>
      <c r="EH24" s="764"/>
      <c r="EI24" s="699"/>
      <c r="EJ24" s="765"/>
      <c r="EK24" s="766"/>
      <c r="EL24" s="766"/>
      <c r="EM24" s="765"/>
      <c r="EN24" s="766"/>
      <c r="EO24" s="767"/>
      <c r="EP24" s="764"/>
      <c r="EQ24" s="699"/>
      <c r="ER24" s="765"/>
      <c r="ES24" s="766"/>
      <c r="ET24" s="766"/>
      <c r="EU24" s="765"/>
      <c r="EV24" s="766"/>
      <c r="EW24" s="767"/>
      <c r="EX24" s="764"/>
      <c r="EY24" s="699"/>
      <c r="EZ24" s="765"/>
      <c r="FA24" s="766"/>
      <c r="FB24" s="766"/>
      <c r="FC24" s="765"/>
      <c r="FD24" s="766"/>
      <c r="FE24" s="767"/>
      <c r="FF24" s="764"/>
      <c r="FG24" s="699"/>
      <c r="FH24" s="765"/>
      <c r="FI24" s="766"/>
      <c r="FJ24" s="766"/>
      <c r="FK24" s="765"/>
      <c r="FL24" s="766"/>
      <c r="FM24" s="767"/>
      <c r="FN24" s="764"/>
      <c r="FO24" s="699"/>
      <c r="FP24" s="765"/>
      <c r="FQ24" s="766"/>
      <c r="FR24" s="766"/>
      <c r="FS24" s="765"/>
      <c r="FT24" s="766"/>
      <c r="FU24" s="767"/>
      <c r="FV24" s="764"/>
      <c r="FW24" s="699"/>
      <c r="FX24" s="765"/>
      <c r="FY24" s="766"/>
      <c r="FZ24" s="766"/>
      <c r="GA24" s="765"/>
      <c r="GB24" s="766"/>
      <c r="GC24" s="767"/>
      <c r="GD24" s="764"/>
      <c r="GE24" s="699"/>
      <c r="GF24" s="765"/>
      <c r="GG24" s="766"/>
      <c r="GH24" s="766"/>
      <c r="GI24" s="765"/>
      <c r="GJ24" s="766"/>
      <c r="GK24" s="767"/>
      <c r="GL24" s="764"/>
      <c r="GM24" s="699"/>
      <c r="GN24" s="765"/>
      <c r="GO24" s="766"/>
      <c r="GP24" s="766"/>
      <c r="GQ24" s="765"/>
      <c r="GR24" s="766"/>
      <c r="GS24" s="767"/>
      <c r="GT24" s="764"/>
      <c r="GU24" s="699"/>
      <c r="GV24" s="765"/>
      <c r="GW24" s="766"/>
      <c r="GX24" s="766"/>
      <c r="GY24" s="765"/>
      <c r="GZ24" s="766"/>
      <c r="HA24" s="767"/>
      <c r="HB24" s="764"/>
      <c r="HC24" s="699"/>
      <c r="HD24" s="765"/>
      <c r="HE24" s="766"/>
      <c r="HF24" s="766"/>
      <c r="HG24" s="765"/>
      <c r="HH24" s="766"/>
      <c r="HI24" s="767"/>
      <c r="HJ24" s="764"/>
      <c r="HK24" s="699"/>
      <c r="HL24" s="765"/>
      <c r="HM24" s="766"/>
      <c r="HN24" s="766"/>
      <c r="HO24" s="765"/>
      <c r="HP24" s="766"/>
      <c r="HQ24" s="767"/>
      <c r="HR24" s="764"/>
      <c r="HS24" s="699"/>
      <c r="HT24" s="765"/>
      <c r="HU24" s="766"/>
      <c r="HV24" s="766"/>
      <c r="HW24" s="765"/>
      <c r="HX24" s="766"/>
      <c r="HY24" s="767"/>
      <c r="HZ24" s="764"/>
      <c r="IA24" s="699"/>
      <c r="IB24" s="765"/>
      <c r="IC24" s="766"/>
      <c r="ID24" s="766"/>
      <c r="IE24" s="765"/>
      <c r="IF24" s="766"/>
      <c r="IG24" s="765"/>
      <c r="IH24" s="739"/>
    </row>
    <row r="25" spans="1:249" x14ac:dyDescent="0.25">
      <c r="A25" s="763">
        <f t="shared" si="30"/>
        <v>15</v>
      </c>
      <c r="B25" s="764"/>
      <c r="C25" s="699">
        <v>0</v>
      </c>
      <c r="D25" s="765">
        <v>16.521508530923708</v>
      </c>
      <c r="E25" s="766">
        <v>7.5</v>
      </c>
      <c r="F25" s="766">
        <v>41.02529881497766</v>
      </c>
      <c r="G25" s="765">
        <v>18.090002191447734</v>
      </c>
      <c r="H25" s="766">
        <v>0</v>
      </c>
      <c r="I25" s="767">
        <v>0</v>
      </c>
      <c r="J25" s="764"/>
      <c r="K25" s="699"/>
      <c r="L25" s="765"/>
      <c r="M25" s="766"/>
      <c r="N25" s="766"/>
      <c r="O25" s="765"/>
      <c r="P25" s="766"/>
      <c r="Q25" s="767"/>
      <c r="R25" s="764"/>
      <c r="S25" s="699"/>
      <c r="T25" s="765"/>
      <c r="U25" s="766"/>
      <c r="V25" s="766"/>
      <c r="W25" s="765"/>
      <c r="X25" s="766"/>
      <c r="Y25" s="767"/>
      <c r="Z25" s="764"/>
      <c r="AA25" s="699"/>
      <c r="AB25" s="765"/>
      <c r="AC25" s="766"/>
      <c r="AD25" s="766"/>
      <c r="AE25" s="765"/>
      <c r="AF25" s="766"/>
      <c r="AG25" s="767"/>
      <c r="AH25" s="764"/>
      <c r="AI25" s="699"/>
      <c r="AJ25" s="765"/>
      <c r="AK25" s="766"/>
      <c r="AL25" s="766"/>
      <c r="AM25" s="765"/>
      <c r="AN25" s="766"/>
      <c r="AO25" s="767"/>
      <c r="AP25" s="764"/>
      <c r="AQ25" s="699"/>
      <c r="AR25" s="765"/>
      <c r="AS25" s="766"/>
      <c r="AT25" s="766"/>
      <c r="AU25" s="765"/>
      <c r="AV25" s="766"/>
      <c r="AW25" s="767"/>
      <c r="AX25" s="764"/>
      <c r="AY25" s="699"/>
      <c r="AZ25" s="765"/>
      <c r="BA25" s="766"/>
      <c r="BB25" s="766"/>
      <c r="BC25" s="765"/>
      <c r="BD25" s="766"/>
      <c r="BE25" s="767"/>
      <c r="BF25" s="764"/>
      <c r="BG25" s="699"/>
      <c r="BH25" s="765"/>
      <c r="BI25" s="766"/>
      <c r="BJ25" s="766"/>
      <c r="BK25" s="765"/>
      <c r="BL25" s="766"/>
      <c r="BM25" s="767"/>
      <c r="BN25" s="764"/>
      <c r="BO25" s="699"/>
      <c r="BP25" s="765"/>
      <c r="BQ25" s="766"/>
      <c r="BR25" s="766"/>
      <c r="BS25" s="765"/>
      <c r="BT25" s="766"/>
      <c r="BU25" s="767"/>
      <c r="BV25" s="764"/>
      <c r="BW25" s="699"/>
      <c r="BX25" s="765"/>
      <c r="BY25" s="766"/>
      <c r="BZ25" s="766"/>
      <c r="CA25" s="765"/>
      <c r="CB25" s="766"/>
      <c r="CC25" s="767"/>
      <c r="CD25" s="764"/>
      <c r="CE25" s="699"/>
      <c r="CF25" s="765"/>
      <c r="CG25" s="766"/>
      <c r="CH25" s="766"/>
      <c r="CI25" s="765"/>
      <c r="CJ25" s="766"/>
      <c r="CK25" s="767"/>
      <c r="CL25" s="764"/>
      <c r="CM25" s="699"/>
      <c r="CN25" s="765"/>
      <c r="CO25" s="766"/>
      <c r="CP25" s="766"/>
      <c r="CQ25" s="765"/>
      <c r="CR25" s="766"/>
      <c r="CS25" s="767"/>
      <c r="CT25" s="764"/>
      <c r="CU25" s="699"/>
      <c r="CV25" s="765"/>
      <c r="CW25" s="766"/>
      <c r="CX25" s="766"/>
      <c r="CY25" s="765"/>
      <c r="CZ25" s="766"/>
      <c r="DA25" s="767"/>
      <c r="DB25" s="764"/>
      <c r="DC25" s="699"/>
      <c r="DD25" s="765"/>
      <c r="DE25" s="766"/>
      <c r="DF25" s="766"/>
      <c r="DG25" s="765"/>
      <c r="DH25" s="766"/>
      <c r="DI25" s="767"/>
      <c r="DJ25" s="764"/>
      <c r="DK25" s="699"/>
      <c r="DL25" s="765"/>
      <c r="DM25" s="766"/>
      <c r="DN25" s="766"/>
      <c r="DO25" s="765"/>
      <c r="DP25" s="766"/>
      <c r="DQ25" s="767"/>
      <c r="DR25" s="764"/>
      <c r="DS25" s="699"/>
      <c r="DT25" s="765"/>
      <c r="DU25" s="766"/>
      <c r="DV25" s="766"/>
      <c r="DW25" s="765"/>
      <c r="DX25" s="766"/>
      <c r="DY25" s="767"/>
      <c r="DZ25" s="764"/>
      <c r="EA25" s="699"/>
      <c r="EB25" s="765"/>
      <c r="EC25" s="766"/>
      <c r="ED25" s="766"/>
      <c r="EE25" s="765"/>
      <c r="EF25" s="766"/>
      <c r="EG25" s="767"/>
      <c r="EH25" s="764"/>
      <c r="EI25" s="699"/>
      <c r="EJ25" s="765"/>
      <c r="EK25" s="766"/>
      <c r="EL25" s="766"/>
      <c r="EM25" s="765"/>
      <c r="EN25" s="766"/>
      <c r="EO25" s="767"/>
      <c r="EP25" s="764"/>
      <c r="EQ25" s="699"/>
      <c r="ER25" s="765"/>
      <c r="ES25" s="766"/>
      <c r="ET25" s="766"/>
      <c r="EU25" s="765"/>
      <c r="EV25" s="766"/>
      <c r="EW25" s="767"/>
      <c r="EX25" s="764"/>
      <c r="EY25" s="699"/>
      <c r="EZ25" s="765"/>
      <c r="FA25" s="766"/>
      <c r="FB25" s="766"/>
      <c r="FC25" s="765"/>
      <c r="FD25" s="766"/>
      <c r="FE25" s="767"/>
      <c r="FF25" s="764"/>
      <c r="FG25" s="699"/>
      <c r="FH25" s="765"/>
      <c r="FI25" s="766"/>
      <c r="FJ25" s="766"/>
      <c r="FK25" s="765"/>
      <c r="FL25" s="766"/>
      <c r="FM25" s="767"/>
      <c r="FN25" s="764"/>
      <c r="FO25" s="699"/>
      <c r="FP25" s="765"/>
      <c r="FQ25" s="766"/>
      <c r="FR25" s="766"/>
      <c r="FS25" s="765"/>
      <c r="FT25" s="766"/>
      <c r="FU25" s="767"/>
      <c r="FV25" s="764"/>
      <c r="FW25" s="699"/>
      <c r="FX25" s="765"/>
      <c r="FY25" s="766"/>
      <c r="FZ25" s="766"/>
      <c r="GA25" s="765"/>
      <c r="GB25" s="766"/>
      <c r="GC25" s="767"/>
      <c r="GD25" s="764"/>
      <c r="GE25" s="699"/>
      <c r="GF25" s="765"/>
      <c r="GG25" s="766"/>
      <c r="GH25" s="766"/>
      <c r="GI25" s="765"/>
      <c r="GJ25" s="766"/>
      <c r="GK25" s="767"/>
      <c r="GL25" s="764"/>
      <c r="GM25" s="699"/>
      <c r="GN25" s="765"/>
      <c r="GO25" s="766"/>
      <c r="GP25" s="766"/>
      <c r="GQ25" s="765"/>
      <c r="GR25" s="766"/>
      <c r="GS25" s="767"/>
      <c r="GT25" s="764"/>
      <c r="GU25" s="699"/>
      <c r="GV25" s="765"/>
      <c r="GW25" s="766"/>
      <c r="GX25" s="766"/>
      <c r="GY25" s="765"/>
      <c r="GZ25" s="766"/>
      <c r="HA25" s="767"/>
      <c r="HB25" s="764"/>
      <c r="HC25" s="699"/>
      <c r="HD25" s="765"/>
      <c r="HE25" s="766"/>
      <c r="HF25" s="766"/>
      <c r="HG25" s="765"/>
      <c r="HH25" s="766"/>
      <c r="HI25" s="767"/>
      <c r="HJ25" s="764"/>
      <c r="HK25" s="699"/>
      <c r="HL25" s="765"/>
      <c r="HM25" s="766"/>
      <c r="HN25" s="766"/>
      <c r="HO25" s="765"/>
      <c r="HP25" s="766"/>
      <c r="HQ25" s="767"/>
      <c r="HR25" s="764"/>
      <c r="HS25" s="699"/>
      <c r="HT25" s="765"/>
      <c r="HU25" s="766"/>
      <c r="HV25" s="766"/>
      <c r="HW25" s="765"/>
      <c r="HX25" s="766"/>
      <c r="HY25" s="767"/>
      <c r="HZ25" s="764"/>
      <c r="IA25" s="699"/>
      <c r="IB25" s="765"/>
      <c r="IC25" s="766"/>
      <c r="ID25" s="766"/>
      <c r="IE25" s="765"/>
      <c r="IF25" s="766"/>
      <c r="IG25" s="765"/>
      <c r="IH25" s="768"/>
      <c r="II25" s="108"/>
      <c r="IJ25" s="108"/>
      <c r="IK25" s="108"/>
      <c r="IL25" s="108"/>
      <c r="IM25" s="108"/>
      <c r="IN25" s="108"/>
      <c r="IO25" s="769"/>
    </row>
    <row r="26" spans="1:249" x14ac:dyDescent="0.25">
      <c r="A26" s="763">
        <f t="shared" si="30"/>
        <v>16</v>
      </c>
      <c r="B26" s="764"/>
      <c r="C26" s="699">
        <v>0</v>
      </c>
      <c r="D26" s="765">
        <v>17.869193831264578</v>
      </c>
      <c r="E26" s="766">
        <v>7.5</v>
      </c>
      <c r="F26" s="766">
        <v>51.905996768575733</v>
      </c>
      <c r="G26" s="765">
        <v>22.887818551366845</v>
      </c>
      <c r="H26" s="766">
        <v>0</v>
      </c>
      <c r="I26" s="767">
        <v>0</v>
      </c>
      <c r="J26" s="764"/>
      <c r="K26" s="699"/>
      <c r="L26" s="765"/>
      <c r="M26" s="766"/>
      <c r="N26" s="766"/>
      <c r="O26" s="765"/>
      <c r="P26" s="766"/>
      <c r="Q26" s="767"/>
      <c r="R26" s="764"/>
      <c r="S26" s="699"/>
      <c r="T26" s="765"/>
      <c r="U26" s="766"/>
      <c r="V26" s="766"/>
      <c r="W26" s="765"/>
      <c r="X26" s="766"/>
      <c r="Y26" s="767"/>
      <c r="Z26" s="764"/>
      <c r="AA26" s="699"/>
      <c r="AB26" s="765"/>
      <c r="AC26" s="766"/>
      <c r="AD26" s="766"/>
      <c r="AE26" s="765"/>
      <c r="AF26" s="766"/>
      <c r="AG26" s="767"/>
      <c r="AH26" s="764"/>
      <c r="AI26" s="699"/>
      <c r="AJ26" s="765"/>
      <c r="AK26" s="766"/>
      <c r="AL26" s="766"/>
      <c r="AM26" s="765"/>
      <c r="AN26" s="766"/>
      <c r="AO26" s="767"/>
      <c r="AP26" s="764"/>
      <c r="AQ26" s="699"/>
      <c r="AR26" s="765"/>
      <c r="AS26" s="766"/>
      <c r="AT26" s="766"/>
      <c r="AU26" s="765"/>
      <c r="AV26" s="766"/>
      <c r="AW26" s="767"/>
      <c r="AX26" s="764"/>
      <c r="AY26" s="699"/>
      <c r="AZ26" s="765"/>
      <c r="BA26" s="766"/>
      <c r="BB26" s="766"/>
      <c r="BC26" s="765"/>
      <c r="BD26" s="766"/>
      <c r="BE26" s="767"/>
      <c r="BF26" s="764"/>
      <c r="BG26" s="699"/>
      <c r="BH26" s="765"/>
      <c r="BI26" s="766"/>
      <c r="BJ26" s="766"/>
      <c r="BK26" s="765"/>
      <c r="BL26" s="766"/>
      <c r="BM26" s="767"/>
      <c r="BN26" s="764"/>
      <c r="BO26" s="699"/>
      <c r="BP26" s="765"/>
      <c r="BQ26" s="766"/>
      <c r="BR26" s="766"/>
      <c r="BS26" s="765"/>
      <c r="BT26" s="766"/>
      <c r="BU26" s="767"/>
      <c r="BV26" s="764"/>
      <c r="BW26" s="699"/>
      <c r="BX26" s="765"/>
      <c r="BY26" s="766"/>
      <c r="BZ26" s="766"/>
      <c r="CA26" s="765"/>
      <c r="CB26" s="766"/>
      <c r="CC26" s="767"/>
      <c r="CD26" s="764"/>
      <c r="CE26" s="699"/>
      <c r="CF26" s="765"/>
      <c r="CG26" s="766"/>
      <c r="CH26" s="766"/>
      <c r="CI26" s="765"/>
      <c r="CJ26" s="766"/>
      <c r="CK26" s="767"/>
      <c r="CL26" s="764"/>
      <c r="CM26" s="699"/>
      <c r="CN26" s="765"/>
      <c r="CO26" s="766"/>
      <c r="CP26" s="766"/>
      <c r="CQ26" s="765"/>
      <c r="CR26" s="766"/>
      <c r="CS26" s="767"/>
      <c r="CT26" s="764"/>
      <c r="CU26" s="699"/>
      <c r="CV26" s="765"/>
      <c r="CW26" s="766"/>
      <c r="CX26" s="766"/>
      <c r="CY26" s="765"/>
      <c r="CZ26" s="766"/>
      <c r="DA26" s="767"/>
      <c r="DB26" s="764"/>
      <c r="DC26" s="699"/>
      <c r="DD26" s="765"/>
      <c r="DE26" s="766"/>
      <c r="DF26" s="766"/>
      <c r="DG26" s="765"/>
      <c r="DH26" s="766"/>
      <c r="DI26" s="767"/>
      <c r="DJ26" s="764"/>
      <c r="DK26" s="699"/>
      <c r="DL26" s="765"/>
      <c r="DM26" s="766"/>
      <c r="DN26" s="766"/>
      <c r="DO26" s="765"/>
      <c r="DP26" s="766"/>
      <c r="DQ26" s="767"/>
      <c r="DR26" s="764"/>
      <c r="DS26" s="699"/>
      <c r="DT26" s="765"/>
      <c r="DU26" s="766"/>
      <c r="DV26" s="766"/>
      <c r="DW26" s="765"/>
      <c r="DX26" s="766"/>
      <c r="DY26" s="767"/>
      <c r="DZ26" s="764"/>
      <c r="EA26" s="699"/>
      <c r="EB26" s="765"/>
      <c r="EC26" s="766"/>
      <c r="ED26" s="766"/>
      <c r="EE26" s="765"/>
      <c r="EF26" s="766"/>
      <c r="EG26" s="767"/>
      <c r="EH26" s="764"/>
      <c r="EI26" s="699"/>
      <c r="EJ26" s="765"/>
      <c r="EK26" s="766"/>
      <c r="EL26" s="766"/>
      <c r="EM26" s="765"/>
      <c r="EN26" s="766"/>
      <c r="EO26" s="767"/>
      <c r="EP26" s="764"/>
      <c r="EQ26" s="699"/>
      <c r="ER26" s="765"/>
      <c r="ES26" s="766"/>
      <c r="ET26" s="766"/>
      <c r="EU26" s="765"/>
      <c r="EV26" s="766"/>
      <c r="EW26" s="767"/>
      <c r="EX26" s="764"/>
      <c r="EY26" s="699"/>
      <c r="EZ26" s="765"/>
      <c r="FA26" s="766"/>
      <c r="FB26" s="766"/>
      <c r="FC26" s="765"/>
      <c r="FD26" s="766"/>
      <c r="FE26" s="767"/>
      <c r="FF26" s="764"/>
      <c r="FG26" s="699"/>
      <c r="FH26" s="765"/>
      <c r="FI26" s="766"/>
      <c r="FJ26" s="766"/>
      <c r="FK26" s="765"/>
      <c r="FL26" s="766"/>
      <c r="FM26" s="767"/>
      <c r="FN26" s="764"/>
      <c r="FO26" s="699"/>
      <c r="FP26" s="765"/>
      <c r="FQ26" s="766"/>
      <c r="FR26" s="766"/>
      <c r="FS26" s="765"/>
      <c r="FT26" s="766"/>
      <c r="FU26" s="767"/>
      <c r="FV26" s="764"/>
      <c r="FW26" s="699"/>
      <c r="FX26" s="765"/>
      <c r="FY26" s="766"/>
      <c r="FZ26" s="766"/>
      <c r="GA26" s="765"/>
      <c r="GB26" s="766"/>
      <c r="GC26" s="767"/>
      <c r="GD26" s="764"/>
      <c r="GE26" s="699"/>
      <c r="GF26" s="765"/>
      <c r="GG26" s="766"/>
      <c r="GH26" s="766"/>
      <c r="GI26" s="765"/>
      <c r="GJ26" s="766"/>
      <c r="GK26" s="767"/>
      <c r="GL26" s="764"/>
      <c r="GM26" s="699"/>
      <c r="GN26" s="765"/>
      <c r="GO26" s="766"/>
      <c r="GP26" s="766"/>
      <c r="GQ26" s="765"/>
      <c r="GR26" s="766"/>
      <c r="GS26" s="767"/>
      <c r="GT26" s="764"/>
      <c r="GU26" s="699"/>
      <c r="GV26" s="765"/>
      <c r="GW26" s="766"/>
      <c r="GX26" s="766"/>
      <c r="GY26" s="765"/>
      <c r="GZ26" s="766"/>
      <c r="HA26" s="767"/>
      <c r="HB26" s="764"/>
      <c r="HC26" s="699"/>
      <c r="HD26" s="765"/>
      <c r="HE26" s="766"/>
      <c r="HF26" s="766"/>
      <c r="HG26" s="765"/>
      <c r="HH26" s="766"/>
      <c r="HI26" s="767"/>
      <c r="HJ26" s="764"/>
      <c r="HK26" s="699"/>
      <c r="HL26" s="765"/>
      <c r="HM26" s="766"/>
      <c r="HN26" s="766"/>
      <c r="HO26" s="765"/>
      <c r="HP26" s="766"/>
      <c r="HQ26" s="767"/>
      <c r="HR26" s="764"/>
      <c r="HS26" s="699"/>
      <c r="HT26" s="765"/>
      <c r="HU26" s="766"/>
      <c r="HV26" s="766"/>
      <c r="HW26" s="765"/>
      <c r="HX26" s="766"/>
      <c r="HY26" s="767"/>
      <c r="HZ26" s="764"/>
      <c r="IA26" s="699"/>
      <c r="IB26" s="765"/>
      <c r="IC26" s="766"/>
      <c r="ID26" s="766"/>
      <c r="IE26" s="765"/>
      <c r="IF26" s="766"/>
      <c r="IG26" s="765"/>
      <c r="IH26" s="768"/>
      <c r="II26" s="108"/>
      <c r="IJ26" s="108"/>
      <c r="IK26" s="108"/>
      <c r="IL26" s="108"/>
      <c r="IM26" s="108"/>
      <c r="IN26" s="108"/>
      <c r="IO26" s="769"/>
    </row>
    <row r="27" spans="1:249" x14ac:dyDescent="0.25">
      <c r="A27" s="763">
        <f t="shared" si="30"/>
        <v>17</v>
      </c>
      <c r="B27" s="764"/>
      <c r="C27" s="699">
        <v>0</v>
      </c>
      <c r="D27" s="765">
        <v>19.315856380867629</v>
      </c>
      <c r="E27" s="766">
        <v>7.5</v>
      </c>
      <c r="F27" s="766">
        <v>65.560847497173981</v>
      </c>
      <c r="G27" s="765">
        <v>28.908890590799558</v>
      </c>
      <c r="H27" s="766">
        <v>0</v>
      </c>
      <c r="I27" s="767">
        <v>0</v>
      </c>
      <c r="J27" s="764"/>
      <c r="K27" s="699"/>
      <c r="L27" s="765"/>
      <c r="M27" s="766"/>
      <c r="N27" s="766"/>
      <c r="O27" s="765"/>
      <c r="P27" s="766"/>
      <c r="Q27" s="767"/>
      <c r="R27" s="764"/>
      <c r="S27" s="699"/>
      <c r="T27" s="765"/>
      <c r="U27" s="766"/>
      <c r="V27" s="766"/>
      <c r="W27" s="765"/>
      <c r="X27" s="766"/>
      <c r="Y27" s="767"/>
      <c r="Z27" s="764"/>
      <c r="AA27" s="699"/>
      <c r="AB27" s="765"/>
      <c r="AC27" s="766"/>
      <c r="AD27" s="766"/>
      <c r="AE27" s="765"/>
      <c r="AF27" s="766"/>
      <c r="AG27" s="767"/>
      <c r="AH27" s="764"/>
      <c r="AI27" s="699"/>
      <c r="AJ27" s="765"/>
      <c r="AK27" s="766"/>
      <c r="AL27" s="766"/>
      <c r="AM27" s="765"/>
      <c r="AN27" s="766"/>
      <c r="AO27" s="767"/>
      <c r="AP27" s="764"/>
      <c r="AQ27" s="699"/>
      <c r="AR27" s="765"/>
      <c r="AS27" s="766"/>
      <c r="AT27" s="766"/>
      <c r="AU27" s="765"/>
      <c r="AV27" s="766"/>
      <c r="AW27" s="767"/>
      <c r="AX27" s="764"/>
      <c r="AY27" s="699"/>
      <c r="AZ27" s="765"/>
      <c r="BA27" s="766"/>
      <c r="BB27" s="766"/>
      <c r="BC27" s="765"/>
      <c r="BD27" s="766"/>
      <c r="BE27" s="767"/>
      <c r="BF27" s="764"/>
      <c r="BG27" s="699"/>
      <c r="BH27" s="765"/>
      <c r="BI27" s="766"/>
      <c r="BJ27" s="766"/>
      <c r="BK27" s="765"/>
      <c r="BL27" s="766"/>
      <c r="BM27" s="767"/>
      <c r="BN27" s="764"/>
      <c r="BO27" s="699"/>
      <c r="BP27" s="765"/>
      <c r="BQ27" s="766"/>
      <c r="BR27" s="766"/>
      <c r="BS27" s="765"/>
      <c r="BT27" s="766"/>
      <c r="BU27" s="767"/>
      <c r="BV27" s="764"/>
      <c r="BW27" s="699"/>
      <c r="BX27" s="765"/>
      <c r="BY27" s="766"/>
      <c r="BZ27" s="766"/>
      <c r="CA27" s="765"/>
      <c r="CB27" s="766"/>
      <c r="CC27" s="767"/>
      <c r="CD27" s="764"/>
      <c r="CE27" s="699"/>
      <c r="CF27" s="765"/>
      <c r="CG27" s="766"/>
      <c r="CH27" s="766"/>
      <c r="CI27" s="765"/>
      <c r="CJ27" s="766"/>
      <c r="CK27" s="767"/>
      <c r="CL27" s="764"/>
      <c r="CM27" s="699"/>
      <c r="CN27" s="765"/>
      <c r="CO27" s="766"/>
      <c r="CP27" s="766"/>
      <c r="CQ27" s="765"/>
      <c r="CR27" s="766"/>
      <c r="CS27" s="767"/>
      <c r="CT27" s="764"/>
      <c r="CU27" s="699"/>
      <c r="CV27" s="765"/>
      <c r="CW27" s="766"/>
      <c r="CX27" s="766"/>
      <c r="CY27" s="765"/>
      <c r="CZ27" s="766"/>
      <c r="DA27" s="767"/>
      <c r="DB27" s="764"/>
      <c r="DC27" s="699"/>
      <c r="DD27" s="765"/>
      <c r="DE27" s="766"/>
      <c r="DF27" s="766"/>
      <c r="DG27" s="765"/>
      <c r="DH27" s="766"/>
      <c r="DI27" s="767"/>
      <c r="DJ27" s="764"/>
      <c r="DK27" s="699"/>
      <c r="DL27" s="765"/>
      <c r="DM27" s="766"/>
      <c r="DN27" s="766"/>
      <c r="DO27" s="765"/>
      <c r="DP27" s="766"/>
      <c r="DQ27" s="767"/>
      <c r="DR27" s="764"/>
      <c r="DS27" s="699"/>
      <c r="DT27" s="765"/>
      <c r="DU27" s="766"/>
      <c r="DV27" s="766"/>
      <c r="DW27" s="765"/>
      <c r="DX27" s="766"/>
      <c r="DY27" s="767"/>
      <c r="DZ27" s="764"/>
      <c r="EA27" s="699"/>
      <c r="EB27" s="765"/>
      <c r="EC27" s="766"/>
      <c r="ED27" s="766"/>
      <c r="EE27" s="765"/>
      <c r="EF27" s="766"/>
      <c r="EG27" s="767"/>
      <c r="EH27" s="764"/>
      <c r="EI27" s="699"/>
      <c r="EJ27" s="765"/>
      <c r="EK27" s="766"/>
      <c r="EL27" s="766"/>
      <c r="EM27" s="765"/>
      <c r="EN27" s="766"/>
      <c r="EO27" s="767"/>
      <c r="EP27" s="764"/>
      <c r="EQ27" s="699"/>
      <c r="ER27" s="765"/>
      <c r="ES27" s="766"/>
      <c r="ET27" s="766"/>
      <c r="EU27" s="765"/>
      <c r="EV27" s="766"/>
      <c r="EW27" s="767"/>
      <c r="EX27" s="764"/>
      <c r="EY27" s="699"/>
      <c r="EZ27" s="765"/>
      <c r="FA27" s="766"/>
      <c r="FB27" s="766"/>
      <c r="FC27" s="765"/>
      <c r="FD27" s="766"/>
      <c r="FE27" s="767"/>
      <c r="FF27" s="764"/>
      <c r="FG27" s="699"/>
      <c r="FH27" s="765"/>
      <c r="FI27" s="766"/>
      <c r="FJ27" s="766"/>
      <c r="FK27" s="765"/>
      <c r="FL27" s="766"/>
      <c r="FM27" s="767"/>
      <c r="FN27" s="764"/>
      <c r="FO27" s="699"/>
      <c r="FP27" s="765"/>
      <c r="FQ27" s="766"/>
      <c r="FR27" s="766"/>
      <c r="FS27" s="765"/>
      <c r="FT27" s="766"/>
      <c r="FU27" s="767"/>
      <c r="FV27" s="764"/>
      <c r="FW27" s="699"/>
      <c r="FX27" s="765"/>
      <c r="FY27" s="766"/>
      <c r="FZ27" s="766"/>
      <c r="GA27" s="765"/>
      <c r="GB27" s="766"/>
      <c r="GC27" s="767"/>
      <c r="GD27" s="764"/>
      <c r="GE27" s="699"/>
      <c r="GF27" s="765"/>
      <c r="GG27" s="766"/>
      <c r="GH27" s="766"/>
      <c r="GI27" s="765"/>
      <c r="GJ27" s="766"/>
      <c r="GK27" s="767"/>
      <c r="GL27" s="764"/>
      <c r="GM27" s="699"/>
      <c r="GN27" s="765"/>
      <c r="GO27" s="766"/>
      <c r="GP27" s="766"/>
      <c r="GQ27" s="765"/>
      <c r="GR27" s="766"/>
      <c r="GS27" s="767"/>
      <c r="GT27" s="764"/>
      <c r="GU27" s="699"/>
      <c r="GV27" s="765"/>
      <c r="GW27" s="766"/>
      <c r="GX27" s="766"/>
      <c r="GY27" s="765"/>
      <c r="GZ27" s="766"/>
      <c r="HA27" s="767"/>
      <c r="HB27" s="764"/>
      <c r="HC27" s="699"/>
      <c r="HD27" s="765"/>
      <c r="HE27" s="766"/>
      <c r="HF27" s="766"/>
      <c r="HG27" s="765"/>
      <c r="HH27" s="766"/>
      <c r="HI27" s="767"/>
      <c r="HJ27" s="764"/>
      <c r="HK27" s="699"/>
      <c r="HL27" s="765"/>
      <c r="HM27" s="766"/>
      <c r="HN27" s="766"/>
      <c r="HO27" s="765"/>
      <c r="HP27" s="766"/>
      <c r="HQ27" s="767"/>
      <c r="HR27" s="764"/>
      <c r="HS27" s="699"/>
      <c r="HT27" s="765"/>
      <c r="HU27" s="766"/>
      <c r="HV27" s="766"/>
      <c r="HW27" s="765"/>
      <c r="HX27" s="766"/>
      <c r="HY27" s="767"/>
      <c r="HZ27" s="764"/>
      <c r="IA27" s="699"/>
      <c r="IB27" s="765"/>
      <c r="IC27" s="766"/>
      <c r="ID27" s="766"/>
      <c r="IE27" s="765"/>
      <c r="IF27" s="766"/>
      <c r="IG27" s="765"/>
      <c r="IH27" s="768"/>
      <c r="II27" s="108"/>
      <c r="IJ27" s="108"/>
      <c r="IK27" s="108"/>
      <c r="IL27" s="108"/>
      <c r="IM27" s="108"/>
      <c r="IN27" s="108"/>
      <c r="IO27" s="769"/>
    </row>
    <row r="28" spans="1:249" x14ac:dyDescent="0.25">
      <c r="A28" s="763">
        <f t="shared" si="30"/>
        <v>18</v>
      </c>
      <c r="B28" s="764"/>
      <c r="C28" s="699">
        <v>0</v>
      </c>
      <c r="D28" s="765">
        <v>20.458164288201111</v>
      </c>
      <c r="E28" s="766">
        <v>7.5</v>
      </c>
      <c r="F28" s="766">
        <v>77.893755262702228</v>
      </c>
      <c r="G28" s="765">
        <v>34.347055209941288</v>
      </c>
      <c r="H28" s="766">
        <v>0</v>
      </c>
      <c r="I28" s="767">
        <v>0</v>
      </c>
      <c r="J28" s="764"/>
      <c r="K28" s="699"/>
      <c r="L28" s="765"/>
      <c r="M28" s="766"/>
      <c r="N28" s="766"/>
      <c r="O28" s="765"/>
      <c r="P28" s="766"/>
      <c r="Q28" s="767"/>
      <c r="R28" s="764"/>
      <c r="S28" s="699"/>
      <c r="T28" s="765"/>
      <c r="U28" s="766"/>
      <c r="V28" s="766"/>
      <c r="W28" s="765"/>
      <c r="X28" s="766"/>
      <c r="Y28" s="767"/>
      <c r="Z28" s="764"/>
      <c r="AA28" s="699"/>
      <c r="AB28" s="765"/>
      <c r="AC28" s="766"/>
      <c r="AD28" s="766"/>
      <c r="AE28" s="765"/>
      <c r="AF28" s="766"/>
      <c r="AG28" s="767"/>
      <c r="AH28" s="764"/>
      <c r="AI28" s="699"/>
      <c r="AJ28" s="765"/>
      <c r="AK28" s="766"/>
      <c r="AL28" s="766"/>
      <c r="AM28" s="765"/>
      <c r="AN28" s="766"/>
      <c r="AO28" s="767"/>
      <c r="AP28" s="764"/>
      <c r="AQ28" s="699"/>
      <c r="AR28" s="765"/>
      <c r="AS28" s="766"/>
      <c r="AT28" s="766"/>
      <c r="AU28" s="765"/>
      <c r="AV28" s="766"/>
      <c r="AW28" s="767"/>
      <c r="AX28" s="764"/>
      <c r="AY28" s="699"/>
      <c r="AZ28" s="765"/>
      <c r="BA28" s="766"/>
      <c r="BB28" s="766"/>
      <c r="BC28" s="765"/>
      <c r="BD28" s="766"/>
      <c r="BE28" s="767"/>
      <c r="BF28" s="764"/>
      <c r="BG28" s="699"/>
      <c r="BH28" s="765"/>
      <c r="BI28" s="766"/>
      <c r="BJ28" s="766"/>
      <c r="BK28" s="765"/>
      <c r="BL28" s="766"/>
      <c r="BM28" s="767"/>
      <c r="BN28" s="764"/>
      <c r="BO28" s="699"/>
      <c r="BP28" s="765"/>
      <c r="BQ28" s="766"/>
      <c r="BR28" s="766"/>
      <c r="BS28" s="765"/>
      <c r="BT28" s="766"/>
      <c r="BU28" s="767"/>
      <c r="BV28" s="764"/>
      <c r="BW28" s="699"/>
      <c r="BX28" s="765"/>
      <c r="BY28" s="766"/>
      <c r="BZ28" s="766"/>
      <c r="CA28" s="765"/>
      <c r="CB28" s="766"/>
      <c r="CC28" s="767"/>
      <c r="CD28" s="764"/>
      <c r="CE28" s="699"/>
      <c r="CF28" s="765"/>
      <c r="CG28" s="766"/>
      <c r="CH28" s="766"/>
      <c r="CI28" s="765"/>
      <c r="CJ28" s="766"/>
      <c r="CK28" s="767"/>
      <c r="CL28" s="764"/>
      <c r="CM28" s="699"/>
      <c r="CN28" s="765"/>
      <c r="CO28" s="766"/>
      <c r="CP28" s="766"/>
      <c r="CQ28" s="765"/>
      <c r="CR28" s="766"/>
      <c r="CS28" s="767"/>
      <c r="CT28" s="764"/>
      <c r="CU28" s="699"/>
      <c r="CV28" s="765"/>
      <c r="CW28" s="766"/>
      <c r="CX28" s="766"/>
      <c r="CY28" s="765"/>
      <c r="CZ28" s="766"/>
      <c r="DA28" s="767"/>
      <c r="DB28" s="764"/>
      <c r="DC28" s="699"/>
      <c r="DD28" s="765"/>
      <c r="DE28" s="766"/>
      <c r="DF28" s="766"/>
      <c r="DG28" s="765"/>
      <c r="DH28" s="766"/>
      <c r="DI28" s="767"/>
      <c r="DJ28" s="764"/>
      <c r="DK28" s="699"/>
      <c r="DL28" s="765"/>
      <c r="DM28" s="766"/>
      <c r="DN28" s="766"/>
      <c r="DO28" s="765"/>
      <c r="DP28" s="766"/>
      <c r="DQ28" s="767"/>
      <c r="DR28" s="764"/>
      <c r="DS28" s="699"/>
      <c r="DT28" s="765"/>
      <c r="DU28" s="766"/>
      <c r="DV28" s="766"/>
      <c r="DW28" s="765"/>
      <c r="DX28" s="766"/>
      <c r="DY28" s="767"/>
      <c r="DZ28" s="764"/>
      <c r="EA28" s="699"/>
      <c r="EB28" s="765"/>
      <c r="EC28" s="766"/>
      <c r="ED28" s="766"/>
      <c r="EE28" s="765"/>
      <c r="EF28" s="766"/>
      <c r="EG28" s="767"/>
      <c r="EH28" s="764"/>
      <c r="EI28" s="699"/>
      <c r="EJ28" s="765"/>
      <c r="EK28" s="766"/>
      <c r="EL28" s="766"/>
      <c r="EM28" s="765"/>
      <c r="EN28" s="766"/>
      <c r="EO28" s="767"/>
      <c r="EP28" s="764"/>
      <c r="EQ28" s="699"/>
      <c r="ER28" s="765"/>
      <c r="ES28" s="766"/>
      <c r="ET28" s="766"/>
      <c r="EU28" s="765"/>
      <c r="EV28" s="766"/>
      <c r="EW28" s="767"/>
      <c r="EX28" s="764"/>
      <c r="EY28" s="699"/>
      <c r="EZ28" s="765"/>
      <c r="FA28" s="766"/>
      <c r="FB28" s="766"/>
      <c r="FC28" s="765"/>
      <c r="FD28" s="766"/>
      <c r="FE28" s="767"/>
      <c r="FF28" s="764"/>
      <c r="FG28" s="699"/>
      <c r="FH28" s="765"/>
      <c r="FI28" s="766"/>
      <c r="FJ28" s="766"/>
      <c r="FK28" s="765"/>
      <c r="FL28" s="766"/>
      <c r="FM28" s="767"/>
      <c r="FN28" s="764"/>
      <c r="FO28" s="699"/>
      <c r="FP28" s="765"/>
      <c r="FQ28" s="766"/>
      <c r="FR28" s="766"/>
      <c r="FS28" s="765"/>
      <c r="FT28" s="766"/>
      <c r="FU28" s="767"/>
      <c r="FV28" s="764"/>
      <c r="FW28" s="699"/>
      <c r="FX28" s="765"/>
      <c r="FY28" s="766"/>
      <c r="FZ28" s="766"/>
      <c r="GA28" s="765"/>
      <c r="GB28" s="766"/>
      <c r="GC28" s="767"/>
      <c r="GD28" s="764"/>
      <c r="GE28" s="699"/>
      <c r="GF28" s="765"/>
      <c r="GG28" s="766"/>
      <c r="GH28" s="766"/>
      <c r="GI28" s="765"/>
      <c r="GJ28" s="766"/>
      <c r="GK28" s="767"/>
      <c r="GL28" s="764"/>
      <c r="GM28" s="699"/>
      <c r="GN28" s="765"/>
      <c r="GO28" s="766"/>
      <c r="GP28" s="766"/>
      <c r="GQ28" s="765"/>
      <c r="GR28" s="766"/>
      <c r="GS28" s="767"/>
      <c r="GT28" s="764"/>
      <c r="GU28" s="699"/>
      <c r="GV28" s="765"/>
      <c r="GW28" s="766"/>
      <c r="GX28" s="766"/>
      <c r="GY28" s="765"/>
      <c r="GZ28" s="766"/>
      <c r="HA28" s="767"/>
      <c r="HB28" s="764"/>
      <c r="HC28" s="699"/>
      <c r="HD28" s="765"/>
      <c r="HE28" s="766"/>
      <c r="HF28" s="766"/>
      <c r="HG28" s="765"/>
      <c r="HH28" s="766"/>
      <c r="HI28" s="767"/>
      <c r="HJ28" s="764"/>
      <c r="HK28" s="699"/>
      <c r="HL28" s="765"/>
      <c r="HM28" s="766"/>
      <c r="HN28" s="766"/>
      <c r="HO28" s="765"/>
      <c r="HP28" s="766"/>
      <c r="HQ28" s="767"/>
      <c r="HR28" s="764"/>
      <c r="HS28" s="699"/>
      <c r="HT28" s="765"/>
      <c r="HU28" s="766"/>
      <c r="HV28" s="766"/>
      <c r="HW28" s="765"/>
      <c r="HX28" s="766"/>
      <c r="HY28" s="767"/>
      <c r="HZ28" s="764"/>
      <c r="IA28" s="699"/>
      <c r="IB28" s="765"/>
      <c r="IC28" s="766"/>
      <c r="ID28" s="766"/>
      <c r="IE28" s="765"/>
      <c r="IF28" s="766"/>
      <c r="IG28" s="765"/>
      <c r="IH28" s="768"/>
      <c r="II28" s="108"/>
      <c r="IJ28" s="108"/>
      <c r="IK28" s="108"/>
      <c r="IL28" s="108"/>
      <c r="IM28" s="108"/>
      <c r="IN28" s="108"/>
      <c r="IO28" s="769"/>
    </row>
    <row r="29" spans="1:249" x14ac:dyDescent="0.25">
      <c r="A29" s="763">
        <f t="shared" si="30"/>
        <v>19</v>
      </c>
      <c r="B29" s="764"/>
      <c r="C29" s="699">
        <v>0</v>
      </c>
      <c r="D29" s="765">
        <v>21.416100776787999</v>
      </c>
      <c r="E29" s="766">
        <v>7.5</v>
      </c>
      <c r="F29" s="766">
        <v>89.356029243091129</v>
      </c>
      <c r="G29" s="765">
        <v>39.401316054191582</v>
      </c>
      <c r="H29" s="766">
        <v>0</v>
      </c>
      <c r="I29" s="767">
        <v>0</v>
      </c>
      <c r="J29" s="764"/>
      <c r="K29" s="699"/>
      <c r="L29" s="765"/>
      <c r="M29" s="766"/>
      <c r="N29" s="766"/>
      <c r="O29" s="765"/>
      <c r="P29" s="766"/>
      <c r="Q29" s="767"/>
      <c r="R29" s="764"/>
      <c r="S29" s="699"/>
      <c r="T29" s="765"/>
      <c r="U29" s="766"/>
      <c r="V29" s="766"/>
      <c r="W29" s="765"/>
      <c r="X29" s="766"/>
      <c r="Y29" s="767"/>
      <c r="Z29" s="764"/>
      <c r="AA29" s="699"/>
      <c r="AB29" s="765"/>
      <c r="AC29" s="766"/>
      <c r="AD29" s="766"/>
      <c r="AE29" s="765"/>
      <c r="AF29" s="766"/>
      <c r="AG29" s="767"/>
      <c r="AH29" s="764"/>
      <c r="AI29" s="699"/>
      <c r="AJ29" s="765"/>
      <c r="AK29" s="766"/>
      <c r="AL29" s="766"/>
      <c r="AM29" s="765"/>
      <c r="AN29" s="766"/>
      <c r="AO29" s="767"/>
      <c r="AP29" s="764"/>
      <c r="AQ29" s="699"/>
      <c r="AR29" s="765"/>
      <c r="AS29" s="766"/>
      <c r="AT29" s="766"/>
      <c r="AU29" s="765"/>
      <c r="AV29" s="766"/>
      <c r="AW29" s="767"/>
      <c r="AX29" s="764"/>
      <c r="AY29" s="699"/>
      <c r="AZ29" s="765"/>
      <c r="BA29" s="766"/>
      <c r="BB29" s="766"/>
      <c r="BC29" s="765"/>
      <c r="BD29" s="766"/>
      <c r="BE29" s="767"/>
      <c r="BF29" s="764"/>
      <c r="BG29" s="699"/>
      <c r="BH29" s="765"/>
      <c r="BI29" s="766"/>
      <c r="BJ29" s="766"/>
      <c r="BK29" s="765"/>
      <c r="BL29" s="766"/>
      <c r="BM29" s="767"/>
      <c r="BN29" s="764"/>
      <c r="BO29" s="699"/>
      <c r="BP29" s="765"/>
      <c r="BQ29" s="766"/>
      <c r="BR29" s="766"/>
      <c r="BS29" s="765"/>
      <c r="BT29" s="766"/>
      <c r="BU29" s="767"/>
      <c r="BV29" s="764"/>
      <c r="BW29" s="699"/>
      <c r="BX29" s="765"/>
      <c r="BY29" s="766"/>
      <c r="BZ29" s="766"/>
      <c r="CA29" s="765"/>
      <c r="CB29" s="766"/>
      <c r="CC29" s="767"/>
      <c r="CD29" s="764"/>
      <c r="CE29" s="699"/>
      <c r="CF29" s="765"/>
      <c r="CG29" s="766"/>
      <c r="CH29" s="766"/>
      <c r="CI29" s="765"/>
      <c r="CJ29" s="766"/>
      <c r="CK29" s="767"/>
      <c r="CL29" s="764"/>
      <c r="CM29" s="699"/>
      <c r="CN29" s="765"/>
      <c r="CO29" s="766"/>
      <c r="CP29" s="766"/>
      <c r="CQ29" s="765"/>
      <c r="CR29" s="766"/>
      <c r="CS29" s="767"/>
      <c r="CT29" s="764"/>
      <c r="CU29" s="699"/>
      <c r="CV29" s="765"/>
      <c r="CW29" s="766"/>
      <c r="CX29" s="766"/>
      <c r="CY29" s="765"/>
      <c r="CZ29" s="766"/>
      <c r="DA29" s="767"/>
      <c r="DB29" s="764"/>
      <c r="DC29" s="699"/>
      <c r="DD29" s="765"/>
      <c r="DE29" s="766"/>
      <c r="DF29" s="766"/>
      <c r="DG29" s="765"/>
      <c r="DH29" s="766"/>
      <c r="DI29" s="767"/>
      <c r="DJ29" s="764"/>
      <c r="DK29" s="699"/>
      <c r="DL29" s="765"/>
      <c r="DM29" s="766"/>
      <c r="DN29" s="766"/>
      <c r="DO29" s="765"/>
      <c r="DP29" s="766"/>
      <c r="DQ29" s="767"/>
      <c r="DR29" s="764"/>
      <c r="DS29" s="699"/>
      <c r="DT29" s="765"/>
      <c r="DU29" s="766"/>
      <c r="DV29" s="766"/>
      <c r="DW29" s="765"/>
      <c r="DX29" s="766"/>
      <c r="DY29" s="767"/>
      <c r="DZ29" s="764"/>
      <c r="EA29" s="699"/>
      <c r="EB29" s="765"/>
      <c r="EC29" s="766"/>
      <c r="ED29" s="766"/>
      <c r="EE29" s="765"/>
      <c r="EF29" s="766"/>
      <c r="EG29" s="767"/>
      <c r="EH29" s="764"/>
      <c r="EI29" s="699"/>
      <c r="EJ29" s="765"/>
      <c r="EK29" s="766"/>
      <c r="EL29" s="766"/>
      <c r="EM29" s="765"/>
      <c r="EN29" s="766"/>
      <c r="EO29" s="767"/>
      <c r="EP29" s="764"/>
      <c r="EQ29" s="699"/>
      <c r="ER29" s="765"/>
      <c r="ES29" s="766"/>
      <c r="ET29" s="766"/>
      <c r="EU29" s="765"/>
      <c r="EV29" s="766"/>
      <c r="EW29" s="767"/>
      <c r="EX29" s="764"/>
      <c r="EY29" s="699"/>
      <c r="EZ29" s="765"/>
      <c r="FA29" s="766"/>
      <c r="FB29" s="766"/>
      <c r="FC29" s="765"/>
      <c r="FD29" s="766"/>
      <c r="FE29" s="767"/>
      <c r="FF29" s="764"/>
      <c r="FG29" s="699"/>
      <c r="FH29" s="765"/>
      <c r="FI29" s="766"/>
      <c r="FJ29" s="766"/>
      <c r="FK29" s="765"/>
      <c r="FL29" s="766"/>
      <c r="FM29" s="767"/>
      <c r="FN29" s="764"/>
      <c r="FO29" s="699"/>
      <c r="FP29" s="765"/>
      <c r="FQ29" s="766"/>
      <c r="FR29" s="766"/>
      <c r="FS29" s="765"/>
      <c r="FT29" s="766"/>
      <c r="FU29" s="767"/>
      <c r="FV29" s="764"/>
      <c r="FW29" s="699"/>
      <c r="FX29" s="765"/>
      <c r="FY29" s="766"/>
      <c r="FZ29" s="766"/>
      <c r="GA29" s="765"/>
      <c r="GB29" s="766"/>
      <c r="GC29" s="767"/>
      <c r="GD29" s="764"/>
      <c r="GE29" s="699"/>
      <c r="GF29" s="765"/>
      <c r="GG29" s="766"/>
      <c r="GH29" s="766"/>
      <c r="GI29" s="765"/>
      <c r="GJ29" s="766"/>
      <c r="GK29" s="767"/>
      <c r="GL29" s="764"/>
      <c r="GM29" s="699"/>
      <c r="GN29" s="765"/>
      <c r="GO29" s="766"/>
      <c r="GP29" s="766"/>
      <c r="GQ29" s="765"/>
      <c r="GR29" s="766"/>
      <c r="GS29" s="767"/>
      <c r="GT29" s="764"/>
      <c r="GU29" s="699"/>
      <c r="GV29" s="765"/>
      <c r="GW29" s="766"/>
      <c r="GX29" s="766"/>
      <c r="GY29" s="765"/>
      <c r="GZ29" s="766"/>
      <c r="HA29" s="767"/>
      <c r="HB29" s="764"/>
      <c r="HC29" s="699"/>
      <c r="HD29" s="765"/>
      <c r="HE29" s="766"/>
      <c r="HF29" s="766"/>
      <c r="HG29" s="765"/>
      <c r="HH29" s="766"/>
      <c r="HI29" s="767"/>
      <c r="HJ29" s="764"/>
      <c r="HK29" s="699"/>
      <c r="HL29" s="765"/>
      <c r="HM29" s="766"/>
      <c r="HN29" s="766"/>
      <c r="HO29" s="765"/>
      <c r="HP29" s="766"/>
      <c r="HQ29" s="767"/>
      <c r="HR29" s="764"/>
      <c r="HS29" s="699"/>
      <c r="HT29" s="765"/>
      <c r="HU29" s="766"/>
      <c r="HV29" s="766"/>
      <c r="HW29" s="765"/>
      <c r="HX29" s="766"/>
      <c r="HY29" s="767"/>
      <c r="HZ29" s="764"/>
      <c r="IA29" s="699"/>
      <c r="IB29" s="765"/>
      <c r="IC29" s="766"/>
      <c r="ID29" s="766"/>
      <c r="IE29" s="765"/>
      <c r="IF29" s="766"/>
      <c r="IG29" s="765"/>
      <c r="IH29" s="768"/>
      <c r="II29" s="108"/>
      <c r="IJ29" s="108"/>
      <c r="IK29" s="108"/>
      <c r="IL29" s="108"/>
      <c r="IM29" s="108"/>
      <c r="IN29" s="108"/>
      <c r="IO29" s="769"/>
    </row>
    <row r="30" spans="1:249" x14ac:dyDescent="0.25">
      <c r="A30" s="763">
        <f t="shared" si="30"/>
        <v>20</v>
      </c>
      <c r="B30" s="764"/>
      <c r="C30" s="699">
        <v>0</v>
      </c>
      <c r="D30" s="765">
        <v>22.265649732193484</v>
      </c>
      <c r="E30" s="766">
        <v>7.5</v>
      </c>
      <c r="F30" s="766">
        <v>100.41735420603597</v>
      </c>
      <c r="G30" s="765">
        <v>44.278779438978304</v>
      </c>
      <c r="H30" s="766">
        <v>0</v>
      </c>
      <c r="I30" s="767">
        <v>0</v>
      </c>
      <c r="J30" s="764"/>
      <c r="K30" s="699"/>
      <c r="L30" s="765"/>
      <c r="M30" s="766"/>
      <c r="N30" s="766"/>
      <c r="O30" s="765"/>
      <c r="P30" s="766"/>
      <c r="Q30" s="767"/>
      <c r="R30" s="764"/>
      <c r="S30" s="699"/>
      <c r="T30" s="765"/>
      <c r="U30" s="766"/>
      <c r="V30" s="766"/>
      <c r="W30" s="765"/>
      <c r="X30" s="766"/>
      <c r="Y30" s="767"/>
      <c r="Z30" s="764"/>
      <c r="AA30" s="699"/>
      <c r="AB30" s="765"/>
      <c r="AC30" s="766"/>
      <c r="AD30" s="766"/>
      <c r="AE30" s="765"/>
      <c r="AF30" s="766"/>
      <c r="AG30" s="767"/>
      <c r="AH30" s="764"/>
      <c r="AI30" s="699"/>
      <c r="AJ30" s="765"/>
      <c r="AK30" s="766"/>
      <c r="AL30" s="766"/>
      <c r="AM30" s="765"/>
      <c r="AN30" s="766"/>
      <c r="AO30" s="767"/>
      <c r="AP30" s="764"/>
      <c r="AQ30" s="699"/>
      <c r="AR30" s="765"/>
      <c r="AS30" s="766"/>
      <c r="AT30" s="766"/>
      <c r="AU30" s="765"/>
      <c r="AV30" s="766"/>
      <c r="AW30" s="767"/>
      <c r="AX30" s="764"/>
      <c r="AY30" s="699"/>
      <c r="AZ30" s="765"/>
      <c r="BA30" s="766"/>
      <c r="BB30" s="766"/>
      <c r="BC30" s="765"/>
      <c r="BD30" s="766"/>
      <c r="BE30" s="767"/>
      <c r="BF30" s="764"/>
      <c r="BG30" s="699"/>
      <c r="BH30" s="765"/>
      <c r="BI30" s="766"/>
      <c r="BJ30" s="766"/>
      <c r="BK30" s="765"/>
      <c r="BL30" s="766"/>
      <c r="BM30" s="767"/>
      <c r="BN30" s="764"/>
      <c r="BO30" s="699"/>
      <c r="BP30" s="765"/>
      <c r="BQ30" s="766"/>
      <c r="BR30" s="766"/>
      <c r="BS30" s="765"/>
      <c r="BT30" s="766"/>
      <c r="BU30" s="767"/>
      <c r="BV30" s="764"/>
      <c r="BW30" s="699"/>
      <c r="BX30" s="765"/>
      <c r="BY30" s="766"/>
      <c r="BZ30" s="766"/>
      <c r="CA30" s="765"/>
      <c r="CB30" s="766"/>
      <c r="CC30" s="767"/>
      <c r="CD30" s="764"/>
      <c r="CE30" s="699"/>
      <c r="CF30" s="765"/>
      <c r="CG30" s="766"/>
      <c r="CH30" s="766"/>
      <c r="CI30" s="765"/>
      <c r="CJ30" s="766"/>
      <c r="CK30" s="767"/>
      <c r="CL30" s="764"/>
      <c r="CM30" s="699"/>
      <c r="CN30" s="765"/>
      <c r="CO30" s="766"/>
      <c r="CP30" s="766"/>
      <c r="CQ30" s="765"/>
      <c r="CR30" s="766"/>
      <c r="CS30" s="767"/>
      <c r="CT30" s="764"/>
      <c r="CU30" s="699"/>
      <c r="CV30" s="765"/>
      <c r="CW30" s="766"/>
      <c r="CX30" s="766"/>
      <c r="CY30" s="765"/>
      <c r="CZ30" s="766"/>
      <c r="DA30" s="767"/>
      <c r="DB30" s="764"/>
      <c r="DC30" s="699"/>
      <c r="DD30" s="765"/>
      <c r="DE30" s="766"/>
      <c r="DF30" s="766"/>
      <c r="DG30" s="765"/>
      <c r="DH30" s="766"/>
      <c r="DI30" s="767"/>
      <c r="DJ30" s="764"/>
      <c r="DK30" s="699"/>
      <c r="DL30" s="765"/>
      <c r="DM30" s="766"/>
      <c r="DN30" s="766"/>
      <c r="DO30" s="765"/>
      <c r="DP30" s="766"/>
      <c r="DQ30" s="767"/>
      <c r="DR30" s="764"/>
      <c r="DS30" s="699"/>
      <c r="DT30" s="765"/>
      <c r="DU30" s="766"/>
      <c r="DV30" s="766"/>
      <c r="DW30" s="765"/>
      <c r="DX30" s="766"/>
      <c r="DY30" s="767"/>
      <c r="DZ30" s="764"/>
      <c r="EA30" s="699"/>
      <c r="EB30" s="765"/>
      <c r="EC30" s="766"/>
      <c r="ED30" s="766"/>
      <c r="EE30" s="765"/>
      <c r="EF30" s="766"/>
      <c r="EG30" s="767"/>
      <c r="EH30" s="764"/>
      <c r="EI30" s="699"/>
      <c r="EJ30" s="765"/>
      <c r="EK30" s="766"/>
      <c r="EL30" s="766"/>
      <c r="EM30" s="765"/>
      <c r="EN30" s="766"/>
      <c r="EO30" s="767"/>
      <c r="EP30" s="764"/>
      <c r="EQ30" s="699"/>
      <c r="ER30" s="765"/>
      <c r="ES30" s="766"/>
      <c r="ET30" s="766"/>
      <c r="EU30" s="765"/>
      <c r="EV30" s="766"/>
      <c r="EW30" s="767"/>
      <c r="EX30" s="764"/>
      <c r="EY30" s="699"/>
      <c r="EZ30" s="765"/>
      <c r="FA30" s="766"/>
      <c r="FB30" s="766"/>
      <c r="FC30" s="765"/>
      <c r="FD30" s="766"/>
      <c r="FE30" s="767"/>
      <c r="FF30" s="764"/>
      <c r="FG30" s="699"/>
      <c r="FH30" s="765"/>
      <c r="FI30" s="766"/>
      <c r="FJ30" s="766"/>
      <c r="FK30" s="765"/>
      <c r="FL30" s="766"/>
      <c r="FM30" s="767"/>
      <c r="FN30" s="764"/>
      <c r="FO30" s="699"/>
      <c r="FP30" s="765"/>
      <c r="FQ30" s="766"/>
      <c r="FR30" s="766"/>
      <c r="FS30" s="765"/>
      <c r="FT30" s="766"/>
      <c r="FU30" s="767"/>
      <c r="FV30" s="764"/>
      <c r="FW30" s="699"/>
      <c r="FX30" s="765"/>
      <c r="FY30" s="766"/>
      <c r="FZ30" s="766"/>
      <c r="GA30" s="765"/>
      <c r="GB30" s="766"/>
      <c r="GC30" s="767"/>
      <c r="GD30" s="764"/>
      <c r="GE30" s="699"/>
      <c r="GF30" s="765"/>
      <c r="GG30" s="766"/>
      <c r="GH30" s="766"/>
      <c r="GI30" s="765"/>
      <c r="GJ30" s="766"/>
      <c r="GK30" s="767"/>
      <c r="GL30" s="764"/>
      <c r="GM30" s="699"/>
      <c r="GN30" s="765"/>
      <c r="GO30" s="766"/>
      <c r="GP30" s="766"/>
      <c r="GQ30" s="765"/>
      <c r="GR30" s="766"/>
      <c r="GS30" s="767"/>
      <c r="GT30" s="764"/>
      <c r="GU30" s="699"/>
      <c r="GV30" s="765"/>
      <c r="GW30" s="766"/>
      <c r="GX30" s="766"/>
      <c r="GY30" s="765"/>
      <c r="GZ30" s="766"/>
      <c r="HA30" s="767"/>
      <c r="HB30" s="764"/>
      <c r="HC30" s="699"/>
      <c r="HD30" s="765"/>
      <c r="HE30" s="766"/>
      <c r="HF30" s="766"/>
      <c r="HG30" s="765"/>
      <c r="HH30" s="766"/>
      <c r="HI30" s="767"/>
      <c r="HJ30" s="764"/>
      <c r="HK30" s="699"/>
      <c r="HL30" s="765"/>
      <c r="HM30" s="766"/>
      <c r="HN30" s="766"/>
      <c r="HO30" s="765"/>
      <c r="HP30" s="766"/>
      <c r="HQ30" s="767"/>
      <c r="HR30" s="764"/>
      <c r="HS30" s="699"/>
      <c r="HT30" s="765"/>
      <c r="HU30" s="766"/>
      <c r="HV30" s="766"/>
      <c r="HW30" s="765"/>
      <c r="HX30" s="766"/>
      <c r="HY30" s="767"/>
      <c r="HZ30" s="764"/>
      <c r="IA30" s="699"/>
      <c r="IB30" s="765"/>
      <c r="IC30" s="766"/>
      <c r="ID30" s="766"/>
      <c r="IE30" s="765"/>
      <c r="IF30" s="766"/>
      <c r="IG30" s="765"/>
      <c r="IH30" s="768"/>
      <c r="II30" s="108"/>
      <c r="IJ30" s="108"/>
      <c r="IK30" s="108"/>
      <c r="IL30" s="108"/>
      <c r="IM30" s="108"/>
      <c r="IN30" s="108"/>
      <c r="IO30" s="769"/>
    </row>
    <row r="31" spans="1:249" x14ac:dyDescent="0.25">
      <c r="A31" s="763">
        <f t="shared" si="30"/>
        <v>21</v>
      </c>
      <c r="B31" s="764"/>
      <c r="C31" s="699">
        <v>0</v>
      </c>
      <c r="D31" s="765">
        <v>23.171876038108632</v>
      </c>
      <c r="E31" s="766">
        <v>7.5</v>
      </c>
      <c r="F31" s="766">
        <v>113.18431468887758</v>
      </c>
      <c r="G31" s="765">
        <v>49.908338510670276</v>
      </c>
      <c r="H31" s="766">
        <v>0</v>
      </c>
      <c r="I31" s="767">
        <v>0</v>
      </c>
      <c r="J31" s="764"/>
      <c r="K31" s="699"/>
      <c r="L31" s="765"/>
      <c r="M31" s="766"/>
      <c r="N31" s="766"/>
      <c r="O31" s="765"/>
      <c r="P31" s="766"/>
      <c r="Q31" s="767"/>
      <c r="R31" s="764"/>
      <c r="S31" s="699"/>
      <c r="T31" s="765"/>
      <c r="U31" s="766"/>
      <c r="V31" s="766"/>
      <c r="W31" s="765"/>
      <c r="X31" s="766"/>
      <c r="Y31" s="767"/>
      <c r="Z31" s="764"/>
      <c r="AA31" s="699"/>
      <c r="AB31" s="765"/>
      <c r="AC31" s="766"/>
      <c r="AD31" s="766"/>
      <c r="AE31" s="765"/>
      <c r="AF31" s="766"/>
      <c r="AG31" s="767"/>
      <c r="AH31" s="764"/>
      <c r="AI31" s="699"/>
      <c r="AJ31" s="765"/>
      <c r="AK31" s="766"/>
      <c r="AL31" s="766"/>
      <c r="AM31" s="765"/>
      <c r="AN31" s="766"/>
      <c r="AO31" s="767"/>
      <c r="AP31" s="764"/>
      <c r="AQ31" s="699"/>
      <c r="AR31" s="765"/>
      <c r="AS31" s="766"/>
      <c r="AT31" s="766"/>
      <c r="AU31" s="765"/>
      <c r="AV31" s="766"/>
      <c r="AW31" s="767"/>
      <c r="AX31" s="764"/>
      <c r="AY31" s="699"/>
      <c r="AZ31" s="765"/>
      <c r="BA31" s="766"/>
      <c r="BB31" s="766"/>
      <c r="BC31" s="765"/>
      <c r="BD31" s="766"/>
      <c r="BE31" s="767"/>
      <c r="BF31" s="764"/>
      <c r="BG31" s="699"/>
      <c r="BH31" s="765"/>
      <c r="BI31" s="766"/>
      <c r="BJ31" s="766"/>
      <c r="BK31" s="765"/>
      <c r="BL31" s="766"/>
      <c r="BM31" s="767"/>
      <c r="BN31" s="764"/>
      <c r="BO31" s="699"/>
      <c r="BP31" s="765"/>
      <c r="BQ31" s="766"/>
      <c r="BR31" s="766"/>
      <c r="BS31" s="765"/>
      <c r="BT31" s="766"/>
      <c r="BU31" s="767"/>
      <c r="BV31" s="764"/>
      <c r="BW31" s="699"/>
      <c r="BX31" s="765"/>
      <c r="BY31" s="766"/>
      <c r="BZ31" s="766"/>
      <c r="CA31" s="765"/>
      <c r="CB31" s="766"/>
      <c r="CC31" s="767"/>
      <c r="CD31" s="764"/>
      <c r="CE31" s="699"/>
      <c r="CF31" s="765"/>
      <c r="CG31" s="766"/>
      <c r="CH31" s="766"/>
      <c r="CI31" s="765"/>
      <c r="CJ31" s="766"/>
      <c r="CK31" s="767"/>
      <c r="CL31" s="764"/>
      <c r="CM31" s="699"/>
      <c r="CN31" s="765"/>
      <c r="CO31" s="766"/>
      <c r="CP31" s="766"/>
      <c r="CQ31" s="765"/>
      <c r="CR31" s="766"/>
      <c r="CS31" s="767"/>
      <c r="CT31" s="764"/>
      <c r="CU31" s="699"/>
      <c r="CV31" s="765"/>
      <c r="CW31" s="766"/>
      <c r="CX31" s="766"/>
      <c r="CY31" s="765"/>
      <c r="CZ31" s="766"/>
      <c r="DA31" s="767"/>
      <c r="DB31" s="764"/>
      <c r="DC31" s="699"/>
      <c r="DD31" s="765"/>
      <c r="DE31" s="766"/>
      <c r="DF31" s="766"/>
      <c r="DG31" s="765"/>
      <c r="DH31" s="766"/>
      <c r="DI31" s="767"/>
      <c r="DJ31" s="764"/>
      <c r="DK31" s="699"/>
      <c r="DL31" s="765"/>
      <c r="DM31" s="766"/>
      <c r="DN31" s="766"/>
      <c r="DO31" s="765"/>
      <c r="DP31" s="766"/>
      <c r="DQ31" s="767"/>
      <c r="DR31" s="764"/>
      <c r="DS31" s="699"/>
      <c r="DT31" s="765"/>
      <c r="DU31" s="766"/>
      <c r="DV31" s="766"/>
      <c r="DW31" s="765"/>
      <c r="DX31" s="766"/>
      <c r="DY31" s="767"/>
      <c r="DZ31" s="764"/>
      <c r="EA31" s="699"/>
      <c r="EB31" s="765"/>
      <c r="EC31" s="766"/>
      <c r="ED31" s="766"/>
      <c r="EE31" s="765"/>
      <c r="EF31" s="766"/>
      <c r="EG31" s="767"/>
      <c r="EH31" s="764"/>
      <c r="EI31" s="699"/>
      <c r="EJ31" s="765"/>
      <c r="EK31" s="766"/>
      <c r="EL31" s="766"/>
      <c r="EM31" s="765"/>
      <c r="EN31" s="766"/>
      <c r="EO31" s="767"/>
      <c r="EP31" s="764"/>
      <c r="EQ31" s="699"/>
      <c r="ER31" s="765"/>
      <c r="ES31" s="766"/>
      <c r="ET31" s="766"/>
      <c r="EU31" s="765"/>
      <c r="EV31" s="766"/>
      <c r="EW31" s="767"/>
      <c r="EX31" s="764"/>
      <c r="EY31" s="699"/>
      <c r="EZ31" s="765"/>
      <c r="FA31" s="766"/>
      <c r="FB31" s="766"/>
      <c r="FC31" s="765"/>
      <c r="FD31" s="766"/>
      <c r="FE31" s="767"/>
      <c r="FF31" s="764"/>
      <c r="FG31" s="699"/>
      <c r="FH31" s="765"/>
      <c r="FI31" s="766"/>
      <c r="FJ31" s="766"/>
      <c r="FK31" s="765"/>
      <c r="FL31" s="766"/>
      <c r="FM31" s="767"/>
      <c r="FN31" s="764"/>
      <c r="FO31" s="699"/>
      <c r="FP31" s="765"/>
      <c r="FQ31" s="766"/>
      <c r="FR31" s="766"/>
      <c r="FS31" s="765"/>
      <c r="FT31" s="766"/>
      <c r="FU31" s="767"/>
      <c r="FV31" s="764"/>
      <c r="FW31" s="699"/>
      <c r="FX31" s="765"/>
      <c r="FY31" s="766"/>
      <c r="FZ31" s="766"/>
      <c r="GA31" s="765"/>
      <c r="GB31" s="766"/>
      <c r="GC31" s="767"/>
      <c r="GD31" s="764"/>
      <c r="GE31" s="699"/>
      <c r="GF31" s="765"/>
      <c r="GG31" s="766"/>
      <c r="GH31" s="766"/>
      <c r="GI31" s="765"/>
      <c r="GJ31" s="766"/>
      <c r="GK31" s="767"/>
      <c r="GL31" s="764"/>
      <c r="GM31" s="699"/>
      <c r="GN31" s="765"/>
      <c r="GO31" s="766"/>
      <c r="GP31" s="766"/>
      <c r="GQ31" s="765"/>
      <c r="GR31" s="766"/>
      <c r="GS31" s="767"/>
      <c r="GT31" s="764"/>
      <c r="GU31" s="699"/>
      <c r="GV31" s="765"/>
      <c r="GW31" s="766"/>
      <c r="GX31" s="766"/>
      <c r="GY31" s="765"/>
      <c r="GZ31" s="766"/>
      <c r="HA31" s="767"/>
      <c r="HB31" s="764"/>
      <c r="HC31" s="699"/>
      <c r="HD31" s="765"/>
      <c r="HE31" s="766"/>
      <c r="HF31" s="766"/>
      <c r="HG31" s="765"/>
      <c r="HH31" s="766"/>
      <c r="HI31" s="767"/>
      <c r="HJ31" s="764"/>
      <c r="HK31" s="699"/>
      <c r="HL31" s="765"/>
      <c r="HM31" s="766"/>
      <c r="HN31" s="766"/>
      <c r="HO31" s="765"/>
      <c r="HP31" s="766"/>
      <c r="HQ31" s="767"/>
      <c r="HR31" s="764"/>
      <c r="HS31" s="699"/>
      <c r="HT31" s="765"/>
      <c r="HU31" s="766"/>
      <c r="HV31" s="766"/>
      <c r="HW31" s="765"/>
      <c r="HX31" s="766"/>
      <c r="HY31" s="767"/>
      <c r="HZ31" s="764"/>
      <c r="IA31" s="699"/>
      <c r="IB31" s="765"/>
      <c r="IC31" s="766"/>
      <c r="ID31" s="766"/>
      <c r="IE31" s="765"/>
      <c r="IF31" s="766"/>
      <c r="IG31" s="765"/>
      <c r="IH31" s="768"/>
      <c r="II31" s="108"/>
      <c r="IJ31" s="108"/>
      <c r="IK31" s="108"/>
      <c r="IL31" s="108"/>
      <c r="IM31" s="108"/>
      <c r="IN31" s="108"/>
      <c r="IO31" s="769"/>
    </row>
    <row r="32" spans="1:249" x14ac:dyDescent="0.25">
      <c r="A32" s="763">
        <f t="shared" si="30"/>
        <v>22</v>
      </c>
      <c r="B32" s="764"/>
      <c r="C32" s="699">
        <v>0</v>
      </c>
      <c r="D32" s="765">
        <v>23.956149211064968</v>
      </c>
      <c r="E32" s="766">
        <v>7.5</v>
      </c>
      <c r="F32" s="766">
        <v>125.07015394139599</v>
      </c>
      <c r="G32" s="765">
        <v>55.149369394929316</v>
      </c>
      <c r="H32" s="766">
        <v>0</v>
      </c>
      <c r="I32" s="767">
        <v>0</v>
      </c>
      <c r="J32" s="764"/>
      <c r="K32" s="699"/>
      <c r="L32" s="765"/>
      <c r="M32" s="766"/>
      <c r="N32" s="766"/>
      <c r="O32" s="765"/>
      <c r="P32" s="766"/>
      <c r="Q32" s="767"/>
      <c r="R32" s="764"/>
      <c r="S32" s="699"/>
      <c r="T32" s="765"/>
      <c r="U32" s="766"/>
      <c r="V32" s="766"/>
      <c r="W32" s="765"/>
      <c r="X32" s="766"/>
      <c r="Y32" s="767"/>
      <c r="Z32" s="764"/>
      <c r="AA32" s="699"/>
      <c r="AB32" s="765"/>
      <c r="AC32" s="766"/>
      <c r="AD32" s="766"/>
      <c r="AE32" s="765"/>
      <c r="AF32" s="766"/>
      <c r="AG32" s="767"/>
      <c r="AH32" s="764"/>
      <c r="AI32" s="699"/>
      <c r="AJ32" s="765"/>
      <c r="AK32" s="766"/>
      <c r="AL32" s="766"/>
      <c r="AM32" s="765"/>
      <c r="AN32" s="766"/>
      <c r="AO32" s="767"/>
      <c r="AP32" s="764"/>
      <c r="AQ32" s="699"/>
      <c r="AR32" s="765"/>
      <c r="AS32" s="766"/>
      <c r="AT32" s="766"/>
      <c r="AU32" s="765"/>
      <c r="AV32" s="766"/>
      <c r="AW32" s="767"/>
      <c r="AX32" s="764"/>
      <c r="AY32" s="699"/>
      <c r="AZ32" s="765"/>
      <c r="BA32" s="766"/>
      <c r="BB32" s="766"/>
      <c r="BC32" s="765"/>
      <c r="BD32" s="766"/>
      <c r="BE32" s="767"/>
      <c r="BF32" s="764"/>
      <c r="BG32" s="699"/>
      <c r="BH32" s="765"/>
      <c r="BI32" s="766"/>
      <c r="BJ32" s="766"/>
      <c r="BK32" s="765"/>
      <c r="BL32" s="766"/>
      <c r="BM32" s="767"/>
      <c r="BN32" s="764"/>
      <c r="BO32" s="699"/>
      <c r="BP32" s="765"/>
      <c r="BQ32" s="766"/>
      <c r="BR32" s="766"/>
      <c r="BS32" s="765"/>
      <c r="BT32" s="766"/>
      <c r="BU32" s="767"/>
      <c r="BV32" s="764"/>
      <c r="BW32" s="699"/>
      <c r="BX32" s="765"/>
      <c r="BY32" s="766"/>
      <c r="BZ32" s="766"/>
      <c r="CA32" s="765"/>
      <c r="CB32" s="766"/>
      <c r="CC32" s="767"/>
      <c r="CD32" s="764"/>
      <c r="CE32" s="699"/>
      <c r="CF32" s="765"/>
      <c r="CG32" s="766"/>
      <c r="CH32" s="766"/>
      <c r="CI32" s="765"/>
      <c r="CJ32" s="766"/>
      <c r="CK32" s="767"/>
      <c r="CL32" s="764"/>
      <c r="CM32" s="699"/>
      <c r="CN32" s="765"/>
      <c r="CO32" s="766"/>
      <c r="CP32" s="766"/>
      <c r="CQ32" s="765"/>
      <c r="CR32" s="766"/>
      <c r="CS32" s="767"/>
      <c r="CT32" s="764"/>
      <c r="CU32" s="699"/>
      <c r="CV32" s="765"/>
      <c r="CW32" s="766"/>
      <c r="CX32" s="766"/>
      <c r="CY32" s="765"/>
      <c r="CZ32" s="766"/>
      <c r="DA32" s="767"/>
      <c r="DB32" s="764"/>
      <c r="DC32" s="699"/>
      <c r="DD32" s="765"/>
      <c r="DE32" s="766"/>
      <c r="DF32" s="766"/>
      <c r="DG32" s="765"/>
      <c r="DH32" s="766"/>
      <c r="DI32" s="767"/>
      <c r="DJ32" s="764"/>
      <c r="DK32" s="699"/>
      <c r="DL32" s="765"/>
      <c r="DM32" s="766"/>
      <c r="DN32" s="766"/>
      <c r="DO32" s="765"/>
      <c r="DP32" s="766"/>
      <c r="DQ32" s="767"/>
      <c r="DR32" s="764"/>
      <c r="DS32" s="699"/>
      <c r="DT32" s="765"/>
      <c r="DU32" s="766"/>
      <c r="DV32" s="766"/>
      <c r="DW32" s="765"/>
      <c r="DX32" s="766"/>
      <c r="DY32" s="767"/>
      <c r="DZ32" s="764"/>
      <c r="EA32" s="699"/>
      <c r="EB32" s="765"/>
      <c r="EC32" s="766"/>
      <c r="ED32" s="766"/>
      <c r="EE32" s="765"/>
      <c r="EF32" s="766"/>
      <c r="EG32" s="767"/>
      <c r="EH32" s="764"/>
      <c r="EI32" s="699"/>
      <c r="EJ32" s="765"/>
      <c r="EK32" s="766"/>
      <c r="EL32" s="766"/>
      <c r="EM32" s="765"/>
      <c r="EN32" s="766"/>
      <c r="EO32" s="767"/>
      <c r="EP32" s="764"/>
      <c r="EQ32" s="699"/>
      <c r="ER32" s="765"/>
      <c r="ES32" s="766"/>
      <c r="ET32" s="766"/>
      <c r="EU32" s="765"/>
      <c r="EV32" s="766"/>
      <c r="EW32" s="767"/>
      <c r="EX32" s="764"/>
      <c r="EY32" s="699"/>
      <c r="EZ32" s="765"/>
      <c r="FA32" s="766"/>
      <c r="FB32" s="766"/>
      <c r="FC32" s="765"/>
      <c r="FD32" s="766"/>
      <c r="FE32" s="767"/>
      <c r="FF32" s="764"/>
      <c r="FG32" s="699"/>
      <c r="FH32" s="765"/>
      <c r="FI32" s="766"/>
      <c r="FJ32" s="766"/>
      <c r="FK32" s="765"/>
      <c r="FL32" s="766"/>
      <c r="FM32" s="767"/>
      <c r="FN32" s="764"/>
      <c r="FO32" s="699"/>
      <c r="FP32" s="765"/>
      <c r="FQ32" s="766"/>
      <c r="FR32" s="766"/>
      <c r="FS32" s="765"/>
      <c r="FT32" s="766"/>
      <c r="FU32" s="767"/>
      <c r="FV32" s="764"/>
      <c r="FW32" s="699"/>
      <c r="FX32" s="765"/>
      <c r="FY32" s="766"/>
      <c r="FZ32" s="766"/>
      <c r="GA32" s="765"/>
      <c r="GB32" s="766"/>
      <c r="GC32" s="767"/>
      <c r="GD32" s="764"/>
      <c r="GE32" s="699"/>
      <c r="GF32" s="765"/>
      <c r="GG32" s="766"/>
      <c r="GH32" s="766"/>
      <c r="GI32" s="765"/>
      <c r="GJ32" s="766"/>
      <c r="GK32" s="767"/>
      <c r="GL32" s="764"/>
      <c r="GM32" s="699"/>
      <c r="GN32" s="765"/>
      <c r="GO32" s="766"/>
      <c r="GP32" s="766"/>
      <c r="GQ32" s="765"/>
      <c r="GR32" s="766"/>
      <c r="GS32" s="767"/>
      <c r="GT32" s="764"/>
      <c r="GU32" s="699"/>
      <c r="GV32" s="765"/>
      <c r="GW32" s="766"/>
      <c r="GX32" s="766"/>
      <c r="GY32" s="765"/>
      <c r="GZ32" s="766"/>
      <c r="HA32" s="767"/>
      <c r="HB32" s="764"/>
      <c r="HC32" s="699"/>
      <c r="HD32" s="765"/>
      <c r="HE32" s="766"/>
      <c r="HF32" s="766"/>
      <c r="HG32" s="765"/>
      <c r="HH32" s="766"/>
      <c r="HI32" s="767"/>
      <c r="HJ32" s="764"/>
      <c r="HK32" s="699"/>
      <c r="HL32" s="765"/>
      <c r="HM32" s="766"/>
      <c r="HN32" s="766"/>
      <c r="HO32" s="765"/>
      <c r="HP32" s="766"/>
      <c r="HQ32" s="767"/>
      <c r="HR32" s="764"/>
      <c r="HS32" s="699"/>
      <c r="HT32" s="765"/>
      <c r="HU32" s="766"/>
      <c r="HV32" s="766"/>
      <c r="HW32" s="765"/>
      <c r="HX32" s="766"/>
      <c r="HY32" s="767"/>
      <c r="HZ32" s="764"/>
      <c r="IA32" s="699"/>
      <c r="IB32" s="765"/>
      <c r="IC32" s="766"/>
      <c r="ID32" s="766"/>
      <c r="IE32" s="765"/>
      <c r="IF32" s="766"/>
      <c r="IG32" s="765"/>
      <c r="IH32" s="768"/>
      <c r="II32" s="108"/>
      <c r="IJ32" s="108"/>
      <c r="IK32" s="108"/>
      <c r="IL32" s="108"/>
      <c r="IM32" s="108"/>
      <c r="IN32" s="108"/>
      <c r="IO32" s="769"/>
    </row>
    <row r="33" spans="1:249" x14ac:dyDescent="0.25">
      <c r="A33" s="763">
        <f t="shared" si="30"/>
        <v>23</v>
      </c>
      <c r="B33" s="764"/>
      <c r="C33" s="699">
        <v>0</v>
      </c>
      <c r="D33" s="765">
        <v>24.653123835710584</v>
      </c>
      <c r="E33" s="766">
        <v>7.5</v>
      </c>
      <c r="F33" s="766">
        <v>136.30711560923348</v>
      </c>
      <c r="G33" s="765">
        <v>60.104279342402535</v>
      </c>
      <c r="H33" s="766">
        <v>0</v>
      </c>
      <c r="I33" s="767">
        <v>0</v>
      </c>
      <c r="J33" s="764"/>
      <c r="K33" s="699"/>
      <c r="L33" s="765"/>
      <c r="M33" s="766"/>
      <c r="N33" s="766"/>
      <c r="O33" s="765"/>
      <c r="P33" s="766"/>
      <c r="Q33" s="767"/>
      <c r="R33" s="764"/>
      <c r="S33" s="699"/>
      <c r="T33" s="765"/>
      <c r="U33" s="766"/>
      <c r="V33" s="766"/>
      <c r="W33" s="765"/>
      <c r="X33" s="766"/>
      <c r="Y33" s="767"/>
      <c r="Z33" s="764"/>
      <c r="AA33" s="699"/>
      <c r="AB33" s="765"/>
      <c r="AC33" s="766"/>
      <c r="AD33" s="766"/>
      <c r="AE33" s="765"/>
      <c r="AF33" s="766"/>
      <c r="AG33" s="767"/>
      <c r="AH33" s="764"/>
      <c r="AI33" s="699"/>
      <c r="AJ33" s="765"/>
      <c r="AK33" s="766"/>
      <c r="AL33" s="766"/>
      <c r="AM33" s="765"/>
      <c r="AN33" s="766"/>
      <c r="AO33" s="767"/>
      <c r="AP33" s="764"/>
      <c r="AQ33" s="699"/>
      <c r="AR33" s="765"/>
      <c r="AS33" s="766"/>
      <c r="AT33" s="766"/>
      <c r="AU33" s="765"/>
      <c r="AV33" s="766"/>
      <c r="AW33" s="767"/>
      <c r="AX33" s="764"/>
      <c r="AY33" s="699"/>
      <c r="AZ33" s="765"/>
      <c r="BA33" s="766"/>
      <c r="BB33" s="766"/>
      <c r="BC33" s="765"/>
      <c r="BD33" s="766"/>
      <c r="BE33" s="767"/>
      <c r="BF33" s="764"/>
      <c r="BG33" s="699"/>
      <c r="BH33" s="765"/>
      <c r="BI33" s="766"/>
      <c r="BJ33" s="766"/>
      <c r="BK33" s="765"/>
      <c r="BL33" s="766"/>
      <c r="BM33" s="767"/>
      <c r="BN33" s="764"/>
      <c r="BO33" s="699"/>
      <c r="BP33" s="765"/>
      <c r="BQ33" s="766"/>
      <c r="BR33" s="766"/>
      <c r="BS33" s="765"/>
      <c r="BT33" s="766"/>
      <c r="BU33" s="767"/>
      <c r="BV33" s="764"/>
      <c r="BW33" s="699"/>
      <c r="BX33" s="765"/>
      <c r="BY33" s="766"/>
      <c r="BZ33" s="766"/>
      <c r="CA33" s="765"/>
      <c r="CB33" s="766"/>
      <c r="CC33" s="767"/>
      <c r="CD33" s="764"/>
      <c r="CE33" s="699"/>
      <c r="CF33" s="765"/>
      <c r="CG33" s="766"/>
      <c r="CH33" s="766"/>
      <c r="CI33" s="765"/>
      <c r="CJ33" s="766"/>
      <c r="CK33" s="767"/>
      <c r="CL33" s="764"/>
      <c r="CM33" s="699"/>
      <c r="CN33" s="765"/>
      <c r="CO33" s="766"/>
      <c r="CP33" s="766"/>
      <c r="CQ33" s="765"/>
      <c r="CR33" s="766"/>
      <c r="CS33" s="767"/>
      <c r="CT33" s="764"/>
      <c r="CU33" s="699"/>
      <c r="CV33" s="765"/>
      <c r="CW33" s="766"/>
      <c r="CX33" s="766"/>
      <c r="CY33" s="765"/>
      <c r="CZ33" s="766"/>
      <c r="DA33" s="767"/>
      <c r="DB33" s="764"/>
      <c r="DC33" s="699"/>
      <c r="DD33" s="765"/>
      <c r="DE33" s="766"/>
      <c r="DF33" s="766"/>
      <c r="DG33" s="765"/>
      <c r="DH33" s="766"/>
      <c r="DI33" s="767"/>
      <c r="DJ33" s="764"/>
      <c r="DK33" s="699"/>
      <c r="DL33" s="765"/>
      <c r="DM33" s="766"/>
      <c r="DN33" s="766"/>
      <c r="DO33" s="765"/>
      <c r="DP33" s="766"/>
      <c r="DQ33" s="767"/>
      <c r="DR33" s="764"/>
      <c r="DS33" s="699"/>
      <c r="DT33" s="765"/>
      <c r="DU33" s="766"/>
      <c r="DV33" s="766"/>
      <c r="DW33" s="765"/>
      <c r="DX33" s="766"/>
      <c r="DY33" s="767"/>
      <c r="DZ33" s="764"/>
      <c r="EA33" s="699"/>
      <c r="EB33" s="765"/>
      <c r="EC33" s="766"/>
      <c r="ED33" s="766"/>
      <c r="EE33" s="765"/>
      <c r="EF33" s="766"/>
      <c r="EG33" s="767"/>
      <c r="EH33" s="764"/>
      <c r="EI33" s="699"/>
      <c r="EJ33" s="765"/>
      <c r="EK33" s="766"/>
      <c r="EL33" s="766"/>
      <c r="EM33" s="765"/>
      <c r="EN33" s="766"/>
      <c r="EO33" s="767"/>
      <c r="EP33" s="764"/>
      <c r="EQ33" s="699"/>
      <c r="ER33" s="765"/>
      <c r="ES33" s="766"/>
      <c r="ET33" s="766"/>
      <c r="EU33" s="765"/>
      <c r="EV33" s="766"/>
      <c r="EW33" s="767"/>
      <c r="EX33" s="764"/>
      <c r="EY33" s="699"/>
      <c r="EZ33" s="765"/>
      <c r="FA33" s="766"/>
      <c r="FB33" s="766"/>
      <c r="FC33" s="765"/>
      <c r="FD33" s="766"/>
      <c r="FE33" s="767"/>
      <c r="FF33" s="764"/>
      <c r="FG33" s="699"/>
      <c r="FH33" s="765"/>
      <c r="FI33" s="766"/>
      <c r="FJ33" s="766"/>
      <c r="FK33" s="765"/>
      <c r="FL33" s="766"/>
      <c r="FM33" s="767"/>
      <c r="FN33" s="764"/>
      <c r="FO33" s="699"/>
      <c r="FP33" s="765"/>
      <c r="FQ33" s="766"/>
      <c r="FR33" s="766"/>
      <c r="FS33" s="765"/>
      <c r="FT33" s="766"/>
      <c r="FU33" s="767"/>
      <c r="FV33" s="764"/>
      <c r="FW33" s="699"/>
      <c r="FX33" s="765"/>
      <c r="FY33" s="766"/>
      <c r="FZ33" s="766"/>
      <c r="GA33" s="765"/>
      <c r="GB33" s="766"/>
      <c r="GC33" s="767"/>
      <c r="GD33" s="764"/>
      <c r="GE33" s="699"/>
      <c r="GF33" s="765"/>
      <c r="GG33" s="766"/>
      <c r="GH33" s="766"/>
      <c r="GI33" s="765"/>
      <c r="GJ33" s="766"/>
      <c r="GK33" s="767"/>
      <c r="GL33" s="764"/>
      <c r="GM33" s="699"/>
      <c r="GN33" s="765"/>
      <c r="GO33" s="766"/>
      <c r="GP33" s="766"/>
      <c r="GQ33" s="765"/>
      <c r="GR33" s="766"/>
      <c r="GS33" s="767"/>
      <c r="GT33" s="764"/>
      <c r="GU33" s="699"/>
      <c r="GV33" s="765"/>
      <c r="GW33" s="766"/>
      <c r="GX33" s="766"/>
      <c r="GY33" s="765"/>
      <c r="GZ33" s="766"/>
      <c r="HA33" s="767"/>
      <c r="HB33" s="764"/>
      <c r="HC33" s="699"/>
      <c r="HD33" s="765"/>
      <c r="HE33" s="766"/>
      <c r="HF33" s="766"/>
      <c r="HG33" s="765"/>
      <c r="HH33" s="766"/>
      <c r="HI33" s="767"/>
      <c r="HJ33" s="764"/>
      <c r="HK33" s="699"/>
      <c r="HL33" s="765"/>
      <c r="HM33" s="766"/>
      <c r="HN33" s="766"/>
      <c r="HO33" s="765"/>
      <c r="HP33" s="766"/>
      <c r="HQ33" s="767"/>
      <c r="HR33" s="764"/>
      <c r="HS33" s="699"/>
      <c r="HT33" s="765"/>
      <c r="HU33" s="766"/>
      <c r="HV33" s="766"/>
      <c r="HW33" s="765"/>
      <c r="HX33" s="766"/>
      <c r="HY33" s="767"/>
      <c r="HZ33" s="764"/>
      <c r="IA33" s="699"/>
      <c r="IB33" s="765"/>
      <c r="IC33" s="766"/>
      <c r="ID33" s="766"/>
      <c r="IE33" s="765"/>
      <c r="IF33" s="766"/>
      <c r="IG33" s="765"/>
      <c r="IH33" s="768"/>
      <c r="II33" s="108"/>
      <c r="IJ33" s="108"/>
      <c r="IK33" s="108"/>
      <c r="IL33" s="108"/>
      <c r="IM33" s="108"/>
      <c r="IN33" s="108"/>
      <c r="IO33" s="769"/>
    </row>
    <row r="34" spans="1:249" x14ac:dyDescent="0.25">
      <c r="A34" s="763">
        <f t="shared" si="30"/>
        <v>24</v>
      </c>
      <c r="B34" s="764"/>
      <c r="C34" s="699">
        <v>0</v>
      </c>
      <c r="D34" s="765">
        <v>25.345789602907153</v>
      </c>
      <c r="E34" s="766">
        <v>7.5</v>
      </c>
      <c r="F34" s="766">
        <v>148.12219270331869</v>
      </c>
      <c r="G34" s="765">
        <v>65.314107831112878</v>
      </c>
      <c r="H34" s="766">
        <v>0</v>
      </c>
      <c r="I34" s="767">
        <v>0</v>
      </c>
      <c r="J34" s="764"/>
      <c r="K34" s="699"/>
      <c r="L34" s="765"/>
      <c r="M34" s="766"/>
      <c r="N34" s="766"/>
      <c r="O34" s="765"/>
      <c r="P34" s="766"/>
      <c r="Q34" s="767"/>
      <c r="R34" s="764"/>
      <c r="S34" s="699"/>
      <c r="T34" s="765"/>
      <c r="U34" s="766"/>
      <c r="V34" s="766"/>
      <c r="W34" s="765"/>
      <c r="X34" s="766"/>
      <c r="Y34" s="767"/>
      <c r="Z34" s="764"/>
      <c r="AA34" s="699"/>
      <c r="AB34" s="765"/>
      <c r="AC34" s="766"/>
      <c r="AD34" s="766"/>
      <c r="AE34" s="765"/>
      <c r="AF34" s="766"/>
      <c r="AG34" s="767"/>
      <c r="AH34" s="764"/>
      <c r="AI34" s="699"/>
      <c r="AJ34" s="765"/>
      <c r="AK34" s="766"/>
      <c r="AL34" s="766"/>
      <c r="AM34" s="765"/>
      <c r="AN34" s="766"/>
      <c r="AO34" s="767"/>
      <c r="AP34" s="764"/>
      <c r="AQ34" s="699"/>
      <c r="AR34" s="765"/>
      <c r="AS34" s="766"/>
      <c r="AT34" s="766"/>
      <c r="AU34" s="765"/>
      <c r="AV34" s="766"/>
      <c r="AW34" s="767"/>
      <c r="AX34" s="764"/>
      <c r="AY34" s="699"/>
      <c r="AZ34" s="765"/>
      <c r="BA34" s="766"/>
      <c r="BB34" s="766"/>
      <c r="BC34" s="765"/>
      <c r="BD34" s="766"/>
      <c r="BE34" s="767"/>
      <c r="BF34" s="764"/>
      <c r="BG34" s="699"/>
      <c r="BH34" s="765"/>
      <c r="BI34" s="766"/>
      <c r="BJ34" s="766"/>
      <c r="BK34" s="765"/>
      <c r="BL34" s="766"/>
      <c r="BM34" s="767"/>
      <c r="BN34" s="764"/>
      <c r="BO34" s="699"/>
      <c r="BP34" s="765"/>
      <c r="BQ34" s="766"/>
      <c r="BR34" s="766"/>
      <c r="BS34" s="765"/>
      <c r="BT34" s="766"/>
      <c r="BU34" s="767"/>
      <c r="BV34" s="764"/>
      <c r="BW34" s="699"/>
      <c r="BX34" s="765"/>
      <c r="BY34" s="766"/>
      <c r="BZ34" s="766"/>
      <c r="CA34" s="765"/>
      <c r="CB34" s="766"/>
      <c r="CC34" s="767"/>
      <c r="CD34" s="764"/>
      <c r="CE34" s="699"/>
      <c r="CF34" s="765"/>
      <c r="CG34" s="766"/>
      <c r="CH34" s="766"/>
      <c r="CI34" s="765"/>
      <c r="CJ34" s="766"/>
      <c r="CK34" s="767"/>
      <c r="CL34" s="764"/>
      <c r="CM34" s="699"/>
      <c r="CN34" s="765"/>
      <c r="CO34" s="766"/>
      <c r="CP34" s="766"/>
      <c r="CQ34" s="765"/>
      <c r="CR34" s="766"/>
      <c r="CS34" s="767"/>
      <c r="CT34" s="764"/>
      <c r="CU34" s="699"/>
      <c r="CV34" s="765"/>
      <c r="CW34" s="766"/>
      <c r="CX34" s="766"/>
      <c r="CY34" s="765"/>
      <c r="CZ34" s="766"/>
      <c r="DA34" s="767"/>
      <c r="DB34" s="764"/>
      <c r="DC34" s="699"/>
      <c r="DD34" s="765"/>
      <c r="DE34" s="766"/>
      <c r="DF34" s="766"/>
      <c r="DG34" s="765"/>
      <c r="DH34" s="766"/>
      <c r="DI34" s="767"/>
      <c r="DJ34" s="764"/>
      <c r="DK34" s="699"/>
      <c r="DL34" s="765"/>
      <c r="DM34" s="766"/>
      <c r="DN34" s="766"/>
      <c r="DO34" s="765"/>
      <c r="DP34" s="766"/>
      <c r="DQ34" s="767"/>
      <c r="DR34" s="764"/>
      <c r="DS34" s="699"/>
      <c r="DT34" s="765"/>
      <c r="DU34" s="766"/>
      <c r="DV34" s="766"/>
      <c r="DW34" s="765"/>
      <c r="DX34" s="766"/>
      <c r="DY34" s="767"/>
      <c r="DZ34" s="764"/>
      <c r="EA34" s="699"/>
      <c r="EB34" s="765"/>
      <c r="EC34" s="766"/>
      <c r="ED34" s="766"/>
      <c r="EE34" s="765"/>
      <c r="EF34" s="766"/>
      <c r="EG34" s="767"/>
      <c r="EH34" s="764"/>
      <c r="EI34" s="699"/>
      <c r="EJ34" s="765"/>
      <c r="EK34" s="766"/>
      <c r="EL34" s="766"/>
      <c r="EM34" s="765"/>
      <c r="EN34" s="766"/>
      <c r="EO34" s="767"/>
      <c r="EP34" s="764"/>
      <c r="EQ34" s="699"/>
      <c r="ER34" s="765"/>
      <c r="ES34" s="766"/>
      <c r="ET34" s="766"/>
      <c r="EU34" s="765"/>
      <c r="EV34" s="766"/>
      <c r="EW34" s="767"/>
      <c r="EX34" s="764"/>
      <c r="EY34" s="699"/>
      <c r="EZ34" s="765"/>
      <c r="FA34" s="766"/>
      <c r="FB34" s="766"/>
      <c r="FC34" s="765"/>
      <c r="FD34" s="766"/>
      <c r="FE34" s="767"/>
      <c r="FF34" s="764"/>
      <c r="FG34" s="699"/>
      <c r="FH34" s="765"/>
      <c r="FI34" s="766"/>
      <c r="FJ34" s="766"/>
      <c r="FK34" s="765"/>
      <c r="FL34" s="766"/>
      <c r="FM34" s="767"/>
      <c r="FN34" s="764"/>
      <c r="FO34" s="699"/>
      <c r="FP34" s="765"/>
      <c r="FQ34" s="766"/>
      <c r="FR34" s="766"/>
      <c r="FS34" s="765"/>
      <c r="FT34" s="766"/>
      <c r="FU34" s="767"/>
      <c r="FV34" s="764"/>
      <c r="FW34" s="699"/>
      <c r="FX34" s="765"/>
      <c r="FY34" s="766"/>
      <c r="FZ34" s="766"/>
      <c r="GA34" s="765"/>
      <c r="GB34" s="766"/>
      <c r="GC34" s="767"/>
      <c r="GD34" s="764"/>
      <c r="GE34" s="699"/>
      <c r="GF34" s="765"/>
      <c r="GG34" s="766"/>
      <c r="GH34" s="766"/>
      <c r="GI34" s="765"/>
      <c r="GJ34" s="766"/>
      <c r="GK34" s="767"/>
      <c r="GL34" s="764"/>
      <c r="GM34" s="699"/>
      <c r="GN34" s="765"/>
      <c r="GO34" s="766"/>
      <c r="GP34" s="766"/>
      <c r="GQ34" s="765"/>
      <c r="GR34" s="766"/>
      <c r="GS34" s="767"/>
      <c r="GT34" s="764"/>
      <c r="GU34" s="699"/>
      <c r="GV34" s="765"/>
      <c r="GW34" s="766"/>
      <c r="GX34" s="766"/>
      <c r="GY34" s="765"/>
      <c r="GZ34" s="766"/>
      <c r="HA34" s="767"/>
      <c r="HB34" s="764"/>
      <c r="HC34" s="699"/>
      <c r="HD34" s="765"/>
      <c r="HE34" s="766"/>
      <c r="HF34" s="766"/>
      <c r="HG34" s="765"/>
      <c r="HH34" s="766"/>
      <c r="HI34" s="767"/>
      <c r="HJ34" s="764"/>
      <c r="HK34" s="699"/>
      <c r="HL34" s="765"/>
      <c r="HM34" s="766"/>
      <c r="HN34" s="766"/>
      <c r="HO34" s="765"/>
      <c r="HP34" s="766"/>
      <c r="HQ34" s="767"/>
      <c r="HR34" s="764"/>
      <c r="HS34" s="699"/>
      <c r="HT34" s="765"/>
      <c r="HU34" s="766"/>
      <c r="HV34" s="766"/>
      <c r="HW34" s="765"/>
      <c r="HX34" s="766"/>
      <c r="HY34" s="767"/>
      <c r="HZ34" s="764"/>
      <c r="IA34" s="699"/>
      <c r="IB34" s="765"/>
      <c r="IC34" s="766"/>
      <c r="ID34" s="766"/>
      <c r="IE34" s="765"/>
      <c r="IF34" s="766"/>
      <c r="IG34" s="765"/>
      <c r="IH34" s="768"/>
      <c r="II34" s="108"/>
      <c r="IJ34" s="108"/>
      <c r="IK34" s="108"/>
      <c r="IL34" s="108"/>
      <c r="IM34" s="108"/>
      <c r="IN34" s="108"/>
      <c r="IO34" s="769"/>
    </row>
    <row r="35" spans="1:249" x14ac:dyDescent="0.25">
      <c r="A35" s="763">
        <f t="shared" si="30"/>
        <v>25</v>
      </c>
      <c r="B35" s="764"/>
      <c r="C35" s="699">
        <v>0</v>
      </c>
      <c r="D35" s="765">
        <v>26.06268556257508</v>
      </c>
      <c r="E35" s="766">
        <v>7.5</v>
      </c>
      <c r="F35" s="766">
        <v>161.04978502384833</v>
      </c>
      <c r="G35" s="765">
        <v>71.014497107086797</v>
      </c>
      <c r="H35" s="766">
        <v>0</v>
      </c>
      <c r="I35" s="767">
        <v>0</v>
      </c>
      <c r="J35" s="764"/>
      <c r="K35" s="699"/>
      <c r="L35" s="765"/>
      <c r="M35" s="766"/>
      <c r="N35" s="766"/>
      <c r="O35" s="765"/>
      <c r="P35" s="766"/>
      <c r="Q35" s="767"/>
      <c r="R35" s="764"/>
      <c r="S35" s="699"/>
      <c r="T35" s="765"/>
      <c r="U35" s="766"/>
      <c r="V35" s="766"/>
      <c r="W35" s="765"/>
      <c r="X35" s="766"/>
      <c r="Y35" s="767"/>
      <c r="Z35" s="764"/>
      <c r="AA35" s="699"/>
      <c r="AB35" s="765"/>
      <c r="AC35" s="766"/>
      <c r="AD35" s="766"/>
      <c r="AE35" s="765"/>
      <c r="AF35" s="766"/>
      <c r="AG35" s="767"/>
      <c r="AH35" s="764"/>
      <c r="AI35" s="699"/>
      <c r="AJ35" s="765"/>
      <c r="AK35" s="766"/>
      <c r="AL35" s="766"/>
      <c r="AM35" s="765"/>
      <c r="AN35" s="766"/>
      <c r="AO35" s="767"/>
      <c r="AP35" s="764"/>
      <c r="AQ35" s="699"/>
      <c r="AR35" s="765"/>
      <c r="AS35" s="766"/>
      <c r="AT35" s="766"/>
      <c r="AU35" s="765"/>
      <c r="AV35" s="766"/>
      <c r="AW35" s="767"/>
      <c r="AX35" s="764"/>
      <c r="AY35" s="699"/>
      <c r="AZ35" s="765"/>
      <c r="BA35" s="766"/>
      <c r="BB35" s="766"/>
      <c r="BC35" s="765"/>
      <c r="BD35" s="766"/>
      <c r="BE35" s="767"/>
      <c r="BF35" s="764"/>
      <c r="BG35" s="699"/>
      <c r="BH35" s="765"/>
      <c r="BI35" s="766"/>
      <c r="BJ35" s="766"/>
      <c r="BK35" s="765"/>
      <c r="BL35" s="766"/>
      <c r="BM35" s="767"/>
      <c r="BN35" s="764"/>
      <c r="BO35" s="699"/>
      <c r="BP35" s="765"/>
      <c r="BQ35" s="766"/>
      <c r="BR35" s="766"/>
      <c r="BS35" s="765"/>
      <c r="BT35" s="766"/>
      <c r="BU35" s="767"/>
      <c r="BV35" s="764"/>
      <c r="BW35" s="699"/>
      <c r="BX35" s="765"/>
      <c r="BY35" s="766"/>
      <c r="BZ35" s="766"/>
      <c r="CA35" s="765"/>
      <c r="CB35" s="766"/>
      <c r="CC35" s="767"/>
      <c r="CD35" s="764"/>
      <c r="CE35" s="699"/>
      <c r="CF35" s="765"/>
      <c r="CG35" s="766"/>
      <c r="CH35" s="766"/>
      <c r="CI35" s="765"/>
      <c r="CJ35" s="766"/>
      <c r="CK35" s="767"/>
      <c r="CL35" s="764"/>
      <c r="CM35" s="699"/>
      <c r="CN35" s="765"/>
      <c r="CO35" s="766"/>
      <c r="CP35" s="766"/>
      <c r="CQ35" s="765"/>
      <c r="CR35" s="766"/>
      <c r="CS35" s="767"/>
      <c r="CT35" s="764"/>
      <c r="CU35" s="699"/>
      <c r="CV35" s="765"/>
      <c r="CW35" s="766"/>
      <c r="CX35" s="766"/>
      <c r="CY35" s="765"/>
      <c r="CZ35" s="766"/>
      <c r="DA35" s="767"/>
      <c r="DB35" s="764"/>
      <c r="DC35" s="699"/>
      <c r="DD35" s="765"/>
      <c r="DE35" s="766"/>
      <c r="DF35" s="766"/>
      <c r="DG35" s="765"/>
      <c r="DH35" s="766"/>
      <c r="DI35" s="767"/>
      <c r="DJ35" s="764"/>
      <c r="DK35" s="699"/>
      <c r="DL35" s="765"/>
      <c r="DM35" s="766"/>
      <c r="DN35" s="766"/>
      <c r="DO35" s="765"/>
      <c r="DP35" s="766"/>
      <c r="DQ35" s="767"/>
      <c r="DR35" s="764"/>
      <c r="DS35" s="699"/>
      <c r="DT35" s="765"/>
      <c r="DU35" s="766"/>
      <c r="DV35" s="766"/>
      <c r="DW35" s="765"/>
      <c r="DX35" s="766"/>
      <c r="DY35" s="767"/>
      <c r="DZ35" s="764"/>
      <c r="EA35" s="699"/>
      <c r="EB35" s="765"/>
      <c r="EC35" s="766"/>
      <c r="ED35" s="766"/>
      <c r="EE35" s="765"/>
      <c r="EF35" s="766"/>
      <c r="EG35" s="767"/>
      <c r="EH35" s="764"/>
      <c r="EI35" s="699"/>
      <c r="EJ35" s="765"/>
      <c r="EK35" s="766"/>
      <c r="EL35" s="766"/>
      <c r="EM35" s="765"/>
      <c r="EN35" s="766"/>
      <c r="EO35" s="767"/>
      <c r="EP35" s="764"/>
      <c r="EQ35" s="699"/>
      <c r="ER35" s="765"/>
      <c r="ES35" s="766"/>
      <c r="ET35" s="766"/>
      <c r="EU35" s="765"/>
      <c r="EV35" s="766"/>
      <c r="EW35" s="767"/>
      <c r="EX35" s="764"/>
      <c r="EY35" s="699"/>
      <c r="EZ35" s="765"/>
      <c r="FA35" s="766"/>
      <c r="FB35" s="766"/>
      <c r="FC35" s="765"/>
      <c r="FD35" s="766"/>
      <c r="FE35" s="767"/>
      <c r="FF35" s="764"/>
      <c r="FG35" s="699"/>
      <c r="FH35" s="765"/>
      <c r="FI35" s="766"/>
      <c r="FJ35" s="766"/>
      <c r="FK35" s="765"/>
      <c r="FL35" s="766"/>
      <c r="FM35" s="767"/>
      <c r="FN35" s="764"/>
      <c r="FO35" s="699"/>
      <c r="FP35" s="765"/>
      <c r="FQ35" s="766"/>
      <c r="FR35" s="766"/>
      <c r="FS35" s="765"/>
      <c r="FT35" s="766"/>
      <c r="FU35" s="767"/>
      <c r="FV35" s="764"/>
      <c r="FW35" s="699"/>
      <c r="FX35" s="765"/>
      <c r="FY35" s="766"/>
      <c r="FZ35" s="766"/>
      <c r="GA35" s="765"/>
      <c r="GB35" s="766"/>
      <c r="GC35" s="767"/>
      <c r="GD35" s="764"/>
      <c r="GE35" s="699"/>
      <c r="GF35" s="765"/>
      <c r="GG35" s="766"/>
      <c r="GH35" s="766"/>
      <c r="GI35" s="765"/>
      <c r="GJ35" s="766"/>
      <c r="GK35" s="767"/>
      <c r="GL35" s="764"/>
      <c r="GM35" s="699"/>
      <c r="GN35" s="765"/>
      <c r="GO35" s="766"/>
      <c r="GP35" s="766"/>
      <c r="GQ35" s="765"/>
      <c r="GR35" s="766"/>
      <c r="GS35" s="767"/>
      <c r="GT35" s="764"/>
      <c r="GU35" s="699"/>
      <c r="GV35" s="765"/>
      <c r="GW35" s="766"/>
      <c r="GX35" s="766"/>
      <c r="GY35" s="765"/>
      <c r="GZ35" s="766"/>
      <c r="HA35" s="767"/>
      <c r="HB35" s="764"/>
      <c r="HC35" s="699"/>
      <c r="HD35" s="765"/>
      <c r="HE35" s="766"/>
      <c r="HF35" s="766"/>
      <c r="HG35" s="765"/>
      <c r="HH35" s="766"/>
      <c r="HI35" s="767"/>
      <c r="HJ35" s="764"/>
      <c r="HK35" s="699"/>
      <c r="HL35" s="765"/>
      <c r="HM35" s="766"/>
      <c r="HN35" s="766"/>
      <c r="HO35" s="765"/>
      <c r="HP35" s="766"/>
      <c r="HQ35" s="767"/>
      <c r="HR35" s="764"/>
      <c r="HS35" s="699"/>
      <c r="HT35" s="765"/>
      <c r="HU35" s="766"/>
      <c r="HV35" s="766"/>
      <c r="HW35" s="765"/>
      <c r="HX35" s="766"/>
      <c r="HY35" s="767"/>
      <c r="HZ35" s="764"/>
      <c r="IA35" s="699"/>
      <c r="IB35" s="765"/>
      <c r="IC35" s="766"/>
      <c r="ID35" s="766"/>
      <c r="IE35" s="765"/>
      <c r="IF35" s="766"/>
      <c r="IG35" s="765"/>
      <c r="IH35" s="768"/>
      <c r="II35" s="108"/>
      <c r="IJ35" s="108"/>
      <c r="IK35" s="108"/>
      <c r="IL35" s="108"/>
      <c r="IM35" s="108"/>
      <c r="IN35" s="108"/>
      <c r="IO35" s="769"/>
    </row>
    <row r="36" spans="1:249" x14ac:dyDescent="0.25">
      <c r="A36" s="763">
        <f t="shared" si="30"/>
        <v>26</v>
      </c>
      <c r="B36" s="764"/>
      <c r="C36" s="699">
        <v>0</v>
      </c>
      <c r="D36" s="765">
        <v>26.742370629769656</v>
      </c>
      <c r="E36" s="766">
        <v>7.5</v>
      </c>
      <c r="F36" s="766">
        <v>173.98121790139112</v>
      </c>
      <c r="G36" s="765">
        <v>76.716579867003333</v>
      </c>
      <c r="H36" s="766">
        <v>0</v>
      </c>
      <c r="I36" s="767">
        <v>0</v>
      </c>
      <c r="J36" s="764"/>
      <c r="K36" s="699"/>
      <c r="L36" s="765"/>
      <c r="M36" s="766"/>
      <c r="N36" s="766"/>
      <c r="O36" s="765"/>
      <c r="P36" s="766"/>
      <c r="Q36" s="767"/>
      <c r="R36" s="764"/>
      <c r="S36" s="699"/>
      <c r="T36" s="765"/>
      <c r="U36" s="766"/>
      <c r="V36" s="766"/>
      <c r="W36" s="765"/>
      <c r="X36" s="766"/>
      <c r="Y36" s="767"/>
      <c r="Z36" s="764"/>
      <c r="AA36" s="699"/>
      <c r="AB36" s="765"/>
      <c r="AC36" s="766"/>
      <c r="AD36" s="766"/>
      <c r="AE36" s="765"/>
      <c r="AF36" s="766"/>
      <c r="AG36" s="767"/>
      <c r="AH36" s="764"/>
      <c r="AI36" s="699"/>
      <c r="AJ36" s="765"/>
      <c r="AK36" s="766"/>
      <c r="AL36" s="766"/>
      <c r="AM36" s="765"/>
      <c r="AN36" s="766"/>
      <c r="AO36" s="767"/>
      <c r="AP36" s="764"/>
      <c r="AQ36" s="699"/>
      <c r="AR36" s="765"/>
      <c r="AS36" s="766"/>
      <c r="AT36" s="766"/>
      <c r="AU36" s="765"/>
      <c r="AV36" s="766"/>
      <c r="AW36" s="767"/>
      <c r="AX36" s="764"/>
      <c r="AY36" s="699"/>
      <c r="AZ36" s="765"/>
      <c r="BA36" s="766"/>
      <c r="BB36" s="766"/>
      <c r="BC36" s="765"/>
      <c r="BD36" s="766"/>
      <c r="BE36" s="767"/>
      <c r="BF36" s="764"/>
      <c r="BG36" s="699"/>
      <c r="BH36" s="765"/>
      <c r="BI36" s="766"/>
      <c r="BJ36" s="766"/>
      <c r="BK36" s="765"/>
      <c r="BL36" s="766"/>
      <c r="BM36" s="767"/>
      <c r="BN36" s="764"/>
      <c r="BO36" s="699"/>
      <c r="BP36" s="765"/>
      <c r="BQ36" s="766"/>
      <c r="BR36" s="766"/>
      <c r="BS36" s="765"/>
      <c r="BT36" s="766"/>
      <c r="BU36" s="767"/>
      <c r="BV36" s="764"/>
      <c r="BW36" s="699"/>
      <c r="BX36" s="765"/>
      <c r="BY36" s="766"/>
      <c r="BZ36" s="766"/>
      <c r="CA36" s="765"/>
      <c r="CB36" s="766"/>
      <c r="CC36" s="767"/>
      <c r="CD36" s="764"/>
      <c r="CE36" s="699"/>
      <c r="CF36" s="765"/>
      <c r="CG36" s="766"/>
      <c r="CH36" s="766"/>
      <c r="CI36" s="765"/>
      <c r="CJ36" s="766"/>
      <c r="CK36" s="767"/>
      <c r="CL36" s="764"/>
      <c r="CM36" s="699"/>
      <c r="CN36" s="765"/>
      <c r="CO36" s="766"/>
      <c r="CP36" s="766"/>
      <c r="CQ36" s="765"/>
      <c r="CR36" s="766"/>
      <c r="CS36" s="767"/>
      <c r="CT36" s="764"/>
      <c r="CU36" s="699"/>
      <c r="CV36" s="765"/>
      <c r="CW36" s="766"/>
      <c r="CX36" s="766"/>
      <c r="CY36" s="765"/>
      <c r="CZ36" s="766"/>
      <c r="DA36" s="767"/>
      <c r="DB36" s="764"/>
      <c r="DC36" s="699"/>
      <c r="DD36" s="765"/>
      <c r="DE36" s="766"/>
      <c r="DF36" s="766"/>
      <c r="DG36" s="765"/>
      <c r="DH36" s="766"/>
      <c r="DI36" s="767"/>
      <c r="DJ36" s="764"/>
      <c r="DK36" s="699"/>
      <c r="DL36" s="765"/>
      <c r="DM36" s="766"/>
      <c r="DN36" s="766"/>
      <c r="DO36" s="765"/>
      <c r="DP36" s="766"/>
      <c r="DQ36" s="767"/>
      <c r="DR36" s="764"/>
      <c r="DS36" s="699"/>
      <c r="DT36" s="765"/>
      <c r="DU36" s="766"/>
      <c r="DV36" s="766"/>
      <c r="DW36" s="765"/>
      <c r="DX36" s="766"/>
      <c r="DY36" s="767"/>
      <c r="DZ36" s="764"/>
      <c r="EA36" s="699"/>
      <c r="EB36" s="765"/>
      <c r="EC36" s="766"/>
      <c r="ED36" s="766"/>
      <c r="EE36" s="765"/>
      <c r="EF36" s="766"/>
      <c r="EG36" s="767"/>
      <c r="EH36" s="764"/>
      <c r="EI36" s="699"/>
      <c r="EJ36" s="765"/>
      <c r="EK36" s="766"/>
      <c r="EL36" s="766"/>
      <c r="EM36" s="765"/>
      <c r="EN36" s="766"/>
      <c r="EO36" s="767"/>
      <c r="EP36" s="764"/>
      <c r="EQ36" s="699"/>
      <c r="ER36" s="765"/>
      <c r="ES36" s="766"/>
      <c r="ET36" s="766"/>
      <c r="EU36" s="765"/>
      <c r="EV36" s="766"/>
      <c r="EW36" s="767"/>
      <c r="EX36" s="764"/>
      <c r="EY36" s="699"/>
      <c r="EZ36" s="765"/>
      <c r="FA36" s="766"/>
      <c r="FB36" s="766"/>
      <c r="FC36" s="765"/>
      <c r="FD36" s="766"/>
      <c r="FE36" s="767"/>
      <c r="FF36" s="764"/>
      <c r="FG36" s="699"/>
      <c r="FH36" s="765"/>
      <c r="FI36" s="766"/>
      <c r="FJ36" s="766"/>
      <c r="FK36" s="765"/>
      <c r="FL36" s="766"/>
      <c r="FM36" s="767"/>
      <c r="FN36" s="764"/>
      <c r="FO36" s="699"/>
      <c r="FP36" s="765"/>
      <c r="FQ36" s="766"/>
      <c r="FR36" s="766"/>
      <c r="FS36" s="765"/>
      <c r="FT36" s="766"/>
      <c r="FU36" s="767"/>
      <c r="FV36" s="764"/>
      <c r="FW36" s="699"/>
      <c r="FX36" s="765"/>
      <c r="FY36" s="766"/>
      <c r="FZ36" s="766"/>
      <c r="GA36" s="765"/>
      <c r="GB36" s="766"/>
      <c r="GC36" s="767"/>
      <c r="GD36" s="764"/>
      <c r="GE36" s="699"/>
      <c r="GF36" s="765"/>
      <c r="GG36" s="766"/>
      <c r="GH36" s="766"/>
      <c r="GI36" s="765"/>
      <c r="GJ36" s="766"/>
      <c r="GK36" s="767"/>
      <c r="GL36" s="764"/>
      <c r="GM36" s="699"/>
      <c r="GN36" s="765"/>
      <c r="GO36" s="766"/>
      <c r="GP36" s="766"/>
      <c r="GQ36" s="765"/>
      <c r="GR36" s="766"/>
      <c r="GS36" s="767"/>
      <c r="GT36" s="764"/>
      <c r="GU36" s="699"/>
      <c r="GV36" s="765"/>
      <c r="GW36" s="766"/>
      <c r="GX36" s="766"/>
      <c r="GY36" s="765"/>
      <c r="GZ36" s="766"/>
      <c r="HA36" s="767"/>
      <c r="HB36" s="764"/>
      <c r="HC36" s="699"/>
      <c r="HD36" s="765"/>
      <c r="HE36" s="766"/>
      <c r="HF36" s="766"/>
      <c r="HG36" s="765"/>
      <c r="HH36" s="766"/>
      <c r="HI36" s="767"/>
      <c r="HJ36" s="764"/>
      <c r="HK36" s="699"/>
      <c r="HL36" s="765"/>
      <c r="HM36" s="766"/>
      <c r="HN36" s="766"/>
      <c r="HO36" s="765"/>
      <c r="HP36" s="766"/>
      <c r="HQ36" s="767"/>
      <c r="HR36" s="764"/>
      <c r="HS36" s="699"/>
      <c r="HT36" s="765"/>
      <c r="HU36" s="766"/>
      <c r="HV36" s="766"/>
      <c r="HW36" s="765"/>
      <c r="HX36" s="766"/>
      <c r="HY36" s="767"/>
      <c r="HZ36" s="764"/>
      <c r="IA36" s="699"/>
      <c r="IB36" s="765"/>
      <c r="IC36" s="766"/>
      <c r="ID36" s="766"/>
      <c r="IE36" s="765"/>
      <c r="IF36" s="766"/>
      <c r="IG36" s="765"/>
      <c r="IH36" s="768"/>
      <c r="II36" s="108"/>
      <c r="IJ36" s="108"/>
      <c r="IK36" s="108"/>
      <c r="IL36" s="108"/>
      <c r="IM36" s="108"/>
      <c r="IN36" s="108"/>
      <c r="IO36" s="769"/>
    </row>
    <row r="37" spans="1:249" x14ac:dyDescent="0.25">
      <c r="A37" s="763">
        <f t="shared" si="30"/>
        <v>27</v>
      </c>
      <c r="B37" s="764"/>
      <c r="C37" s="699">
        <v>0</v>
      </c>
      <c r="D37" s="765">
        <v>27.40099990923574</v>
      </c>
      <c r="E37" s="766">
        <v>7.5</v>
      </c>
      <c r="F37" s="766">
        <v>187.15519639685195</v>
      </c>
      <c r="G37" s="765">
        <v>82.525612506296781</v>
      </c>
      <c r="H37" s="766">
        <v>0</v>
      </c>
      <c r="I37" s="767">
        <v>0</v>
      </c>
      <c r="J37" s="764"/>
      <c r="K37" s="699"/>
      <c r="L37" s="765"/>
      <c r="M37" s="766"/>
      <c r="N37" s="766"/>
      <c r="O37" s="765"/>
      <c r="P37" s="766"/>
      <c r="Q37" s="767"/>
      <c r="R37" s="764"/>
      <c r="S37" s="699"/>
      <c r="T37" s="765"/>
      <c r="U37" s="766"/>
      <c r="V37" s="766"/>
      <c r="W37" s="765"/>
      <c r="X37" s="766"/>
      <c r="Y37" s="767"/>
      <c r="Z37" s="764"/>
      <c r="AA37" s="699"/>
      <c r="AB37" s="765"/>
      <c r="AC37" s="766"/>
      <c r="AD37" s="766"/>
      <c r="AE37" s="765"/>
      <c r="AF37" s="766"/>
      <c r="AG37" s="767"/>
      <c r="AH37" s="764"/>
      <c r="AI37" s="699"/>
      <c r="AJ37" s="765"/>
      <c r="AK37" s="766"/>
      <c r="AL37" s="766"/>
      <c r="AM37" s="765"/>
      <c r="AN37" s="766"/>
      <c r="AO37" s="767"/>
      <c r="AP37" s="764"/>
      <c r="AQ37" s="699"/>
      <c r="AR37" s="765"/>
      <c r="AS37" s="766"/>
      <c r="AT37" s="766"/>
      <c r="AU37" s="765"/>
      <c r="AV37" s="766"/>
      <c r="AW37" s="767"/>
      <c r="AX37" s="764"/>
      <c r="AY37" s="699"/>
      <c r="AZ37" s="765"/>
      <c r="BA37" s="766"/>
      <c r="BB37" s="766"/>
      <c r="BC37" s="765"/>
      <c r="BD37" s="766"/>
      <c r="BE37" s="767"/>
      <c r="BF37" s="764"/>
      <c r="BG37" s="699"/>
      <c r="BH37" s="765"/>
      <c r="BI37" s="766"/>
      <c r="BJ37" s="766"/>
      <c r="BK37" s="765"/>
      <c r="BL37" s="766"/>
      <c r="BM37" s="767"/>
      <c r="BN37" s="764"/>
      <c r="BO37" s="699"/>
      <c r="BP37" s="765"/>
      <c r="BQ37" s="766"/>
      <c r="BR37" s="766"/>
      <c r="BS37" s="765"/>
      <c r="BT37" s="766"/>
      <c r="BU37" s="767"/>
      <c r="BV37" s="764"/>
      <c r="BW37" s="699"/>
      <c r="BX37" s="765"/>
      <c r="BY37" s="766"/>
      <c r="BZ37" s="766"/>
      <c r="CA37" s="765"/>
      <c r="CB37" s="766"/>
      <c r="CC37" s="767"/>
      <c r="CD37" s="764"/>
      <c r="CE37" s="699"/>
      <c r="CF37" s="765"/>
      <c r="CG37" s="766"/>
      <c r="CH37" s="766"/>
      <c r="CI37" s="765"/>
      <c r="CJ37" s="766"/>
      <c r="CK37" s="767"/>
      <c r="CL37" s="764"/>
      <c r="CM37" s="699"/>
      <c r="CN37" s="765"/>
      <c r="CO37" s="766"/>
      <c r="CP37" s="766"/>
      <c r="CQ37" s="765"/>
      <c r="CR37" s="766"/>
      <c r="CS37" s="767"/>
      <c r="CT37" s="764"/>
      <c r="CU37" s="699"/>
      <c r="CV37" s="765"/>
      <c r="CW37" s="766"/>
      <c r="CX37" s="766"/>
      <c r="CY37" s="765"/>
      <c r="CZ37" s="766"/>
      <c r="DA37" s="767"/>
      <c r="DB37" s="764"/>
      <c r="DC37" s="699"/>
      <c r="DD37" s="765"/>
      <c r="DE37" s="766"/>
      <c r="DF37" s="766"/>
      <c r="DG37" s="765"/>
      <c r="DH37" s="766"/>
      <c r="DI37" s="767"/>
      <c r="DJ37" s="764"/>
      <c r="DK37" s="699"/>
      <c r="DL37" s="765"/>
      <c r="DM37" s="766"/>
      <c r="DN37" s="766"/>
      <c r="DO37" s="765"/>
      <c r="DP37" s="766"/>
      <c r="DQ37" s="767"/>
      <c r="DR37" s="764"/>
      <c r="DS37" s="699"/>
      <c r="DT37" s="765"/>
      <c r="DU37" s="766"/>
      <c r="DV37" s="766"/>
      <c r="DW37" s="765"/>
      <c r="DX37" s="766"/>
      <c r="DY37" s="767"/>
      <c r="DZ37" s="764"/>
      <c r="EA37" s="699"/>
      <c r="EB37" s="765"/>
      <c r="EC37" s="766"/>
      <c r="ED37" s="766"/>
      <c r="EE37" s="765"/>
      <c r="EF37" s="766"/>
      <c r="EG37" s="767"/>
      <c r="EH37" s="764"/>
      <c r="EI37" s="699"/>
      <c r="EJ37" s="765"/>
      <c r="EK37" s="766"/>
      <c r="EL37" s="766"/>
      <c r="EM37" s="765"/>
      <c r="EN37" s="766"/>
      <c r="EO37" s="767"/>
      <c r="EP37" s="764"/>
      <c r="EQ37" s="699"/>
      <c r="ER37" s="765"/>
      <c r="ES37" s="766"/>
      <c r="ET37" s="766"/>
      <c r="EU37" s="765"/>
      <c r="EV37" s="766"/>
      <c r="EW37" s="767"/>
      <c r="EX37" s="764"/>
      <c r="EY37" s="699"/>
      <c r="EZ37" s="765"/>
      <c r="FA37" s="766"/>
      <c r="FB37" s="766"/>
      <c r="FC37" s="765"/>
      <c r="FD37" s="766"/>
      <c r="FE37" s="767"/>
      <c r="FF37" s="764"/>
      <c r="FG37" s="699"/>
      <c r="FH37" s="765"/>
      <c r="FI37" s="766"/>
      <c r="FJ37" s="766"/>
      <c r="FK37" s="765"/>
      <c r="FL37" s="766"/>
      <c r="FM37" s="767"/>
      <c r="FN37" s="764"/>
      <c r="FO37" s="699"/>
      <c r="FP37" s="765"/>
      <c r="FQ37" s="766"/>
      <c r="FR37" s="766"/>
      <c r="FS37" s="765"/>
      <c r="FT37" s="766"/>
      <c r="FU37" s="767"/>
      <c r="FV37" s="764"/>
      <c r="FW37" s="699"/>
      <c r="FX37" s="765"/>
      <c r="FY37" s="766"/>
      <c r="FZ37" s="766"/>
      <c r="GA37" s="765"/>
      <c r="GB37" s="766"/>
      <c r="GC37" s="767"/>
      <c r="GD37" s="764"/>
      <c r="GE37" s="699"/>
      <c r="GF37" s="765"/>
      <c r="GG37" s="766"/>
      <c r="GH37" s="766"/>
      <c r="GI37" s="765"/>
      <c r="GJ37" s="766"/>
      <c r="GK37" s="767"/>
      <c r="GL37" s="764"/>
      <c r="GM37" s="699"/>
      <c r="GN37" s="765"/>
      <c r="GO37" s="766"/>
      <c r="GP37" s="766"/>
      <c r="GQ37" s="765"/>
      <c r="GR37" s="766"/>
      <c r="GS37" s="767"/>
      <c r="GT37" s="764"/>
      <c r="GU37" s="699"/>
      <c r="GV37" s="765"/>
      <c r="GW37" s="766"/>
      <c r="GX37" s="766"/>
      <c r="GY37" s="765"/>
      <c r="GZ37" s="766"/>
      <c r="HA37" s="767"/>
      <c r="HB37" s="764"/>
      <c r="HC37" s="699"/>
      <c r="HD37" s="765"/>
      <c r="HE37" s="766"/>
      <c r="HF37" s="766"/>
      <c r="HG37" s="765"/>
      <c r="HH37" s="766"/>
      <c r="HI37" s="767"/>
      <c r="HJ37" s="764"/>
      <c r="HK37" s="699"/>
      <c r="HL37" s="765"/>
      <c r="HM37" s="766"/>
      <c r="HN37" s="766"/>
      <c r="HO37" s="765"/>
      <c r="HP37" s="766"/>
      <c r="HQ37" s="767"/>
      <c r="HR37" s="764"/>
      <c r="HS37" s="699"/>
      <c r="HT37" s="765"/>
      <c r="HU37" s="766"/>
      <c r="HV37" s="766"/>
      <c r="HW37" s="765"/>
      <c r="HX37" s="766"/>
      <c r="HY37" s="767"/>
      <c r="HZ37" s="764"/>
      <c r="IA37" s="699"/>
      <c r="IB37" s="765"/>
      <c r="IC37" s="766"/>
      <c r="ID37" s="766"/>
      <c r="IE37" s="765"/>
      <c r="IF37" s="766"/>
      <c r="IG37" s="765"/>
      <c r="IH37" s="768"/>
      <c r="II37" s="108"/>
      <c r="IJ37" s="108"/>
      <c r="IK37" s="108"/>
      <c r="IL37" s="108"/>
      <c r="IM37" s="108"/>
      <c r="IN37" s="108"/>
      <c r="IO37" s="769"/>
    </row>
    <row r="38" spans="1:249" x14ac:dyDescent="0.25">
      <c r="A38" s="763">
        <f t="shared" si="30"/>
        <v>28</v>
      </c>
      <c r="B38" s="764"/>
      <c r="C38" s="699">
        <v>0</v>
      </c>
      <c r="D38" s="765">
        <v>27.89425313060428</v>
      </c>
      <c r="E38" s="766">
        <v>7.5</v>
      </c>
      <c r="F38" s="766">
        <v>197.4453313037246</v>
      </c>
      <c r="G38" s="765">
        <v>87.063021578078093</v>
      </c>
      <c r="H38" s="766">
        <v>0</v>
      </c>
      <c r="I38" s="767">
        <v>0</v>
      </c>
      <c r="J38" s="764"/>
      <c r="K38" s="699"/>
      <c r="L38" s="765"/>
      <c r="M38" s="766"/>
      <c r="N38" s="766"/>
      <c r="O38" s="765"/>
      <c r="P38" s="766"/>
      <c r="Q38" s="767"/>
      <c r="R38" s="764"/>
      <c r="S38" s="699"/>
      <c r="T38" s="765"/>
      <c r="U38" s="766"/>
      <c r="V38" s="766"/>
      <c r="W38" s="765"/>
      <c r="X38" s="766"/>
      <c r="Y38" s="767"/>
      <c r="Z38" s="764"/>
      <c r="AA38" s="699"/>
      <c r="AB38" s="765"/>
      <c r="AC38" s="766"/>
      <c r="AD38" s="766"/>
      <c r="AE38" s="765"/>
      <c r="AF38" s="766"/>
      <c r="AG38" s="767"/>
      <c r="AH38" s="764"/>
      <c r="AI38" s="699"/>
      <c r="AJ38" s="765"/>
      <c r="AK38" s="766"/>
      <c r="AL38" s="766"/>
      <c r="AM38" s="765"/>
      <c r="AN38" s="766"/>
      <c r="AO38" s="767"/>
      <c r="AP38" s="764"/>
      <c r="AQ38" s="699"/>
      <c r="AR38" s="765"/>
      <c r="AS38" s="766"/>
      <c r="AT38" s="766"/>
      <c r="AU38" s="765"/>
      <c r="AV38" s="766"/>
      <c r="AW38" s="767"/>
      <c r="AX38" s="764"/>
      <c r="AY38" s="699"/>
      <c r="AZ38" s="765"/>
      <c r="BA38" s="766"/>
      <c r="BB38" s="766"/>
      <c r="BC38" s="765"/>
      <c r="BD38" s="766"/>
      <c r="BE38" s="767"/>
      <c r="BF38" s="764"/>
      <c r="BG38" s="699"/>
      <c r="BH38" s="765"/>
      <c r="BI38" s="766"/>
      <c r="BJ38" s="766"/>
      <c r="BK38" s="765"/>
      <c r="BL38" s="766"/>
      <c r="BM38" s="767"/>
      <c r="BN38" s="764"/>
      <c r="BO38" s="699"/>
      <c r="BP38" s="765"/>
      <c r="BQ38" s="766"/>
      <c r="BR38" s="766"/>
      <c r="BS38" s="765"/>
      <c r="BT38" s="766"/>
      <c r="BU38" s="767"/>
      <c r="BV38" s="764"/>
      <c r="BW38" s="699"/>
      <c r="BX38" s="765"/>
      <c r="BY38" s="766"/>
      <c r="BZ38" s="766"/>
      <c r="CA38" s="765"/>
      <c r="CB38" s="766"/>
      <c r="CC38" s="767"/>
      <c r="CD38" s="764"/>
      <c r="CE38" s="699"/>
      <c r="CF38" s="765"/>
      <c r="CG38" s="766"/>
      <c r="CH38" s="766"/>
      <c r="CI38" s="765"/>
      <c r="CJ38" s="766"/>
      <c r="CK38" s="767"/>
      <c r="CL38" s="764"/>
      <c r="CM38" s="699"/>
      <c r="CN38" s="765"/>
      <c r="CO38" s="766"/>
      <c r="CP38" s="766"/>
      <c r="CQ38" s="765"/>
      <c r="CR38" s="766"/>
      <c r="CS38" s="767"/>
      <c r="CT38" s="764"/>
      <c r="CU38" s="699"/>
      <c r="CV38" s="765"/>
      <c r="CW38" s="766"/>
      <c r="CX38" s="766"/>
      <c r="CY38" s="765"/>
      <c r="CZ38" s="766"/>
      <c r="DA38" s="767"/>
      <c r="DB38" s="764"/>
      <c r="DC38" s="699"/>
      <c r="DD38" s="765"/>
      <c r="DE38" s="766"/>
      <c r="DF38" s="766"/>
      <c r="DG38" s="765"/>
      <c r="DH38" s="766"/>
      <c r="DI38" s="767"/>
      <c r="DJ38" s="764"/>
      <c r="DK38" s="699"/>
      <c r="DL38" s="765"/>
      <c r="DM38" s="766"/>
      <c r="DN38" s="766"/>
      <c r="DO38" s="765"/>
      <c r="DP38" s="766"/>
      <c r="DQ38" s="767"/>
      <c r="DR38" s="764"/>
      <c r="DS38" s="699"/>
      <c r="DT38" s="765"/>
      <c r="DU38" s="766"/>
      <c r="DV38" s="766"/>
      <c r="DW38" s="765"/>
      <c r="DX38" s="766"/>
      <c r="DY38" s="767"/>
      <c r="DZ38" s="764"/>
      <c r="EA38" s="699"/>
      <c r="EB38" s="765"/>
      <c r="EC38" s="766"/>
      <c r="ED38" s="766"/>
      <c r="EE38" s="765"/>
      <c r="EF38" s="766"/>
      <c r="EG38" s="767"/>
      <c r="EH38" s="764"/>
      <c r="EI38" s="699"/>
      <c r="EJ38" s="765"/>
      <c r="EK38" s="766"/>
      <c r="EL38" s="766"/>
      <c r="EM38" s="765"/>
      <c r="EN38" s="766"/>
      <c r="EO38" s="767"/>
      <c r="EP38" s="764"/>
      <c r="EQ38" s="699"/>
      <c r="ER38" s="765"/>
      <c r="ES38" s="766"/>
      <c r="ET38" s="766"/>
      <c r="EU38" s="765"/>
      <c r="EV38" s="766"/>
      <c r="EW38" s="767"/>
      <c r="EX38" s="764"/>
      <c r="EY38" s="699"/>
      <c r="EZ38" s="765"/>
      <c r="FA38" s="766"/>
      <c r="FB38" s="766"/>
      <c r="FC38" s="765"/>
      <c r="FD38" s="766"/>
      <c r="FE38" s="767"/>
      <c r="FF38" s="764"/>
      <c r="FG38" s="699"/>
      <c r="FH38" s="765"/>
      <c r="FI38" s="766"/>
      <c r="FJ38" s="766"/>
      <c r="FK38" s="765"/>
      <c r="FL38" s="766"/>
      <c r="FM38" s="767"/>
      <c r="FN38" s="764"/>
      <c r="FO38" s="699"/>
      <c r="FP38" s="765"/>
      <c r="FQ38" s="766"/>
      <c r="FR38" s="766"/>
      <c r="FS38" s="765"/>
      <c r="FT38" s="766"/>
      <c r="FU38" s="767"/>
      <c r="FV38" s="764"/>
      <c r="FW38" s="699"/>
      <c r="FX38" s="765"/>
      <c r="FY38" s="766"/>
      <c r="FZ38" s="766"/>
      <c r="GA38" s="765"/>
      <c r="GB38" s="766"/>
      <c r="GC38" s="767"/>
      <c r="GD38" s="764"/>
      <c r="GE38" s="699"/>
      <c r="GF38" s="765"/>
      <c r="GG38" s="766"/>
      <c r="GH38" s="766"/>
      <c r="GI38" s="765"/>
      <c r="GJ38" s="766"/>
      <c r="GK38" s="767"/>
      <c r="GL38" s="764"/>
      <c r="GM38" s="699"/>
      <c r="GN38" s="765"/>
      <c r="GO38" s="766"/>
      <c r="GP38" s="766"/>
      <c r="GQ38" s="765"/>
      <c r="GR38" s="766"/>
      <c r="GS38" s="767"/>
      <c r="GT38" s="764"/>
      <c r="GU38" s="699"/>
      <c r="GV38" s="765"/>
      <c r="GW38" s="766"/>
      <c r="GX38" s="766"/>
      <c r="GY38" s="765"/>
      <c r="GZ38" s="766"/>
      <c r="HA38" s="767"/>
      <c r="HB38" s="764"/>
      <c r="HC38" s="699"/>
      <c r="HD38" s="765"/>
      <c r="HE38" s="766"/>
      <c r="HF38" s="766"/>
      <c r="HG38" s="765"/>
      <c r="HH38" s="766"/>
      <c r="HI38" s="767"/>
      <c r="HJ38" s="764"/>
      <c r="HK38" s="699"/>
      <c r="HL38" s="765"/>
      <c r="HM38" s="766"/>
      <c r="HN38" s="766"/>
      <c r="HO38" s="765"/>
      <c r="HP38" s="766"/>
      <c r="HQ38" s="767"/>
      <c r="HR38" s="764"/>
      <c r="HS38" s="699"/>
      <c r="HT38" s="765"/>
      <c r="HU38" s="766"/>
      <c r="HV38" s="766"/>
      <c r="HW38" s="765"/>
      <c r="HX38" s="766"/>
      <c r="HY38" s="767"/>
      <c r="HZ38" s="764"/>
      <c r="IA38" s="699"/>
      <c r="IB38" s="765"/>
      <c r="IC38" s="766"/>
      <c r="ID38" s="766"/>
      <c r="IE38" s="765"/>
      <c r="IF38" s="766"/>
      <c r="IG38" s="765"/>
      <c r="IH38" s="768"/>
      <c r="II38" s="108"/>
      <c r="IJ38" s="108"/>
      <c r="IK38" s="108"/>
      <c r="IL38" s="108"/>
      <c r="IM38" s="108"/>
      <c r="IN38" s="108"/>
      <c r="IO38" s="769"/>
    </row>
    <row r="39" spans="1:249" x14ac:dyDescent="0.25">
      <c r="A39" s="763">
        <f t="shared" si="30"/>
        <v>29</v>
      </c>
      <c r="B39" s="764"/>
      <c r="C39" s="699">
        <v>0</v>
      </c>
      <c r="D39" s="765">
        <v>28.368222328032822</v>
      </c>
      <c r="E39" s="766">
        <v>7.5</v>
      </c>
      <c r="F39" s="766">
        <v>207.68207864813559</v>
      </c>
      <c r="G39" s="765">
        <v>91.576889538646952</v>
      </c>
      <c r="H39" s="766">
        <v>0</v>
      </c>
      <c r="I39" s="767">
        <v>0</v>
      </c>
      <c r="J39" s="764"/>
      <c r="K39" s="699"/>
      <c r="L39" s="765"/>
      <c r="M39" s="766"/>
      <c r="N39" s="766"/>
      <c r="O39" s="765"/>
      <c r="P39" s="766"/>
      <c r="Q39" s="767"/>
      <c r="R39" s="764"/>
      <c r="S39" s="699"/>
      <c r="T39" s="765"/>
      <c r="U39" s="766"/>
      <c r="V39" s="766"/>
      <c r="W39" s="765"/>
      <c r="X39" s="766"/>
      <c r="Y39" s="767"/>
      <c r="Z39" s="764"/>
      <c r="AA39" s="699"/>
      <c r="AB39" s="765"/>
      <c r="AC39" s="766"/>
      <c r="AD39" s="766"/>
      <c r="AE39" s="765"/>
      <c r="AF39" s="766"/>
      <c r="AG39" s="767"/>
      <c r="AH39" s="764"/>
      <c r="AI39" s="699"/>
      <c r="AJ39" s="765"/>
      <c r="AK39" s="766"/>
      <c r="AL39" s="766"/>
      <c r="AM39" s="765"/>
      <c r="AN39" s="766"/>
      <c r="AO39" s="767"/>
      <c r="AP39" s="764"/>
      <c r="AQ39" s="699"/>
      <c r="AR39" s="765"/>
      <c r="AS39" s="766"/>
      <c r="AT39" s="766"/>
      <c r="AU39" s="765"/>
      <c r="AV39" s="766"/>
      <c r="AW39" s="767"/>
      <c r="AX39" s="764"/>
      <c r="AY39" s="699"/>
      <c r="AZ39" s="765"/>
      <c r="BA39" s="766"/>
      <c r="BB39" s="766"/>
      <c r="BC39" s="765"/>
      <c r="BD39" s="766"/>
      <c r="BE39" s="767"/>
      <c r="BF39" s="764"/>
      <c r="BG39" s="699"/>
      <c r="BH39" s="765"/>
      <c r="BI39" s="766"/>
      <c r="BJ39" s="766"/>
      <c r="BK39" s="765"/>
      <c r="BL39" s="766"/>
      <c r="BM39" s="767"/>
      <c r="BN39" s="764"/>
      <c r="BO39" s="699"/>
      <c r="BP39" s="765"/>
      <c r="BQ39" s="766"/>
      <c r="BR39" s="766"/>
      <c r="BS39" s="765"/>
      <c r="BT39" s="766"/>
      <c r="BU39" s="767"/>
      <c r="BV39" s="764"/>
      <c r="BW39" s="699"/>
      <c r="BX39" s="765"/>
      <c r="BY39" s="766"/>
      <c r="BZ39" s="766"/>
      <c r="CA39" s="765"/>
      <c r="CB39" s="766"/>
      <c r="CC39" s="767"/>
      <c r="CD39" s="764"/>
      <c r="CE39" s="699"/>
      <c r="CF39" s="765"/>
      <c r="CG39" s="766"/>
      <c r="CH39" s="766"/>
      <c r="CI39" s="765"/>
      <c r="CJ39" s="766"/>
      <c r="CK39" s="767"/>
      <c r="CL39" s="764"/>
      <c r="CM39" s="699"/>
      <c r="CN39" s="765"/>
      <c r="CO39" s="766"/>
      <c r="CP39" s="766"/>
      <c r="CQ39" s="765"/>
      <c r="CR39" s="766"/>
      <c r="CS39" s="767"/>
      <c r="CT39" s="764"/>
      <c r="CU39" s="699"/>
      <c r="CV39" s="765"/>
      <c r="CW39" s="766"/>
      <c r="CX39" s="766"/>
      <c r="CY39" s="765"/>
      <c r="CZ39" s="766"/>
      <c r="DA39" s="767"/>
      <c r="DB39" s="764"/>
      <c r="DC39" s="699"/>
      <c r="DD39" s="765"/>
      <c r="DE39" s="766"/>
      <c r="DF39" s="766"/>
      <c r="DG39" s="765"/>
      <c r="DH39" s="766"/>
      <c r="DI39" s="767"/>
      <c r="DJ39" s="764"/>
      <c r="DK39" s="699"/>
      <c r="DL39" s="765"/>
      <c r="DM39" s="766"/>
      <c r="DN39" s="766"/>
      <c r="DO39" s="765"/>
      <c r="DP39" s="766"/>
      <c r="DQ39" s="767"/>
      <c r="DR39" s="764"/>
      <c r="DS39" s="699"/>
      <c r="DT39" s="765"/>
      <c r="DU39" s="766"/>
      <c r="DV39" s="766"/>
      <c r="DW39" s="765"/>
      <c r="DX39" s="766"/>
      <c r="DY39" s="767"/>
      <c r="DZ39" s="764"/>
      <c r="EA39" s="699"/>
      <c r="EB39" s="765"/>
      <c r="EC39" s="766"/>
      <c r="ED39" s="766"/>
      <c r="EE39" s="765"/>
      <c r="EF39" s="766"/>
      <c r="EG39" s="767"/>
      <c r="EH39" s="764"/>
      <c r="EI39" s="699"/>
      <c r="EJ39" s="765"/>
      <c r="EK39" s="766"/>
      <c r="EL39" s="766"/>
      <c r="EM39" s="765"/>
      <c r="EN39" s="766"/>
      <c r="EO39" s="767"/>
      <c r="EP39" s="764"/>
      <c r="EQ39" s="699"/>
      <c r="ER39" s="765"/>
      <c r="ES39" s="766"/>
      <c r="ET39" s="766"/>
      <c r="EU39" s="765"/>
      <c r="EV39" s="766"/>
      <c r="EW39" s="767"/>
      <c r="EX39" s="764"/>
      <c r="EY39" s="699"/>
      <c r="EZ39" s="765"/>
      <c r="FA39" s="766"/>
      <c r="FB39" s="766"/>
      <c r="FC39" s="765"/>
      <c r="FD39" s="766"/>
      <c r="FE39" s="767"/>
      <c r="FF39" s="764"/>
      <c r="FG39" s="699"/>
      <c r="FH39" s="765"/>
      <c r="FI39" s="766"/>
      <c r="FJ39" s="766"/>
      <c r="FK39" s="765"/>
      <c r="FL39" s="766"/>
      <c r="FM39" s="767"/>
      <c r="FN39" s="764"/>
      <c r="FO39" s="699"/>
      <c r="FP39" s="765"/>
      <c r="FQ39" s="766"/>
      <c r="FR39" s="766"/>
      <c r="FS39" s="765"/>
      <c r="FT39" s="766"/>
      <c r="FU39" s="767"/>
      <c r="FV39" s="764"/>
      <c r="FW39" s="699"/>
      <c r="FX39" s="765"/>
      <c r="FY39" s="766"/>
      <c r="FZ39" s="766"/>
      <c r="GA39" s="765"/>
      <c r="GB39" s="766"/>
      <c r="GC39" s="767"/>
      <c r="GD39" s="764"/>
      <c r="GE39" s="699"/>
      <c r="GF39" s="765"/>
      <c r="GG39" s="766"/>
      <c r="GH39" s="766"/>
      <c r="GI39" s="765"/>
      <c r="GJ39" s="766"/>
      <c r="GK39" s="767"/>
      <c r="GL39" s="764"/>
      <c r="GM39" s="699"/>
      <c r="GN39" s="765"/>
      <c r="GO39" s="766"/>
      <c r="GP39" s="766"/>
      <c r="GQ39" s="765"/>
      <c r="GR39" s="766"/>
      <c r="GS39" s="767"/>
      <c r="GT39" s="764"/>
      <c r="GU39" s="699"/>
      <c r="GV39" s="765"/>
      <c r="GW39" s="766"/>
      <c r="GX39" s="766"/>
      <c r="GY39" s="765"/>
      <c r="GZ39" s="766"/>
      <c r="HA39" s="767"/>
      <c r="HB39" s="764"/>
      <c r="HC39" s="699"/>
      <c r="HD39" s="765"/>
      <c r="HE39" s="766"/>
      <c r="HF39" s="766"/>
      <c r="HG39" s="765"/>
      <c r="HH39" s="766"/>
      <c r="HI39" s="767"/>
      <c r="HJ39" s="764"/>
      <c r="HK39" s="699"/>
      <c r="HL39" s="765"/>
      <c r="HM39" s="766"/>
      <c r="HN39" s="766"/>
      <c r="HO39" s="765"/>
      <c r="HP39" s="766"/>
      <c r="HQ39" s="767"/>
      <c r="HR39" s="764"/>
      <c r="HS39" s="699"/>
      <c r="HT39" s="765"/>
      <c r="HU39" s="766"/>
      <c r="HV39" s="766"/>
      <c r="HW39" s="765"/>
      <c r="HX39" s="766"/>
      <c r="HY39" s="767"/>
      <c r="HZ39" s="764"/>
      <c r="IA39" s="699"/>
      <c r="IB39" s="765"/>
      <c r="IC39" s="766"/>
      <c r="ID39" s="766"/>
      <c r="IE39" s="765"/>
      <c r="IF39" s="766"/>
      <c r="IG39" s="765"/>
      <c r="IH39" s="768"/>
      <c r="II39" s="108"/>
      <c r="IJ39" s="108"/>
      <c r="IK39" s="108"/>
      <c r="IL39" s="108"/>
      <c r="IM39" s="108"/>
      <c r="IN39" s="108"/>
      <c r="IO39" s="769"/>
    </row>
    <row r="40" spans="1:249" x14ac:dyDescent="0.25">
      <c r="A40" s="763">
        <f t="shared" si="30"/>
        <v>30</v>
      </c>
      <c r="B40" s="764"/>
      <c r="C40" s="699">
        <v>156</v>
      </c>
      <c r="D40" s="765">
        <v>28.876742618403934</v>
      </c>
      <c r="E40" s="766">
        <v>7.5</v>
      </c>
      <c r="F40" s="766">
        <v>219.0520197990561</v>
      </c>
      <c r="G40" s="765">
        <v>103.65</v>
      </c>
      <c r="H40" s="766">
        <v>103.65</v>
      </c>
      <c r="I40" s="767">
        <v>0</v>
      </c>
      <c r="J40" s="764"/>
      <c r="K40" s="699"/>
      <c r="L40" s="765"/>
      <c r="M40" s="766"/>
      <c r="N40" s="766"/>
      <c r="O40" s="765"/>
      <c r="P40" s="766"/>
      <c r="Q40" s="767"/>
      <c r="R40" s="764"/>
      <c r="S40" s="699"/>
      <c r="T40" s="765"/>
      <c r="U40" s="766"/>
      <c r="V40" s="766"/>
      <c r="W40" s="765"/>
      <c r="X40" s="766"/>
      <c r="Y40" s="767"/>
      <c r="Z40" s="764"/>
      <c r="AA40" s="699"/>
      <c r="AB40" s="765"/>
      <c r="AC40" s="766"/>
      <c r="AD40" s="766"/>
      <c r="AE40" s="765"/>
      <c r="AF40" s="766"/>
      <c r="AG40" s="767"/>
      <c r="AH40" s="764"/>
      <c r="AI40" s="699"/>
      <c r="AJ40" s="765"/>
      <c r="AK40" s="766"/>
      <c r="AL40" s="766"/>
      <c r="AM40" s="765"/>
      <c r="AN40" s="766"/>
      <c r="AO40" s="767"/>
      <c r="AP40" s="764"/>
      <c r="AQ40" s="699"/>
      <c r="AR40" s="765"/>
      <c r="AS40" s="766"/>
      <c r="AT40" s="766"/>
      <c r="AU40" s="765"/>
      <c r="AV40" s="766"/>
      <c r="AW40" s="767"/>
      <c r="AX40" s="764"/>
      <c r="AY40" s="699"/>
      <c r="AZ40" s="765"/>
      <c r="BA40" s="766"/>
      <c r="BB40" s="766"/>
      <c r="BC40" s="765"/>
      <c r="BD40" s="766"/>
      <c r="BE40" s="767"/>
      <c r="BF40" s="764"/>
      <c r="BG40" s="699"/>
      <c r="BH40" s="765"/>
      <c r="BI40" s="766"/>
      <c r="BJ40" s="766"/>
      <c r="BK40" s="765"/>
      <c r="BL40" s="766"/>
      <c r="BM40" s="767"/>
      <c r="BN40" s="764"/>
      <c r="BO40" s="699"/>
      <c r="BP40" s="765"/>
      <c r="BQ40" s="766"/>
      <c r="BR40" s="766"/>
      <c r="BS40" s="765"/>
      <c r="BT40" s="766"/>
      <c r="BU40" s="767"/>
      <c r="BV40" s="764"/>
      <c r="BW40" s="699"/>
      <c r="BX40" s="765"/>
      <c r="BY40" s="766"/>
      <c r="BZ40" s="766"/>
      <c r="CA40" s="765"/>
      <c r="CB40" s="766"/>
      <c r="CC40" s="767"/>
      <c r="CD40" s="764"/>
      <c r="CE40" s="699"/>
      <c r="CF40" s="765"/>
      <c r="CG40" s="766"/>
      <c r="CH40" s="766"/>
      <c r="CI40" s="765"/>
      <c r="CJ40" s="766"/>
      <c r="CK40" s="767"/>
      <c r="CL40" s="764"/>
      <c r="CM40" s="699"/>
      <c r="CN40" s="765"/>
      <c r="CO40" s="766"/>
      <c r="CP40" s="766"/>
      <c r="CQ40" s="765"/>
      <c r="CR40" s="766"/>
      <c r="CS40" s="767"/>
      <c r="CT40" s="764"/>
      <c r="CU40" s="699"/>
      <c r="CV40" s="765"/>
      <c r="CW40" s="766"/>
      <c r="CX40" s="766"/>
      <c r="CY40" s="765"/>
      <c r="CZ40" s="766"/>
      <c r="DA40" s="767"/>
      <c r="DB40" s="764"/>
      <c r="DC40" s="699"/>
      <c r="DD40" s="765"/>
      <c r="DE40" s="766"/>
      <c r="DF40" s="766"/>
      <c r="DG40" s="765"/>
      <c r="DH40" s="766"/>
      <c r="DI40" s="767"/>
      <c r="DJ40" s="764"/>
      <c r="DK40" s="699"/>
      <c r="DL40" s="765"/>
      <c r="DM40" s="766"/>
      <c r="DN40" s="766"/>
      <c r="DO40" s="765"/>
      <c r="DP40" s="766"/>
      <c r="DQ40" s="767"/>
      <c r="DR40" s="764"/>
      <c r="DS40" s="699"/>
      <c r="DT40" s="765"/>
      <c r="DU40" s="766"/>
      <c r="DV40" s="766"/>
      <c r="DW40" s="765"/>
      <c r="DX40" s="766"/>
      <c r="DY40" s="767"/>
      <c r="DZ40" s="764"/>
      <c r="EA40" s="699"/>
      <c r="EB40" s="765"/>
      <c r="EC40" s="766"/>
      <c r="ED40" s="766"/>
      <c r="EE40" s="765"/>
      <c r="EF40" s="766"/>
      <c r="EG40" s="767"/>
      <c r="EH40" s="764"/>
      <c r="EI40" s="699"/>
      <c r="EJ40" s="765"/>
      <c r="EK40" s="766"/>
      <c r="EL40" s="766"/>
      <c r="EM40" s="765"/>
      <c r="EN40" s="766"/>
      <c r="EO40" s="767"/>
      <c r="EP40" s="764"/>
      <c r="EQ40" s="699"/>
      <c r="ER40" s="765"/>
      <c r="ES40" s="766"/>
      <c r="ET40" s="766"/>
      <c r="EU40" s="765"/>
      <c r="EV40" s="766"/>
      <c r="EW40" s="767"/>
      <c r="EX40" s="764"/>
      <c r="EY40" s="699"/>
      <c r="EZ40" s="765"/>
      <c r="FA40" s="766"/>
      <c r="FB40" s="766"/>
      <c r="FC40" s="765"/>
      <c r="FD40" s="766"/>
      <c r="FE40" s="767"/>
      <c r="FF40" s="764"/>
      <c r="FG40" s="699"/>
      <c r="FH40" s="765"/>
      <c r="FI40" s="766"/>
      <c r="FJ40" s="766"/>
      <c r="FK40" s="765"/>
      <c r="FL40" s="766"/>
      <c r="FM40" s="767"/>
      <c r="FN40" s="764"/>
      <c r="FO40" s="699"/>
      <c r="FP40" s="765"/>
      <c r="FQ40" s="766"/>
      <c r="FR40" s="766"/>
      <c r="FS40" s="765"/>
      <c r="FT40" s="766"/>
      <c r="FU40" s="767"/>
      <c r="FV40" s="764"/>
      <c r="FW40" s="699"/>
      <c r="FX40" s="765"/>
      <c r="FY40" s="766"/>
      <c r="FZ40" s="766"/>
      <c r="GA40" s="765"/>
      <c r="GB40" s="766"/>
      <c r="GC40" s="767"/>
      <c r="GD40" s="764"/>
      <c r="GE40" s="699"/>
      <c r="GF40" s="765"/>
      <c r="GG40" s="766"/>
      <c r="GH40" s="766"/>
      <c r="GI40" s="765"/>
      <c r="GJ40" s="766"/>
      <c r="GK40" s="767"/>
      <c r="GL40" s="764"/>
      <c r="GM40" s="699"/>
      <c r="GN40" s="765"/>
      <c r="GO40" s="766"/>
      <c r="GP40" s="766"/>
      <c r="GQ40" s="765"/>
      <c r="GR40" s="766"/>
      <c r="GS40" s="767"/>
      <c r="GT40" s="764"/>
      <c r="GU40" s="699"/>
      <c r="GV40" s="765"/>
      <c r="GW40" s="766"/>
      <c r="GX40" s="766"/>
      <c r="GY40" s="765"/>
      <c r="GZ40" s="766"/>
      <c r="HA40" s="767"/>
      <c r="HB40" s="764"/>
      <c r="HC40" s="699"/>
      <c r="HD40" s="765"/>
      <c r="HE40" s="766"/>
      <c r="HF40" s="766"/>
      <c r="HG40" s="765"/>
      <c r="HH40" s="766"/>
      <c r="HI40" s="767"/>
      <c r="HJ40" s="764"/>
      <c r="HK40" s="699"/>
      <c r="HL40" s="765"/>
      <c r="HM40" s="766"/>
      <c r="HN40" s="766"/>
      <c r="HO40" s="765"/>
      <c r="HP40" s="766"/>
      <c r="HQ40" s="767"/>
      <c r="HR40" s="764"/>
      <c r="HS40" s="699"/>
      <c r="HT40" s="765"/>
      <c r="HU40" s="766"/>
      <c r="HV40" s="766"/>
      <c r="HW40" s="765"/>
      <c r="HX40" s="766"/>
      <c r="HY40" s="767"/>
      <c r="HZ40" s="764"/>
      <c r="IA40" s="699"/>
      <c r="IB40" s="765"/>
      <c r="IC40" s="766"/>
      <c r="ID40" s="766"/>
      <c r="IE40" s="765"/>
      <c r="IF40" s="766"/>
      <c r="IG40" s="765"/>
      <c r="IH40" s="768"/>
      <c r="II40" s="108"/>
      <c r="IJ40" s="108"/>
      <c r="IK40" s="108"/>
      <c r="IL40" s="108"/>
      <c r="IM40" s="108"/>
      <c r="IN40" s="108"/>
      <c r="IO40" s="769"/>
    </row>
    <row r="41" spans="1:249" x14ac:dyDescent="0.25">
      <c r="A41" s="763">
        <f t="shared" si="30"/>
        <v>31</v>
      </c>
      <c r="B41" s="764"/>
      <c r="C41" s="699"/>
      <c r="D41" s="765"/>
      <c r="E41" s="766"/>
      <c r="F41" s="766"/>
      <c r="G41" s="765"/>
      <c r="H41" s="766"/>
      <c r="I41" s="767"/>
      <c r="J41" s="764"/>
      <c r="K41" s="699"/>
      <c r="L41" s="765"/>
      <c r="M41" s="766"/>
      <c r="N41" s="766"/>
      <c r="O41" s="765"/>
      <c r="P41" s="766"/>
      <c r="Q41" s="767"/>
      <c r="R41" s="764"/>
      <c r="S41" s="699"/>
      <c r="T41" s="765"/>
      <c r="U41" s="766"/>
      <c r="V41" s="766"/>
      <c r="W41" s="765"/>
      <c r="X41" s="766"/>
      <c r="Y41" s="767"/>
      <c r="Z41" s="764"/>
      <c r="AA41" s="699"/>
      <c r="AB41" s="765"/>
      <c r="AC41" s="766"/>
      <c r="AD41" s="766"/>
      <c r="AE41" s="765"/>
      <c r="AF41" s="766"/>
      <c r="AG41" s="767"/>
      <c r="AH41" s="764"/>
      <c r="AI41" s="699"/>
      <c r="AJ41" s="765"/>
      <c r="AK41" s="766"/>
      <c r="AL41" s="766"/>
      <c r="AM41" s="765"/>
      <c r="AN41" s="766"/>
      <c r="AO41" s="767"/>
      <c r="AP41" s="764"/>
      <c r="AQ41" s="699"/>
      <c r="AR41" s="765"/>
      <c r="AS41" s="766"/>
      <c r="AT41" s="766"/>
      <c r="AU41" s="765"/>
      <c r="AV41" s="766"/>
      <c r="AW41" s="767"/>
      <c r="AX41" s="764"/>
      <c r="AY41" s="699"/>
      <c r="AZ41" s="765"/>
      <c r="BA41" s="766"/>
      <c r="BB41" s="766"/>
      <c r="BC41" s="765"/>
      <c r="BD41" s="766"/>
      <c r="BE41" s="767"/>
      <c r="BF41" s="764"/>
      <c r="BG41" s="699"/>
      <c r="BH41" s="765"/>
      <c r="BI41" s="766"/>
      <c r="BJ41" s="766"/>
      <c r="BK41" s="765"/>
      <c r="BL41" s="766"/>
      <c r="BM41" s="767"/>
      <c r="BN41" s="764"/>
      <c r="BO41" s="699"/>
      <c r="BP41" s="765"/>
      <c r="BQ41" s="766"/>
      <c r="BR41" s="766"/>
      <c r="BS41" s="765"/>
      <c r="BT41" s="766"/>
      <c r="BU41" s="767"/>
      <c r="BV41" s="764"/>
      <c r="BW41" s="699"/>
      <c r="BX41" s="765"/>
      <c r="BY41" s="766"/>
      <c r="BZ41" s="766"/>
      <c r="CA41" s="765"/>
      <c r="CB41" s="766"/>
      <c r="CC41" s="767"/>
      <c r="CD41" s="764"/>
      <c r="CE41" s="699"/>
      <c r="CF41" s="765"/>
      <c r="CG41" s="766"/>
      <c r="CH41" s="766"/>
      <c r="CI41" s="765"/>
      <c r="CJ41" s="766"/>
      <c r="CK41" s="767"/>
      <c r="CL41" s="764"/>
      <c r="CM41" s="699"/>
      <c r="CN41" s="765"/>
      <c r="CO41" s="766"/>
      <c r="CP41" s="766"/>
      <c r="CQ41" s="765"/>
      <c r="CR41" s="766"/>
      <c r="CS41" s="767"/>
      <c r="CT41" s="764"/>
      <c r="CU41" s="699"/>
      <c r="CV41" s="765"/>
      <c r="CW41" s="766"/>
      <c r="CX41" s="766"/>
      <c r="CY41" s="765"/>
      <c r="CZ41" s="766"/>
      <c r="DA41" s="767"/>
      <c r="DB41" s="764"/>
      <c r="DC41" s="699"/>
      <c r="DD41" s="765"/>
      <c r="DE41" s="766"/>
      <c r="DF41" s="766"/>
      <c r="DG41" s="765"/>
      <c r="DH41" s="766"/>
      <c r="DI41" s="767"/>
      <c r="DJ41" s="764"/>
      <c r="DK41" s="699"/>
      <c r="DL41" s="765"/>
      <c r="DM41" s="766"/>
      <c r="DN41" s="766"/>
      <c r="DO41" s="765"/>
      <c r="DP41" s="766"/>
      <c r="DQ41" s="767"/>
      <c r="DR41" s="764"/>
      <c r="DS41" s="699"/>
      <c r="DT41" s="765"/>
      <c r="DU41" s="766"/>
      <c r="DV41" s="766"/>
      <c r="DW41" s="765"/>
      <c r="DX41" s="766"/>
      <c r="DY41" s="767"/>
      <c r="DZ41" s="764"/>
      <c r="EA41" s="699"/>
      <c r="EB41" s="765"/>
      <c r="EC41" s="766"/>
      <c r="ED41" s="766"/>
      <c r="EE41" s="765"/>
      <c r="EF41" s="766"/>
      <c r="EG41" s="767"/>
      <c r="EH41" s="764"/>
      <c r="EI41" s="699"/>
      <c r="EJ41" s="765"/>
      <c r="EK41" s="766"/>
      <c r="EL41" s="766"/>
      <c r="EM41" s="765"/>
      <c r="EN41" s="766"/>
      <c r="EO41" s="767"/>
      <c r="EP41" s="764"/>
      <c r="EQ41" s="699"/>
      <c r="ER41" s="765"/>
      <c r="ES41" s="766"/>
      <c r="ET41" s="766"/>
      <c r="EU41" s="765"/>
      <c r="EV41" s="766"/>
      <c r="EW41" s="767"/>
      <c r="EX41" s="764"/>
      <c r="EY41" s="699"/>
      <c r="EZ41" s="765"/>
      <c r="FA41" s="766"/>
      <c r="FB41" s="766"/>
      <c r="FC41" s="765"/>
      <c r="FD41" s="766"/>
      <c r="FE41" s="767"/>
      <c r="FF41" s="764"/>
      <c r="FG41" s="699"/>
      <c r="FH41" s="765"/>
      <c r="FI41" s="766"/>
      <c r="FJ41" s="766"/>
      <c r="FK41" s="765"/>
      <c r="FL41" s="766"/>
      <c r="FM41" s="767"/>
      <c r="FN41" s="764"/>
      <c r="FO41" s="699"/>
      <c r="FP41" s="765"/>
      <c r="FQ41" s="766"/>
      <c r="FR41" s="766"/>
      <c r="FS41" s="765"/>
      <c r="FT41" s="766"/>
      <c r="FU41" s="767"/>
      <c r="FV41" s="764"/>
      <c r="FW41" s="699"/>
      <c r="FX41" s="765"/>
      <c r="FY41" s="766"/>
      <c r="FZ41" s="766"/>
      <c r="GA41" s="765"/>
      <c r="GB41" s="766"/>
      <c r="GC41" s="767"/>
      <c r="GD41" s="764"/>
      <c r="GE41" s="699"/>
      <c r="GF41" s="765"/>
      <c r="GG41" s="766"/>
      <c r="GH41" s="766"/>
      <c r="GI41" s="765"/>
      <c r="GJ41" s="766"/>
      <c r="GK41" s="767"/>
      <c r="GL41" s="764"/>
      <c r="GM41" s="699"/>
      <c r="GN41" s="765"/>
      <c r="GO41" s="766"/>
      <c r="GP41" s="766"/>
      <c r="GQ41" s="765"/>
      <c r="GR41" s="766"/>
      <c r="GS41" s="767"/>
      <c r="GT41" s="764"/>
      <c r="GU41" s="699"/>
      <c r="GV41" s="765"/>
      <c r="GW41" s="766"/>
      <c r="GX41" s="766"/>
      <c r="GY41" s="765"/>
      <c r="GZ41" s="766"/>
      <c r="HA41" s="767"/>
      <c r="HB41" s="764"/>
      <c r="HC41" s="699"/>
      <c r="HD41" s="765"/>
      <c r="HE41" s="766"/>
      <c r="HF41" s="766"/>
      <c r="HG41" s="765"/>
      <c r="HH41" s="766"/>
      <c r="HI41" s="767"/>
      <c r="HJ41" s="764"/>
      <c r="HK41" s="699"/>
      <c r="HL41" s="765"/>
      <c r="HM41" s="766"/>
      <c r="HN41" s="766"/>
      <c r="HO41" s="765"/>
      <c r="HP41" s="766"/>
      <c r="HQ41" s="767"/>
      <c r="HR41" s="764"/>
      <c r="HS41" s="699"/>
      <c r="HT41" s="765"/>
      <c r="HU41" s="766"/>
      <c r="HV41" s="766"/>
      <c r="HW41" s="765"/>
      <c r="HX41" s="766"/>
      <c r="HY41" s="767"/>
      <c r="HZ41" s="764"/>
      <c r="IA41" s="699"/>
      <c r="IB41" s="765"/>
      <c r="IC41" s="766"/>
      <c r="ID41" s="766"/>
      <c r="IE41" s="765"/>
      <c r="IF41" s="766"/>
      <c r="IG41" s="765"/>
      <c r="IH41" s="768"/>
      <c r="II41" s="108"/>
      <c r="IJ41" s="108"/>
      <c r="IK41" s="108"/>
      <c r="IL41" s="108"/>
      <c r="IM41" s="108"/>
      <c r="IN41" s="108"/>
      <c r="IO41" s="769"/>
    </row>
    <row r="42" spans="1:249" x14ac:dyDescent="0.25">
      <c r="A42" s="763">
        <f t="shared" si="30"/>
        <v>32</v>
      </c>
      <c r="B42" s="764"/>
      <c r="C42" s="699"/>
      <c r="D42" s="765"/>
      <c r="E42" s="766"/>
      <c r="F42" s="766"/>
      <c r="G42" s="765"/>
      <c r="H42" s="766"/>
      <c r="I42" s="767"/>
      <c r="J42" s="764"/>
      <c r="K42" s="699"/>
      <c r="L42" s="765"/>
      <c r="M42" s="766"/>
      <c r="N42" s="766"/>
      <c r="O42" s="765"/>
      <c r="P42" s="766"/>
      <c r="Q42" s="767"/>
      <c r="R42" s="764"/>
      <c r="S42" s="699"/>
      <c r="T42" s="765"/>
      <c r="U42" s="766"/>
      <c r="V42" s="766"/>
      <c r="W42" s="765"/>
      <c r="X42" s="766"/>
      <c r="Y42" s="767"/>
      <c r="Z42" s="764"/>
      <c r="AA42" s="699"/>
      <c r="AB42" s="765"/>
      <c r="AC42" s="766"/>
      <c r="AD42" s="766"/>
      <c r="AE42" s="765"/>
      <c r="AF42" s="766"/>
      <c r="AG42" s="767"/>
      <c r="AH42" s="764"/>
      <c r="AI42" s="699"/>
      <c r="AJ42" s="765"/>
      <c r="AK42" s="766"/>
      <c r="AL42" s="766"/>
      <c r="AM42" s="765"/>
      <c r="AN42" s="766"/>
      <c r="AO42" s="767"/>
      <c r="AP42" s="764"/>
      <c r="AQ42" s="699"/>
      <c r="AR42" s="765"/>
      <c r="AS42" s="766"/>
      <c r="AT42" s="766"/>
      <c r="AU42" s="765"/>
      <c r="AV42" s="766"/>
      <c r="AW42" s="767"/>
      <c r="AX42" s="764"/>
      <c r="AY42" s="699"/>
      <c r="AZ42" s="765"/>
      <c r="BA42" s="766"/>
      <c r="BB42" s="766"/>
      <c r="BC42" s="765"/>
      <c r="BD42" s="766"/>
      <c r="BE42" s="767"/>
      <c r="BF42" s="764"/>
      <c r="BG42" s="699"/>
      <c r="BH42" s="765"/>
      <c r="BI42" s="766"/>
      <c r="BJ42" s="766"/>
      <c r="BK42" s="765"/>
      <c r="BL42" s="766"/>
      <c r="BM42" s="767"/>
      <c r="BN42" s="764"/>
      <c r="BO42" s="699"/>
      <c r="BP42" s="765"/>
      <c r="BQ42" s="766"/>
      <c r="BR42" s="766"/>
      <c r="BS42" s="765"/>
      <c r="BT42" s="766"/>
      <c r="BU42" s="767"/>
      <c r="BV42" s="764"/>
      <c r="BW42" s="699"/>
      <c r="BX42" s="765"/>
      <c r="BY42" s="766"/>
      <c r="BZ42" s="766"/>
      <c r="CA42" s="765"/>
      <c r="CB42" s="766"/>
      <c r="CC42" s="767"/>
      <c r="CD42" s="764"/>
      <c r="CE42" s="699"/>
      <c r="CF42" s="765"/>
      <c r="CG42" s="766"/>
      <c r="CH42" s="766"/>
      <c r="CI42" s="765"/>
      <c r="CJ42" s="766"/>
      <c r="CK42" s="767"/>
      <c r="CL42" s="764"/>
      <c r="CM42" s="699"/>
      <c r="CN42" s="765"/>
      <c r="CO42" s="766"/>
      <c r="CP42" s="766"/>
      <c r="CQ42" s="765"/>
      <c r="CR42" s="766"/>
      <c r="CS42" s="767"/>
      <c r="CT42" s="764"/>
      <c r="CU42" s="699"/>
      <c r="CV42" s="765"/>
      <c r="CW42" s="766"/>
      <c r="CX42" s="766"/>
      <c r="CY42" s="765"/>
      <c r="CZ42" s="766"/>
      <c r="DA42" s="767"/>
      <c r="DB42" s="764"/>
      <c r="DC42" s="699"/>
      <c r="DD42" s="765"/>
      <c r="DE42" s="766"/>
      <c r="DF42" s="766"/>
      <c r="DG42" s="765"/>
      <c r="DH42" s="766"/>
      <c r="DI42" s="767"/>
      <c r="DJ42" s="764"/>
      <c r="DK42" s="699"/>
      <c r="DL42" s="765"/>
      <c r="DM42" s="766"/>
      <c r="DN42" s="766"/>
      <c r="DO42" s="765"/>
      <c r="DP42" s="766"/>
      <c r="DQ42" s="767"/>
      <c r="DR42" s="764"/>
      <c r="DS42" s="699"/>
      <c r="DT42" s="765"/>
      <c r="DU42" s="766"/>
      <c r="DV42" s="766"/>
      <c r="DW42" s="765"/>
      <c r="DX42" s="766"/>
      <c r="DY42" s="767"/>
      <c r="DZ42" s="764"/>
      <c r="EA42" s="699"/>
      <c r="EB42" s="765"/>
      <c r="EC42" s="766"/>
      <c r="ED42" s="766"/>
      <c r="EE42" s="765"/>
      <c r="EF42" s="766"/>
      <c r="EG42" s="767"/>
      <c r="EH42" s="764"/>
      <c r="EI42" s="699"/>
      <c r="EJ42" s="765"/>
      <c r="EK42" s="766"/>
      <c r="EL42" s="766"/>
      <c r="EM42" s="765"/>
      <c r="EN42" s="766"/>
      <c r="EO42" s="767"/>
      <c r="EP42" s="764"/>
      <c r="EQ42" s="699"/>
      <c r="ER42" s="765"/>
      <c r="ES42" s="766"/>
      <c r="ET42" s="766"/>
      <c r="EU42" s="765"/>
      <c r="EV42" s="766"/>
      <c r="EW42" s="767"/>
      <c r="EX42" s="764"/>
      <c r="EY42" s="699"/>
      <c r="EZ42" s="765"/>
      <c r="FA42" s="766"/>
      <c r="FB42" s="766"/>
      <c r="FC42" s="765"/>
      <c r="FD42" s="766"/>
      <c r="FE42" s="767"/>
      <c r="FF42" s="764"/>
      <c r="FG42" s="699"/>
      <c r="FH42" s="765"/>
      <c r="FI42" s="766"/>
      <c r="FJ42" s="766"/>
      <c r="FK42" s="765"/>
      <c r="FL42" s="766"/>
      <c r="FM42" s="767"/>
      <c r="FN42" s="764"/>
      <c r="FO42" s="699"/>
      <c r="FP42" s="765"/>
      <c r="FQ42" s="766"/>
      <c r="FR42" s="766"/>
      <c r="FS42" s="765"/>
      <c r="FT42" s="766"/>
      <c r="FU42" s="767"/>
      <c r="FV42" s="764"/>
      <c r="FW42" s="699"/>
      <c r="FX42" s="765"/>
      <c r="FY42" s="766"/>
      <c r="FZ42" s="766"/>
      <c r="GA42" s="765"/>
      <c r="GB42" s="766"/>
      <c r="GC42" s="767"/>
      <c r="GD42" s="764"/>
      <c r="GE42" s="699"/>
      <c r="GF42" s="765"/>
      <c r="GG42" s="766"/>
      <c r="GH42" s="766"/>
      <c r="GI42" s="765"/>
      <c r="GJ42" s="766"/>
      <c r="GK42" s="767"/>
      <c r="GL42" s="764"/>
      <c r="GM42" s="699"/>
      <c r="GN42" s="765"/>
      <c r="GO42" s="766"/>
      <c r="GP42" s="766"/>
      <c r="GQ42" s="765"/>
      <c r="GR42" s="766"/>
      <c r="GS42" s="767"/>
      <c r="GT42" s="764"/>
      <c r="GU42" s="699"/>
      <c r="GV42" s="765"/>
      <c r="GW42" s="766"/>
      <c r="GX42" s="766"/>
      <c r="GY42" s="765"/>
      <c r="GZ42" s="766"/>
      <c r="HA42" s="767"/>
      <c r="HB42" s="764"/>
      <c r="HC42" s="699"/>
      <c r="HD42" s="765"/>
      <c r="HE42" s="766"/>
      <c r="HF42" s="766"/>
      <c r="HG42" s="765"/>
      <c r="HH42" s="766"/>
      <c r="HI42" s="767"/>
      <c r="HJ42" s="764"/>
      <c r="HK42" s="699"/>
      <c r="HL42" s="765"/>
      <c r="HM42" s="766"/>
      <c r="HN42" s="766"/>
      <c r="HO42" s="765"/>
      <c r="HP42" s="766"/>
      <c r="HQ42" s="767"/>
      <c r="HR42" s="764"/>
      <c r="HS42" s="699"/>
      <c r="HT42" s="765"/>
      <c r="HU42" s="766"/>
      <c r="HV42" s="766"/>
      <c r="HW42" s="765"/>
      <c r="HX42" s="766"/>
      <c r="HY42" s="767"/>
      <c r="HZ42" s="764"/>
      <c r="IA42" s="699"/>
      <c r="IB42" s="765"/>
      <c r="IC42" s="766"/>
      <c r="ID42" s="766"/>
      <c r="IE42" s="765"/>
      <c r="IF42" s="766"/>
      <c r="IG42" s="765"/>
      <c r="IH42" s="768"/>
      <c r="II42" s="108"/>
      <c r="IJ42" s="108"/>
      <c r="IK42" s="108"/>
      <c r="IL42" s="108"/>
      <c r="IM42" s="108"/>
      <c r="IN42" s="108"/>
      <c r="IO42" s="769"/>
    </row>
    <row r="43" spans="1:249" x14ac:dyDescent="0.25">
      <c r="A43" s="763">
        <f t="shared" si="30"/>
        <v>33</v>
      </c>
      <c r="B43" s="764"/>
      <c r="C43" s="699"/>
      <c r="D43" s="765"/>
      <c r="E43" s="766"/>
      <c r="F43" s="766"/>
      <c r="G43" s="765"/>
      <c r="H43" s="766"/>
      <c r="I43" s="767"/>
      <c r="J43" s="764"/>
      <c r="K43" s="699"/>
      <c r="L43" s="765"/>
      <c r="M43" s="766"/>
      <c r="N43" s="766"/>
      <c r="O43" s="765"/>
      <c r="P43" s="766"/>
      <c r="Q43" s="767"/>
      <c r="R43" s="764"/>
      <c r="S43" s="699"/>
      <c r="T43" s="765"/>
      <c r="U43" s="766"/>
      <c r="V43" s="766"/>
      <c r="W43" s="765"/>
      <c r="X43" s="766"/>
      <c r="Y43" s="767"/>
      <c r="Z43" s="764"/>
      <c r="AA43" s="699"/>
      <c r="AB43" s="765"/>
      <c r="AC43" s="766"/>
      <c r="AD43" s="766"/>
      <c r="AE43" s="765"/>
      <c r="AF43" s="766"/>
      <c r="AG43" s="767"/>
      <c r="AH43" s="764"/>
      <c r="AI43" s="699"/>
      <c r="AJ43" s="765"/>
      <c r="AK43" s="766"/>
      <c r="AL43" s="766"/>
      <c r="AM43" s="765"/>
      <c r="AN43" s="766"/>
      <c r="AO43" s="767"/>
      <c r="AP43" s="764"/>
      <c r="AQ43" s="699"/>
      <c r="AR43" s="765"/>
      <c r="AS43" s="766"/>
      <c r="AT43" s="766"/>
      <c r="AU43" s="765"/>
      <c r="AV43" s="766"/>
      <c r="AW43" s="767"/>
      <c r="AX43" s="764"/>
      <c r="AY43" s="699"/>
      <c r="AZ43" s="765"/>
      <c r="BA43" s="766"/>
      <c r="BB43" s="766"/>
      <c r="BC43" s="765"/>
      <c r="BD43" s="766"/>
      <c r="BE43" s="767"/>
      <c r="BF43" s="764"/>
      <c r="BG43" s="699"/>
      <c r="BH43" s="765"/>
      <c r="BI43" s="766"/>
      <c r="BJ43" s="766"/>
      <c r="BK43" s="765"/>
      <c r="BL43" s="766"/>
      <c r="BM43" s="767"/>
      <c r="BN43" s="764"/>
      <c r="BO43" s="699"/>
      <c r="BP43" s="765"/>
      <c r="BQ43" s="766"/>
      <c r="BR43" s="766"/>
      <c r="BS43" s="765"/>
      <c r="BT43" s="766"/>
      <c r="BU43" s="767"/>
      <c r="BV43" s="764"/>
      <c r="BW43" s="699"/>
      <c r="BX43" s="765"/>
      <c r="BY43" s="766"/>
      <c r="BZ43" s="766"/>
      <c r="CA43" s="765"/>
      <c r="CB43" s="766"/>
      <c r="CC43" s="767"/>
      <c r="CD43" s="764"/>
      <c r="CE43" s="699"/>
      <c r="CF43" s="765"/>
      <c r="CG43" s="766"/>
      <c r="CH43" s="766"/>
      <c r="CI43" s="765"/>
      <c r="CJ43" s="766"/>
      <c r="CK43" s="767"/>
      <c r="CL43" s="764"/>
      <c r="CM43" s="699"/>
      <c r="CN43" s="765"/>
      <c r="CO43" s="766"/>
      <c r="CP43" s="766"/>
      <c r="CQ43" s="765"/>
      <c r="CR43" s="766"/>
      <c r="CS43" s="767"/>
      <c r="CT43" s="764"/>
      <c r="CU43" s="699"/>
      <c r="CV43" s="765"/>
      <c r="CW43" s="766"/>
      <c r="CX43" s="766"/>
      <c r="CY43" s="765"/>
      <c r="CZ43" s="766"/>
      <c r="DA43" s="767"/>
      <c r="DB43" s="764"/>
      <c r="DC43" s="699"/>
      <c r="DD43" s="765"/>
      <c r="DE43" s="766"/>
      <c r="DF43" s="766"/>
      <c r="DG43" s="765"/>
      <c r="DH43" s="766"/>
      <c r="DI43" s="767"/>
      <c r="DJ43" s="764"/>
      <c r="DK43" s="699"/>
      <c r="DL43" s="765"/>
      <c r="DM43" s="766"/>
      <c r="DN43" s="766"/>
      <c r="DO43" s="765"/>
      <c r="DP43" s="766"/>
      <c r="DQ43" s="767"/>
      <c r="DR43" s="764"/>
      <c r="DS43" s="699"/>
      <c r="DT43" s="765"/>
      <c r="DU43" s="766"/>
      <c r="DV43" s="766"/>
      <c r="DW43" s="765"/>
      <c r="DX43" s="766"/>
      <c r="DY43" s="767"/>
      <c r="DZ43" s="764"/>
      <c r="EA43" s="699"/>
      <c r="EB43" s="765"/>
      <c r="EC43" s="766"/>
      <c r="ED43" s="766"/>
      <c r="EE43" s="765"/>
      <c r="EF43" s="766"/>
      <c r="EG43" s="767"/>
      <c r="EH43" s="764"/>
      <c r="EI43" s="699"/>
      <c r="EJ43" s="765"/>
      <c r="EK43" s="766"/>
      <c r="EL43" s="766"/>
      <c r="EM43" s="765"/>
      <c r="EN43" s="766"/>
      <c r="EO43" s="767"/>
      <c r="EP43" s="764"/>
      <c r="EQ43" s="699"/>
      <c r="ER43" s="765"/>
      <c r="ES43" s="766"/>
      <c r="ET43" s="766"/>
      <c r="EU43" s="765"/>
      <c r="EV43" s="766"/>
      <c r="EW43" s="767"/>
      <c r="EX43" s="764"/>
      <c r="EY43" s="699"/>
      <c r="EZ43" s="765"/>
      <c r="FA43" s="766"/>
      <c r="FB43" s="766"/>
      <c r="FC43" s="765"/>
      <c r="FD43" s="766"/>
      <c r="FE43" s="767"/>
      <c r="FF43" s="764"/>
      <c r="FG43" s="699"/>
      <c r="FH43" s="765"/>
      <c r="FI43" s="766"/>
      <c r="FJ43" s="766"/>
      <c r="FK43" s="765"/>
      <c r="FL43" s="766"/>
      <c r="FM43" s="767"/>
      <c r="FN43" s="764"/>
      <c r="FO43" s="699"/>
      <c r="FP43" s="765"/>
      <c r="FQ43" s="766"/>
      <c r="FR43" s="766"/>
      <c r="FS43" s="765"/>
      <c r="FT43" s="766"/>
      <c r="FU43" s="767"/>
      <c r="FV43" s="764"/>
      <c r="FW43" s="699"/>
      <c r="FX43" s="765"/>
      <c r="FY43" s="766"/>
      <c r="FZ43" s="766"/>
      <c r="GA43" s="765"/>
      <c r="GB43" s="766"/>
      <c r="GC43" s="767"/>
      <c r="GD43" s="764"/>
      <c r="GE43" s="699"/>
      <c r="GF43" s="765"/>
      <c r="GG43" s="766"/>
      <c r="GH43" s="766"/>
      <c r="GI43" s="765"/>
      <c r="GJ43" s="766"/>
      <c r="GK43" s="767"/>
      <c r="GL43" s="764"/>
      <c r="GM43" s="699"/>
      <c r="GN43" s="765"/>
      <c r="GO43" s="766"/>
      <c r="GP43" s="766"/>
      <c r="GQ43" s="765"/>
      <c r="GR43" s="766"/>
      <c r="GS43" s="767"/>
      <c r="GT43" s="764"/>
      <c r="GU43" s="699"/>
      <c r="GV43" s="765"/>
      <c r="GW43" s="766"/>
      <c r="GX43" s="766"/>
      <c r="GY43" s="765"/>
      <c r="GZ43" s="766"/>
      <c r="HA43" s="767"/>
      <c r="HB43" s="764"/>
      <c r="HC43" s="699"/>
      <c r="HD43" s="765"/>
      <c r="HE43" s="766"/>
      <c r="HF43" s="766"/>
      <c r="HG43" s="765"/>
      <c r="HH43" s="766"/>
      <c r="HI43" s="767"/>
      <c r="HJ43" s="764"/>
      <c r="HK43" s="699"/>
      <c r="HL43" s="765"/>
      <c r="HM43" s="766"/>
      <c r="HN43" s="766"/>
      <c r="HO43" s="765"/>
      <c r="HP43" s="766"/>
      <c r="HQ43" s="767"/>
      <c r="HR43" s="764"/>
      <c r="HS43" s="699"/>
      <c r="HT43" s="765"/>
      <c r="HU43" s="766"/>
      <c r="HV43" s="766"/>
      <c r="HW43" s="765"/>
      <c r="HX43" s="766"/>
      <c r="HY43" s="767"/>
      <c r="HZ43" s="764"/>
      <c r="IA43" s="699"/>
      <c r="IB43" s="765"/>
      <c r="IC43" s="766"/>
      <c r="ID43" s="766"/>
      <c r="IE43" s="765"/>
      <c r="IF43" s="766"/>
      <c r="IG43" s="765"/>
      <c r="IH43" s="768"/>
      <c r="II43" s="108"/>
      <c r="IJ43" s="108"/>
      <c r="IK43" s="108"/>
      <c r="IL43" s="108"/>
      <c r="IM43" s="108"/>
      <c r="IN43" s="108"/>
      <c r="IO43" s="769"/>
    </row>
    <row r="44" spans="1:249" x14ac:dyDescent="0.25">
      <c r="A44" s="763">
        <f t="shared" ref="A44:A70" si="31">A43+1</f>
        <v>34</v>
      </c>
      <c r="B44" s="764"/>
      <c r="C44" s="699"/>
      <c r="D44" s="765"/>
      <c r="E44" s="766"/>
      <c r="F44" s="766"/>
      <c r="G44" s="765"/>
      <c r="H44" s="766"/>
      <c r="I44" s="767"/>
      <c r="J44" s="764"/>
      <c r="K44" s="699"/>
      <c r="L44" s="765"/>
      <c r="M44" s="766"/>
      <c r="N44" s="766"/>
      <c r="O44" s="765"/>
      <c r="P44" s="766"/>
      <c r="Q44" s="767"/>
      <c r="R44" s="764"/>
      <c r="S44" s="699"/>
      <c r="T44" s="765"/>
      <c r="U44" s="766"/>
      <c r="V44" s="766"/>
      <c r="W44" s="765"/>
      <c r="X44" s="766"/>
      <c r="Y44" s="767"/>
      <c r="Z44" s="764"/>
      <c r="AA44" s="699"/>
      <c r="AB44" s="765"/>
      <c r="AC44" s="766"/>
      <c r="AD44" s="766"/>
      <c r="AE44" s="765"/>
      <c r="AF44" s="766"/>
      <c r="AG44" s="767"/>
      <c r="AH44" s="764"/>
      <c r="AI44" s="699"/>
      <c r="AJ44" s="765"/>
      <c r="AK44" s="766"/>
      <c r="AL44" s="766"/>
      <c r="AM44" s="765"/>
      <c r="AN44" s="766"/>
      <c r="AO44" s="767"/>
      <c r="AP44" s="764"/>
      <c r="AQ44" s="699"/>
      <c r="AR44" s="765"/>
      <c r="AS44" s="766"/>
      <c r="AT44" s="766"/>
      <c r="AU44" s="765"/>
      <c r="AV44" s="766"/>
      <c r="AW44" s="767"/>
      <c r="AX44" s="764"/>
      <c r="AY44" s="699"/>
      <c r="AZ44" s="765"/>
      <c r="BA44" s="766"/>
      <c r="BB44" s="766"/>
      <c r="BC44" s="765"/>
      <c r="BD44" s="766"/>
      <c r="BE44" s="767"/>
      <c r="BF44" s="764"/>
      <c r="BG44" s="699"/>
      <c r="BH44" s="765"/>
      <c r="BI44" s="766"/>
      <c r="BJ44" s="766"/>
      <c r="BK44" s="765"/>
      <c r="BL44" s="766"/>
      <c r="BM44" s="767"/>
      <c r="BN44" s="764"/>
      <c r="BO44" s="699"/>
      <c r="BP44" s="765"/>
      <c r="BQ44" s="766"/>
      <c r="BR44" s="766"/>
      <c r="BS44" s="765"/>
      <c r="BT44" s="766"/>
      <c r="BU44" s="767"/>
      <c r="BV44" s="764"/>
      <c r="BW44" s="699"/>
      <c r="BX44" s="765"/>
      <c r="BY44" s="766"/>
      <c r="BZ44" s="766"/>
      <c r="CA44" s="765"/>
      <c r="CB44" s="766"/>
      <c r="CC44" s="767"/>
      <c r="CD44" s="764"/>
      <c r="CE44" s="699"/>
      <c r="CF44" s="765"/>
      <c r="CG44" s="766"/>
      <c r="CH44" s="766"/>
      <c r="CI44" s="765"/>
      <c r="CJ44" s="766"/>
      <c r="CK44" s="767"/>
      <c r="CL44" s="764"/>
      <c r="CM44" s="699"/>
      <c r="CN44" s="765"/>
      <c r="CO44" s="766"/>
      <c r="CP44" s="766"/>
      <c r="CQ44" s="765"/>
      <c r="CR44" s="766"/>
      <c r="CS44" s="767"/>
      <c r="CT44" s="764"/>
      <c r="CU44" s="699"/>
      <c r="CV44" s="765"/>
      <c r="CW44" s="766"/>
      <c r="CX44" s="766"/>
      <c r="CY44" s="765"/>
      <c r="CZ44" s="766"/>
      <c r="DA44" s="767"/>
      <c r="DB44" s="764"/>
      <c r="DC44" s="699"/>
      <c r="DD44" s="765"/>
      <c r="DE44" s="766"/>
      <c r="DF44" s="766"/>
      <c r="DG44" s="765"/>
      <c r="DH44" s="766"/>
      <c r="DI44" s="767"/>
      <c r="DJ44" s="764"/>
      <c r="DK44" s="699"/>
      <c r="DL44" s="765"/>
      <c r="DM44" s="766"/>
      <c r="DN44" s="766"/>
      <c r="DO44" s="765"/>
      <c r="DP44" s="766"/>
      <c r="DQ44" s="767"/>
      <c r="DR44" s="764"/>
      <c r="DS44" s="699"/>
      <c r="DT44" s="765"/>
      <c r="DU44" s="766"/>
      <c r="DV44" s="766"/>
      <c r="DW44" s="765"/>
      <c r="DX44" s="766"/>
      <c r="DY44" s="767"/>
      <c r="DZ44" s="764"/>
      <c r="EA44" s="699"/>
      <c r="EB44" s="765"/>
      <c r="EC44" s="766"/>
      <c r="ED44" s="766"/>
      <c r="EE44" s="765"/>
      <c r="EF44" s="766"/>
      <c r="EG44" s="767"/>
      <c r="EH44" s="764"/>
      <c r="EI44" s="699"/>
      <c r="EJ44" s="765"/>
      <c r="EK44" s="766"/>
      <c r="EL44" s="766"/>
      <c r="EM44" s="765"/>
      <c r="EN44" s="766"/>
      <c r="EO44" s="767"/>
      <c r="EP44" s="764"/>
      <c r="EQ44" s="699"/>
      <c r="ER44" s="765"/>
      <c r="ES44" s="766"/>
      <c r="ET44" s="766"/>
      <c r="EU44" s="765"/>
      <c r="EV44" s="766"/>
      <c r="EW44" s="767"/>
      <c r="EX44" s="764"/>
      <c r="EY44" s="699"/>
      <c r="EZ44" s="765"/>
      <c r="FA44" s="766"/>
      <c r="FB44" s="766"/>
      <c r="FC44" s="765"/>
      <c r="FD44" s="766"/>
      <c r="FE44" s="767"/>
      <c r="FF44" s="764"/>
      <c r="FG44" s="699"/>
      <c r="FH44" s="765"/>
      <c r="FI44" s="766"/>
      <c r="FJ44" s="766"/>
      <c r="FK44" s="765"/>
      <c r="FL44" s="766"/>
      <c r="FM44" s="767"/>
      <c r="FN44" s="764"/>
      <c r="FO44" s="699"/>
      <c r="FP44" s="765"/>
      <c r="FQ44" s="766"/>
      <c r="FR44" s="766"/>
      <c r="FS44" s="765"/>
      <c r="FT44" s="766"/>
      <c r="FU44" s="767"/>
      <c r="FV44" s="764"/>
      <c r="FW44" s="699"/>
      <c r="FX44" s="765"/>
      <c r="FY44" s="766"/>
      <c r="FZ44" s="766"/>
      <c r="GA44" s="765"/>
      <c r="GB44" s="766"/>
      <c r="GC44" s="767"/>
      <c r="GD44" s="764"/>
      <c r="GE44" s="699"/>
      <c r="GF44" s="765"/>
      <c r="GG44" s="766"/>
      <c r="GH44" s="766"/>
      <c r="GI44" s="765"/>
      <c r="GJ44" s="766"/>
      <c r="GK44" s="767"/>
      <c r="GL44" s="764"/>
      <c r="GM44" s="699"/>
      <c r="GN44" s="765"/>
      <c r="GO44" s="766"/>
      <c r="GP44" s="766"/>
      <c r="GQ44" s="765"/>
      <c r="GR44" s="766"/>
      <c r="GS44" s="767"/>
      <c r="GT44" s="764"/>
      <c r="GU44" s="699"/>
      <c r="GV44" s="765"/>
      <c r="GW44" s="766"/>
      <c r="GX44" s="766"/>
      <c r="GY44" s="765"/>
      <c r="GZ44" s="766"/>
      <c r="HA44" s="767"/>
      <c r="HB44" s="764"/>
      <c r="HC44" s="699"/>
      <c r="HD44" s="765"/>
      <c r="HE44" s="766"/>
      <c r="HF44" s="766"/>
      <c r="HG44" s="765"/>
      <c r="HH44" s="766"/>
      <c r="HI44" s="767"/>
      <c r="HJ44" s="764"/>
      <c r="HK44" s="699"/>
      <c r="HL44" s="765"/>
      <c r="HM44" s="766"/>
      <c r="HN44" s="766"/>
      <c r="HO44" s="765"/>
      <c r="HP44" s="766"/>
      <c r="HQ44" s="767"/>
      <c r="HR44" s="764"/>
      <c r="HS44" s="699"/>
      <c r="HT44" s="765"/>
      <c r="HU44" s="766"/>
      <c r="HV44" s="766"/>
      <c r="HW44" s="765"/>
      <c r="HX44" s="766"/>
      <c r="HY44" s="767"/>
      <c r="HZ44" s="764"/>
      <c r="IA44" s="699"/>
      <c r="IB44" s="765"/>
      <c r="IC44" s="766"/>
      <c r="ID44" s="766"/>
      <c r="IE44" s="765"/>
      <c r="IF44" s="766"/>
      <c r="IG44" s="765"/>
      <c r="IH44" s="768"/>
      <c r="II44" s="108"/>
      <c r="IJ44" s="108"/>
      <c r="IK44" s="108"/>
      <c r="IL44" s="108"/>
      <c r="IM44" s="108"/>
      <c r="IN44" s="108"/>
      <c r="IO44" s="769"/>
    </row>
    <row r="45" spans="1:249" x14ac:dyDescent="0.25">
      <c r="A45" s="763">
        <f t="shared" si="31"/>
        <v>35</v>
      </c>
      <c r="B45" s="764"/>
      <c r="C45" s="699"/>
      <c r="D45" s="765"/>
      <c r="E45" s="766"/>
      <c r="F45" s="766"/>
      <c r="G45" s="765"/>
      <c r="H45" s="766"/>
      <c r="I45" s="767"/>
      <c r="J45" s="764"/>
      <c r="K45" s="699"/>
      <c r="L45" s="765"/>
      <c r="M45" s="766"/>
      <c r="N45" s="766"/>
      <c r="O45" s="765"/>
      <c r="P45" s="766"/>
      <c r="Q45" s="767"/>
      <c r="R45" s="764"/>
      <c r="S45" s="699"/>
      <c r="T45" s="765"/>
      <c r="U45" s="766"/>
      <c r="V45" s="766"/>
      <c r="W45" s="765"/>
      <c r="X45" s="766"/>
      <c r="Y45" s="767"/>
      <c r="Z45" s="764"/>
      <c r="AA45" s="699"/>
      <c r="AB45" s="765"/>
      <c r="AC45" s="766"/>
      <c r="AD45" s="766"/>
      <c r="AE45" s="765"/>
      <c r="AF45" s="766"/>
      <c r="AG45" s="767"/>
      <c r="AH45" s="764"/>
      <c r="AI45" s="699"/>
      <c r="AJ45" s="765"/>
      <c r="AK45" s="766"/>
      <c r="AL45" s="766"/>
      <c r="AM45" s="765"/>
      <c r="AN45" s="766"/>
      <c r="AO45" s="767"/>
      <c r="AP45" s="764"/>
      <c r="AQ45" s="699"/>
      <c r="AR45" s="765"/>
      <c r="AS45" s="766"/>
      <c r="AT45" s="766"/>
      <c r="AU45" s="765"/>
      <c r="AV45" s="766"/>
      <c r="AW45" s="767"/>
      <c r="AX45" s="764"/>
      <c r="AY45" s="699"/>
      <c r="AZ45" s="765"/>
      <c r="BA45" s="766"/>
      <c r="BB45" s="766"/>
      <c r="BC45" s="765"/>
      <c r="BD45" s="766"/>
      <c r="BE45" s="767"/>
      <c r="BF45" s="764"/>
      <c r="BG45" s="699"/>
      <c r="BH45" s="765"/>
      <c r="BI45" s="766"/>
      <c r="BJ45" s="766"/>
      <c r="BK45" s="765"/>
      <c r="BL45" s="766"/>
      <c r="BM45" s="767"/>
      <c r="BN45" s="764"/>
      <c r="BO45" s="699"/>
      <c r="BP45" s="765"/>
      <c r="BQ45" s="766"/>
      <c r="BR45" s="766"/>
      <c r="BS45" s="765"/>
      <c r="BT45" s="766"/>
      <c r="BU45" s="767"/>
      <c r="BV45" s="764"/>
      <c r="BW45" s="699"/>
      <c r="BX45" s="765"/>
      <c r="BY45" s="766"/>
      <c r="BZ45" s="766"/>
      <c r="CA45" s="765"/>
      <c r="CB45" s="766"/>
      <c r="CC45" s="767"/>
      <c r="CD45" s="764"/>
      <c r="CE45" s="699"/>
      <c r="CF45" s="765"/>
      <c r="CG45" s="766"/>
      <c r="CH45" s="766"/>
      <c r="CI45" s="765"/>
      <c r="CJ45" s="766"/>
      <c r="CK45" s="767"/>
      <c r="CL45" s="764"/>
      <c r="CM45" s="699"/>
      <c r="CN45" s="765"/>
      <c r="CO45" s="766"/>
      <c r="CP45" s="766"/>
      <c r="CQ45" s="765"/>
      <c r="CR45" s="766"/>
      <c r="CS45" s="767"/>
      <c r="CT45" s="764"/>
      <c r="CU45" s="699"/>
      <c r="CV45" s="765"/>
      <c r="CW45" s="766"/>
      <c r="CX45" s="766"/>
      <c r="CY45" s="765"/>
      <c r="CZ45" s="766"/>
      <c r="DA45" s="767"/>
      <c r="DB45" s="764"/>
      <c r="DC45" s="699"/>
      <c r="DD45" s="765"/>
      <c r="DE45" s="766"/>
      <c r="DF45" s="766"/>
      <c r="DG45" s="765"/>
      <c r="DH45" s="766"/>
      <c r="DI45" s="767"/>
      <c r="DJ45" s="764"/>
      <c r="DK45" s="699"/>
      <c r="DL45" s="765"/>
      <c r="DM45" s="766"/>
      <c r="DN45" s="766"/>
      <c r="DO45" s="765"/>
      <c r="DP45" s="766"/>
      <c r="DQ45" s="767"/>
      <c r="DR45" s="764"/>
      <c r="DS45" s="699"/>
      <c r="DT45" s="765"/>
      <c r="DU45" s="766"/>
      <c r="DV45" s="766"/>
      <c r="DW45" s="765"/>
      <c r="DX45" s="766"/>
      <c r="DY45" s="767"/>
      <c r="DZ45" s="764"/>
      <c r="EA45" s="699"/>
      <c r="EB45" s="765"/>
      <c r="EC45" s="766"/>
      <c r="ED45" s="766"/>
      <c r="EE45" s="765"/>
      <c r="EF45" s="766"/>
      <c r="EG45" s="767"/>
      <c r="EH45" s="764"/>
      <c r="EI45" s="699"/>
      <c r="EJ45" s="765"/>
      <c r="EK45" s="766"/>
      <c r="EL45" s="766"/>
      <c r="EM45" s="765"/>
      <c r="EN45" s="766"/>
      <c r="EO45" s="767"/>
      <c r="EP45" s="764"/>
      <c r="EQ45" s="699"/>
      <c r="ER45" s="765"/>
      <c r="ES45" s="766"/>
      <c r="ET45" s="766"/>
      <c r="EU45" s="765"/>
      <c r="EV45" s="766"/>
      <c r="EW45" s="767"/>
      <c r="EX45" s="764"/>
      <c r="EY45" s="699"/>
      <c r="EZ45" s="765"/>
      <c r="FA45" s="766"/>
      <c r="FB45" s="766"/>
      <c r="FC45" s="765"/>
      <c r="FD45" s="766"/>
      <c r="FE45" s="767"/>
      <c r="FF45" s="764"/>
      <c r="FG45" s="699"/>
      <c r="FH45" s="765"/>
      <c r="FI45" s="766"/>
      <c r="FJ45" s="766"/>
      <c r="FK45" s="765"/>
      <c r="FL45" s="766"/>
      <c r="FM45" s="767"/>
      <c r="FN45" s="764"/>
      <c r="FO45" s="699"/>
      <c r="FP45" s="765"/>
      <c r="FQ45" s="766"/>
      <c r="FR45" s="766"/>
      <c r="FS45" s="765"/>
      <c r="FT45" s="766"/>
      <c r="FU45" s="767"/>
      <c r="FV45" s="764"/>
      <c r="FW45" s="699"/>
      <c r="FX45" s="765"/>
      <c r="FY45" s="766"/>
      <c r="FZ45" s="766"/>
      <c r="GA45" s="765"/>
      <c r="GB45" s="766"/>
      <c r="GC45" s="767"/>
      <c r="GD45" s="764"/>
      <c r="GE45" s="699"/>
      <c r="GF45" s="765"/>
      <c r="GG45" s="766"/>
      <c r="GH45" s="766"/>
      <c r="GI45" s="765"/>
      <c r="GJ45" s="766"/>
      <c r="GK45" s="767"/>
      <c r="GL45" s="764"/>
      <c r="GM45" s="699"/>
      <c r="GN45" s="765"/>
      <c r="GO45" s="766"/>
      <c r="GP45" s="766"/>
      <c r="GQ45" s="765"/>
      <c r="GR45" s="766"/>
      <c r="GS45" s="767"/>
      <c r="GT45" s="764"/>
      <c r="GU45" s="699"/>
      <c r="GV45" s="765"/>
      <c r="GW45" s="766"/>
      <c r="GX45" s="766"/>
      <c r="GY45" s="765"/>
      <c r="GZ45" s="766"/>
      <c r="HA45" s="767"/>
      <c r="HB45" s="764"/>
      <c r="HC45" s="699"/>
      <c r="HD45" s="765"/>
      <c r="HE45" s="766"/>
      <c r="HF45" s="766"/>
      <c r="HG45" s="765"/>
      <c r="HH45" s="766"/>
      <c r="HI45" s="767"/>
      <c r="HJ45" s="764"/>
      <c r="HK45" s="699"/>
      <c r="HL45" s="765"/>
      <c r="HM45" s="766"/>
      <c r="HN45" s="766"/>
      <c r="HO45" s="765"/>
      <c r="HP45" s="766"/>
      <c r="HQ45" s="767"/>
      <c r="HR45" s="764"/>
      <c r="HS45" s="699"/>
      <c r="HT45" s="765"/>
      <c r="HU45" s="766"/>
      <c r="HV45" s="766"/>
      <c r="HW45" s="765"/>
      <c r="HX45" s="766"/>
      <c r="HY45" s="767"/>
      <c r="HZ45" s="764"/>
      <c r="IA45" s="699"/>
      <c r="IB45" s="765"/>
      <c r="IC45" s="766"/>
      <c r="ID45" s="766"/>
      <c r="IE45" s="765"/>
      <c r="IF45" s="766"/>
      <c r="IG45" s="765"/>
      <c r="IH45" s="768"/>
      <c r="II45" s="108"/>
      <c r="IJ45" s="108"/>
      <c r="IK45" s="108"/>
      <c r="IL45" s="108"/>
      <c r="IM45" s="108"/>
      <c r="IN45" s="108"/>
      <c r="IO45" s="769"/>
    </row>
    <row r="46" spans="1:249" x14ac:dyDescent="0.25">
      <c r="A46" s="763">
        <f t="shared" si="31"/>
        <v>36</v>
      </c>
      <c r="B46" s="764"/>
      <c r="C46" s="699"/>
      <c r="D46" s="765"/>
      <c r="E46" s="766"/>
      <c r="F46" s="766"/>
      <c r="G46" s="765"/>
      <c r="H46" s="766"/>
      <c r="I46" s="767"/>
      <c r="J46" s="764"/>
      <c r="K46" s="699"/>
      <c r="L46" s="765"/>
      <c r="M46" s="766"/>
      <c r="N46" s="766"/>
      <c r="O46" s="765"/>
      <c r="P46" s="766"/>
      <c r="Q46" s="767"/>
      <c r="R46" s="764"/>
      <c r="S46" s="699"/>
      <c r="T46" s="765"/>
      <c r="U46" s="766"/>
      <c r="V46" s="766"/>
      <c r="W46" s="765"/>
      <c r="X46" s="766"/>
      <c r="Y46" s="767"/>
      <c r="Z46" s="764"/>
      <c r="AA46" s="699"/>
      <c r="AB46" s="765"/>
      <c r="AC46" s="766"/>
      <c r="AD46" s="766"/>
      <c r="AE46" s="765"/>
      <c r="AF46" s="766"/>
      <c r="AG46" s="767"/>
      <c r="AH46" s="764"/>
      <c r="AI46" s="699"/>
      <c r="AJ46" s="765"/>
      <c r="AK46" s="766"/>
      <c r="AL46" s="766"/>
      <c r="AM46" s="765"/>
      <c r="AN46" s="766"/>
      <c r="AO46" s="767"/>
      <c r="AP46" s="764"/>
      <c r="AQ46" s="699"/>
      <c r="AR46" s="765"/>
      <c r="AS46" s="766"/>
      <c r="AT46" s="766"/>
      <c r="AU46" s="765"/>
      <c r="AV46" s="766"/>
      <c r="AW46" s="767"/>
      <c r="AX46" s="764"/>
      <c r="AY46" s="699"/>
      <c r="AZ46" s="765"/>
      <c r="BA46" s="766"/>
      <c r="BB46" s="766"/>
      <c r="BC46" s="765"/>
      <c r="BD46" s="766"/>
      <c r="BE46" s="767"/>
      <c r="BF46" s="764"/>
      <c r="BG46" s="699"/>
      <c r="BH46" s="765"/>
      <c r="BI46" s="766"/>
      <c r="BJ46" s="766"/>
      <c r="BK46" s="765"/>
      <c r="BL46" s="766"/>
      <c r="BM46" s="767"/>
      <c r="BN46" s="764"/>
      <c r="BO46" s="699"/>
      <c r="BP46" s="765"/>
      <c r="BQ46" s="766"/>
      <c r="BR46" s="766"/>
      <c r="BS46" s="765"/>
      <c r="BT46" s="766"/>
      <c r="BU46" s="767"/>
      <c r="BV46" s="764"/>
      <c r="BW46" s="699"/>
      <c r="BX46" s="765"/>
      <c r="BY46" s="766"/>
      <c r="BZ46" s="766"/>
      <c r="CA46" s="765"/>
      <c r="CB46" s="766"/>
      <c r="CC46" s="767"/>
      <c r="CD46" s="764"/>
      <c r="CE46" s="699"/>
      <c r="CF46" s="765"/>
      <c r="CG46" s="766"/>
      <c r="CH46" s="766"/>
      <c r="CI46" s="765"/>
      <c r="CJ46" s="766"/>
      <c r="CK46" s="767"/>
      <c r="CL46" s="764"/>
      <c r="CM46" s="699"/>
      <c r="CN46" s="765"/>
      <c r="CO46" s="766"/>
      <c r="CP46" s="766"/>
      <c r="CQ46" s="765"/>
      <c r="CR46" s="766"/>
      <c r="CS46" s="767"/>
      <c r="CT46" s="764"/>
      <c r="CU46" s="699"/>
      <c r="CV46" s="765"/>
      <c r="CW46" s="766"/>
      <c r="CX46" s="766"/>
      <c r="CY46" s="765"/>
      <c r="CZ46" s="766"/>
      <c r="DA46" s="767"/>
      <c r="DB46" s="764"/>
      <c r="DC46" s="699"/>
      <c r="DD46" s="765"/>
      <c r="DE46" s="766"/>
      <c r="DF46" s="766"/>
      <c r="DG46" s="765"/>
      <c r="DH46" s="766"/>
      <c r="DI46" s="767"/>
      <c r="DJ46" s="764"/>
      <c r="DK46" s="699"/>
      <c r="DL46" s="765"/>
      <c r="DM46" s="766"/>
      <c r="DN46" s="766"/>
      <c r="DO46" s="765"/>
      <c r="DP46" s="766"/>
      <c r="DQ46" s="767"/>
      <c r="DR46" s="764"/>
      <c r="DS46" s="699"/>
      <c r="DT46" s="765"/>
      <c r="DU46" s="766"/>
      <c r="DV46" s="766"/>
      <c r="DW46" s="765"/>
      <c r="DX46" s="766"/>
      <c r="DY46" s="767"/>
      <c r="DZ46" s="764"/>
      <c r="EA46" s="699"/>
      <c r="EB46" s="765"/>
      <c r="EC46" s="766"/>
      <c r="ED46" s="766"/>
      <c r="EE46" s="765"/>
      <c r="EF46" s="766"/>
      <c r="EG46" s="767"/>
      <c r="EH46" s="764"/>
      <c r="EI46" s="699"/>
      <c r="EJ46" s="765"/>
      <c r="EK46" s="766"/>
      <c r="EL46" s="766"/>
      <c r="EM46" s="765"/>
      <c r="EN46" s="766"/>
      <c r="EO46" s="767"/>
      <c r="EP46" s="764"/>
      <c r="EQ46" s="699"/>
      <c r="ER46" s="765"/>
      <c r="ES46" s="766"/>
      <c r="ET46" s="766"/>
      <c r="EU46" s="765"/>
      <c r="EV46" s="766"/>
      <c r="EW46" s="767"/>
      <c r="EX46" s="764"/>
      <c r="EY46" s="699"/>
      <c r="EZ46" s="765"/>
      <c r="FA46" s="766"/>
      <c r="FB46" s="766"/>
      <c r="FC46" s="765"/>
      <c r="FD46" s="766"/>
      <c r="FE46" s="767"/>
      <c r="FF46" s="764"/>
      <c r="FG46" s="699"/>
      <c r="FH46" s="765"/>
      <c r="FI46" s="766"/>
      <c r="FJ46" s="766"/>
      <c r="FK46" s="765"/>
      <c r="FL46" s="766"/>
      <c r="FM46" s="767"/>
      <c r="FN46" s="764"/>
      <c r="FO46" s="699"/>
      <c r="FP46" s="765"/>
      <c r="FQ46" s="766"/>
      <c r="FR46" s="766"/>
      <c r="FS46" s="765"/>
      <c r="FT46" s="766"/>
      <c r="FU46" s="767"/>
      <c r="FV46" s="764"/>
      <c r="FW46" s="699"/>
      <c r="FX46" s="765"/>
      <c r="FY46" s="766"/>
      <c r="FZ46" s="766"/>
      <c r="GA46" s="765"/>
      <c r="GB46" s="766"/>
      <c r="GC46" s="767"/>
      <c r="GD46" s="764"/>
      <c r="GE46" s="699"/>
      <c r="GF46" s="765"/>
      <c r="GG46" s="766"/>
      <c r="GH46" s="766"/>
      <c r="GI46" s="765"/>
      <c r="GJ46" s="766"/>
      <c r="GK46" s="767"/>
      <c r="GL46" s="764"/>
      <c r="GM46" s="699"/>
      <c r="GN46" s="765"/>
      <c r="GO46" s="766"/>
      <c r="GP46" s="766"/>
      <c r="GQ46" s="765"/>
      <c r="GR46" s="766"/>
      <c r="GS46" s="767"/>
      <c r="GT46" s="764"/>
      <c r="GU46" s="699"/>
      <c r="GV46" s="765"/>
      <c r="GW46" s="766"/>
      <c r="GX46" s="766"/>
      <c r="GY46" s="765"/>
      <c r="GZ46" s="766"/>
      <c r="HA46" s="767"/>
      <c r="HB46" s="764"/>
      <c r="HC46" s="699"/>
      <c r="HD46" s="765"/>
      <c r="HE46" s="766"/>
      <c r="HF46" s="766"/>
      <c r="HG46" s="765"/>
      <c r="HH46" s="766"/>
      <c r="HI46" s="767"/>
      <c r="HJ46" s="764"/>
      <c r="HK46" s="699"/>
      <c r="HL46" s="765"/>
      <c r="HM46" s="766"/>
      <c r="HN46" s="766"/>
      <c r="HO46" s="765"/>
      <c r="HP46" s="766"/>
      <c r="HQ46" s="767"/>
      <c r="HR46" s="764"/>
      <c r="HS46" s="699"/>
      <c r="HT46" s="765"/>
      <c r="HU46" s="766"/>
      <c r="HV46" s="766"/>
      <c r="HW46" s="765"/>
      <c r="HX46" s="766"/>
      <c r="HY46" s="767"/>
      <c r="HZ46" s="764"/>
      <c r="IA46" s="699"/>
      <c r="IB46" s="765"/>
      <c r="IC46" s="766"/>
      <c r="ID46" s="766"/>
      <c r="IE46" s="765"/>
      <c r="IF46" s="766"/>
      <c r="IG46" s="765"/>
      <c r="IH46" s="768"/>
      <c r="II46" s="108"/>
      <c r="IJ46" s="108"/>
      <c r="IK46" s="108"/>
      <c r="IL46" s="108"/>
      <c r="IM46" s="108"/>
      <c r="IN46" s="108"/>
      <c r="IO46" s="769"/>
    </row>
    <row r="47" spans="1:249" x14ac:dyDescent="0.25">
      <c r="A47" s="763">
        <f t="shared" si="31"/>
        <v>37</v>
      </c>
      <c r="B47" s="764"/>
      <c r="C47" s="699"/>
      <c r="D47" s="765"/>
      <c r="E47" s="766"/>
      <c r="F47" s="766"/>
      <c r="G47" s="765"/>
      <c r="H47" s="766"/>
      <c r="I47" s="767"/>
      <c r="J47" s="764"/>
      <c r="K47" s="699"/>
      <c r="L47" s="765"/>
      <c r="M47" s="766"/>
      <c r="N47" s="766"/>
      <c r="O47" s="765"/>
      <c r="P47" s="766"/>
      <c r="Q47" s="767"/>
      <c r="R47" s="764"/>
      <c r="S47" s="699"/>
      <c r="T47" s="765"/>
      <c r="U47" s="766"/>
      <c r="V47" s="766"/>
      <c r="W47" s="765"/>
      <c r="X47" s="766"/>
      <c r="Y47" s="767"/>
      <c r="Z47" s="764"/>
      <c r="AA47" s="699"/>
      <c r="AB47" s="765"/>
      <c r="AC47" s="766"/>
      <c r="AD47" s="766"/>
      <c r="AE47" s="765"/>
      <c r="AF47" s="766"/>
      <c r="AG47" s="767"/>
      <c r="AH47" s="764"/>
      <c r="AI47" s="699"/>
      <c r="AJ47" s="765"/>
      <c r="AK47" s="766"/>
      <c r="AL47" s="766"/>
      <c r="AM47" s="765"/>
      <c r="AN47" s="766"/>
      <c r="AO47" s="767"/>
      <c r="AP47" s="764"/>
      <c r="AQ47" s="699"/>
      <c r="AR47" s="765"/>
      <c r="AS47" s="766"/>
      <c r="AT47" s="766"/>
      <c r="AU47" s="765"/>
      <c r="AV47" s="766"/>
      <c r="AW47" s="767"/>
      <c r="AX47" s="764"/>
      <c r="AY47" s="699"/>
      <c r="AZ47" s="765"/>
      <c r="BA47" s="766"/>
      <c r="BB47" s="766"/>
      <c r="BC47" s="765"/>
      <c r="BD47" s="766"/>
      <c r="BE47" s="767"/>
      <c r="BF47" s="764"/>
      <c r="BG47" s="699"/>
      <c r="BH47" s="765"/>
      <c r="BI47" s="766"/>
      <c r="BJ47" s="766"/>
      <c r="BK47" s="765"/>
      <c r="BL47" s="766"/>
      <c r="BM47" s="767"/>
      <c r="BN47" s="764"/>
      <c r="BO47" s="699"/>
      <c r="BP47" s="765"/>
      <c r="BQ47" s="766"/>
      <c r="BR47" s="766"/>
      <c r="BS47" s="765"/>
      <c r="BT47" s="766"/>
      <c r="BU47" s="767"/>
      <c r="BV47" s="764"/>
      <c r="BW47" s="699"/>
      <c r="BX47" s="765"/>
      <c r="BY47" s="766"/>
      <c r="BZ47" s="766"/>
      <c r="CA47" s="765"/>
      <c r="CB47" s="766"/>
      <c r="CC47" s="767"/>
      <c r="CD47" s="764"/>
      <c r="CE47" s="699"/>
      <c r="CF47" s="765"/>
      <c r="CG47" s="766"/>
      <c r="CH47" s="766"/>
      <c r="CI47" s="765"/>
      <c r="CJ47" s="766"/>
      <c r="CK47" s="767"/>
      <c r="CL47" s="764"/>
      <c r="CM47" s="699"/>
      <c r="CN47" s="765"/>
      <c r="CO47" s="766"/>
      <c r="CP47" s="766"/>
      <c r="CQ47" s="765"/>
      <c r="CR47" s="766"/>
      <c r="CS47" s="767"/>
      <c r="CT47" s="764"/>
      <c r="CU47" s="699"/>
      <c r="CV47" s="765"/>
      <c r="CW47" s="766"/>
      <c r="CX47" s="766"/>
      <c r="CY47" s="765"/>
      <c r="CZ47" s="766"/>
      <c r="DA47" s="767"/>
      <c r="DB47" s="764"/>
      <c r="DC47" s="699"/>
      <c r="DD47" s="765"/>
      <c r="DE47" s="766"/>
      <c r="DF47" s="766"/>
      <c r="DG47" s="765"/>
      <c r="DH47" s="766"/>
      <c r="DI47" s="767"/>
      <c r="DJ47" s="764"/>
      <c r="DK47" s="699"/>
      <c r="DL47" s="765"/>
      <c r="DM47" s="766"/>
      <c r="DN47" s="766"/>
      <c r="DO47" s="765"/>
      <c r="DP47" s="766"/>
      <c r="DQ47" s="767"/>
      <c r="DR47" s="764"/>
      <c r="DS47" s="699"/>
      <c r="DT47" s="765"/>
      <c r="DU47" s="766"/>
      <c r="DV47" s="766"/>
      <c r="DW47" s="765"/>
      <c r="DX47" s="766"/>
      <c r="DY47" s="767"/>
      <c r="DZ47" s="764"/>
      <c r="EA47" s="699"/>
      <c r="EB47" s="765"/>
      <c r="EC47" s="766"/>
      <c r="ED47" s="766"/>
      <c r="EE47" s="765"/>
      <c r="EF47" s="766"/>
      <c r="EG47" s="767"/>
      <c r="EH47" s="764"/>
      <c r="EI47" s="699"/>
      <c r="EJ47" s="765"/>
      <c r="EK47" s="766"/>
      <c r="EL47" s="766"/>
      <c r="EM47" s="765"/>
      <c r="EN47" s="766"/>
      <c r="EO47" s="767"/>
      <c r="EP47" s="764"/>
      <c r="EQ47" s="699"/>
      <c r="ER47" s="765"/>
      <c r="ES47" s="766"/>
      <c r="ET47" s="766"/>
      <c r="EU47" s="765"/>
      <c r="EV47" s="766"/>
      <c r="EW47" s="767"/>
      <c r="EX47" s="764"/>
      <c r="EY47" s="699"/>
      <c r="EZ47" s="765"/>
      <c r="FA47" s="766"/>
      <c r="FB47" s="766"/>
      <c r="FC47" s="765"/>
      <c r="FD47" s="766"/>
      <c r="FE47" s="767"/>
      <c r="FF47" s="764"/>
      <c r="FG47" s="699"/>
      <c r="FH47" s="765"/>
      <c r="FI47" s="766"/>
      <c r="FJ47" s="766"/>
      <c r="FK47" s="765"/>
      <c r="FL47" s="766"/>
      <c r="FM47" s="767"/>
      <c r="FN47" s="764"/>
      <c r="FO47" s="699"/>
      <c r="FP47" s="765"/>
      <c r="FQ47" s="766"/>
      <c r="FR47" s="766"/>
      <c r="FS47" s="765"/>
      <c r="FT47" s="766"/>
      <c r="FU47" s="767"/>
      <c r="FV47" s="764"/>
      <c r="FW47" s="699"/>
      <c r="FX47" s="765"/>
      <c r="FY47" s="766"/>
      <c r="FZ47" s="766"/>
      <c r="GA47" s="765"/>
      <c r="GB47" s="766"/>
      <c r="GC47" s="767"/>
      <c r="GD47" s="764"/>
      <c r="GE47" s="699"/>
      <c r="GF47" s="765"/>
      <c r="GG47" s="766"/>
      <c r="GH47" s="766"/>
      <c r="GI47" s="765"/>
      <c r="GJ47" s="766"/>
      <c r="GK47" s="767"/>
      <c r="GL47" s="764"/>
      <c r="GM47" s="699"/>
      <c r="GN47" s="765"/>
      <c r="GO47" s="766"/>
      <c r="GP47" s="766"/>
      <c r="GQ47" s="765"/>
      <c r="GR47" s="766"/>
      <c r="GS47" s="767"/>
      <c r="GT47" s="764"/>
      <c r="GU47" s="699"/>
      <c r="GV47" s="765"/>
      <c r="GW47" s="766"/>
      <c r="GX47" s="766"/>
      <c r="GY47" s="765"/>
      <c r="GZ47" s="766"/>
      <c r="HA47" s="767"/>
      <c r="HB47" s="764"/>
      <c r="HC47" s="699"/>
      <c r="HD47" s="765"/>
      <c r="HE47" s="766"/>
      <c r="HF47" s="766"/>
      <c r="HG47" s="765"/>
      <c r="HH47" s="766"/>
      <c r="HI47" s="767"/>
      <c r="HJ47" s="764"/>
      <c r="HK47" s="699"/>
      <c r="HL47" s="765"/>
      <c r="HM47" s="766"/>
      <c r="HN47" s="766"/>
      <c r="HO47" s="765"/>
      <c r="HP47" s="766"/>
      <c r="HQ47" s="767"/>
      <c r="HR47" s="764"/>
      <c r="HS47" s="699"/>
      <c r="HT47" s="765"/>
      <c r="HU47" s="766"/>
      <c r="HV47" s="766"/>
      <c r="HW47" s="765"/>
      <c r="HX47" s="766"/>
      <c r="HY47" s="767"/>
      <c r="HZ47" s="764"/>
      <c r="IA47" s="699"/>
      <c r="IB47" s="765"/>
      <c r="IC47" s="766"/>
      <c r="ID47" s="766"/>
      <c r="IE47" s="765"/>
      <c r="IF47" s="766"/>
      <c r="IG47" s="765"/>
      <c r="IH47" s="768"/>
      <c r="II47" s="108"/>
      <c r="IJ47" s="108"/>
      <c r="IK47" s="108"/>
      <c r="IL47" s="108"/>
      <c r="IM47" s="108"/>
      <c r="IN47" s="108"/>
      <c r="IO47" s="769"/>
    </row>
    <row r="48" spans="1:249" x14ac:dyDescent="0.25">
      <c r="A48" s="763">
        <f t="shared" si="31"/>
        <v>38</v>
      </c>
      <c r="B48" s="764"/>
      <c r="C48" s="699"/>
      <c r="D48" s="765"/>
      <c r="E48" s="766"/>
      <c r="F48" s="766"/>
      <c r="G48" s="765"/>
      <c r="H48" s="766"/>
      <c r="I48" s="767"/>
      <c r="J48" s="764"/>
      <c r="K48" s="699"/>
      <c r="L48" s="765"/>
      <c r="M48" s="766"/>
      <c r="N48" s="766"/>
      <c r="O48" s="765"/>
      <c r="P48" s="766"/>
      <c r="Q48" s="767"/>
      <c r="R48" s="764"/>
      <c r="S48" s="699"/>
      <c r="T48" s="765"/>
      <c r="U48" s="766"/>
      <c r="V48" s="766"/>
      <c r="W48" s="765"/>
      <c r="X48" s="766"/>
      <c r="Y48" s="767"/>
      <c r="Z48" s="764"/>
      <c r="AA48" s="699"/>
      <c r="AB48" s="765"/>
      <c r="AC48" s="766"/>
      <c r="AD48" s="766"/>
      <c r="AE48" s="765"/>
      <c r="AF48" s="766"/>
      <c r="AG48" s="767"/>
      <c r="AH48" s="764"/>
      <c r="AI48" s="699"/>
      <c r="AJ48" s="765"/>
      <c r="AK48" s="766"/>
      <c r="AL48" s="766"/>
      <c r="AM48" s="765"/>
      <c r="AN48" s="766"/>
      <c r="AO48" s="767"/>
      <c r="AP48" s="764"/>
      <c r="AQ48" s="699"/>
      <c r="AR48" s="765"/>
      <c r="AS48" s="766"/>
      <c r="AT48" s="766"/>
      <c r="AU48" s="765"/>
      <c r="AV48" s="766"/>
      <c r="AW48" s="767"/>
      <c r="AX48" s="764"/>
      <c r="AY48" s="699"/>
      <c r="AZ48" s="765"/>
      <c r="BA48" s="766"/>
      <c r="BB48" s="766"/>
      <c r="BC48" s="765"/>
      <c r="BD48" s="766"/>
      <c r="BE48" s="767"/>
      <c r="BF48" s="764"/>
      <c r="BG48" s="699"/>
      <c r="BH48" s="765"/>
      <c r="BI48" s="766"/>
      <c r="BJ48" s="766"/>
      <c r="BK48" s="765"/>
      <c r="BL48" s="766"/>
      <c r="BM48" s="767"/>
      <c r="BN48" s="764"/>
      <c r="BO48" s="699"/>
      <c r="BP48" s="765"/>
      <c r="BQ48" s="766"/>
      <c r="BR48" s="766"/>
      <c r="BS48" s="765"/>
      <c r="BT48" s="766"/>
      <c r="BU48" s="767"/>
      <c r="BV48" s="764"/>
      <c r="BW48" s="699"/>
      <c r="BX48" s="765"/>
      <c r="BY48" s="766"/>
      <c r="BZ48" s="766"/>
      <c r="CA48" s="765"/>
      <c r="CB48" s="766"/>
      <c r="CC48" s="767"/>
      <c r="CD48" s="764"/>
      <c r="CE48" s="699"/>
      <c r="CF48" s="765"/>
      <c r="CG48" s="766"/>
      <c r="CH48" s="766"/>
      <c r="CI48" s="765"/>
      <c r="CJ48" s="766"/>
      <c r="CK48" s="767"/>
      <c r="CL48" s="764"/>
      <c r="CM48" s="699"/>
      <c r="CN48" s="765"/>
      <c r="CO48" s="766"/>
      <c r="CP48" s="766"/>
      <c r="CQ48" s="765"/>
      <c r="CR48" s="766"/>
      <c r="CS48" s="767"/>
      <c r="CT48" s="764"/>
      <c r="CU48" s="699"/>
      <c r="CV48" s="765"/>
      <c r="CW48" s="766"/>
      <c r="CX48" s="766"/>
      <c r="CY48" s="765"/>
      <c r="CZ48" s="766"/>
      <c r="DA48" s="767"/>
      <c r="DB48" s="764"/>
      <c r="DC48" s="699"/>
      <c r="DD48" s="765"/>
      <c r="DE48" s="766"/>
      <c r="DF48" s="766"/>
      <c r="DG48" s="765"/>
      <c r="DH48" s="766"/>
      <c r="DI48" s="767"/>
      <c r="DJ48" s="764"/>
      <c r="DK48" s="699"/>
      <c r="DL48" s="765"/>
      <c r="DM48" s="766"/>
      <c r="DN48" s="766"/>
      <c r="DO48" s="765"/>
      <c r="DP48" s="766"/>
      <c r="DQ48" s="767"/>
      <c r="DR48" s="764"/>
      <c r="DS48" s="699"/>
      <c r="DT48" s="765"/>
      <c r="DU48" s="766"/>
      <c r="DV48" s="766"/>
      <c r="DW48" s="765"/>
      <c r="DX48" s="766"/>
      <c r="DY48" s="767"/>
      <c r="DZ48" s="764"/>
      <c r="EA48" s="699"/>
      <c r="EB48" s="765"/>
      <c r="EC48" s="766"/>
      <c r="ED48" s="766"/>
      <c r="EE48" s="765"/>
      <c r="EF48" s="766"/>
      <c r="EG48" s="767"/>
      <c r="EH48" s="764"/>
      <c r="EI48" s="699"/>
      <c r="EJ48" s="765"/>
      <c r="EK48" s="766"/>
      <c r="EL48" s="766"/>
      <c r="EM48" s="765"/>
      <c r="EN48" s="766"/>
      <c r="EO48" s="767"/>
      <c r="EP48" s="764"/>
      <c r="EQ48" s="699"/>
      <c r="ER48" s="765"/>
      <c r="ES48" s="766"/>
      <c r="ET48" s="766"/>
      <c r="EU48" s="765"/>
      <c r="EV48" s="766"/>
      <c r="EW48" s="767"/>
      <c r="EX48" s="764"/>
      <c r="EY48" s="699"/>
      <c r="EZ48" s="765"/>
      <c r="FA48" s="766"/>
      <c r="FB48" s="766"/>
      <c r="FC48" s="765"/>
      <c r="FD48" s="766"/>
      <c r="FE48" s="767"/>
      <c r="FF48" s="764"/>
      <c r="FG48" s="699"/>
      <c r="FH48" s="765"/>
      <c r="FI48" s="766"/>
      <c r="FJ48" s="766"/>
      <c r="FK48" s="765"/>
      <c r="FL48" s="766"/>
      <c r="FM48" s="767"/>
      <c r="FN48" s="764"/>
      <c r="FO48" s="699"/>
      <c r="FP48" s="765"/>
      <c r="FQ48" s="766"/>
      <c r="FR48" s="766"/>
      <c r="FS48" s="765"/>
      <c r="FT48" s="766"/>
      <c r="FU48" s="767"/>
      <c r="FV48" s="764"/>
      <c r="FW48" s="699"/>
      <c r="FX48" s="765"/>
      <c r="FY48" s="766"/>
      <c r="FZ48" s="766"/>
      <c r="GA48" s="765"/>
      <c r="GB48" s="766"/>
      <c r="GC48" s="767"/>
      <c r="GD48" s="764"/>
      <c r="GE48" s="699"/>
      <c r="GF48" s="765"/>
      <c r="GG48" s="766"/>
      <c r="GH48" s="766"/>
      <c r="GI48" s="765"/>
      <c r="GJ48" s="766"/>
      <c r="GK48" s="767"/>
      <c r="GL48" s="764"/>
      <c r="GM48" s="699"/>
      <c r="GN48" s="765"/>
      <c r="GO48" s="766"/>
      <c r="GP48" s="766"/>
      <c r="GQ48" s="765"/>
      <c r="GR48" s="766"/>
      <c r="GS48" s="767"/>
      <c r="GT48" s="764"/>
      <c r="GU48" s="699"/>
      <c r="GV48" s="765"/>
      <c r="GW48" s="766"/>
      <c r="GX48" s="766"/>
      <c r="GY48" s="765"/>
      <c r="GZ48" s="766"/>
      <c r="HA48" s="767"/>
      <c r="HB48" s="764"/>
      <c r="HC48" s="699"/>
      <c r="HD48" s="765"/>
      <c r="HE48" s="766"/>
      <c r="HF48" s="766"/>
      <c r="HG48" s="765"/>
      <c r="HH48" s="766"/>
      <c r="HI48" s="767"/>
      <c r="HJ48" s="764"/>
      <c r="HK48" s="699"/>
      <c r="HL48" s="765"/>
      <c r="HM48" s="766"/>
      <c r="HN48" s="766"/>
      <c r="HO48" s="765"/>
      <c r="HP48" s="766"/>
      <c r="HQ48" s="767"/>
      <c r="HR48" s="764"/>
      <c r="HS48" s="699"/>
      <c r="HT48" s="765"/>
      <c r="HU48" s="766"/>
      <c r="HV48" s="766"/>
      <c r="HW48" s="765"/>
      <c r="HX48" s="766"/>
      <c r="HY48" s="767"/>
      <c r="HZ48" s="764"/>
      <c r="IA48" s="699"/>
      <c r="IB48" s="765"/>
      <c r="IC48" s="766"/>
      <c r="ID48" s="766"/>
      <c r="IE48" s="765"/>
      <c r="IF48" s="766"/>
      <c r="IG48" s="765"/>
      <c r="IH48" s="768"/>
      <c r="II48" s="108"/>
      <c r="IJ48" s="108"/>
      <c r="IK48" s="108"/>
      <c r="IL48" s="108"/>
      <c r="IM48" s="108"/>
      <c r="IN48" s="108"/>
      <c r="IO48" s="769"/>
    </row>
    <row r="49" spans="1:249" x14ac:dyDescent="0.25">
      <c r="A49" s="763">
        <f t="shared" si="31"/>
        <v>39</v>
      </c>
      <c r="B49" s="764"/>
      <c r="C49" s="699"/>
      <c r="D49" s="765"/>
      <c r="E49" s="766"/>
      <c r="F49" s="766"/>
      <c r="G49" s="765"/>
      <c r="H49" s="766"/>
      <c r="I49" s="767"/>
      <c r="J49" s="764"/>
      <c r="K49" s="699"/>
      <c r="L49" s="765"/>
      <c r="M49" s="766"/>
      <c r="N49" s="766"/>
      <c r="O49" s="765"/>
      <c r="P49" s="766"/>
      <c r="Q49" s="767"/>
      <c r="R49" s="764"/>
      <c r="S49" s="699"/>
      <c r="T49" s="765"/>
      <c r="U49" s="766"/>
      <c r="V49" s="766"/>
      <c r="W49" s="765"/>
      <c r="X49" s="766"/>
      <c r="Y49" s="767"/>
      <c r="Z49" s="764"/>
      <c r="AA49" s="699"/>
      <c r="AB49" s="765"/>
      <c r="AC49" s="766"/>
      <c r="AD49" s="766"/>
      <c r="AE49" s="765"/>
      <c r="AF49" s="766"/>
      <c r="AG49" s="767"/>
      <c r="AH49" s="764"/>
      <c r="AI49" s="699"/>
      <c r="AJ49" s="765"/>
      <c r="AK49" s="766"/>
      <c r="AL49" s="766"/>
      <c r="AM49" s="765"/>
      <c r="AN49" s="766"/>
      <c r="AO49" s="767"/>
      <c r="AP49" s="764"/>
      <c r="AQ49" s="699"/>
      <c r="AR49" s="765"/>
      <c r="AS49" s="766"/>
      <c r="AT49" s="766"/>
      <c r="AU49" s="765"/>
      <c r="AV49" s="766"/>
      <c r="AW49" s="767"/>
      <c r="AX49" s="764"/>
      <c r="AY49" s="699"/>
      <c r="AZ49" s="765"/>
      <c r="BA49" s="766"/>
      <c r="BB49" s="766"/>
      <c r="BC49" s="765"/>
      <c r="BD49" s="766"/>
      <c r="BE49" s="767"/>
      <c r="BF49" s="764"/>
      <c r="BG49" s="699"/>
      <c r="BH49" s="765"/>
      <c r="BI49" s="766"/>
      <c r="BJ49" s="766"/>
      <c r="BK49" s="765"/>
      <c r="BL49" s="766"/>
      <c r="BM49" s="767"/>
      <c r="BN49" s="764"/>
      <c r="BO49" s="699"/>
      <c r="BP49" s="765"/>
      <c r="BQ49" s="766"/>
      <c r="BR49" s="766"/>
      <c r="BS49" s="765"/>
      <c r="BT49" s="766"/>
      <c r="BU49" s="767"/>
      <c r="BV49" s="764"/>
      <c r="BW49" s="699"/>
      <c r="BX49" s="765"/>
      <c r="BY49" s="766"/>
      <c r="BZ49" s="766"/>
      <c r="CA49" s="765"/>
      <c r="CB49" s="766"/>
      <c r="CC49" s="767"/>
      <c r="CD49" s="764"/>
      <c r="CE49" s="699"/>
      <c r="CF49" s="765"/>
      <c r="CG49" s="766"/>
      <c r="CH49" s="766"/>
      <c r="CI49" s="765"/>
      <c r="CJ49" s="766"/>
      <c r="CK49" s="767"/>
      <c r="CL49" s="764"/>
      <c r="CM49" s="699"/>
      <c r="CN49" s="765"/>
      <c r="CO49" s="766"/>
      <c r="CP49" s="766"/>
      <c r="CQ49" s="765"/>
      <c r="CR49" s="766"/>
      <c r="CS49" s="767"/>
      <c r="CT49" s="764"/>
      <c r="CU49" s="699"/>
      <c r="CV49" s="765"/>
      <c r="CW49" s="766"/>
      <c r="CX49" s="766"/>
      <c r="CY49" s="765"/>
      <c r="CZ49" s="766"/>
      <c r="DA49" s="767"/>
      <c r="DB49" s="764"/>
      <c r="DC49" s="699"/>
      <c r="DD49" s="765"/>
      <c r="DE49" s="766"/>
      <c r="DF49" s="766"/>
      <c r="DG49" s="765"/>
      <c r="DH49" s="766"/>
      <c r="DI49" s="767"/>
      <c r="DJ49" s="764"/>
      <c r="DK49" s="699"/>
      <c r="DL49" s="765"/>
      <c r="DM49" s="766"/>
      <c r="DN49" s="766"/>
      <c r="DO49" s="765"/>
      <c r="DP49" s="766"/>
      <c r="DQ49" s="767"/>
      <c r="DR49" s="764"/>
      <c r="DS49" s="699"/>
      <c r="DT49" s="765"/>
      <c r="DU49" s="766"/>
      <c r="DV49" s="766"/>
      <c r="DW49" s="765"/>
      <c r="DX49" s="766"/>
      <c r="DY49" s="767"/>
      <c r="DZ49" s="764"/>
      <c r="EA49" s="699"/>
      <c r="EB49" s="765"/>
      <c r="EC49" s="766"/>
      <c r="ED49" s="766"/>
      <c r="EE49" s="765"/>
      <c r="EF49" s="766"/>
      <c r="EG49" s="767"/>
      <c r="EH49" s="764"/>
      <c r="EI49" s="699"/>
      <c r="EJ49" s="765"/>
      <c r="EK49" s="766"/>
      <c r="EL49" s="766"/>
      <c r="EM49" s="765"/>
      <c r="EN49" s="766"/>
      <c r="EO49" s="767"/>
      <c r="EP49" s="764"/>
      <c r="EQ49" s="699"/>
      <c r="ER49" s="765"/>
      <c r="ES49" s="766"/>
      <c r="ET49" s="766"/>
      <c r="EU49" s="765"/>
      <c r="EV49" s="766"/>
      <c r="EW49" s="767"/>
      <c r="EX49" s="764"/>
      <c r="EY49" s="699"/>
      <c r="EZ49" s="765"/>
      <c r="FA49" s="766"/>
      <c r="FB49" s="766"/>
      <c r="FC49" s="765"/>
      <c r="FD49" s="766"/>
      <c r="FE49" s="767"/>
      <c r="FF49" s="764"/>
      <c r="FG49" s="699"/>
      <c r="FH49" s="765"/>
      <c r="FI49" s="766"/>
      <c r="FJ49" s="766"/>
      <c r="FK49" s="765"/>
      <c r="FL49" s="766"/>
      <c r="FM49" s="767"/>
      <c r="FN49" s="764"/>
      <c r="FO49" s="699"/>
      <c r="FP49" s="765"/>
      <c r="FQ49" s="766"/>
      <c r="FR49" s="766"/>
      <c r="FS49" s="765"/>
      <c r="FT49" s="766"/>
      <c r="FU49" s="767"/>
      <c r="FV49" s="764"/>
      <c r="FW49" s="699"/>
      <c r="FX49" s="765"/>
      <c r="FY49" s="766"/>
      <c r="FZ49" s="766"/>
      <c r="GA49" s="765"/>
      <c r="GB49" s="766"/>
      <c r="GC49" s="767"/>
      <c r="GD49" s="764"/>
      <c r="GE49" s="699"/>
      <c r="GF49" s="765"/>
      <c r="GG49" s="766"/>
      <c r="GH49" s="766"/>
      <c r="GI49" s="765"/>
      <c r="GJ49" s="766"/>
      <c r="GK49" s="767"/>
      <c r="GL49" s="764"/>
      <c r="GM49" s="699"/>
      <c r="GN49" s="765"/>
      <c r="GO49" s="766"/>
      <c r="GP49" s="766"/>
      <c r="GQ49" s="765"/>
      <c r="GR49" s="766"/>
      <c r="GS49" s="767"/>
      <c r="GT49" s="764"/>
      <c r="GU49" s="699"/>
      <c r="GV49" s="765"/>
      <c r="GW49" s="766"/>
      <c r="GX49" s="766"/>
      <c r="GY49" s="765"/>
      <c r="GZ49" s="766"/>
      <c r="HA49" s="767"/>
      <c r="HB49" s="764"/>
      <c r="HC49" s="699"/>
      <c r="HD49" s="765"/>
      <c r="HE49" s="766"/>
      <c r="HF49" s="766"/>
      <c r="HG49" s="765"/>
      <c r="HH49" s="766"/>
      <c r="HI49" s="767"/>
      <c r="HJ49" s="764"/>
      <c r="HK49" s="699"/>
      <c r="HL49" s="765"/>
      <c r="HM49" s="766"/>
      <c r="HN49" s="766"/>
      <c r="HO49" s="765"/>
      <c r="HP49" s="766"/>
      <c r="HQ49" s="767"/>
      <c r="HR49" s="764"/>
      <c r="HS49" s="699"/>
      <c r="HT49" s="765"/>
      <c r="HU49" s="766"/>
      <c r="HV49" s="766"/>
      <c r="HW49" s="765"/>
      <c r="HX49" s="766"/>
      <c r="HY49" s="767"/>
      <c r="HZ49" s="764"/>
      <c r="IA49" s="699"/>
      <c r="IB49" s="765"/>
      <c r="IC49" s="766"/>
      <c r="ID49" s="766"/>
      <c r="IE49" s="765"/>
      <c r="IF49" s="766"/>
      <c r="IG49" s="765"/>
      <c r="IH49" s="768"/>
      <c r="II49" s="108"/>
      <c r="IJ49" s="108"/>
      <c r="IK49" s="108"/>
      <c r="IL49" s="108"/>
      <c r="IM49" s="108"/>
      <c r="IN49" s="108"/>
      <c r="IO49" s="769"/>
    </row>
    <row r="50" spans="1:249" x14ac:dyDescent="0.25">
      <c r="A50" s="763">
        <f t="shared" si="31"/>
        <v>40</v>
      </c>
      <c r="B50" s="764"/>
      <c r="C50" s="699"/>
      <c r="D50" s="765"/>
      <c r="E50" s="766"/>
      <c r="F50" s="766"/>
      <c r="G50" s="765"/>
      <c r="H50" s="766"/>
      <c r="I50" s="767"/>
      <c r="J50" s="764"/>
      <c r="K50" s="699"/>
      <c r="L50" s="765"/>
      <c r="M50" s="766"/>
      <c r="N50" s="766"/>
      <c r="O50" s="765"/>
      <c r="P50" s="766"/>
      <c r="Q50" s="767"/>
      <c r="R50" s="764"/>
      <c r="S50" s="699"/>
      <c r="T50" s="765"/>
      <c r="U50" s="766"/>
      <c r="V50" s="766"/>
      <c r="W50" s="765"/>
      <c r="X50" s="766"/>
      <c r="Y50" s="767"/>
      <c r="Z50" s="764"/>
      <c r="AA50" s="699"/>
      <c r="AB50" s="765"/>
      <c r="AC50" s="766"/>
      <c r="AD50" s="766"/>
      <c r="AE50" s="765"/>
      <c r="AF50" s="766"/>
      <c r="AG50" s="767"/>
      <c r="AH50" s="764"/>
      <c r="AI50" s="699"/>
      <c r="AJ50" s="765"/>
      <c r="AK50" s="766"/>
      <c r="AL50" s="766"/>
      <c r="AM50" s="765"/>
      <c r="AN50" s="766"/>
      <c r="AO50" s="767"/>
      <c r="AP50" s="764"/>
      <c r="AQ50" s="699"/>
      <c r="AR50" s="765"/>
      <c r="AS50" s="766"/>
      <c r="AT50" s="766"/>
      <c r="AU50" s="765"/>
      <c r="AV50" s="766"/>
      <c r="AW50" s="767"/>
      <c r="AX50" s="764"/>
      <c r="AY50" s="699"/>
      <c r="AZ50" s="765"/>
      <c r="BA50" s="766"/>
      <c r="BB50" s="766"/>
      <c r="BC50" s="765"/>
      <c r="BD50" s="766"/>
      <c r="BE50" s="767"/>
      <c r="BF50" s="764"/>
      <c r="BG50" s="699"/>
      <c r="BH50" s="765"/>
      <c r="BI50" s="766"/>
      <c r="BJ50" s="766"/>
      <c r="BK50" s="765"/>
      <c r="BL50" s="766"/>
      <c r="BM50" s="767"/>
      <c r="BN50" s="764"/>
      <c r="BO50" s="699"/>
      <c r="BP50" s="765"/>
      <c r="BQ50" s="766"/>
      <c r="BR50" s="766"/>
      <c r="BS50" s="765"/>
      <c r="BT50" s="766"/>
      <c r="BU50" s="767"/>
      <c r="BV50" s="764"/>
      <c r="BW50" s="699"/>
      <c r="BX50" s="765"/>
      <c r="BY50" s="766"/>
      <c r="BZ50" s="766"/>
      <c r="CA50" s="765"/>
      <c r="CB50" s="766"/>
      <c r="CC50" s="767"/>
      <c r="CD50" s="764"/>
      <c r="CE50" s="699"/>
      <c r="CF50" s="765"/>
      <c r="CG50" s="766"/>
      <c r="CH50" s="766"/>
      <c r="CI50" s="765"/>
      <c r="CJ50" s="766"/>
      <c r="CK50" s="767"/>
      <c r="CL50" s="764"/>
      <c r="CM50" s="699"/>
      <c r="CN50" s="765"/>
      <c r="CO50" s="766"/>
      <c r="CP50" s="766"/>
      <c r="CQ50" s="765"/>
      <c r="CR50" s="766"/>
      <c r="CS50" s="767"/>
      <c r="CT50" s="764"/>
      <c r="CU50" s="699"/>
      <c r="CV50" s="765"/>
      <c r="CW50" s="766"/>
      <c r="CX50" s="766"/>
      <c r="CY50" s="765"/>
      <c r="CZ50" s="766"/>
      <c r="DA50" s="767"/>
      <c r="DB50" s="764"/>
      <c r="DC50" s="699"/>
      <c r="DD50" s="765"/>
      <c r="DE50" s="766"/>
      <c r="DF50" s="766"/>
      <c r="DG50" s="765"/>
      <c r="DH50" s="766"/>
      <c r="DI50" s="767"/>
      <c r="DJ50" s="764"/>
      <c r="DK50" s="699"/>
      <c r="DL50" s="765"/>
      <c r="DM50" s="766"/>
      <c r="DN50" s="766"/>
      <c r="DO50" s="765"/>
      <c r="DP50" s="766"/>
      <c r="DQ50" s="767"/>
      <c r="DR50" s="764"/>
      <c r="DS50" s="699"/>
      <c r="DT50" s="765"/>
      <c r="DU50" s="766"/>
      <c r="DV50" s="766"/>
      <c r="DW50" s="765"/>
      <c r="DX50" s="766"/>
      <c r="DY50" s="767"/>
      <c r="DZ50" s="764"/>
      <c r="EA50" s="699"/>
      <c r="EB50" s="765"/>
      <c r="EC50" s="766"/>
      <c r="ED50" s="766"/>
      <c r="EE50" s="765"/>
      <c r="EF50" s="766"/>
      <c r="EG50" s="767"/>
      <c r="EH50" s="764"/>
      <c r="EI50" s="699"/>
      <c r="EJ50" s="765"/>
      <c r="EK50" s="766"/>
      <c r="EL50" s="766"/>
      <c r="EM50" s="765"/>
      <c r="EN50" s="766"/>
      <c r="EO50" s="767"/>
      <c r="EP50" s="764"/>
      <c r="EQ50" s="699"/>
      <c r="ER50" s="765"/>
      <c r="ES50" s="766"/>
      <c r="ET50" s="766"/>
      <c r="EU50" s="765"/>
      <c r="EV50" s="766"/>
      <c r="EW50" s="767"/>
      <c r="EX50" s="764"/>
      <c r="EY50" s="699"/>
      <c r="EZ50" s="765"/>
      <c r="FA50" s="766"/>
      <c r="FB50" s="766"/>
      <c r="FC50" s="765"/>
      <c r="FD50" s="766"/>
      <c r="FE50" s="767"/>
      <c r="FF50" s="764"/>
      <c r="FG50" s="699"/>
      <c r="FH50" s="765"/>
      <c r="FI50" s="766"/>
      <c r="FJ50" s="766"/>
      <c r="FK50" s="765"/>
      <c r="FL50" s="766"/>
      <c r="FM50" s="767"/>
      <c r="FN50" s="764"/>
      <c r="FO50" s="699"/>
      <c r="FP50" s="765"/>
      <c r="FQ50" s="766"/>
      <c r="FR50" s="766"/>
      <c r="FS50" s="765"/>
      <c r="FT50" s="766"/>
      <c r="FU50" s="767"/>
      <c r="FV50" s="764"/>
      <c r="FW50" s="699"/>
      <c r="FX50" s="765"/>
      <c r="FY50" s="766"/>
      <c r="FZ50" s="766"/>
      <c r="GA50" s="765"/>
      <c r="GB50" s="766"/>
      <c r="GC50" s="767"/>
      <c r="GD50" s="764"/>
      <c r="GE50" s="699"/>
      <c r="GF50" s="765"/>
      <c r="GG50" s="766"/>
      <c r="GH50" s="766"/>
      <c r="GI50" s="765"/>
      <c r="GJ50" s="766"/>
      <c r="GK50" s="767"/>
      <c r="GL50" s="764"/>
      <c r="GM50" s="699"/>
      <c r="GN50" s="765"/>
      <c r="GO50" s="766"/>
      <c r="GP50" s="766"/>
      <c r="GQ50" s="765"/>
      <c r="GR50" s="766"/>
      <c r="GS50" s="767"/>
      <c r="GT50" s="764"/>
      <c r="GU50" s="699"/>
      <c r="GV50" s="765"/>
      <c r="GW50" s="766"/>
      <c r="GX50" s="766"/>
      <c r="GY50" s="765"/>
      <c r="GZ50" s="766"/>
      <c r="HA50" s="767"/>
      <c r="HB50" s="764"/>
      <c r="HC50" s="699"/>
      <c r="HD50" s="765"/>
      <c r="HE50" s="766"/>
      <c r="HF50" s="766"/>
      <c r="HG50" s="765"/>
      <c r="HH50" s="766"/>
      <c r="HI50" s="767"/>
      <c r="HJ50" s="764"/>
      <c r="HK50" s="699"/>
      <c r="HL50" s="765"/>
      <c r="HM50" s="766"/>
      <c r="HN50" s="766"/>
      <c r="HO50" s="765"/>
      <c r="HP50" s="766"/>
      <c r="HQ50" s="767"/>
      <c r="HR50" s="764"/>
      <c r="HS50" s="699"/>
      <c r="HT50" s="765"/>
      <c r="HU50" s="766"/>
      <c r="HV50" s="766"/>
      <c r="HW50" s="765"/>
      <c r="HX50" s="766"/>
      <c r="HY50" s="767"/>
      <c r="HZ50" s="764"/>
      <c r="IA50" s="699"/>
      <c r="IB50" s="765"/>
      <c r="IC50" s="766"/>
      <c r="ID50" s="766"/>
      <c r="IE50" s="765"/>
      <c r="IF50" s="766"/>
      <c r="IG50" s="765"/>
      <c r="IH50" s="768"/>
      <c r="II50" s="108"/>
      <c r="IJ50" s="108"/>
      <c r="IK50" s="108"/>
      <c r="IL50" s="108"/>
      <c r="IM50" s="108"/>
      <c r="IN50" s="108"/>
      <c r="IO50" s="769"/>
    </row>
    <row r="51" spans="1:249" x14ac:dyDescent="0.25">
      <c r="A51" s="763">
        <f t="shared" si="31"/>
        <v>41</v>
      </c>
      <c r="B51" s="764"/>
      <c r="C51" s="699"/>
      <c r="D51" s="765"/>
      <c r="E51" s="766"/>
      <c r="F51" s="766"/>
      <c r="G51" s="765"/>
      <c r="H51" s="766"/>
      <c r="I51" s="767"/>
      <c r="J51" s="764"/>
      <c r="K51" s="699"/>
      <c r="L51" s="765"/>
      <c r="M51" s="766"/>
      <c r="N51" s="766"/>
      <c r="O51" s="765"/>
      <c r="P51" s="766"/>
      <c r="Q51" s="767"/>
      <c r="R51" s="764"/>
      <c r="S51" s="699"/>
      <c r="T51" s="765"/>
      <c r="U51" s="766"/>
      <c r="V51" s="766"/>
      <c r="W51" s="765"/>
      <c r="X51" s="766"/>
      <c r="Y51" s="767"/>
      <c r="Z51" s="764"/>
      <c r="AA51" s="699"/>
      <c r="AB51" s="765"/>
      <c r="AC51" s="766"/>
      <c r="AD51" s="766"/>
      <c r="AE51" s="765"/>
      <c r="AF51" s="766"/>
      <c r="AG51" s="767"/>
      <c r="AH51" s="764"/>
      <c r="AI51" s="699"/>
      <c r="AJ51" s="765"/>
      <c r="AK51" s="766"/>
      <c r="AL51" s="766"/>
      <c r="AM51" s="765"/>
      <c r="AN51" s="766"/>
      <c r="AO51" s="767"/>
      <c r="AP51" s="764"/>
      <c r="AQ51" s="699"/>
      <c r="AR51" s="765"/>
      <c r="AS51" s="766"/>
      <c r="AT51" s="766"/>
      <c r="AU51" s="765"/>
      <c r="AV51" s="766"/>
      <c r="AW51" s="767"/>
      <c r="AX51" s="764"/>
      <c r="AY51" s="699"/>
      <c r="AZ51" s="765"/>
      <c r="BA51" s="766"/>
      <c r="BB51" s="766"/>
      <c r="BC51" s="765"/>
      <c r="BD51" s="766"/>
      <c r="BE51" s="767"/>
      <c r="BF51" s="764"/>
      <c r="BG51" s="699"/>
      <c r="BH51" s="765"/>
      <c r="BI51" s="766"/>
      <c r="BJ51" s="766"/>
      <c r="BK51" s="765"/>
      <c r="BL51" s="766"/>
      <c r="BM51" s="767"/>
      <c r="BN51" s="764"/>
      <c r="BO51" s="699"/>
      <c r="BP51" s="765"/>
      <c r="BQ51" s="766"/>
      <c r="BR51" s="766"/>
      <c r="BS51" s="765"/>
      <c r="BT51" s="766"/>
      <c r="BU51" s="767"/>
      <c r="BV51" s="764"/>
      <c r="BW51" s="699"/>
      <c r="BX51" s="765"/>
      <c r="BY51" s="766"/>
      <c r="BZ51" s="766"/>
      <c r="CA51" s="765"/>
      <c r="CB51" s="766"/>
      <c r="CC51" s="767"/>
      <c r="CD51" s="764"/>
      <c r="CE51" s="699"/>
      <c r="CF51" s="765"/>
      <c r="CG51" s="766"/>
      <c r="CH51" s="766"/>
      <c r="CI51" s="765"/>
      <c r="CJ51" s="766"/>
      <c r="CK51" s="767"/>
      <c r="CL51" s="764"/>
      <c r="CM51" s="699"/>
      <c r="CN51" s="765"/>
      <c r="CO51" s="766"/>
      <c r="CP51" s="766"/>
      <c r="CQ51" s="765"/>
      <c r="CR51" s="766"/>
      <c r="CS51" s="767"/>
      <c r="CT51" s="764"/>
      <c r="CU51" s="699"/>
      <c r="CV51" s="765"/>
      <c r="CW51" s="766"/>
      <c r="CX51" s="766"/>
      <c r="CY51" s="765"/>
      <c r="CZ51" s="766"/>
      <c r="DA51" s="767"/>
      <c r="DB51" s="764"/>
      <c r="DC51" s="699"/>
      <c r="DD51" s="765"/>
      <c r="DE51" s="766"/>
      <c r="DF51" s="766"/>
      <c r="DG51" s="765"/>
      <c r="DH51" s="766"/>
      <c r="DI51" s="767"/>
      <c r="DJ51" s="764"/>
      <c r="DK51" s="699"/>
      <c r="DL51" s="765"/>
      <c r="DM51" s="766"/>
      <c r="DN51" s="766"/>
      <c r="DO51" s="765"/>
      <c r="DP51" s="766"/>
      <c r="DQ51" s="767"/>
      <c r="DR51" s="764"/>
      <c r="DS51" s="699"/>
      <c r="DT51" s="765"/>
      <c r="DU51" s="766"/>
      <c r="DV51" s="766"/>
      <c r="DW51" s="765"/>
      <c r="DX51" s="766"/>
      <c r="DY51" s="767"/>
      <c r="DZ51" s="764"/>
      <c r="EA51" s="699"/>
      <c r="EB51" s="765"/>
      <c r="EC51" s="766"/>
      <c r="ED51" s="766"/>
      <c r="EE51" s="765"/>
      <c r="EF51" s="766"/>
      <c r="EG51" s="767"/>
      <c r="EH51" s="764"/>
      <c r="EI51" s="699"/>
      <c r="EJ51" s="765"/>
      <c r="EK51" s="766"/>
      <c r="EL51" s="766"/>
      <c r="EM51" s="765"/>
      <c r="EN51" s="766"/>
      <c r="EO51" s="767"/>
      <c r="EP51" s="764"/>
      <c r="EQ51" s="699"/>
      <c r="ER51" s="765"/>
      <c r="ES51" s="766"/>
      <c r="ET51" s="766"/>
      <c r="EU51" s="765"/>
      <c r="EV51" s="766"/>
      <c r="EW51" s="767"/>
      <c r="EX51" s="764"/>
      <c r="EY51" s="699"/>
      <c r="EZ51" s="765"/>
      <c r="FA51" s="766"/>
      <c r="FB51" s="766"/>
      <c r="FC51" s="765"/>
      <c r="FD51" s="766"/>
      <c r="FE51" s="767"/>
      <c r="FF51" s="764"/>
      <c r="FG51" s="699"/>
      <c r="FH51" s="765"/>
      <c r="FI51" s="766"/>
      <c r="FJ51" s="766"/>
      <c r="FK51" s="765"/>
      <c r="FL51" s="766"/>
      <c r="FM51" s="767"/>
      <c r="FN51" s="764"/>
      <c r="FO51" s="699"/>
      <c r="FP51" s="765"/>
      <c r="FQ51" s="766"/>
      <c r="FR51" s="766"/>
      <c r="FS51" s="765"/>
      <c r="FT51" s="766"/>
      <c r="FU51" s="767"/>
      <c r="FV51" s="764"/>
      <c r="FW51" s="699"/>
      <c r="FX51" s="765"/>
      <c r="FY51" s="766"/>
      <c r="FZ51" s="766"/>
      <c r="GA51" s="765"/>
      <c r="GB51" s="766"/>
      <c r="GC51" s="767"/>
      <c r="GD51" s="764"/>
      <c r="GE51" s="699"/>
      <c r="GF51" s="765"/>
      <c r="GG51" s="766"/>
      <c r="GH51" s="766"/>
      <c r="GI51" s="765"/>
      <c r="GJ51" s="766"/>
      <c r="GK51" s="767"/>
      <c r="GL51" s="764"/>
      <c r="GM51" s="699"/>
      <c r="GN51" s="765"/>
      <c r="GO51" s="766"/>
      <c r="GP51" s="766"/>
      <c r="GQ51" s="765"/>
      <c r="GR51" s="766"/>
      <c r="GS51" s="767"/>
      <c r="GT51" s="764"/>
      <c r="GU51" s="699"/>
      <c r="GV51" s="765"/>
      <c r="GW51" s="766"/>
      <c r="GX51" s="766"/>
      <c r="GY51" s="765"/>
      <c r="GZ51" s="766"/>
      <c r="HA51" s="767"/>
      <c r="HB51" s="764"/>
      <c r="HC51" s="699"/>
      <c r="HD51" s="765"/>
      <c r="HE51" s="766"/>
      <c r="HF51" s="766"/>
      <c r="HG51" s="765"/>
      <c r="HH51" s="766"/>
      <c r="HI51" s="767"/>
      <c r="HJ51" s="764"/>
      <c r="HK51" s="699"/>
      <c r="HL51" s="765"/>
      <c r="HM51" s="766"/>
      <c r="HN51" s="766"/>
      <c r="HO51" s="765"/>
      <c r="HP51" s="766"/>
      <c r="HQ51" s="767"/>
      <c r="HR51" s="764"/>
      <c r="HS51" s="699"/>
      <c r="HT51" s="765"/>
      <c r="HU51" s="766"/>
      <c r="HV51" s="766"/>
      <c r="HW51" s="765"/>
      <c r="HX51" s="766"/>
      <c r="HY51" s="767"/>
      <c r="HZ51" s="764"/>
      <c r="IA51" s="699"/>
      <c r="IB51" s="765"/>
      <c r="IC51" s="766"/>
      <c r="ID51" s="766"/>
      <c r="IE51" s="765"/>
      <c r="IF51" s="766"/>
      <c r="IG51" s="765"/>
      <c r="IH51" s="768"/>
      <c r="II51" s="108"/>
      <c r="IJ51" s="108"/>
      <c r="IK51" s="108"/>
      <c r="IL51" s="108"/>
      <c r="IM51" s="108"/>
      <c r="IN51" s="108"/>
      <c r="IO51" s="770"/>
    </row>
    <row r="52" spans="1:249" x14ac:dyDescent="0.25">
      <c r="A52" s="763">
        <f t="shared" si="31"/>
        <v>42</v>
      </c>
      <c r="B52" s="764"/>
      <c r="C52" s="699"/>
      <c r="D52" s="765"/>
      <c r="E52" s="766"/>
      <c r="F52" s="766"/>
      <c r="G52" s="765"/>
      <c r="H52" s="766"/>
      <c r="I52" s="767"/>
      <c r="J52" s="764"/>
      <c r="K52" s="699"/>
      <c r="L52" s="765"/>
      <c r="M52" s="766"/>
      <c r="N52" s="766"/>
      <c r="O52" s="765"/>
      <c r="P52" s="766"/>
      <c r="Q52" s="767"/>
      <c r="R52" s="764"/>
      <c r="S52" s="699"/>
      <c r="T52" s="765"/>
      <c r="U52" s="766"/>
      <c r="V52" s="766"/>
      <c r="W52" s="765"/>
      <c r="X52" s="766"/>
      <c r="Y52" s="767"/>
      <c r="Z52" s="764"/>
      <c r="AA52" s="699"/>
      <c r="AB52" s="765"/>
      <c r="AC52" s="766"/>
      <c r="AD52" s="766"/>
      <c r="AE52" s="765"/>
      <c r="AF52" s="766"/>
      <c r="AG52" s="767"/>
      <c r="AH52" s="764"/>
      <c r="AI52" s="699"/>
      <c r="AJ52" s="765"/>
      <c r="AK52" s="766"/>
      <c r="AL52" s="766"/>
      <c r="AM52" s="765"/>
      <c r="AN52" s="766"/>
      <c r="AO52" s="767"/>
      <c r="AP52" s="764"/>
      <c r="AQ52" s="699"/>
      <c r="AR52" s="765"/>
      <c r="AS52" s="766"/>
      <c r="AT52" s="766"/>
      <c r="AU52" s="765"/>
      <c r="AV52" s="766"/>
      <c r="AW52" s="767"/>
      <c r="AX52" s="764"/>
      <c r="AY52" s="699"/>
      <c r="AZ52" s="765"/>
      <c r="BA52" s="766"/>
      <c r="BB52" s="766"/>
      <c r="BC52" s="765"/>
      <c r="BD52" s="766"/>
      <c r="BE52" s="767"/>
      <c r="BF52" s="764"/>
      <c r="BG52" s="699"/>
      <c r="BH52" s="765"/>
      <c r="BI52" s="766"/>
      <c r="BJ52" s="766"/>
      <c r="BK52" s="765"/>
      <c r="BL52" s="766"/>
      <c r="BM52" s="767"/>
      <c r="BN52" s="764"/>
      <c r="BO52" s="699"/>
      <c r="BP52" s="765"/>
      <c r="BQ52" s="766"/>
      <c r="BR52" s="766"/>
      <c r="BS52" s="765"/>
      <c r="BT52" s="766"/>
      <c r="BU52" s="767"/>
      <c r="BV52" s="764"/>
      <c r="BW52" s="699"/>
      <c r="BX52" s="765"/>
      <c r="BY52" s="766"/>
      <c r="BZ52" s="766"/>
      <c r="CA52" s="765"/>
      <c r="CB52" s="766"/>
      <c r="CC52" s="767"/>
      <c r="CD52" s="764"/>
      <c r="CE52" s="699"/>
      <c r="CF52" s="765"/>
      <c r="CG52" s="766"/>
      <c r="CH52" s="766"/>
      <c r="CI52" s="765"/>
      <c r="CJ52" s="766"/>
      <c r="CK52" s="767"/>
      <c r="CL52" s="764"/>
      <c r="CM52" s="699"/>
      <c r="CN52" s="765"/>
      <c r="CO52" s="766"/>
      <c r="CP52" s="766"/>
      <c r="CQ52" s="765"/>
      <c r="CR52" s="766"/>
      <c r="CS52" s="767"/>
      <c r="CT52" s="764"/>
      <c r="CU52" s="699"/>
      <c r="CV52" s="765"/>
      <c r="CW52" s="766"/>
      <c r="CX52" s="766"/>
      <c r="CY52" s="765"/>
      <c r="CZ52" s="766"/>
      <c r="DA52" s="767"/>
      <c r="DB52" s="764"/>
      <c r="DC52" s="699"/>
      <c r="DD52" s="765"/>
      <c r="DE52" s="766"/>
      <c r="DF52" s="766"/>
      <c r="DG52" s="765"/>
      <c r="DH52" s="766"/>
      <c r="DI52" s="767"/>
      <c r="DJ52" s="764"/>
      <c r="DK52" s="699"/>
      <c r="DL52" s="765"/>
      <c r="DM52" s="766"/>
      <c r="DN52" s="766"/>
      <c r="DO52" s="765"/>
      <c r="DP52" s="766"/>
      <c r="DQ52" s="767"/>
      <c r="DR52" s="764"/>
      <c r="DS52" s="699"/>
      <c r="DT52" s="765"/>
      <c r="DU52" s="766"/>
      <c r="DV52" s="766"/>
      <c r="DW52" s="765"/>
      <c r="DX52" s="766"/>
      <c r="DY52" s="767"/>
      <c r="DZ52" s="764"/>
      <c r="EA52" s="699"/>
      <c r="EB52" s="765"/>
      <c r="EC52" s="766"/>
      <c r="ED52" s="766"/>
      <c r="EE52" s="765"/>
      <c r="EF52" s="766"/>
      <c r="EG52" s="767"/>
      <c r="EH52" s="764"/>
      <c r="EI52" s="699"/>
      <c r="EJ52" s="765"/>
      <c r="EK52" s="766"/>
      <c r="EL52" s="766"/>
      <c r="EM52" s="765"/>
      <c r="EN52" s="766"/>
      <c r="EO52" s="767"/>
      <c r="EP52" s="764"/>
      <c r="EQ52" s="699"/>
      <c r="ER52" s="765"/>
      <c r="ES52" s="766"/>
      <c r="ET52" s="766"/>
      <c r="EU52" s="765"/>
      <c r="EV52" s="766"/>
      <c r="EW52" s="767"/>
      <c r="EX52" s="764"/>
      <c r="EY52" s="699"/>
      <c r="EZ52" s="765"/>
      <c r="FA52" s="766"/>
      <c r="FB52" s="766"/>
      <c r="FC52" s="765"/>
      <c r="FD52" s="766"/>
      <c r="FE52" s="767"/>
      <c r="FF52" s="764"/>
      <c r="FG52" s="699"/>
      <c r="FH52" s="765"/>
      <c r="FI52" s="766"/>
      <c r="FJ52" s="766"/>
      <c r="FK52" s="765"/>
      <c r="FL52" s="766"/>
      <c r="FM52" s="767"/>
      <c r="FN52" s="764"/>
      <c r="FO52" s="699"/>
      <c r="FP52" s="765"/>
      <c r="FQ52" s="766"/>
      <c r="FR52" s="766"/>
      <c r="FS52" s="765"/>
      <c r="FT52" s="766"/>
      <c r="FU52" s="767"/>
      <c r="FV52" s="764"/>
      <c r="FW52" s="699"/>
      <c r="FX52" s="765"/>
      <c r="FY52" s="766"/>
      <c r="FZ52" s="766"/>
      <c r="GA52" s="765"/>
      <c r="GB52" s="766"/>
      <c r="GC52" s="767"/>
      <c r="GD52" s="764"/>
      <c r="GE52" s="699"/>
      <c r="GF52" s="765"/>
      <c r="GG52" s="766"/>
      <c r="GH52" s="766"/>
      <c r="GI52" s="765"/>
      <c r="GJ52" s="766"/>
      <c r="GK52" s="767"/>
      <c r="GL52" s="764"/>
      <c r="GM52" s="699"/>
      <c r="GN52" s="765"/>
      <c r="GO52" s="766"/>
      <c r="GP52" s="766"/>
      <c r="GQ52" s="765"/>
      <c r="GR52" s="766"/>
      <c r="GS52" s="767"/>
      <c r="GT52" s="764"/>
      <c r="GU52" s="699"/>
      <c r="GV52" s="765"/>
      <c r="GW52" s="766"/>
      <c r="GX52" s="766"/>
      <c r="GY52" s="765"/>
      <c r="GZ52" s="766"/>
      <c r="HA52" s="767"/>
      <c r="HB52" s="764"/>
      <c r="HC52" s="699"/>
      <c r="HD52" s="765"/>
      <c r="HE52" s="766"/>
      <c r="HF52" s="766"/>
      <c r="HG52" s="765"/>
      <c r="HH52" s="766"/>
      <c r="HI52" s="767"/>
      <c r="HJ52" s="764"/>
      <c r="HK52" s="699"/>
      <c r="HL52" s="765"/>
      <c r="HM52" s="766"/>
      <c r="HN52" s="766"/>
      <c r="HO52" s="765"/>
      <c r="HP52" s="766"/>
      <c r="HQ52" s="767"/>
      <c r="HR52" s="764"/>
      <c r="HS52" s="699"/>
      <c r="HT52" s="765"/>
      <c r="HU52" s="766"/>
      <c r="HV52" s="766"/>
      <c r="HW52" s="765"/>
      <c r="HX52" s="766"/>
      <c r="HY52" s="767"/>
      <c r="HZ52" s="764"/>
      <c r="IA52" s="699"/>
      <c r="IB52" s="765"/>
      <c r="IC52" s="766"/>
      <c r="ID52" s="766"/>
      <c r="IE52" s="765"/>
      <c r="IF52" s="766"/>
      <c r="IG52" s="765"/>
      <c r="IH52" s="768"/>
      <c r="II52" s="108"/>
      <c r="IJ52" s="108"/>
      <c r="IK52" s="108"/>
      <c r="IL52" s="108"/>
      <c r="IM52" s="108"/>
      <c r="IN52" s="108"/>
      <c r="IO52" s="770"/>
    </row>
    <row r="53" spans="1:249" x14ac:dyDescent="0.25">
      <c r="A53" s="763">
        <f t="shared" si="31"/>
        <v>43</v>
      </c>
      <c r="B53" s="764"/>
      <c r="C53" s="699"/>
      <c r="D53" s="765"/>
      <c r="E53" s="766"/>
      <c r="F53" s="766"/>
      <c r="G53" s="765"/>
      <c r="H53" s="766"/>
      <c r="I53" s="767"/>
      <c r="J53" s="764"/>
      <c r="K53" s="699"/>
      <c r="L53" s="765"/>
      <c r="M53" s="766"/>
      <c r="N53" s="766"/>
      <c r="O53" s="765"/>
      <c r="P53" s="766"/>
      <c r="Q53" s="767"/>
      <c r="R53" s="764"/>
      <c r="S53" s="699"/>
      <c r="T53" s="765"/>
      <c r="U53" s="766"/>
      <c r="V53" s="766"/>
      <c r="W53" s="765"/>
      <c r="X53" s="766"/>
      <c r="Y53" s="767"/>
      <c r="Z53" s="764"/>
      <c r="AA53" s="699"/>
      <c r="AB53" s="765"/>
      <c r="AC53" s="766"/>
      <c r="AD53" s="766"/>
      <c r="AE53" s="765"/>
      <c r="AF53" s="766"/>
      <c r="AG53" s="767"/>
      <c r="AH53" s="764"/>
      <c r="AI53" s="699"/>
      <c r="AJ53" s="765"/>
      <c r="AK53" s="766"/>
      <c r="AL53" s="766"/>
      <c r="AM53" s="765"/>
      <c r="AN53" s="766"/>
      <c r="AO53" s="767"/>
      <c r="AP53" s="764"/>
      <c r="AQ53" s="699"/>
      <c r="AR53" s="765"/>
      <c r="AS53" s="766"/>
      <c r="AT53" s="766"/>
      <c r="AU53" s="765"/>
      <c r="AV53" s="766"/>
      <c r="AW53" s="767"/>
      <c r="AX53" s="764"/>
      <c r="AY53" s="699"/>
      <c r="AZ53" s="765"/>
      <c r="BA53" s="766"/>
      <c r="BB53" s="766"/>
      <c r="BC53" s="765"/>
      <c r="BD53" s="766"/>
      <c r="BE53" s="767"/>
      <c r="BF53" s="764"/>
      <c r="BG53" s="699"/>
      <c r="BH53" s="765"/>
      <c r="BI53" s="766"/>
      <c r="BJ53" s="766"/>
      <c r="BK53" s="765"/>
      <c r="BL53" s="766"/>
      <c r="BM53" s="767"/>
      <c r="BN53" s="764"/>
      <c r="BO53" s="699"/>
      <c r="BP53" s="765"/>
      <c r="BQ53" s="766"/>
      <c r="BR53" s="766"/>
      <c r="BS53" s="765"/>
      <c r="BT53" s="766"/>
      <c r="BU53" s="767"/>
      <c r="BV53" s="764"/>
      <c r="BW53" s="699"/>
      <c r="BX53" s="765"/>
      <c r="BY53" s="766"/>
      <c r="BZ53" s="766"/>
      <c r="CA53" s="765"/>
      <c r="CB53" s="766"/>
      <c r="CC53" s="767"/>
      <c r="CD53" s="764"/>
      <c r="CE53" s="699"/>
      <c r="CF53" s="765"/>
      <c r="CG53" s="766"/>
      <c r="CH53" s="766"/>
      <c r="CI53" s="765"/>
      <c r="CJ53" s="766"/>
      <c r="CK53" s="767"/>
      <c r="CL53" s="764"/>
      <c r="CM53" s="699"/>
      <c r="CN53" s="765"/>
      <c r="CO53" s="766"/>
      <c r="CP53" s="766"/>
      <c r="CQ53" s="765"/>
      <c r="CR53" s="766"/>
      <c r="CS53" s="767"/>
      <c r="CT53" s="764"/>
      <c r="CU53" s="699"/>
      <c r="CV53" s="765"/>
      <c r="CW53" s="766"/>
      <c r="CX53" s="766"/>
      <c r="CY53" s="765"/>
      <c r="CZ53" s="766"/>
      <c r="DA53" s="767"/>
      <c r="DB53" s="764"/>
      <c r="DC53" s="699"/>
      <c r="DD53" s="765"/>
      <c r="DE53" s="766"/>
      <c r="DF53" s="766"/>
      <c r="DG53" s="765"/>
      <c r="DH53" s="766"/>
      <c r="DI53" s="767"/>
      <c r="DJ53" s="764"/>
      <c r="DK53" s="699"/>
      <c r="DL53" s="765"/>
      <c r="DM53" s="766"/>
      <c r="DN53" s="766"/>
      <c r="DO53" s="765"/>
      <c r="DP53" s="766"/>
      <c r="DQ53" s="767"/>
      <c r="DR53" s="764"/>
      <c r="DS53" s="699"/>
      <c r="DT53" s="765"/>
      <c r="DU53" s="766"/>
      <c r="DV53" s="766"/>
      <c r="DW53" s="765"/>
      <c r="DX53" s="766"/>
      <c r="DY53" s="767"/>
      <c r="DZ53" s="764"/>
      <c r="EA53" s="699"/>
      <c r="EB53" s="765"/>
      <c r="EC53" s="766"/>
      <c r="ED53" s="766"/>
      <c r="EE53" s="765"/>
      <c r="EF53" s="766"/>
      <c r="EG53" s="767"/>
      <c r="EH53" s="764"/>
      <c r="EI53" s="699"/>
      <c r="EJ53" s="765"/>
      <c r="EK53" s="766"/>
      <c r="EL53" s="766"/>
      <c r="EM53" s="765"/>
      <c r="EN53" s="766"/>
      <c r="EO53" s="767"/>
      <c r="EP53" s="764"/>
      <c r="EQ53" s="699"/>
      <c r="ER53" s="765"/>
      <c r="ES53" s="766"/>
      <c r="ET53" s="766"/>
      <c r="EU53" s="765"/>
      <c r="EV53" s="766"/>
      <c r="EW53" s="767"/>
      <c r="EX53" s="764"/>
      <c r="EY53" s="699"/>
      <c r="EZ53" s="765"/>
      <c r="FA53" s="766"/>
      <c r="FB53" s="766"/>
      <c r="FC53" s="765"/>
      <c r="FD53" s="766"/>
      <c r="FE53" s="767"/>
      <c r="FF53" s="764"/>
      <c r="FG53" s="699"/>
      <c r="FH53" s="765"/>
      <c r="FI53" s="766"/>
      <c r="FJ53" s="766"/>
      <c r="FK53" s="765"/>
      <c r="FL53" s="766"/>
      <c r="FM53" s="767"/>
      <c r="FN53" s="764"/>
      <c r="FO53" s="699"/>
      <c r="FP53" s="765"/>
      <c r="FQ53" s="766"/>
      <c r="FR53" s="766"/>
      <c r="FS53" s="765"/>
      <c r="FT53" s="766"/>
      <c r="FU53" s="767"/>
      <c r="FV53" s="764"/>
      <c r="FW53" s="699"/>
      <c r="FX53" s="765"/>
      <c r="FY53" s="766"/>
      <c r="FZ53" s="766"/>
      <c r="GA53" s="765"/>
      <c r="GB53" s="766"/>
      <c r="GC53" s="767"/>
      <c r="GD53" s="764"/>
      <c r="GE53" s="699"/>
      <c r="GF53" s="765"/>
      <c r="GG53" s="766"/>
      <c r="GH53" s="766"/>
      <c r="GI53" s="765"/>
      <c r="GJ53" s="766"/>
      <c r="GK53" s="767"/>
      <c r="GL53" s="764"/>
      <c r="GM53" s="699"/>
      <c r="GN53" s="765"/>
      <c r="GO53" s="766"/>
      <c r="GP53" s="766"/>
      <c r="GQ53" s="765"/>
      <c r="GR53" s="766"/>
      <c r="GS53" s="767"/>
      <c r="GT53" s="764"/>
      <c r="GU53" s="699"/>
      <c r="GV53" s="765"/>
      <c r="GW53" s="766"/>
      <c r="GX53" s="766"/>
      <c r="GY53" s="765"/>
      <c r="GZ53" s="766"/>
      <c r="HA53" s="767"/>
      <c r="HB53" s="764"/>
      <c r="HC53" s="699"/>
      <c r="HD53" s="765"/>
      <c r="HE53" s="766"/>
      <c r="HF53" s="766"/>
      <c r="HG53" s="765"/>
      <c r="HH53" s="766"/>
      <c r="HI53" s="767"/>
      <c r="HJ53" s="764"/>
      <c r="HK53" s="699"/>
      <c r="HL53" s="765"/>
      <c r="HM53" s="766"/>
      <c r="HN53" s="766"/>
      <c r="HO53" s="765"/>
      <c r="HP53" s="766"/>
      <c r="HQ53" s="767"/>
      <c r="HR53" s="764"/>
      <c r="HS53" s="699"/>
      <c r="HT53" s="765"/>
      <c r="HU53" s="766"/>
      <c r="HV53" s="766"/>
      <c r="HW53" s="765"/>
      <c r="HX53" s="766"/>
      <c r="HY53" s="767"/>
      <c r="HZ53" s="764"/>
      <c r="IA53" s="699"/>
      <c r="IB53" s="765"/>
      <c r="IC53" s="766"/>
      <c r="ID53" s="766"/>
      <c r="IE53" s="765"/>
      <c r="IF53" s="766"/>
      <c r="IG53" s="765"/>
      <c r="IH53" s="768"/>
      <c r="II53" s="108"/>
      <c r="IJ53" s="108"/>
      <c r="IK53" s="108"/>
      <c r="IL53" s="108"/>
      <c r="IM53" s="108"/>
      <c r="IN53" s="108"/>
      <c r="IO53" s="770"/>
    </row>
    <row r="54" spans="1:249" x14ac:dyDescent="0.25">
      <c r="A54" s="763">
        <f t="shared" si="31"/>
        <v>44</v>
      </c>
      <c r="B54" s="764"/>
      <c r="C54" s="699"/>
      <c r="D54" s="765"/>
      <c r="E54" s="766"/>
      <c r="F54" s="766"/>
      <c r="G54" s="765"/>
      <c r="H54" s="766"/>
      <c r="I54" s="767"/>
      <c r="J54" s="764"/>
      <c r="K54" s="699"/>
      <c r="L54" s="765"/>
      <c r="M54" s="766"/>
      <c r="N54" s="766"/>
      <c r="O54" s="765"/>
      <c r="P54" s="766"/>
      <c r="Q54" s="767"/>
      <c r="R54" s="764"/>
      <c r="S54" s="699"/>
      <c r="T54" s="765"/>
      <c r="U54" s="766"/>
      <c r="V54" s="766"/>
      <c r="W54" s="765"/>
      <c r="X54" s="766"/>
      <c r="Y54" s="767"/>
      <c r="Z54" s="764"/>
      <c r="AA54" s="699"/>
      <c r="AB54" s="765"/>
      <c r="AC54" s="766"/>
      <c r="AD54" s="766"/>
      <c r="AE54" s="765"/>
      <c r="AF54" s="766"/>
      <c r="AG54" s="767"/>
      <c r="AH54" s="764"/>
      <c r="AI54" s="699"/>
      <c r="AJ54" s="765"/>
      <c r="AK54" s="766"/>
      <c r="AL54" s="766"/>
      <c r="AM54" s="765"/>
      <c r="AN54" s="766"/>
      <c r="AO54" s="767"/>
      <c r="AP54" s="764"/>
      <c r="AQ54" s="699"/>
      <c r="AR54" s="765"/>
      <c r="AS54" s="766"/>
      <c r="AT54" s="766"/>
      <c r="AU54" s="765"/>
      <c r="AV54" s="766"/>
      <c r="AW54" s="767"/>
      <c r="AX54" s="764"/>
      <c r="AY54" s="699"/>
      <c r="AZ54" s="765"/>
      <c r="BA54" s="766"/>
      <c r="BB54" s="766"/>
      <c r="BC54" s="765"/>
      <c r="BD54" s="766"/>
      <c r="BE54" s="767"/>
      <c r="BF54" s="764"/>
      <c r="BG54" s="699"/>
      <c r="BH54" s="765"/>
      <c r="BI54" s="766"/>
      <c r="BJ54" s="766"/>
      <c r="BK54" s="765"/>
      <c r="BL54" s="766"/>
      <c r="BM54" s="767"/>
      <c r="BN54" s="764"/>
      <c r="BO54" s="699"/>
      <c r="BP54" s="765"/>
      <c r="BQ54" s="766"/>
      <c r="BR54" s="766"/>
      <c r="BS54" s="765"/>
      <c r="BT54" s="766"/>
      <c r="BU54" s="767"/>
      <c r="BV54" s="764"/>
      <c r="BW54" s="699"/>
      <c r="BX54" s="765"/>
      <c r="BY54" s="766"/>
      <c r="BZ54" s="766"/>
      <c r="CA54" s="765"/>
      <c r="CB54" s="766"/>
      <c r="CC54" s="767"/>
      <c r="CD54" s="764"/>
      <c r="CE54" s="699"/>
      <c r="CF54" s="765"/>
      <c r="CG54" s="766"/>
      <c r="CH54" s="766"/>
      <c r="CI54" s="765"/>
      <c r="CJ54" s="766"/>
      <c r="CK54" s="767"/>
      <c r="CL54" s="764"/>
      <c r="CM54" s="699"/>
      <c r="CN54" s="765"/>
      <c r="CO54" s="766"/>
      <c r="CP54" s="766"/>
      <c r="CQ54" s="765"/>
      <c r="CR54" s="766"/>
      <c r="CS54" s="767"/>
      <c r="CT54" s="764"/>
      <c r="CU54" s="699"/>
      <c r="CV54" s="765"/>
      <c r="CW54" s="766"/>
      <c r="CX54" s="766"/>
      <c r="CY54" s="765"/>
      <c r="CZ54" s="766"/>
      <c r="DA54" s="767"/>
      <c r="DB54" s="764"/>
      <c r="DC54" s="699"/>
      <c r="DD54" s="765"/>
      <c r="DE54" s="766"/>
      <c r="DF54" s="766"/>
      <c r="DG54" s="765"/>
      <c r="DH54" s="766"/>
      <c r="DI54" s="767"/>
      <c r="DJ54" s="764"/>
      <c r="DK54" s="699"/>
      <c r="DL54" s="765"/>
      <c r="DM54" s="766"/>
      <c r="DN54" s="766"/>
      <c r="DO54" s="765"/>
      <c r="DP54" s="766"/>
      <c r="DQ54" s="767"/>
      <c r="DR54" s="764"/>
      <c r="DS54" s="699"/>
      <c r="DT54" s="765"/>
      <c r="DU54" s="766"/>
      <c r="DV54" s="766"/>
      <c r="DW54" s="765"/>
      <c r="DX54" s="766"/>
      <c r="DY54" s="767"/>
      <c r="DZ54" s="764"/>
      <c r="EA54" s="699"/>
      <c r="EB54" s="765"/>
      <c r="EC54" s="766"/>
      <c r="ED54" s="766"/>
      <c r="EE54" s="765"/>
      <c r="EF54" s="766"/>
      <c r="EG54" s="767"/>
      <c r="EH54" s="764"/>
      <c r="EI54" s="699"/>
      <c r="EJ54" s="765"/>
      <c r="EK54" s="766"/>
      <c r="EL54" s="766"/>
      <c r="EM54" s="765"/>
      <c r="EN54" s="766"/>
      <c r="EO54" s="767"/>
      <c r="EP54" s="764"/>
      <c r="EQ54" s="699"/>
      <c r="ER54" s="765"/>
      <c r="ES54" s="766"/>
      <c r="ET54" s="766"/>
      <c r="EU54" s="765"/>
      <c r="EV54" s="766"/>
      <c r="EW54" s="767"/>
      <c r="EX54" s="764"/>
      <c r="EY54" s="699"/>
      <c r="EZ54" s="765"/>
      <c r="FA54" s="766"/>
      <c r="FB54" s="766"/>
      <c r="FC54" s="765"/>
      <c r="FD54" s="766"/>
      <c r="FE54" s="767"/>
      <c r="FF54" s="764"/>
      <c r="FG54" s="699"/>
      <c r="FH54" s="765"/>
      <c r="FI54" s="766"/>
      <c r="FJ54" s="766"/>
      <c r="FK54" s="765"/>
      <c r="FL54" s="766"/>
      <c r="FM54" s="767"/>
      <c r="FN54" s="764"/>
      <c r="FO54" s="699"/>
      <c r="FP54" s="765"/>
      <c r="FQ54" s="766"/>
      <c r="FR54" s="766"/>
      <c r="FS54" s="765"/>
      <c r="FT54" s="766"/>
      <c r="FU54" s="767"/>
      <c r="FV54" s="764"/>
      <c r="FW54" s="699"/>
      <c r="FX54" s="765"/>
      <c r="FY54" s="766"/>
      <c r="FZ54" s="766"/>
      <c r="GA54" s="765"/>
      <c r="GB54" s="766"/>
      <c r="GC54" s="767"/>
      <c r="GD54" s="764"/>
      <c r="GE54" s="699"/>
      <c r="GF54" s="765"/>
      <c r="GG54" s="766"/>
      <c r="GH54" s="766"/>
      <c r="GI54" s="765"/>
      <c r="GJ54" s="766"/>
      <c r="GK54" s="767"/>
      <c r="GL54" s="764"/>
      <c r="GM54" s="699"/>
      <c r="GN54" s="765"/>
      <c r="GO54" s="766"/>
      <c r="GP54" s="766"/>
      <c r="GQ54" s="765"/>
      <c r="GR54" s="766"/>
      <c r="GS54" s="767"/>
      <c r="GT54" s="764"/>
      <c r="GU54" s="699"/>
      <c r="GV54" s="765"/>
      <c r="GW54" s="766"/>
      <c r="GX54" s="766"/>
      <c r="GY54" s="765"/>
      <c r="GZ54" s="766"/>
      <c r="HA54" s="767"/>
      <c r="HB54" s="764"/>
      <c r="HC54" s="699"/>
      <c r="HD54" s="765"/>
      <c r="HE54" s="766"/>
      <c r="HF54" s="766"/>
      <c r="HG54" s="765"/>
      <c r="HH54" s="766"/>
      <c r="HI54" s="767"/>
      <c r="HJ54" s="764"/>
      <c r="HK54" s="699"/>
      <c r="HL54" s="765"/>
      <c r="HM54" s="766"/>
      <c r="HN54" s="766"/>
      <c r="HO54" s="765"/>
      <c r="HP54" s="766"/>
      <c r="HQ54" s="767"/>
      <c r="HR54" s="764"/>
      <c r="HS54" s="699"/>
      <c r="HT54" s="765"/>
      <c r="HU54" s="766"/>
      <c r="HV54" s="766"/>
      <c r="HW54" s="765"/>
      <c r="HX54" s="766"/>
      <c r="HY54" s="767"/>
      <c r="HZ54" s="764"/>
      <c r="IA54" s="699"/>
      <c r="IB54" s="765"/>
      <c r="IC54" s="766"/>
      <c r="ID54" s="766"/>
      <c r="IE54" s="765"/>
      <c r="IF54" s="766"/>
      <c r="IG54" s="765"/>
      <c r="IH54" s="768"/>
      <c r="II54" s="108"/>
      <c r="IJ54" s="108"/>
      <c r="IK54" s="108"/>
      <c r="IL54" s="108"/>
      <c r="IM54" s="108"/>
      <c r="IN54" s="108"/>
      <c r="IO54" s="770"/>
    </row>
    <row r="55" spans="1:249" x14ac:dyDescent="0.25">
      <c r="A55" s="763">
        <f t="shared" si="31"/>
        <v>45</v>
      </c>
      <c r="B55" s="764"/>
      <c r="C55" s="699"/>
      <c r="D55" s="765"/>
      <c r="E55" s="766"/>
      <c r="F55" s="766"/>
      <c r="G55" s="765"/>
      <c r="H55" s="766"/>
      <c r="I55" s="767"/>
      <c r="J55" s="764"/>
      <c r="K55" s="699"/>
      <c r="L55" s="765"/>
      <c r="M55" s="766"/>
      <c r="N55" s="766"/>
      <c r="O55" s="765"/>
      <c r="P55" s="766"/>
      <c r="Q55" s="767"/>
      <c r="R55" s="764"/>
      <c r="S55" s="699"/>
      <c r="T55" s="765"/>
      <c r="U55" s="766"/>
      <c r="V55" s="766"/>
      <c r="W55" s="765"/>
      <c r="X55" s="766"/>
      <c r="Y55" s="767"/>
      <c r="Z55" s="764"/>
      <c r="AA55" s="699"/>
      <c r="AB55" s="765"/>
      <c r="AC55" s="766"/>
      <c r="AD55" s="766"/>
      <c r="AE55" s="765"/>
      <c r="AF55" s="766"/>
      <c r="AG55" s="767"/>
      <c r="AH55" s="764"/>
      <c r="AI55" s="699"/>
      <c r="AJ55" s="765"/>
      <c r="AK55" s="766"/>
      <c r="AL55" s="766"/>
      <c r="AM55" s="765"/>
      <c r="AN55" s="766"/>
      <c r="AO55" s="767"/>
      <c r="AP55" s="764"/>
      <c r="AQ55" s="699"/>
      <c r="AR55" s="765"/>
      <c r="AS55" s="766"/>
      <c r="AT55" s="766"/>
      <c r="AU55" s="765"/>
      <c r="AV55" s="766"/>
      <c r="AW55" s="767"/>
      <c r="AX55" s="764"/>
      <c r="AY55" s="699"/>
      <c r="AZ55" s="765"/>
      <c r="BA55" s="766"/>
      <c r="BB55" s="766"/>
      <c r="BC55" s="765"/>
      <c r="BD55" s="766"/>
      <c r="BE55" s="767"/>
      <c r="BF55" s="764"/>
      <c r="BG55" s="699"/>
      <c r="BH55" s="765"/>
      <c r="BI55" s="766"/>
      <c r="BJ55" s="766"/>
      <c r="BK55" s="765"/>
      <c r="BL55" s="766"/>
      <c r="BM55" s="767"/>
      <c r="BN55" s="764"/>
      <c r="BO55" s="699"/>
      <c r="BP55" s="765"/>
      <c r="BQ55" s="766"/>
      <c r="BR55" s="766"/>
      <c r="BS55" s="765"/>
      <c r="BT55" s="766"/>
      <c r="BU55" s="767"/>
      <c r="BV55" s="764"/>
      <c r="BW55" s="699"/>
      <c r="BX55" s="765"/>
      <c r="BY55" s="766"/>
      <c r="BZ55" s="766"/>
      <c r="CA55" s="765"/>
      <c r="CB55" s="766"/>
      <c r="CC55" s="767"/>
      <c r="CD55" s="764"/>
      <c r="CE55" s="699"/>
      <c r="CF55" s="765"/>
      <c r="CG55" s="766"/>
      <c r="CH55" s="766"/>
      <c r="CI55" s="765"/>
      <c r="CJ55" s="766"/>
      <c r="CK55" s="767"/>
      <c r="CL55" s="764"/>
      <c r="CM55" s="699"/>
      <c r="CN55" s="765"/>
      <c r="CO55" s="766"/>
      <c r="CP55" s="766"/>
      <c r="CQ55" s="765"/>
      <c r="CR55" s="766"/>
      <c r="CS55" s="767"/>
      <c r="CT55" s="764"/>
      <c r="CU55" s="699"/>
      <c r="CV55" s="765"/>
      <c r="CW55" s="766"/>
      <c r="CX55" s="766"/>
      <c r="CY55" s="765"/>
      <c r="CZ55" s="766"/>
      <c r="DA55" s="767"/>
      <c r="DB55" s="764"/>
      <c r="DC55" s="699"/>
      <c r="DD55" s="765"/>
      <c r="DE55" s="766"/>
      <c r="DF55" s="766"/>
      <c r="DG55" s="765"/>
      <c r="DH55" s="766"/>
      <c r="DI55" s="767"/>
      <c r="DJ55" s="764"/>
      <c r="DK55" s="699"/>
      <c r="DL55" s="765"/>
      <c r="DM55" s="766"/>
      <c r="DN55" s="766"/>
      <c r="DO55" s="765"/>
      <c r="DP55" s="766"/>
      <c r="DQ55" s="767"/>
      <c r="DR55" s="764"/>
      <c r="DS55" s="699"/>
      <c r="DT55" s="765"/>
      <c r="DU55" s="766"/>
      <c r="DV55" s="766"/>
      <c r="DW55" s="765"/>
      <c r="DX55" s="766"/>
      <c r="DY55" s="767"/>
      <c r="DZ55" s="764"/>
      <c r="EA55" s="699"/>
      <c r="EB55" s="765"/>
      <c r="EC55" s="766"/>
      <c r="ED55" s="766"/>
      <c r="EE55" s="765"/>
      <c r="EF55" s="766"/>
      <c r="EG55" s="767"/>
      <c r="EH55" s="764"/>
      <c r="EI55" s="699"/>
      <c r="EJ55" s="765"/>
      <c r="EK55" s="766"/>
      <c r="EL55" s="766"/>
      <c r="EM55" s="765"/>
      <c r="EN55" s="766"/>
      <c r="EO55" s="767"/>
      <c r="EP55" s="764"/>
      <c r="EQ55" s="699"/>
      <c r="ER55" s="765"/>
      <c r="ES55" s="766"/>
      <c r="ET55" s="766"/>
      <c r="EU55" s="765"/>
      <c r="EV55" s="766"/>
      <c r="EW55" s="767"/>
      <c r="EX55" s="764"/>
      <c r="EY55" s="699"/>
      <c r="EZ55" s="765"/>
      <c r="FA55" s="766"/>
      <c r="FB55" s="766"/>
      <c r="FC55" s="765"/>
      <c r="FD55" s="766"/>
      <c r="FE55" s="767"/>
      <c r="FF55" s="764"/>
      <c r="FG55" s="699"/>
      <c r="FH55" s="765"/>
      <c r="FI55" s="766"/>
      <c r="FJ55" s="766"/>
      <c r="FK55" s="765"/>
      <c r="FL55" s="766"/>
      <c r="FM55" s="767"/>
      <c r="FN55" s="764"/>
      <c r="FO55" s="699"/>
      <c r="FP55" s="765"/>
      <c r="FQ55" s="766"/>
      <c r="FR55" s="766"/>
      <c r="FS55" s="765"/>
      <c r="FT55" s="766"/>
      <c r="FU55" s="767"/>
      <c r="FV55" s="764"/>
      <c r="FW55" s="699"/>
      <c r="FX55" s="765"/>
      <c r="FY55" s="766"/>
      <c r="FZ55" s="766"/>
      <c r="GA55" s="765"/>
      <c r="GB55" s="766"/>
      <c r="GC55" s="767"/>
      <c r="GD55" s="764"/>
      <c r="GE55" s="699"/>
      <c r="GF55" s="765"/>
      <c r="GG55" s="766"/>
      <c r="GH55" s="766"/>
      <c r="GI55" s="765"/>
      <c r="GJ55" s="766"/>
      <c r="GK55" s="767"/>
      <c r="GL55" s="764"/>
      <c r="GM55" s="699"/>
      <c r="GN55" s="765"/>
      <c r="GO55" s="766"/>
      <c r="GP55" s="766"/>
      <c r="GQ55" s="765"/>
      <c r="GR55" s="766"/>
      <c r="GS55" s="767"/>
      <c r="GT55" s="764"/>
      <c r="GU55" s="699"/>
      <c r="GV55" s="765"/>
      <c r="GW55" s="766"/>
      <c r="GX55" s="766"/>
      <c r="GY55" s="765"/>
      <c r="GZ55" s="766"/>
      <c r="HA55" s="767"/>
      <c r="HB55" s="764"/>
      <c r="HC55" s="699"/>
      <c r="HD55" s="765"/>
      <c r="HE55" s="766"/>
      <c r="HF55" s="766"/>
      <c r="HG55" s="765"/>
      <c r="HH55" s="766"/>
      <c r="HI55" s="767"/>
      <c r="HJ55" s="764"/>
      <c r="HK55" s="699"/>
      <c r="HL55" s="765"/>
      <c r="HM55" s="766"/>
      <c r="HN55" s="766"/>
      <c r="HO55" s="765"/>
      <c r="HP55" s="766"/>
      <c r="HQ55" s="767"/>
      <c r="HR55" s="764"/>
      <c r="HS55" s="699"/>
      <c r="HT55" s="765"/>
      <c r="HU55" s="766"/>
      <c r="HV55" s="766"/>
      <c r="HW55" s="765"/>
      <c r="HX55" s="766"/>
      <c r="HY55" s="767"/>
      <c r="HZ55" s="764"/>
      <c r="IA55" s="699"/>
      <c r="IB55" s="765"/>
      <c r="IC55" s="766"/>
      <c r="ID55" s="766"/>
      <c r="IE55" s="765"/>
      <c r="IF55" s="766"/>
      <c r="IG55" s="765"/>
      <c r="IH55" s="768"/>
      <c r="II55" s="108"/>
      <c r="IJ55" s="108"/>
      <c r="IK55" s="108"/>
      <c r="IL55" s="108"/>
      <c r="IM55" s="108"/>
      <c r="IN55" s="108"/>
      <c r="IO55" s="770"/>
    </row>
    <row r="56" spans="1:249" x14ac:dyDescent="0.25">
      <c r="A56" s="763">
        <f t="shared" si="31"/>
        <v>46</v>
      </c>
      <c r="B56" s="764"/>
      <c r="C56" s="699"/>
      <c r="D56" s="765"/>
      <c r="E56" s="766"/>
      <c r="F56" s="766"/>
      <c r="G56" s="765"/>
      <c r="H56" s="766"/>
      <c r="I56" s="767"/>
      <c r="J56" s="764"/>
      <c r="K56" s="699"/>
      <c r="L56" s="765"/>
      <c r="M56" s="766"/>
      <c r="N56" s="766"/>
      <c r="O56" s="765"/>
      <c r="P56" s="766"/>
      <c r="Q56" s="767"/>
      <c r="R56" s="764"/>
      <c r="S56" s="699"/>
      <c r="T56" s="765"/>
      <c r="U56" s="766"/>
      <c r="V56" s="766"/>
      <c r="W56" s="765"/>
      <c r="X56" s="766"/>
      <c r="Y56" s="767"/>
      <c r="Z56" s="764"/>
      <c r="AA56" s="699"/>
      <c r="AB56" s="765"/>
      <c r="AC56" s="766"/>
      <c r="AD56" s="766"/>
      <c r="AE56" s="765"/>
      <c r="AF56" s="766"/>
      <c r="AG56" s="767"/>
      <c r="AH56" s="764"/>
      <c r="AI56" s="699"/>
      <c r="AJ56" s="765"/>
      <c r="AK56" s="766"/>
      <c r="AL56" s="766"/>
      <c r="AM56" s="765"/>
      <c r="AN56" s="766"/>
      <c r="AO56" s="767"/>
      <c r="AP56" s="764"/>
      <c r="AQ56" s="699"/>
      <c r="AR56" s="765"/>
      <c r="AS56" s="766"/>
      <c r="AT56" s="766"/>
      <c r="AU56" s="765"/>
      <c r="AV56" s="766"/>
      <c r="AW56" s="767"/>
      <c r="AX56" s="764"/>
      <c r="AY56" s="699"/>
      <c r="AZ56" s="765"/>
      <c r="BA56" s="766"/>
      <c r="BB56" s="766"/>
      <c r="BC56" s="765"/>
      <c r="BD56" s="766"/>
      <c r="BE56" s="767"/>
      <c r="BF56" s="764"/>
      <c r="BG56" s="699"/>
      <c r="BH56" s="765"/>
      <c r="BI56" s="766"/>
      <c r="BJ56" s="766"/>
      <c r="BK56" s="765"/>
      <c r="BL56" s="766"/>
      <c r="BM56" s="767"/>
      <c r="BN56" s="764"/>
      <c r="BO56" s="699"/>
      <c r="BP56" s="765"/>
      <c r="BQ56" s="766"/>
      <c r="BR56" s="766"/>
      <c r="BS56" s="765"/>
      <c r="BT56" s="766"/>
      <c r="BU56" s="767"/>
      <c r="BV56" s="764"/>
      <c r="BW56" s="699"/>
      <c r="BX56" s="765"/>
      <c r="BY56" s="766"/>
      <c r="BZ56" s="766"/>
      <c r="CA56" s="765"/>
      <c r="CB56" s="766"/>
      <c r="CC56" s="767"/>
      <c r="CD56" s="764"/>
      <c r="CE56" s="699"/>
      <c r="CF56" s="765"/>
      <c r="CG56" s="766"/>
      <c r="CH56" s="766"/>
      <c r="CI56" s="765"/>
      <c r="CJ56" s="766"/>
      <c r="CK56" s="767"/>
      <c r="CL56" s="764"/>
      <c r="CM56" s="699"/>
      <c r="CN56" s="765"/>
      <c r="CO56" s="766"/>
      <c r="CP56" s="766"/>
      <c r="CQ56" s="765"/>
      <c r="CR56" s="766"/>
      <c r="CS56" s="767"/>
      <c r="CT56" s="764"/>
      <c r="CU56" s="699"/>
      <c r="CV56" s="765"/>
      <c r="CW56" s="766"/>
      <c r="CX56" s="766"/>
      <c r="CY56" s="765"/>
      <c r="CZ56" s="766"/>
      <c r="DA56" s="767"/>
      <c r="DB56" s="764"/>
      <c r="DC56" s="699"/>
      <c r="DD56" s="765"/>
      <c r="DE56" s="766"/>
      <c r="DF56" s="766"/>
      <c r="DG56" s="765"/>
      <c r="DH56" s="766"/>
      <c r="DI56" s="767"/>
      <c r="DJ56" s="764"/>
      <c r="DK56" s="699"/>
      <c r="DL56" s="765"/>
      <c r="DM56" s="766"/>
      <c r="DN56" s="766"/>
      <c r="DO56" s="765"/>
      <c r="DP56" s="766"/>
      <c r="DQ56" s="767"/>
      <c r="DR56" s="764"/>
      <c r="DS56" s="699"/>
      <c r="DT56" s="765"/>
      <c r="DU56" s="766"/>
      <c r="DV56" s="766"/>
      <c r="DW56" s="765"/>
      <c r="DX56" s="766"/>
      <c r="DY56" s="767"/>
      <c r="DZ56" s="764"/>
      <c r="EA56" s="699"/>
      <c r="EB56" s="765"/>
      <c r="EC56" s="766"/>
      <c r="ED56" s="766"/>
      <c r="EE56" s="765"/>
      <c r="EF56" s="766"/>
      <c r="EG56" s="767"/>
      <c r="EH56" s="764"/>
      <c r="EI56" s="699"/>
      <c r="EJ56" s="765"/>
      <c r="EK56" s="766"/>
      <c r="EL56" s="766"/>
      <c r="EM56" s="765"/>
      <c r="EN56" s="766"/>
      <c r="EO56" s="767"/>
      <c r="EP56" s="764"/>
      <c r="EQ56" s="699"/>
      <c r="ER56" s="765"/>
      <c r="ES56" s="766"/>
      <c r="ET56" s="766"/>
      <c r="EU56" s="765"/>
      <c r="EV56" s="766"/>
      <c r="EW56" s="767"/>
      <c r="EX56" s="764"/>
      <c r="EY56" s="699"/>
      <c r="EZ56" s="765"/>
      <c r="FA56" s="766"/>
      <c r="FB56" s="766"/>
      <c r="FC56" s="765"/>
      <c r="FD56" s="766"/>
      <c r="FE56" s="767"/>
      <c r="FF56" s="764"/>
      <c r="FG56" s="699"/>
      <c r="FH56" s="765"/>
      <c r="FI56" s="766"/>
      <c r="FJ56" s="766"/>
      <c r="FK56" s="765"/>
      <c r="FL56" s="766"/>
      <c r="FM56" s="767"/>
      <c r="FN56" s="764"/>
      <c r="FO56" s="699"/>
      <c r="FP56" s="765"/>
      <c r="FQ56" s="766"/>
      <c r="FR56" s="766"/>
      <c r="FS56" s="765"/>
      <c r="FT56" s="766"/>
      <c r="FU56" s="767"/>
      <c r="FV56" s="764"/>
      <c r="FW56" s="699"/>
      <c r="FX56" s="765"/>
      <c r="FY56" s="766"/>
      <c r="FZ56" s="766"/>
      <c r="GA56" s="765"/>
      <c r="GB56" s="766"/>
      <c r="GC56" s="767"/>
      <c r="GD56" s="764"/>
      <c r="GE56" s="699"/>
      <c r="GF56" s="765"/>
      <c r="GG56" s="766"/>
      <c r="GH56" s="766"/>
      <c r="GI56" s="765"/>
      <c r="GJ56" s="766"/>
      <c r="GK56" s="767"/>
      <c r="GL56" s="764"/>
      <c r="GM56" s="699"/>
      <c r="GN56" s="765"/>
      <c r="GO56" s="766"/>
      <c r="GP56" s="766"/>
      <c r="GQ56" s="765"/>
      <c r="GR56" s="766"/>
      <c r="GS56" s="767"/>
      <c r="GT56" s="764"/>
      <c r="GU56" s="699"/>
      <c r="GV56" s="765"/>
      <c r="GW56" s="766"/>
      <c r="GX56" s="766"/>
      <c r="GY56" s="765"/>
      <c r="GZ56" s="766"/>
      <c r="HA56" s="767"/>
      <c r="HB56" s="764"/>
      <c r="HC56" s="699"/>
      <c r="HD56" s="765"/>
      <c r="HE56" s="766"/>
      <c r="HF56" s="766"/>
      <c r="HG56" s="765"/>
      <c r="HH56" s="766"/>
      <c r="HI56" s="767"/>
      <c r="HJ56" s="764"/>
      <c r="HK56" s="699"/>
      <c r="HL56" s="765"/>
      <c r="HM56" s="766"/>
      <c r="HN56" s="766"/>
      <c r="HO56" s="765"/>
      <c r="HP56" s="766"/>
      <c r="HQ56" s="767"/>
      <c r="HR56" s="764"/>
      <c r="HS56" s="699"/>
      <c r="HT56" s="765"/>
      <c r="HU56" s="766"/>
      <c r="HV56" s="766"/>
      <c r="HW56" s="765"/>
      <c r="HX56" s="766"/>
      <c r="HY56" s="767"/>
      <c r="HZ56" s="764"/>
      <c r="IA56" s="699"/>
      <c r="IB56" s="765"/>
      <c r="IC56" s="766"/>
      <c r="ID56" s="766"/>
      <c r="IE56" s="765"/>
      <c r="IF56" s="766"/>
      <c r="IG56" s="765"/>
      <c r="IH56" s="768"/>
      <c r="II56" s="108"/>
      <c r="IJ56" s="108"/>
      <c r="IK56" s="108"/>
      <c r="IL56" s="108"/>
      <c r="IM56" s="108"/>
      <c r="IN56" s="108"/>
      <c r="IO56" s="770"/>
    </row>
    <row r="57" spans="1:249" x14ac:dyDescent="0.25">
      <c r="A57" s="763">
        <f t="shared" si="31"/>
        <v>47</v>
      </c>
      <c r="B57" s="764"/>
      <c r="C57" s="699"/>
      <c r="D57" s="765"/>
      <c r="E57" s="766"/>
      <c r="F57" s="766"/>
      <c r="G57" s="765"/>
      <c r="H57" s="766"/>
      <c r="I57" s="767"/>
      <c r="J57" s="764"/>
      <c r="K57" s="699"/>
      <c r="L57" s="765"/>
      <c r="M57" s="766"/>
      <c r="N57" s="766"/>
      <c r="O57" s="765"/>
      <c r="P57" s="766"/>
      <c r="Q57" s="767"/>
      <c r="R57" s="764"/>
      <c r="S57" s="699"/>
      <c r="T57" s="765"/>
      <c r="U57" s="766"/>
      <c r="V57" s="766"/>
      <c r="W57" s="765"/>
      <c r="X57" s="766"/>
      <c r="Y57" s="767"/>
      <c r="Z57" s="764"/>
      <c r="AA57" s="699"/>
      <c r="AB57" s="765"/>
      <c r="AC57" s="766"/>
      <c r="AD57" s="766"/>
      <c r="AE57" s="765"/>
      <c r="AF57" s="766"/>
      <c r="AG57" s="767"/>
      <c r="AH57" s="764"/>
      <c r="AI57" s="699"/>
      <c r="AJ57" s="765"/>
      <c r="AK57" s="766"/>
      <c r="AL57" s="766"/>
      <c r="AM57" s="765"/>
      <c r="AN57" s="766"/>
      <c r="AO57" s="767"/>
      <c r="AP57" s="764"/>
      <c r="AQ57" s="699"/>
      <c r="AR57" s="765"/>
      <c r="AS57" s="766"/>
      <c r="AT57" s="766"/>
      <c r="AU57" s="765"/>
      <c r="AV57" s="766"/>
      <c r="AW57" s="767"/>
      <c r="AX57" s="764"/>
      <c r="AY57" s="699"/>
      <c r="AZ57" s="765"/>
      <c r="BA57" s="766"/>
      <c r="BB57" s="766"/>
      <c r="BC57" s="765"/>
      <c r="BD57" s="766"/>
      <c r="BE57" s="767"/>
      <c r="BF57" s="764"/>
      <c r="BG57" s="699"/>
      <c r="BH57" s="765"/>
      <c r="BI57" s="766"/>
      <c r="BJ57" s="766"/>
      <c r="BK57" s="765"/>
      <c r="BL57" s="766"/>
      <c r="BM57" s="767"/>
      <c r="BN57" s="764"/>
      <c r="BO57" s="699"/>
      <c r="BP57" s="765"/>
      <c r="BQ57" s="766"/>
      <c r="BR57" s="766"/>
      <c r="BS57" s="765"/>
      <c r="BT57" s="766"/>
      <c r="BU57" s="767"/>
      <c r="BV57" s="764"/>
      <c r="BW57" s="699"/>
      <c r="BX57" s="765"/>
      <c r="BY57" s="766"/>
      <c r="BZ57" s="766"/>
      <c r="CA57" s="765"/>
      <c r="CB57" s="766"/>
      <c r="CC57" s="767"/>
      <c r="CD57" s="764"/>
      <c r="CE57" s="699"/>
      <c r="CF57" s="765"/>
      <c r="CG57" s="766"/>
      <c r="CH57" s="766"/>
      <c r="CI57" s="765"/>
      <c r="CJ57" s="766"/>
      <c r="CK57" s="767"/>
      <c r="CL57" s="764"/>
      <c r="CM57" s="699"/>
      <c r="CN57" s="765"/>
      <c r="CO57" s="766"/>
      <c r="CP57" s="766"/>
      <c r="CQ57" s="765"/>
      <c r="CR57" s="766"/>
      <c r="CS57" s="767"/>
      <c r="CT57" s="764"/>
      <c r="CU57" s="699"/>
      <c r="CV57" s="765"/>
      <c r="CW57" s="766"/>
      <c r="CX57" s="766"/>
      <c r="CY57" s="765"/>
      <c r="CZ57" s="766"/>
      <c r="DA57" s="767"/>
      <c r="DB57" s="764"/>
      <c r="DC57" s="699"/>
      <c r="DD57" s="765"/>
      <c r="DE57" s="766"/>
      <c r="DF57" s="766"/>
      <c r="DG57" s="765"/>
      <c r="DH57" s="766"/>
      <c r="DI57" s="767"/>
      <c r="DJ57" s="764"/>
      <c r="DK57" s="699"/>
      <c r="DL57" s="765"/>
      <c r="DM57" s="766"/>
      <c r="DN57" s="766"/>
      <c r="DO57" s="765"/>
      <c r="DP57" s="766"/>
      <c r="DQ57" s="767"/>
      <c r="DR57" s="764"/>
      <c r="DS57" s="699"/>
      <c r="DT57" s="765"/>
      <c r="DU57" s="766"/>
      <c r="DV57" s="766"/>
      <c r="DW57" s="765"/>
      <c r="DX57" s="766"/>
      <c r="DY57" s="767"/>
      <c r="DZ57" s="764"/>
      <c r="EA57" s="699"/>
      <c r="EB57" s="765"/>
      <c r="EC57" s="766"/>
      <c r="ED57" s="766"/>
      <c r="EE57" s="765"/>
      <c r="EF57" s="766"/>
      <c r="EG57" s="767"/>
      <c r="EH57" s="764"/>
      <c r="EI57" s="699"/>
      <c r="EJ57" s="765"/>
      <c r="EK57" s="766"/>
      <c r="EL57" s="766"/>
      <c r="EM57" s="765"/>
      <c r="EN57" s="766"/>
      <c r="EO57" s="767"/>
      <c r="EP57" s="764"/>
      <c r="EQ57" s="699"/>
      <c r="ER57" s="765"/>
      <c r="ES57" s="766"/>
      <c r="ET57" s="766"/>
      <c r="EU57" s="765"/>
      <c r="EV57" s="766"/>
      <c r="EW57" s="767"/>
      <c r="EX57" s="764"/>
      <c r="EY57" s="699"/>
      <c r="EZ57" s="765"/>
      <c r="FA57" s="766"/>
      <c r="FB57" s="766"/>
      <c r="FC57" s="765"/>
      <c r="FD57" s="766"/>
      <c r="FE57" s="767"/>
      <c r="FF57" s="764"/>
      <c r="FG57" s="699"/>
      <c r="FH57" s="765"/>
      <c r="FI57" s="766"/>
      <c r="FJ57" s="766"/>
      <c r="FK57" s="765"/>
      <c r="FL57" s="766"/>
      <c r="FM57" s="767"/>
      <c r="FN57" s="764"/>
      <c r="FO57" s="699"/>
      <c r="FP57" s="765"/>
      <c r="FQ57" s="766"/>
      <c r="FR57" s="766"/>
      <c r="FS57" s="765"/>
      <c r="FT57" s="766"/>
      <c r="FU57" s="767"/>
      <c r="FV57" s="764"/>
      <c r="FW57" s="699"/>
      <c r="FX57" s="765"/>
      <c r="FY57" s="766"/>
      <c r="FZ57" s="766"/>
      <c r="GA57" s="765"/>
      <c r="GB57" s="766"/>
      <c r="GC57" s="767"/>
      <c r="GD57" s="764"/>
      <c r="GE57" s="699"/>
      <c r="GF57" s="765"/>
      <c r="GG57" s="766"/>
      <c r="GH57" s="766"/>
      <c r="GI57" s="765"/>
      <c r="GJ57" s="766"/>
      <c r="GK57" s="767"/>
      <c r="GL57" s="764"/>
      <c r="GM57" s="699"/>
      <c r="GN57" s="765"/>
      <c r="GO57" s="766"/>
      <c r="GP57" s="766"/>
      <c r="GQ57" s="765"/>
      <c r="GR57" s="766"/>
      <c r="GS57" s="767"/>
      <c r="GT57" s="764"/>
      <c r="GU57" s="699"/>
      <c r="GV57" s="765"/>
      <c r="GW57" s="766"/>
      <c r="GX57" s="766"/>
      <c r="GY57" s="765"/>
      <c r="GZ57" s="766"/>
      <c r="HA57" s="767"/>
      <c r="HB57" s="764"/>
      <c r="HC57" s="699"/>
      <c r="HD57" s="765"/>
      <c r="HE57" s="766"/>
      <c r="HF57" s="766"/>
      <c r="HG57" s="765"/>
      <c r="HH57" s="766"/>
      <c r="HI57" s="767"/>
      <c r="HJ57" s="764"/>
      <c r="HK57" s="699"/>
      <c r="HL57" s="765"/>
      <c r="HM57" s="766"/>
      <c r="HN57" s="766"/>
      <c r="HO57" s="765"/>
      <c r="HP57" s="766"/>
      <c r="HQ57" s="767"/>
      <c r="HR57" s="764"/>
      <c r="HS57" s="699"/>
      <c r="HT57" s="765"/>
      <c r="HU57" s="766"/>
      <c r="HV57" s="766"/>
      <c r="HW57" s="765"/>
      <c r="HX57" s="766"/>
      <c r="HY57" s="767"/>
      <c r="HZ57" s="764"/>
      <c r="IA57" s="699"/>
      <c r="IB57" s="765"/>
      <c r="IC57" s="766"/>
      <c r="ID57" s="766"/>
      <c r="IE57" s="765"/>
      <c r="IF57" s="766"/>
      <c r="IG57" s="765"/>
      <c r="IH57" s="768"/>
      <c r="II57" s="108"/>
      <c r="IJ57" s="108"/>
      <c r="IK57" s="108"/>
      <c r="IL57" s="108"/>
      <c r="IM57" s="108"/>
      <c r="IN57" s="108"/>
      <c r="IO57" s="770"/>
    </row>
    <row r="58" spans="1:249" x14ac:dyDescent="0.25">
      <c r="A58" s="763">
        <f t="shared" si="31"/>
        <v>48</v>
      </c>
      <c r="B58" s="764"/>
      <c r="C58" s="699"/>
      <c r="D58" s="765"/>
      <c r="E58" s="766"/>
      <c r="F58" s="766"/>
      <c r="G58" s="765"/>
      <c r="H58" s="766"/>
      <c r="I58" s="767"/>
      <c r="J58" s="764"/>
      <c r="K58" s="699"/>
      <c r="L58" s="765"/>
      <c r="M58" s="766"/>
      <c r="N58" s="766"/>
      <c r="O58" s="765"/>
      <c r="P58" s="766"/>
      <c r="Q58" s="767"/>
      <c r="R58" s="764"/>
      <c r="S58" s="699"/>
      <c r="T58" s="765"/>
      <c r="U58" s="766"/>
      <c r="V58" s="766"/>
      <c r="W58" s="765"/>
      <c r="X58" s="766"/>
      <c r="Y58" s="767"/>
      <c r="Z58" s="764"/>
      <c r="AA58" s="699"/>
      <c r="AB58" s="765"/>
      <c r="AC58" s="766"/>
      <c r="AD58" s="766"/>
      <c r="AE58" s="765"/>
      <c r="AF58" s="766"/>
      <c r="AG58" s="767"/>
      <c r="AH58" s="764"/>
      <c r="AI58" s="699"/>
      <c r="AJ58" s="765"/>
      <c r="AK58" s="766"/>
      <c r="AL58" s="766"/>
      <c r="AM58" s="765"/>
      <c r="AN58" s="766"/>
      <c r="AO58" s="767"/>
      <c r="AP58" s="764"/>
      <c r="AQ58" s="699"/>
      <c r="AR58" s="765"/>
      <c r="AS58" s="766"/>
      <c r="AT58" s="766"/>
      <c r="AU58" s="765"/>
      <c r="AV58" s="766"/>
      <c r="AW58" s="767"/>
      <c r="AX58" s="764"/>
      <c r="AY58" s="699"/>
      <c r="AZ58" s="765"/>
      <c r="BA58" s="766"/>
      <c r="BB58" s="766"/>
      <c r="BC58" s="765"/>
      <c r="BD58" s="766"/>
      <c r="BE58" s="767"/>
      <c r="BF58" s="764"/>
      <c r="BG58" s="699"/>
      <c r="BH58" s="765"/>
      <c r="BI58" s="766"/>
      <c r="BJ58" s="766"/>
      <c r="BK58" s="765"/>
      <c r="BL58" s="766"/>
      <c r="BM58" s="767"/>
      <c r="BN58" s="764"/>
      <c r="BO58" s="699"/>
      <c r="BP58" s="765"/>
      <c r="BQ58" s="766"/>
      <c r="BR58" s="766"/>
      <c r="BS58" s="765"/>
      <c r="BT58" s="766"/>
      <c r="BU58" s="767"/>
      <c r="BV58" s="764"/>
      <c r="BW58" s="699"/>
      <c r="BX58" s="765"/>
      <c r="BY58" s="766"/>
      <c r="BZ58" s="766"/>
      <c r="CA58" s="765"/>
      <c r="CB58" s="766"/>
      <c r="CC58" s="767"/>
      <c r="CD58" s="764"/>
      <c r="CE58" s="699"/>
      <c r="CF58" s="765"/>
      <c r="CG58" s="766"/>
      <c r="CH58" s="766"/>
      <c r="CI58" s="765"/>
      <c r="CJ58" s="766"/>
      <c r="CK58" s="767"/>
      <c r="CL58" s="764"/>
      <c r="CM58" s="699"/>
      <c r="CN58" s="765"/>
      <c r="CO58" s="766"/>
      <c r="CP58" s="766"/>
      <c r="CQ58" s="765"/>
      <c r="CR58" s="766"/>
      <c r="CS58" s="767"/>
      <c r="CT58" s="764"/>
      <c r="CU58" s="699"/>
      <c r="CV58" s="765"/>
      <c r="CW58" s="766"/>
      <c r="CX58" s="766"/>
      <c r="CY58" s="765"/>
      <c r="CZ58" s="766"/>
      <c r="DA58" s="767"/>
      <c r="DB58" s="764"/>
      <c r="DC58" s="699"/>
      <c r="DD58" s="765"/>
      <c r="DE58" s="766"/>
      <c r="DF58" s="766"/>
      <c r="DG58" s="765"/>
      <c r="DH58" s="766"/>
      <c r="DI58" s="767"/>
      <c r="DJ58" s="764"/>
      <c r="DK58" s="699"/>
      <c r="DL58" s="765"/>
      <c r="DM58" s="766"/>
      <c r="DN58" s="766"/>
      <c r="DO58" s="765"/>
      <c r="DP58" s="766"/>
      <c r="DQ58" s="767"/>
      <c r="DR58" s="764"/>
      <c r="DS58" s="699"/>
      <c r="DT58" s="765"/>
      <c r="DU58" s="766"/>
      <c r="DV58" s="766"/>
      <c r="DW58" s="765"/>
      <c r="DX58" s="766"/>
      <c r="DY58" s="767"/>
      <c r="DZ58" s="764"/>
      <c r="EA58" s="699"/>
      <c r="EB58" s="765"/>
      <c r="EC58" s="766"/>
      <c r="ED58" s="766"/>
      <c r="EE58" s="765"/>
      <c r="EF58" s="766"/>
      <c r="EG58" s="767"/>
      <c r="EH58" s="764"/>
      <c r="EI58" s="699"/>
      <c r="EJ58" s="765"/>
      <c r="EK58" s="766"/>
      <c r="EL58" s="766"/>
      <c r="EM58" s="765"/>
      <c r="EN58" s="766"/>
      <c r="EO58" s="767"/>
      <c r="EP58" s="764"/>
      <c r="EQ58" s="699"/>
      <c r="ER58" s="765"/>
      <c r="ES58" s="766"/>
      <c r="ET58" s="766"/>
      <c r="EU58" s="765"/>
      <c r="EV58" s="766"/>
      <c r="EW58" s="767"/>
      <c r="EX58" s="764"/>
      <c r="EY58" s="699"/>
      <c r="EZ58" s="765"/>
      <c r="FA58" s="766"/>
      <c r="FB58" s="766"/>
      <c r="FC58" s="765"/>
      <c r="FD58" s="766"/>
      <c r="FE58" s="767"/>
      <c r="FF58" s="764"/>
      <c r="FG58" s="699"/>
      <c r="FH58" s="765"/>
      <c r="FI58" s="766"/>
      <c r="FJ58" s="766"/>
      <c r="FK58" s="765"/>
      <c r="FL58" s="766"/>
      <c r="FM58" s="767"/>
      <c r="FN58" s="764"/>
      <c r="FO58" s="699"/>
      <c r="FP58" s="765"/>
      <c r="FQ58" s="766"/>
      <c r="FR58" s="766"/>
      <c r="FS58" s="765"/>
      <c r="FT58" s="766"/>
      <c r="FU58" s="767"/>
      <c r="FV58" s="764"/>
      <c r="FW58" s="699"/>
      <c r="FX58" s="765"/>
      <c r="FY58" s="766"/>
      <c r="FZ58" s="766"/>
      <c r="GA58" s="765"/>
      <c r="GB58" s="766"/>
      <c r="GC58" s="767"/>
      <c r="GD58" s="764"/>
      <c r="GE58" s="699"/>
      <c r="GF58" s="765"/>
      <c r="GG58" s="766"/>
      <c r="GH58" s="766"/>
      <c r="GI58" s="765"/>
      <c r="GJ58" s="766"/>
      <c r="GK58" s="767"/>
      <c r="GL58" s="764"/>
      <c r="GM58" s="699"/>
      <c r="GN58" s="765"/>
      <c r="GO58" s="766"/>
      <c r="GP58" s="766"/>
      <c r="GQ58" s="765"/>
      <c r="GR58" s="766"/>
      <c r="GS58" s="767"/>
      <c r="GT58" s="764"/>
      <c r="GU58" s="699"/>
      <c r="GV58" s="765"/>
      <c r="GW58" s="766"/>
      <c r="GX58" s="766"/>
      <c r="GY58" s="765"/>
      <c r="GZ58" s="766"/>
      <c r="HA58" s="767"/>
      <c r="HB58" s="764"/>
      <c r="HC58" s="699"/>
      <c r="HD58" s="765"/>
      <c r="HE58" s="766"/>
      <c r="HF58" s="766"/>
      <c r="HG58" s="765"/>
      <c r="HH58" s="766"/>
      <c r="HI58" s="767"/>
      <c r="HJ58" s="764"/>
      <c r="HK58" s="699"/>
      <c r="HL58" s="765"/>
      <c r="HM58" s="766"/>
      <c r="HN58" s="766"/>
      <c r="HO58" s="765"/>
      <c r="HP58" s="766"/>
      <c r="HQ58" s="767"/>
      <c r="HR58" s="764"/>
      <c r="HS58" s="699"/>
      <c r="HT58" s="765"/>
      <c r="HU58" s="766"/>
      <c r="HV58" s="766"/>
      <c r="HW58" s="765"/>
      <c r="HX58" s="766"/>
      <c r="HY58" s="767"/>
      <c r="HZ58" s="764"/>
      <c r="IA58" s="699"/>
      <c r="IB58" s="765"/>
      <c r="IC58" s="766"/>
      <c r="ID58" s="766"/>
      <c r="IE58" s="765"/>
      <c r="IF58" s="766"/>
      <c r="IG58" s="765"/>
      <c r="IH58" s="768"/>
      <c r="II58" s="108"/>
      <c r="IJ58" s="108"/>
      <c r="IK58" s="108"/>
      <c r="IL58" s="108"/>
      <c r="IM58" s="108"/>
      <c r="IN58" s="108"/>
      <c r="IO58" s="770"/>
    </row>
    <row r="59" spans="1:249" x14ac:dyDescent="0.25">
      <c r="A59" s="763">
        <f t="shared" si="31"/>
        <v>49</v>
      </c>
      <c r="B59" s="764"/>
      <c r="C59" s="699"/>
      <c r="D59" s="765"/>
      <c r="E59" s="766"/>
      <c r="F59" s="766"/>
      <c r="G59" s="765"/>
      <c r="H59" s="766"/>
      <c r="I59" s="767"/>
      <c r="J59" s="764"/>
      <c r="K59" s="699"/>
      <c r="L59" s="765"/>
      <c r="M59" s="766"/>
      <c r="N59" s="766"/>
      <c r="O59" s="765"/>
      <c r="P59" s="766"/>
      <c r="Q59" s="767"/>
      <c r="R59" s="764"/>
      <c r="S59" s="699"/>
      <c r="T59" s="765"/>
      <c r="U59" s="766"/>
      <c r="V59" s="766"/>
      <c r="W59" s="765"/>
      <c r="X59" s="766"/>
      <c r="Y59" s="767"/>
      <c r="Z59" s="764"/>
      <c r="AA59" s="699"/>
      <c r="AB59" s="765"/>
      <c r="AC59" s="766"/>
      <c r="AD59" s="766"/>
      <c r="AE59" s="765"/>
      <c r="AF59" s="766"/>
      <c r="AG59" s="767"/>
      <c r="AH59" s="764"/>
      <c r="AI59" s="699"/>
      <c r="AJ59" s="765"/>
      <c r="AK59" s="766"/>
      <c r="AL59" s="766"/>
      <c r="AM59" s="765"/>
      <c r="AN59" s="766"/>
      <c r="AO59" s="767"/>
      <c r="AP59" s="764"/>
      <c r="AQ59" s="699"/>
      <c r="AR59" s="765"/>
      <c r="AS59" s="766"/>
      <c r="AT59" s="766"/>
      <c r="AU59" s="765"/>
      <c r="AV59" s="766"/>
      <c r="AW59" s="767"/>
      <c r="AX59" s="764"/>
      <c r="AY59" s="699"/>
      <c r="AZ59" s="765"/>
      <c r="BA59" s="766"/>
      <c r="BB59" s="766"/>
      <c r="BC59" s="765"/>
      <c r="BD59" s="766"/>
      <c r="BE59" s="767"/>
      <c r="BF59" s="764"/>
      <c r="BG59" s="699"/>
      <c r="BH59" s="765"/>
      <c r="BI59" s="766"/>
      <c r="BJ59" s="766"/>
      <c r="BK59" s="765"/>
      <c r="BL59" s="766"/>
      <c r="BM59" s="767"/>
      <c r="BN59" s="764"/>
      <c r="BO59" s="699"/>
      <c r="BP59" s="765"/>
      <c r="BQ59" s="766"/>
      <c r="BR59" s="766"/>
      <c r="BS59" s="765"/>
      <c r="BT59" s="766"/>
      <c r="BU59" s="767"/>
      <c r="BV59" s="764"/>
      <c r="BW59" s="699"/>
      <c r="BX59" s="765"/>
      <c r="BY59" s="766"/>
      <c r="BZ59" s="766"/>
      <c r="CA59" s="765"/>
      <c r="CB59" s="766"/>
      <c r="CC59" s="767"/>
      <c r="CD59" s="764"/>
      <c r="CE59" s="699"/>
      <c r="CF59" s="765"/>
      <c r="CG59" s="766"/>
      <c r="CH59" s="766"/>
      <c r="CI59" s="765"/>
      <c r="CJ59" s="766"/>
      <c r="CK59" s="767"/>
      <c r="CL59" s="764"/>
      <c r="CM59" s="699"/>
      <c r="CN59" s="765"/>
      <c r="CO59" s="766"/>
      <c r="CP59" s="766"/>
      <c r="CQ59" s="765"/>
      <c r="CR59" s="766"/>
      <c r="CS59" s="767"/>
      <c r="CT59" s="764"/>
      <c r="CU59" s="699"/>
      <c r="CV59" s="765"/>
      <c r="CW59" s="766"/>
      <c r="CX59" s="766"/>
      <c r="CY59" s="765"/>
      <c r="CZ59" s="766"/>
      <c r="DA59" s="767"/>
      <c r="DB59" s="764"/>
      <c r="DC59" s="699"/>
      <c r="DD59" s="765"/>
      <c r="DE59" s="766"/>
      <c r="DF59" s="766"/>
      <c r="DG59" s="765"/>
      <c r="DH59" s="766"/>
      <c r="DI59" s="767"/>
      <c r="DJ59" s="764"/>
      <c r="DK59" s="699"/>
      <c r="DL59" s="765"/>
      <c r="DM59" s="766"/>
      <c r="DN59" s="766"/>
      <c r="DO59" s="765"/>
      <c r="DP59" s="766"/>
      <c r="DQ59" s="767"/>
      <c r="DR59" s="764"/>
      <c r="DS59" s="699"/>
      <c r="DT59" s="765"/>
      <c r="DU59" s="766"/>
      <c r="DV59" s="766"/>
      <c r="DW59" s="765"/>
      <c r="DX59" s="766"/>
      <c r="DY59" s="767"/>
      <c r="DZ59" s="764"/>
      <c r="EA59" s="699"/>
      <c r="EB59" s="765"/>
      <c r="EC59" s="766"/>
      <c r="ED59" s="766"/>
      <c r="EE59" s="765"/>
      <c r="EF59" s="766"/>
      <c r="EG59" s="767"/>
      <c r="EH59" s="764"/>
      <c r="EI59" s="699"/>
      <c r="EJ59" s="765"/>
      <c r="EK59" s="766"/>
      <c r="EL59" s="766"/>
      <c r="EM59" s="765"/>
      <c r="EN59" s="766"/>
      <c r="EO59" s="767"/>
      <c r="EP59" s="764"/>
      <c r="EQ59" s="699"/>
      <c r="ER59" s="765"/>
      <c r="ES59" s="766"/>
      <c r="ET59" s="766"/>
      <c r="EU59" s="765"/>
      <c r="EV59" s="766"/>
      <c r="EW59" s="767"/>
      <c r="EX59" s="764"/>
      <c r="EY59" s="699"/>
      <c r="EZ59" s="765"/>
      <c r="FA59" s="766"/>
      <c r="FB59" s="766"/>
      <c r="FC59" s="765"/>
      <c r="FD59" s="766"/>
      <c r="FE59" s="767"/>
      <c r="FF59" s="764"/>
      <c r="FG59" s="699"/>
      <c r="FH59" s="765"/>
      <c r="FI59" s="766"/>
      <c r="FJ59" s="766"/>
      <c r="FK59" s="765"/>
      <c r="FL59" s="766"/>
      <c r="FM59" s="767"/>
      <c r="FN59" s="764"/>
      <c r="FO59" s="699"/>
      <c r="FP59" s="765"/>
      <c r="FQ59" s="766"/>
      <c r="FR59" s="766"/>
      <c r="FS59" s="765"/>
      <c r="FT59" s="766"/>
      <c r="FU59" s="767"/>
      <c r="FV59" s="764"/>
      <c r="FW59" s="699"/>
      <c r="FX59" s="765"/>
      <c r="FY59" s="766"/>
      <c r="FZ59" s="766"/>
      <c r="GA59" s="765"/>
      <c r="GB59" s="766"/>
      <c r="GC59" s="767"/>
      <c r="GD59" s="764"/>
      <c r="GE59" s="699"/>
      <c r="GF59" s="765"/>
      <c r="GG59" s="766"/>
      <c r="GH59" s="766"/>
      <c r="GI59" s="765"/>
      <c r="GJ59" s="766"/>
      <c r="GK59" s="767"/>
      <c r="GL59" s="764"/>
      <c r="GM59" s="699"/>
      <c r="GN59" s="765"/>
      <c r="GO59" s="766"/>
      <c r="GP59" s="766"/>
      <c r="GQ59" s="765"/>
      <c r="GR59" s="766"/>
      <c r="GS59" s="767"/>
      <c r="GT59" s="764"/>
      <c r="GU59" s="699"/>
      <c r="GV59" s="765"/>
      <c r="GW59" s="766"/>
      <c r="GX59" s="766"/>
      <c r="GY59" s="765"/>
      <c r="GZ59" s="766"/>
      <c r="HA59" s="767"/>
      <c r="HB59" s="764"/>
      <c r="HC59" s="699"/>
      <c r="HD59" s="765"/>
      <c r="HE59" s="766"/>
      <c r="HF59" s="766"/>
      <c r="HG59" s="765"/>
      <c r="HH59" s="766"/>
      <c r="HI59" s="767"/>
      <c r="HJ59" s="764"/>
      <c r="HK59" s="699"/>
      <c r="HL59" s="765"/>
      <c r="HM59" s="766"/>
      <c r="HN59" s="766"/>
      <c r="HO59" s="765"/>
      <c r="HP59" s="766"/>
      <c r="HQ59" s="767"/>
      <c r="HR59" s="764"/>
      <c r="HS59" s="699"/>
      <c r="HT59" s="765"/>
      <c r="HU59" s="766"/>
      <c r="HV59" s="766"/>
      <c r="HW59" s="765"/>
      <c r="HX59" s="766"/>
      <c r="HY59" s="767"/>
      <c r="HZ59" s="764"/>
      <c r="IA59" s="699"/>
      <c r="IB59" s="765"/>
      <c r="IC59" s="766"/>
      <c r="ID59" s="766"/>
      <c r="IE59" s="765"/>
      <c r="IF59" s="766"/>
      <c r="IG59" s="765"/>
      <c r="IH59" s="768"/>
      <c r="II59" s="108"/>
      <c r="IJ59" s="108"/>
      <c r="IK59" s="108"/>
      <c r="IL59" s="108"/>
      <c r="IM59" s="108"/>
      <c r="IN59" s="108"/>
      <c r="IO59" s="770"/>
    </row>
    <row r="60" spans="1:249" x14ac:dyDescent="0.25">
      <c r="A60" s="763">
        <f t="shared" si="31"/>
        <v>50</v>
      </c>
      <c r="B60" s="764"/>
      <c r="C60" s="699"/>
      <c r="D60" s="765"/>
      <c r="E60" s="766"/>
      <c r="F60" s="766"/>
      <c r="G60" s="765"/>
      <c r="H60" s="766"/>
      <c r="I60" s="767"/>
      <c r="J60" s="764"/>
      <c r="K60" s="699"/>
      <c r="L60" s="765"/>
      <c r="M60" s="766"/>
      <c r="N60" s="766"/>
      <c r="O60" s="765"/>
      <c r="P60" s="766"/>
      <c r="Q60" s="767"/>
      <c r="R60" s="764"/>
      <c r="S60" s="699"/>
      <c r="T60" s="765"/>
      <c r="U60" s="766"/>
      <c r="V60" s="766"/>
      <c r="W60" s="765"/>
      <c r="X60" s="766"/>
      <c r="Y60" s="767"/>
      <c r="Z60" s="764"/>
      <c r="AA60" s="699"/>
      <c r="AB60" s="765"/>
      <c r="AC60" s="766"/>
      <c r="AD60" s="766"/>
      <c r="AE60" s="765"/>
      <c r="AF60" s="766"/>
      <c r="AG60" s="767"/>
      <c r="AH60" s="764"/>
      <c r="AI60" s="699"/>
      <c r="AJ60" s="765"/>
      <c r="AK60" s="766"/>
      <c r="AL60" s="766"/>
      <c r="AM60" s="765"/>
      <c r="AN60" s="766"/>
      <c r="AO60" s="767"/>
      <c r="AP60" s="764"/>
      <c r="AQ60" s="699"/>
      <c r="AR60" s="765"/>
      <c r="AS60" s="766"/>
      <c r="AT60" s="766"/>
      <c r="AU60" s="765"/>
      <c r="AV60" s="766"/>
      <c r="AW60" s="767"/>
      <c r="AX60" s="764"/>
      <c r="AY60" s="699"/>
      <c r="AZ60" s="765"/>
      <c r="BA60" s="766"/>
      <c r="BB60" s="766"/>
      <c r="BC60" s="765"/>
      <c r="BD60" s="766"/>
      <c r="BE60" s="767"/>
      <c r="BF60" s="764"/>
      <c r="BG60" s="699"/>
      <c r="BH60" s="765"/>
      <c r="BI60" s="766"/>
      <c r="BJ60" s="766"/>
      <c r="BK60" s="765"/>
      <c r="BL60" s="766"/>
      <c r="BM60" s="767"/>
      <c r="BN60" s="764"/>
      <c r="BO60" s="699"/>
      <c r="BP60" s="765"/>
      <c r="BQ60" s="766"/>
      <c r="BR60" s="766"/>
      <c r="BS60" s="765"/>
      <c r="BT60" s="766"/>
      <c r="BU60" s="767"/>
      <c r="BV60" s="764"/>
      <c r="BW60" s="699"/>
      <c r="BX60" s="765"/>
      <c r="BY60" s="766"/>
      <c r="BZ60" s="766"/>
      <c r="CA60" s="765"/>
      <c r="CB60" s="766"/>
      <c r="CC60" s="767"/>
      <c r="CD60" s="764"/>
      <c r="CE60" s="699"/>
      <c r="CF60" s="765"/>
      <c r="CG60" s="766"/>
      <c r="CH60" s="766"/>
      <c r="CI60" s="765"/>
      <c r="CJ60" s="766"/>
      <c r="CK60" s="767"/>
      <c r="CL60" s="764"/>
      <c r="CM60" s="699"/>
      <c r="CN60" s="765"/>
      <c r="CO60" s="766"/>
      <c r="CP60" s="766"/>
      <c r="CQ60" s="765"/>
      <c r="CR60" s="766"/>
      <c r="CS60" s="767"/>
      <c r="CT60" s="764"/>
      <c r="CU60" s="699"/>
      <c r="CV60" s="765"/>
      <c r="CW60" s="766"/>
      <c r="CX60" s="766"/>
      <c r="CY60" s="765"/>
      <c r="CZ60" s="766"/>
      <c r="DA60" s="767"/>
      <c r="DB60" s="764"/>
      <c r="DC60" s="699"/>
      <c r="DD60" s="765"/>
      <c r="DE60" s="766"/>
      <c r="DF60" s="766"/>
      <c r="DG60" s="765"/>
      <c r="DH60" s="766"/>
      <c r="DI60" s="767"/>
      <c r="DJ60" s="764"/>
      <c r="DK60" s="699"/>
      <c r="DL60" s="765"/>
      <c r="DM60" s="766"/>
      <c r="DN60" s="766"/>
      <c r="DO60" s="765"/>
      <c r="DP60" s="766"/>
      <c r="DQ60" s="767"/>
      <c r="DR60" s="764"/>
      <c r="DS60" s="699"/>
      <c r="DT60" s="765"/>
      <c r="DU60" s="766"/>
      <c r="DV60" s="766"/>
      <c r="DW60" s="765"/>
      <c r="DX60" s="766"/>
      <c r="DY60" s="767"/>
      <c r="DZ60" s="764"/>
      <c r="EA60" s="699"/>
      <c r="EB60" s="765"/>
      <c r="EC60" s="766"/>
      <c r="ED60" s="766"/>
      <c r="EE60" s="765"/>
      <c r="EF60" s="766"/>
      <c r="EG60" s="767"/>
      <c r="EH60" s="764"/>
      <c r="EI60" s="699"/>
      <c r="EJ60" s="765"/>
      <c r="EK60" s="766"/>
      <c r="EL60" s="766"/>
      <c r="EM60" s="765"/>
      <c r="EN60" s="766"/>
      <c r="EO60" s="767"/>
      <c r="EP60" s="764"/>
      <c r="EQ60" s="699"/>
      <c r="ER60" s="765"/>
      <c r="ES60" s="766"/>
      <c r="ET60" s="766"/>
      <c r="EU60" s="765"/>
      <c r="EV60" s="766"/>
      <c r="EW60" s="767"/>
      <c r="EX60" s="764"/>
      <c r="EY60" s="699"/>
      <c r="EZ60" s="765"/>
      <c r="FA60" s="766"/>
      <c r="FB60" s="766"/>
      <c r="FC60" s="765"/>
      <c r="FD60" s="766"/>
      <c r="FE60" s="767"/>
      <c r="FF60" s="764"/>
      <c r="FG60" s="699"/>
      <c r="FH60" s="765"/>
      <c r="FI60" s="766"/>
      <c r="FJ60" s="766"/>
      <c r="FK60" s="765"/>
      <c r="FL60" s="766"/>
      <c r="FM60" s="767"/>
      <c r="FN60" s="764"/>
      <c r="FO60" s="699"/>
      <c r="FP60" s="765"/>
      <c r="FQ60" s="766"/>
      <c r="FR60" s="766"/>
      <c r="FS60" s="765"/>
      <c r="FT60" s="766"/>
      <c r="FU60" s="767"/>
      <c r="FV60" s="764"/>
      <c r="FW60" s="699"/>
      <c r="FX60" s="765"/>
      <c r="FY60" s="766"/>
      <c r="FZ60" s="766"/>
      <c r="GA60" s="765"/>
      <c r="GB60" s="766"/>
      <c r="GC60" s="767"/>
      <c r="GD60" s="764"/>
      <c r="GE60" s="699"/>
      <c r="GF60" s="765"/>
      <c r="GG60" s="766"/>
      <c r="GH60" s="766"/>
      <c r="GI60" s="765"/>
      <c r="GJ60" s="766"/>
      <c r="GK60" s="767"/>
      <c r="GL60" s="764"/>
      <c r="GM60" s="699"/>
      <c r="GN60" s="765"/>
      <c r="GO60" s="766"/>
      <c r="GP60" s="766"/>
      <c r="GQ60" s="765"/>
      <c r="GR60" s="766"/>
      <c r="GS60" s="767"/>
      <c r="GT60" s="764"/>
      <c r="GU60" s="699"/>
      <c r="GV60" s="765"/>
      <c r="GW60" s="766"/>
      <c r="GX60" s="766"/>
      <c r="GY60" s="765"/>
      <c r="GZ60" s="766"/>
      <c r="HA60" s="767"/>
      <c r="HB60" s="764"/>
      <c r="HC60" s="699"/>
      <c r="HD60" s="765"/>
      <c r="HE60" s="766"/>
      <c r="HF60" s="766"/>
      <c r="HG60" s="765"/>
      <c r="HH60" s="766"/>
      <c r="HI60" s="767"/>
      <c r="HJ60" s="764"/>
      <c r="HK60" s="699"/>
      <c r="HL60" s="765"/>
      <c r="HM60" s="766"/>
      <c r="HN60" s="766"/>
      <c r="HO60" s="765"/>
      <c r="HP60" s="766"/>
      <c r="HQ60" s="767"/>
      <c r="HR60" s="764"/>
      <c r="HS60" s="699"/>
      <c r="HT60" s="765"/>
      <c r="HU60" s="766"/>
      <c r="HV60" s="766"/>
      <c r="HW60" s="765"/>
      <c r="HX60" s="766"/>
      <c r="HY60" s="767"/>
      <c r="HZ60" s="764"/>
      <c r="IA60" s="699"/>
      <c r="IB60" s="765"/>
      <c r="IC60" s="766"/>
      <c r="ID60" s="766"/>
      <c r="IE60" s="765"/>
      <c r="IF60" s="766"/>
      <c r="IG60" s="765"/>
      <c r="IH60" s="768"/>
      <c r="II60" s="108"/>
      <c r="IJ60" s="108"/>
      <c r="IK60" s="108"/>
      <c r="IL60" s="108"/>
      <c r="IM60" s="108"/>
      <c r="IN60" s="108"/>
      <c r="IO60" s="770"/>
    </row>
    <row r="61" spans="1:249" x14ac:dyDescent="0.25">
      <c r="A61" s="763">
        <f t="shared" si="31"/>
        <v>51</v>
      </c>
      <c r="B61" s="764"/>
      <c r="C61" s="699"/>
      <c r="D61" s="765"/>
      <c r="E61" s="766"/>
      <c r="F61" s="766"/>
      <c r="G61" s="765"/>
      <c r="H61" s="766"/>
      <c r="I61" s="767"/>
      <c r="J61" s="764"/>
      <c r="K61" s="699"/>
      <c r="L61" s="765"/>
      <c r="M61" s="766"/>
      <c r="N61" s="766"/>
      <c r="O61" s="765"/>
      <c r="P61" s="766"/>
      <c r="Q61" s="767"/>
      <c r="R61" s="764"/>
      <c r="S61" s="699"/>
      <c r="T61" s="765"/>
      <c r="U61" s="766"/>
      <c r="V61" s="766"/>
      <c r="W61" s="765"/>
      <c r="X61" s="766"/>
      <c r="Y61" s="767"/>
      <c r="Z61" s="764"/>
      <c r="AA61" s="699"/>
      <c r="AB61" s="765"/>
      <c r="AC61" s="766"/>
      <c r="AD61" s="766"/>
      <c r="AE61" s="765"/>
      <c r="AF61" s="766"/>
      <c r="AG61" s="767"/>
      <c r="AH61" s="764"/>
      <c r="AI61" s="699"/>
      <c r="AJ61" s="765"/>
      <c r="AK61" s="766"/>
      <c r="AL61" s="766"/>
      <c r="AM61" s="765"/>
      <c r="AN61" s="766"/>
      <c r="AO61" s="767"/>
      <c r="AP61" s="764"/>
      <c r="AQ61" s="699"/>
      <c r="AR61" s="765"/>
      <c r="AS61" s="766"/>
      <c r="AT61" s="766"/>
      <c r="AU61" s="765"/>
      <c r="AV61" s="766"/>
      <c r="AW61" s="767"/>
      <c r="AX61" s="764"/>
      <c r="AY61" s="699"/>
      <c r="AZ61" s="765"/>
      <c r="BA61" s="766"/>
      <c r="BB61" s="766"/>
      <c r="BC61" s="765"/>
      <c r="BD61" s="766"/>
      <c r="BE61" s="767"/>
      <c r="BF61" s="764"/>
      <c r="BG61" s="699"/>
      <c r="BH61" s="765"/>
      <c r="BI61" s="766"/>
      <c r="BJ61" s="766"/>
      <c r="BK61" s="765"/>
      <c r="BL61" s="766"/>
      <c r="BM61" s="767"/>
      <c r="BN61" s="764"/>
      <c r="BO61" s="699"/>
      <c r="BP61" s="765"/>
      <c r="BQ61" s="766"/>
      <c r="BR61" s="766"/>
      <c r="BS61" s="765"/>
      <c r="BT61" s="766"/>
      <c r="BU61" s="767"/>
      <c r="BV61" s="764"/>
      <c r="BW61" s="699"/>
      <c r="BX61" s="765"/>
      <c r="BY61" s="766"/>
      <c r="BZ61" s="766"/>
      <c r="CA61" s="765"/>
      <c r="CB61" s="766"/>
      <c r="CC61" s="767"/>
      <c r="CD61" s="764"/>
      <c r="CE61" s="699"/>
      <c r="CF61" s="765"/>
      <c r="CG61" s="766"/>
      <c r="CH61" s="766"/>
      <c r="CI61" s="765"/>
      <c r="CJ61" s="766"/>
      <c r="CK61" s="767"/>
      <c r="CL61" s="764"/>
      <c r="CM61" s="699"/>
      <c r="CN61" s="765"/>
      <c r="CO61" s="766"/>
      <c r="CP61" s="766"/>
      <c r="CQ61" s="765"/>
      <c r="CR61" s="766"/>
      <c r="CS61" s="767"/>
      <c r="CT61" s="764"/>
      <c r="CU61" s="699"/>
      <c r="CV61" s="765"/>
      <c r="CW61" s="766"/>
      <c r="CX61" s="766"/>
      <c r="CY61" s="765"/>
      <c r="CZ61" s="766"/>
      <c r="DA61" s="767"/>
      <c r="DB61" s="764"/>
      <c r="DC61" s="699"/>
      <c r="DD61" s="765"/>
      <c r="DE61" s="766"/>
      <c r="DF61" s="766"/>
      <c r="DG61" s="765"/>
      <c r="DH61" s="766"/>
      <c r="DI61" s="767"/>
      <c r="DJ61" s="764"/>
      <c r="DK61" s="699"/>
      <c r="DL61" s="765"/>
      <c r="DM61" s="766"/>
      <c r="DN61" s="766"/>
      <c r="DO61" s="765"/>
      <c r="DP61" s="766"/>
      <c r="DQ61" s="767"/>
      <c r="DR61" s="764"/>
      <c r="DS61" s="699"/>
      <c r="DT61" s="765"/>
      <c r="DU61" s="766"/>
      <c r="DV61" s="766"/>
      <c r="DW61" s="765"/>
      <c r="DX61" s="766"/>
      <c r="DY61" s="767"/>
      <c r="DZ61" s="764"/>
      <c r="EA61" s="699"/>
      <c r="EB61" s="765"/>
      <c r="EC61" s="766"/>
      <c r="ED61" s="766"/>
      <c r="EE61" s="765"/>
      <c r="EF61" s="766"/>
      <c r="EG61" s="767"/>
      <c r="EH61" s="764"/>
      <c r="EI61" s="699"/>
      <c r="EJ61" s="765"/>
      <c r="EK61" s="766"/>
      <c r="EL61" s="766"/>
      <c r="EM61" s="765"/>
      <c r="EN61" s="766"/>
      <c r="EO61" s="767"/>
      <c r="EP61" s="764"/>
      <c r="EQ61" s="699"/>
      <c r="ER61" s="765"/>
      <c r="ES61" s="766"/>
      <c r="ET61" s="766"/>
      <c r="EU61" s="765"/>
      <c r="EV61" s="766"/>
      <c r="EW61" s="767"/>
      <c r="EX61" s="764"/>
      <c r="EY61" s="699"/>
      <c r="EZ61" s="765"/>
      <c r="FA61" s="766"/>
      <c r="FB61" s="766"/>
      <c r="FC61" s="765"/>
      <c r="FD61" s="766"/>
      <c r="FE61" s="767"/>
      <c r="FF61" s="764"/>
      <c r="FG61" s="699"/>
      <c r="FH61" s="765"/>
      <c r="FI61" s="766"/>
      <c r="FJ61" s="766"/>
      <c r="FK61" s="765"/>
      <c r="FL61" s="766"/>
      <c r="FM61" s="767"/>
      <c r="FN61" s="764"/>
      <c r="FO61" s="699"/>
      <c r="FP61" s="765"/>
      <c r="FQ61" s="766"/>
      <c r="FR61" s="766"/>
      <c r="FS61" s="765"/>
      <c r="FT61" s="766"/>
      <c r="FU61" s="767"/>
      <c r="FV61" s="764"/>
      <c r="FW61" s="699"/>
      <c r="FX61" s="765"/>
      <c r="FY61" s="766"/>
      <c r="FZ61" s="766"/>
      <c r="GA61" s="765"/>
      <c r="GB61" s="766"/>
      <c r="GC61" s="767"/>
      <c r="GD61" s="764"/>
      <c r="GE61" s="699"/>
      <c r="GF61" s="765"/>
      <c r="GG61" s="766"/>
      <c r="GH61" s="766"/>
      <c r="GI61" s="765"/>
      <c r="GJ61" s="766"/>
      <c r="GK61" s="767"/>
      <c r="GL61" s="764"/>
      <c r="GM61" s="699"/>
      <c r="GN61" s="765"/>
      <c r="GO61" s="766"/>
      <c r="GP61" s="766"/>
      <c r="GQ61" s="765"/>
      <c r="GR61" s="766"/>
      <c r="GS61" s="767"/>
      <c r="GT61" s="764"/>
      <c r="GU61" s="699"/>
      <c r="GV61" s="765"/>
      <c r="GW61" s="766"/>
      <c r="GX61" s="766"/>
      <c r="GY61" s="765"/>
      <c r="GZ61" s="766"/>
      <c r="HA61" s="767"/>
      <c r="HB61" s="764"/>
      <c r="HC61" s="699"/>
      <c r="HD61" s="765"/>
      <c r="HE61" s="766"/>
      <c r="HF61" s="766"/>
      <c r="HG61" s="765"/>
      <c r="HH61" s="766"/>
      <c r="HI61" s="767"/>
      <c r="HJ61" s="764"/>
      <c r="HK61" s="699"/>
      <c r="HL61" s="765"/>
      <c r="HM61" s="766"/>
      <c r="HN61" s="766"/>
      <c r="HO61" s="765"/>
      <c r="HP61" s="766"/>
      <c r="HQ61" s="767"/>
      <c r="HR61" s="764"/>
      <c r="HS61" s="699"/>
      <c r="HT61" s="765"/>
      <c r="HU61" s="766"/>
      <c r="HV61" s="766"/>
      <c r="HW61" s="765"/>
      <c r="HX61" s="766"/>
      <c r="HY61" s="767"/>
      <c r="HZ61" s="764"/>
      <c r="IA61" s="699"/>
      <c r="IB61" s="765"/>
      <c r="IC61" s="766"/>
      <c r="ID61" s="766"/>
      <c r="IE61" s="765"/>
      <c r="IF61" s="766"/>
      <c r="IG61" s="765"/>
      <c r="IH61" s="768"/>
      <c r="II61" s="108"/>
      <c r="IJ61" s="108"/>
      <c r="IK61" s="108"/>
      <c r="IL61" s="108"/>
      <c r="IM61" s="108"/>
      <c r="IN61" s="108"/>
      <c r="IO61" s="770"/>
    </row>
    <row r="62" spans="1:249" x14ac:dyDescent="0.25">
      <c r="A62" s="763">
        <f t="shared" si="31"/>
        <v>52</v>
      </c>
      <c r="B62" s="764"/>
      <c r="C62" s="699"/>
      <c r="D62" s="765"/>
      <c r="E62" s="766"/>
      <c r="F62" s="766"/>
      <c r="G62" s="765"/>
      <c r="H62" s="766"/>
      <c r="I62" s="767"/>
      <c r="J62" s="764"/>
      <c r="K62" s="699"/>
      <c r="L62" s="765"/>
      <c r="M62" s="766"/>
      <c r="N62" s="766"/>
      <c r="O62" s="765"/>
      <c r="P62" s="766"/>
      <c r="Q62" s="767"/>
      <c r="R62" s="764"/>
      <c r="S62" s="699"/>
      <c r="T62" s="765"/>
      <c r="U62" s="766"/>
      <c r="V62" s="766"/>
      <c r="W62" s="765"/>
      <c r="X62" s="766"/>
      <c r="Y62" s="767"/>
      <c r="Z62" s="764"/>
      <c r="AA62" s="699"/>
      <c r="AB62" s="765"/>
      <c r="AC62" s="766"/>
      <c r="AD62" s="766"/>
      <c r="AE62" s="765"/>
      <c r="AF62" s="766"/>
      <c r="AG62" s="767"/>
      <c r="AH62" s="764"/>
      <c r="AI62" s="699"/>
      <c r="AJ62" s="765"/>
      <c r="AK62" s="766"/>
      <c r="AL62" s="766"/>
      <c r="AM62" s="765"/>
      <c r="AN62" s="766"/>
      <c r="AO62" s="767"/>
      <c r="AP62" s="764"/>
      <c r="AQ62" s="699"/>
      <c r="AR62" s="765"/>
      <c r="AS62" s="766"/>
      <c r="AT62" s="766"/>
      <c r="AU62" s="765"/>
      <c r="AV62" s="766"/>
      <c r="AW62" s="767"/>
      <c r="AX62" s="764"/>
      <c r="AY62" s="699"/>
      <c r="AZ62" s="765"/>
      <c r="BA62" s="766"/>
      <c r="BB62" s="766"/>
      <c r="BC62" s="765"/>
      <c r="BD62" s="766"/>
      <c r="BE62" s="767"/>
      <c r="BF62" s="764"/>
      <c r="BG62" s="699"/>
      <c r="BH62" s="765"/>
      <c r="BI62" s="766"/>
      <c r="BJ62" s="766"/>
      <c r="BK62" s="765"/>
      <c r="BL62" s="766"/>
      <c r="BM62" s="767"/>
      <c r="BN62" s="764"/>
      <c r="BO62" s="699"/>
      <c r="BP62" s="765"/>
      <c r="BQ62" s="766"/>
      <c r="BR62" s="766"/>
      <c r="BS62" s="765"/>
      <c r="BT62" s="766"/>
      <c r="BU62" s="767"/>
      <c r="BV62" s="764"/>
      <c r="BW62" s="699"/>
      <c r="BX62" s="765"/>
      <c r="BY62" s="766"/>
      <c r="BZ62" s="766"/>
      <c r="CA62" s="765"/>
      <c r="CB62" s="766"/>
      <c r="CC62" s="767"/>
      <c r="CD62" s="764"/>
      <c r="CE62" s="699"/>
      <c r="CF62" s="765"/>
      <c r="CG62" s="766"/>
      <c r="CH62" s="766"/>
      <c r="CI62" s="765"/>
      <c r="CJ62" s="766"/>
      <c r="CK62" s="767"/>
      <c r="CL62" s="764"/>
      <c r="CM62" s="699"/>
      <c r="CN62" s="765"/>
      <c r="CO62" s="766"/>
      <c r="CP62" s="766"/>
      <c r="CQ62" s="765"/>
      <c r="CR62" s="766"/>
      <c r="CS62" s="767"/>
      <c r="CT62" s="764"/>
      <c r="CU62" s="699"/>
      <c r="CV62" s="765"/>
      <c r="CW62" s="766"/>
      <c r="CX62" s="766"/>
      <c r="CY62" s="765"/>
      <c r="CZ62" s="766"/>
      <c r="DA62" s="767"/>
      <c r="DB62" s="764"/>
      <c r="DC62" s="699"/>
      <c r="DD62" s="765"/>
      <c r="DE62" s="766"/>
      <c r="DF62" s="766"/>
      <c r="DG62" s="765"/>
      <c r="DH62" s="766"/>
      <c r="DI62" s="767"/>
      <c r="DJ62" s="764"/>
      <c r="DK62" s="699"/>
      <c r="DL62" s="765"/>
      <c r="DM62" s="766"/>
      <c r="DN62" s="766"/>
      <c r="DO62" s="765"/>
      <c r="DP62" s="766"/>
      <c r="DQ62" s="767"/>
      <c r="DR62" s="764"/>
      <c r="DS62" s="699"/>
      <c r="DT62" s="765"/>
      <c r="DU62" s="766"/>
      <c r="DV62" s="766"/>
      <c r="DW62" s="765"/>
      <c r="DX62" s="766"/>
      <c r="DY62" s="767"/>
      <c r="DZ62" s="764"/>
      <c r="EA62" s="699"/>
      <c r="EB62" s="765"/>
      <c r="EC62" s="766"/>
      <c r="ED62" s="766"/>
      <c r="EE62" s="765"/>
      <c r="EF62" s="766"/>
      <c r="EG62" s="767"/>
      <c r="EH62" s="764"/>
      <c r="EI62" s="699"/>
      <c r="EJ62" s="765"/>
      <c r="EK62" s="766"/>
      <c r="EL62" s="766"/>
      <c r="EM62" s="765"/>
      <c r="EN62" s="766"/>
      <c r="EO62" s="767"/>
      <c r="EP62" s="764"/>
      <c r="EQ62" s="699"/>
      <c r="ER62" s="765"/>
      <c r="ES62" s="766"/>
      <c r="ET62" s="766"/>
      <c r="EU62" s="765"/>
      <c r="EV62" s="766"/>
      <c r="EW62" s="767"/>
      <c r="EX62" s="764"/>
      <c r="EY62" s="699"/>
      <c r="EZ62" s="765"/>
      <c r="FA62" s="766"/>
      <c r="FB62" s="766"/>
      <c r="FC62" s="765"/>
      <c r="FD62" s="766"/>
      <c r="FE62" s="767"/>
      <c r="FF62" s="764"/>
      <c r="FG62" s="699"/>
      <c r="FH62" s="765"/>
      <c r="FI62" s="766"/>
      <c r="FJ62" s="766"/>
      <c r="FK62" s="765"/>
      <c r="FL62" s="766"/>
      <c r="FM62" s="767"/>
      <c r="FN62" s="764"/>
      <c r="FO62" s="699"/>
      <c r="FP62" s="765"/>
      <c r="FQ62" s="766"/>
      <c r="FR62" s="766"/>
      <c r="FS62" s="765"/>
      <c r="FT62" s="766"/>
      <c r="FU62" s="767"/>
      <c r="FV62" s="764"/>
      <c r="FW62" s="699"/>
      <c r="FX62" s="765"/>
      <c r="FY62" s="766"/>
      <c r="FZ62" s="766"/>
      <c r="GA62" s="765"/>
      <c r="GB62" s="766"/>
      <c r="GC62" s="767"/>
      <c r="GD62" s="764"/>
      <c r="GE62" s="699"/>
      <c r="GF62" s="765"/>
      <c r="GG62" s="766"/>
      <c r="GH62" s="766"/>
      <c r="GI62" s="765"/>
      <c r="GJ62" s="766"/>
      <c r="GK62" s="767"/>
      <c r="GL62" s="764"/>
      <c r="GM62" s="699"/>
      <c r="GN62" s="765"/>
      <c r="GO62" s="766"/>
      <c r="GP62" s="766"/>
      <c r="GQ62" s="765"/>
      <c r="GR62" s="766"/>
      <c r="GS62" s="767"/>
      <c r="GT62" s="764"/>
      <c r="GU62" s="699"/>
      <c r="GV62" s="765"/>
      <c r="GW62" s="766"/>
      <c r="GX62" s="766"/>
      <c r="GY62" s="765"/>
      <c r="GZ62" s="766"/>
      <c r="HA62" s="767"/>
      <c r="HB62" s="764"/>
      <c r="HC62" s="699"/>
      <c r="HD62" s="765"/>
      <c r="HE62" s="766"/>
      <c r="HF62" s="766"/>
      <c r="HG62" s="765"/>
      <c r="HH62" s="766"/>
      <c r="HI62" s="767"/>
      <c r="HJ62" s="764"/>
      <c r="HK62" s="699"/>
      <c r="HL62" s="765"/>
      <c r="HM62" s="766"/>
      <c r="HN62" s="766"/>
      <c r="HO62" s="765"/>
      <c r="HP62" s="766"/>
      <c r="HQ62" s="767"/>
      <c r="HR62" s="764"/>
      <c r="HS62" s="699"/>
      <c r="HT62" s="765"/>
      <c r="HU62" s="766"/>
      <c r="HV62" s="766"/>
      <c r="HW62" s="765"/>
      <c r="HX62" s="766"/>
      <c r="HY62" s="767"/>
      <c r="HZ62" s="764"/>
      <c r="IA62" s="699"/>
      <c r="IB62" s="765"/>
      <c r="IC62" s="766"/>
      <c r="ID62" s="766"/>
      <c r="IE62" s="765"/>
      <c r="IF62" s="766"/>
      <c r="IG62" s="765"/>
      <c r="IH62" s="768"/>
      <c r="II62" s="108"/>
      <c r="IJ62" s="108"/>
      <c r="IK62" s="108"/>
      <c r="IL62" s="108"/>
      <c r="IM62" s="108"/>
      <c r="IN62" s="108"/>
      <c r="IO62" s="770"/>
    </row>
    <row r="63" spans="1:249" x14ac:dyDescent="0.25">
      <c r="A63" s="763">
        <f t="shared" si="31"/>
        <v>53</v>
      </c>
      <c r="B63" s="764"/>
      <c r="C63" s="699"/>
      <c r="D63" s="765"/>
      <c r="E63" s="766"/>
      <c r="F63" s="766"/>
      <c r="G63" s="765"/>
      <c r="H63" s="766"/>
      <c r="I63" s="767"/>
      <c r="J63" s="764"/>
      <c r="K63" s="699"/>
      <c r="L63" s="765"/>
      <c r="M63" s="766"/>
      <c r="N63" s="766"/>
      <c r="O63" s="765"/>
      <c r="P63" s="766"/>
      <c r="Q63" s="767"/>
      <c r="R63" s="764"/>
      <c r="S63" s="699"/>
      <c r="T63" s="765"/>
      <c r="U63" s="766"/>
      <c r="V63" s="766"/>
      <c r="W63" s="765"/>
      <c r="X63" s="766"/>
      <c r="Y63" s="767"/>
      <c r="Z63" s="764"/>
      <c r="AA63" s="699"/>
      <c r="AB63" s="765"/>
      <c r="AC63" s="766"/>
      <c r="AD63" s="766"/>
      <c r="AE63" s="765"/>
      <c r="AF63" s="766"/>
      <c r="AG63" s="767"/>
      <c r="AH63" s="764"/>
      <c r="AI63" s="699"/>
      <c r="AJ63" s="765"/>
      <c r="AK63" s="766"/>
      <c r="AL63" s="766"/>
      <c r="AM63" s="765"/>
      <c r="AN63" s="766"/>
      <c r="AO63" s="767"/>
      <c r="AP63" s="764"/>
      <c r="AQ63" s="699"/>
      <c r="AR63" s="765"/>
      <c r="AS63" s="766"/>
      <c r="AT63" s="766"/>
      <c r="AU63" s="765"/>
      <c r="AV63" s="766"/>
      <c r="AW63" s="767"/>
      <c r="AX63" s="764"/>
      <c r="AY63" s="699"/>
      <c r="AZ63" s="765"/>
      <c r="BA63" s="766"/>
      <c r="BB63" s="766"/>
      <c r="BC63" s="765"/>
      <c r="BD63" s="766"/>
      <c r="BE63" s="767"/>
      <c r="BF63" s="764"/>
      <c r="BG63" s="699"/>
      <c r="BH63" s="765"/>
      <c r="BI63" s="766"/>
      <c r="BJ63" s="766"/>
      <c r="BK63" s="765"/>
      <c r="BL63" s="766"/>
      <c r="BM63" s="767"/>
      <c r="BN63" s="764"/>
      <c r="BO63" s="699"/>
      <c r="BP63" s="765"/>
      <c r="BQ63" s="766"/>
      <c r="BR63" s="766"/>
      <c r="BS63" s="765"/>
      <c r="BT63" s="766"/>
      <c r="BU63" s="767"/>
      <c r="BV63" s="764"/>
      <c r="BW63" s="699"/>
      <c r="BX63" s="765"/>
      <c r="BY63" s="766"/>
      <c r="BZ63" s="766"/>
      <c r="CA63" s="765"/>
      <c r="CB63" s="766"/>
      <c r="CC63" s="767"/>
      <c r="CD63" s="764"/>
      <c r="CE63" s="699"/>
      <c r="CF63" s="765"/>
      <c r="CG63" s="766"/>
      <c r="CH63" s="766"/>
      <c r="CI63" s="765"/>
      <c r="CJ63" s="766"/>
      <c r="CK63" s="767"/>
      <c r="CL63" s="764"/>
      <c r="CM63" s="699"/>
      <c r="CN63" s="765"/>
      <c r="CO63" s="766"/>
      <c r="CP63" s="766"/>
      <c r="CQ63" s="765"/>
      <c r="CR63" s="766"/>
      <c r="CS63" s="767"/>
      <c r="CT63" s="764"/>
      <c r="CU63" s="699"/>
      <c r="CV63" s="765"/>
      <c r="CW63" s="766"/>
      <c r="CX63" s="766"/>
      <c r="CY63" s="765"/>
      <c r="CZ63" s="766"/>
      <c r="DA63" s="767"/>
      <c r="DB63" s="764"/>
      <c r="DC63" s="699"/>
      <c r="DD63" s="765"/>
      <c r="DE63" s="766"/>
      <c r="DF63" s="766"/>
      <c r="DG63" s="765"/>
      <c r="DH63" s="766"/>
      <c r="DI63" s="767"/>
      <c r="DJ63" s="764"/>
      <c r="DK63" s="699"/>
      <c r="DL63" s="765"/>
      <c r="DM63" s="766"/>
      <c r="DN63" s="766"/>
      <c r="DO63" s="765"/>
      <c r="DP63" s="766"/>
      <c r="DQ63" s="767"/>
      <c r="DR63" s="764"/>
      <c r="DS63" s="699"/>
      <c r="DT63" s="765"/>
      <c r="DU63" s="766"/>
      <c r="DV63" s="766"/>
      <c r="DW63" s="765"/>
      <c r="DX63" s="766"/>
      <c r="DY63" s="767"/>
      <c r="DZ63" s="764"/>
      <c r="EA63" s="699"/>
      <c r="EB63" s="765"/>
      <c r="EC63" s="766"/>
      <c r="ED63" s="766"/>
      <c r="EE63" s="765"/>
      <c r="EF63" s="766"/>
      <c r="EG63" s="767"/>
      <c r="EH63" s="764"/>
      <c r="EI63" s="699"/>
      <c r="EJ63" s="765"/>
      <c r="EK63" s="766"/>
      <c r="EL63" s="766"/>
      <c r="EM63" s="765"/>
      <c r="EN63" s="766"/>
      <c r="EO63" s="767"/>
      <c r="EP63" s="764"/>
      <c r="EQ63" s="699"/>
      <c r="ER63" s="765"/>
      <c r="ES63" s="766"/>
      <c r="ET63" s="766"/>
      <c r="EU63" s="765"/>
      <c r="EV63" s="766"/>
      <c r="EW63" s="767"/>
      <c r="EX63" s="764"/>
      <c r="EY63" s="699"/>
      <c r="EZ63" s="765"/>
      <c r="FA63" s="766"/>
      <c r="FB63" s="766"/>
      <c r="FC63" s="765"/>
      <c r="FD63" s="766"/>
      <c r="FE63" s="767"/>
      <c r="FF63" s="764"/>
      <c r="FG63" s="699"/>
      <c r="FH63" s="765"/>
      <c r="FI63" s="766"/>
      <c r="FJ63" s="766"/>
      <c r="FK63" s="765"/>
      <c r="FL63" s="766"/>
      <c r="FM63" s="767"/>
      <c r="FN63" s="764"/>
      <c r="FO63" s="699"/>
      <c r="FP63" s="765"/>
      <c r="FQ63" s="766"/>
      <c r="FR63" s="766"/>
      <c r="FS63" s="765"/>
      <c r="FT63" s="766"/>
      <c r="FU63" s="767"/>
      <c r="FV63" s="764"/>
      <c r="FW63" s="699"/>
      <c r="FX63" s="765"/>
      <c r="FY63" s="766"/>
      <c r="FZ63" s="766"/>
      <c r="GA63" s="765"/>
      <c r="GB63" s="766"/>
      <c r="GC63" s="767"/>
      <c r="GD63" s="764"/>
      <c r="GE63" s="699"/>
      <c r="GF63" s="765"/>
      <c r="GG63" s="766"/>
      <c r="GH63" s="766"/>
      <c r="GI63" s="765"/>
      <c r="GJ63" s="766"/>
      <c r="GK63" s="767"/>
      <c r="GL63" s="764"/>
      <c r="GM63" s="699"/>
      <c r="GN63" s="765"/>
      <c r="GO63" s="766"/>
      <c r="GP63" s="766"/>
      <c r="GQ63" s="765"/>
      <c r="GR63" s="766"/>
      <c r="GS63" s="767"/>
      <c r="GT63" s="764"/>
      <c r="GU63" s="699"/>
      <c r="GV63" s="765"/>
      <c r="GW63" s="766"/>
      <c r="GX63" s="766"/>
      <c r="GY63" s="765"/>
      <c r="GZ63" s="766"/>
      <c r="HA63" s="767"/>
      <c r="HB63" s="764"/>
      <c r="HC63" s="699"/>
      <c r="HD63" s="765"/>
      <c r="HE63" s="766"/>
      <c r="HF63" s="766"/>
      <c r="HG63" s="765"/>
      <c r="HH63" s="766"/>
      <c r="HI63" s="767"/>
      <c r="HJ63" s="764"/>
      <c r="HK63" s="699"/>
      <c r="HL63" s="765"/>
      <c r="HM63" s="766"/>
      <c r="HN63" s="766"/>
      <c r="HO63" s="765"/>
      <c r="HP63" s="766"/>
      <c r="HQ63" s="767"/>
      <c r="HR63" s="764"/>
      <c r="HS63" s="699"/>
      <c r="HT63" s="765"/>
      <c r="HU63" s="766"/>
      <c r="HV63" s="766"/>
      <c r="HW63" s="765"/>
      <c r="HX63" s="766"/>
      <c r="HY63" s="767"/>
      <c r="HZ63" s="764"/>
      <c r="IA63" s="699"/>
      <c r="IB63" s="765"/>
      <c r="IC63" s="766"/>
      <c r="ID63" s="766"/>
      <c r="IE63" s="765"/>
      <c r="IF63" s="766"/>
      <c r="IG63" s="765"/>
      <c r="IH63" s="768"/>
      <c r="II63" s="108"/>
      <c r="IJ63" s="108"/>
      <c r="IK63" s="108"/>
      <c r="IL63" s="108"/>
      <c r="IM63" s="108"/>
      <c r="IN63" s="108"/>
      <c r="IO63" s="770"/>
    </row>
    <row r="64" spans="1:249" x14ac:dyDescent="0.25">
      <c r="A64" s="763">
        <f t="shared" si="31"/>
        <v>54</v>
      </c>
      <c r="B64" s="764"/>
      <c r="C64" s="699"/>
      <c r="D64" s="765"/>
      <c r="E64" s="766"/>
      <c r="F64" s="766"/>
      <c r="G64" s="765"/>
      <c r="H64" s="766"/>
      <c r="I64" s="767"/>
      <c r="J64" s="764"/>
      <c r="K64" s="699"/>
      <c r="L64" s="765"/>
      <c r="M64" s="766"/>
      <c r="N64" s="766"/>
      <c r="O64" s="765"/>
      <c r="P64" s="766"/>
      <c r="Q64" s="767"/>
      <c r="R64" s="764"/>
      <c r="S64" s="699"/>
      <c r="T64" s="765"/>
      <c r="U64" s="766"/>
      <c r="V64" s="766"/>
      <c r="W64" s="765"/>
      <c r="X64" s="766"/>
      <c r="Y64" s="767"/>
      <c r="Z64" s="764"/>
      <c r="AA64" s="699"/>
      <c r="AB64" s="765"/>
      <c r="AC64" s="766"/>
      <c r="AD64" s="766"/>
      <c r="AE64" s="765"/>
      <c r="AF64" s="766"/>
      <c r="AG64" s="767"/>
      <c r="AH64" s="764"/>
      <c r="AI64" s="699"/>
      <c r="AJ64" s="765"/>
      <c r="AK64" s="766"/>
      <c r="AL64" s="766"/>
      <c r="AM64" s="765"/>
      <c r="AN64" s="766"/>
      <c r="AO64" s="767"/>
      <c r="AP64" s="764"/>
      <c r="AQ64" s="699"/>
      <c r="AR64" s="765"/>
      <c r="AS64" s="766"/>
      <c r="AT64" s="766"/>
      <c r="AU64" s="765"/>
      <c r="AV64" s="766"/>
      <c r="AW64" s="767"/>
      <c r="AX64" s="764"/>
      <c r="AY64" s="699"/>
      <c r="AZ64" s="765"/>
      <c r="BA64" s="766"/>
      <c r="BB64" s="766"/>
      <c r="BC64" s="765"/>
      <c r="BD64" s="766"/>
      <c r="BE64" s="767"/>
      <c r="BF64" s="764"/>
      <c r="BG64" s="699"/>
      <c r="BH64" s="765"/>
      <c r="BI64" s="766"/>
      <c r="BJ64" s="766"/>
      <c r="BK64" s="765"/>
      <c r="BL64" s="766"/>
      <c r="BM64" s="767"/>
      <c r="BN64" s="764"/>
      <c r="BO64" s="699"/>
      <c r="BP64" s="765"/>
      <c r="BQ64" s="766"/>
      <c r="BR64" s="766"/>
      <c r="BS64" s="765"/>
      <c r="BT64" s="766"/>
      <c r="BU64" s="767"/>
      <c r="BV64" s="764"/>
      <c r="BW64" s="699"/>
      <c r="BX64" s="765"/>
      <c r="BY64" s="766"/>
      <c r="BZ64" s="766"/>
      <c r="CA64" s="765"/>
      <c r="CB64" s="766"/>
      <c r="CC64" s="767"/>
      <c r="CD64" s="764"/>
      <c r="CE64" s="699"/>
      <c r="CF64" s="765"/>
      <c r="CG64" s="766"/>
      <c r="CH64" s="766"/>
      <c r="CI64" s="765"/>
      <c r="CJ64" s="766"/>
      <c r="CK64" s="767"/>
      <c r="CL64" s="764"/>
      <c r="CM64" s="699"/>
      <c r="CN64" s="765"/>
      <c r="CO64" s="766"/>
      <c r="CP64" s="766"/>
      <c r="CQ64" s="765"/>
      <c r="CR64" s="766"/>
      <c r="CS64" s="767"/>
      <c r="CT64" s="764"/>
      <c r="CU64" s="699"/>
      <c r="CV64" s="765"/>
      <c r="CW64" s="766"/>
      <c r="CX64" s="766"/>
      <c r="CY64" s="765"/>
      <c r="CZ64" s="766"/>
      <c r="DA64" s="767"/>
      <c r="DB64" s="764"/>
      <c r="DC64" s="699"/>
      <c r="DD64" s="765"/>
      <c r="DE64" s="766"/>
      <c r="DF64" s="766"/>
      <c r="DG64" s="765"/>
      <c r="DH64" s="766"/>
      <c r="DI64" s="767"/>
      <c r="DJ64" s="764"/>
      <c r="DK64" s="699"/>
      <c r="DL64" s="765"/>
      <c r="DM64" s="766"/>
      <c r="DN64" s="766"/>
      <c r="DO64" s="765"/>
      <c r="DP64" s="766"/>
      <c r="DQ64" s="767"/>
      <c r="DR64" s="764"/>
      <c r="DS64" s="699"/>
      <c r="DT64" s="765"/>
      <c r="DU64" s="766"/>
      <c r="DV64" s="766"/>
      <c r="DW64" s="765"/>
      <c r="DX64" s="766"/>
      <c r="DY64" s="767"/>
      <c r="DZ64" s="764"/>
      <c r="EA64" s="699"/>
      <c r="EB64" s="765"/>
      <c r="EC64" s="766"/>
      <c r="ED64" s="766"/>
      <c r="EE64" s="765"/>
      <c r="EF64" s="766"/>
      <c r="EG64" s="767"/>
      <c r="EH64" s="764"/>
      <c r="EI64" s="699"/>
      <c r="EJ64" s="765"/>
      <c r="EK64" s="766"/>
      <c r="EL64" s="766"/>
      <c r="EM64" s="765"/>
      <c r="EN64" s="766"/>
      <c r="EO64" s="767"/>
      <c r="EP64" s="764"/>
      <c r="EQ64" s="699"/>
      <c r="ER64" s="765"/>
      <c r="ES64" s="766"/>
      <c r="ET64" s="766"/>
      <c r="EU64" s="765"/>
      <c r="EV64" s="766"/>
      <c r="EW64" s="767"/>
      <c r="EX64" s="764"/>
      <c r="EY64" s="699"/>
      <c r="EZ64" s="765"/>
      <c r="FA64" s="766"/>
      <c r="FB64" s="766"/>
      <c r="FC64" s="765"/>
      <c r="FD64" s="766"/>
      <c r="FE64" s="767"/>
      <c r="FF64" s="764"/>
      <c r="FG64" s="699"/>
      <c r="FH64" s="765"/>
      <c r="FI64" s="766"/>
      <c r="FJ64" s="766"/>
      <c r="FK64" s="765"/>
      <c r="FL64" s="766"/>
      <c r="FM64" s="767"/>
      <c r="FN64" s="764"/>
      <c r="FO64" s="699"/>
      <c r="FP64" s="765"/>
      <c r="FQ64" s="766"/>
      <c r="FR64" s="766"/>
      <c r="FS64" s="765"/>
      <c r="FT64" s="766"/>
      <c r="FU64" s="767"/>
      <c r="FV64" s="764"/>
      <c r="FW64" s="699"/>
      <c r="FX64" s="765"/>
      <c r="FY64" s="766"/>
      <c r="FZ64" s="766"/>
      <c r="GA64" s="765"/>
      <c r="GB64" s="766"/>
      <c r="GC64" s="767"/>
      <c r="GD64" s="764"/>
      <c r="GE64" s="699"/>
      <c r="GF64" s="765"/>
      <c r="GG64" s="766"/>
      <c r="GH64" s="766"/>
      <c r="GI64" s="765"/>
      <c r="GJ64" s="766"/>
      <c r="GK64" s="767"/>
      <c r="GL64" s="764"/>
      <c r="GM64" s="699"/>
      <c r="GN64" s="765"/>
      <c r="GO64" s="766"/>
      <c r="GP64" s="766"/>
      <c r="GQ64" s="765"/>
      <c r="GR64" s="766"/>
      <c r="GS64" s="767"/>
      <c r="GT64" s="764"/>
      <c r="GU64" s="699"/>
      <c r="GV64" s="765"/>
      <c r="GW64" s="766"/>
      <c r="GX64" s="766"/>
      <c r="GY64" s="765"/>
      <c r="GZ64" s="766"/>
      <c r="HA64" s="767"/>
      <c r="HB64" s="764"/>
      <c r="HC64" s="699"/>
      <c r="HD64" s="765"/>
      <c r="HE64" s="766"/>
      <c r="HF64" s="766"/>
      <c r="HG64" s="765"/>
      <c r="HH64" s="766"/>
      <c r="HI64" s="767"/>
      <c r="HJ64" s="764"/>
      <c r="HK64" s="699"/>
      <c r="HL64" s="765"/>
      <c r="HM64" s="766"/>
      <c r="HN64" s="766"/>
      <c r="HO64" s="765"/>
      <c r="HP64" s="766"/>
      <c r="HQ64" s="767"/>
      <c r="HR64" s="764"/>
      <c r="HS64" s="699"/>
      <c r="HT64" s="765"/>
      <c r="HU64" s="766"/>
      <c r="HV64" s="766"/>
      <c r="HW64" s="765"/>
      <c r="HX64" s="766"/>
      <c r="HY64" s="767"/>
      <c r="HZ64" s="764"/>
      <c r="IA64" s="699"/>
      <c r="IB64" s="765"/>
      <c r="IC64" s="766"/>
      <c r="ID64" s="766"/>
      <c r="IE64" s="765"/>
      <c r="IF64" s="766"/>
      <c r="IG64" s="765"/>
      <c r="IH64" s="768"/>
      <c r="II64" s="108"/>
      <c r="IJ64" s="108"/>
      <c r="IK64" s="108"/>
      <c r="IL64" s="108"/>
      <c r="IM64" s="108"/>
      <c r="IN64" s="108"/>
      <c r="IO64" s="770"/>
    </row>
    <row r="65" spans="1:249" x14ac:dyDescent="0.25">
      <c r="A65" s="763">
        <f t="shared" si="31"/>
        <v>55</v>
      </c>
      <c r="B65" s="764"/>
      <c r="C65" s="699"/>
      <c r="D65" s="765"/>
      <c r="E65" s="766"/>
      <c r="F65" s="766"/>
      <c r="G65" s="765"/>
      <c r="H65" s="766"/>
      <c r="I65" s="767"/>
      <c r="J65" s="764"/>
      <c r="K65" s="699"/>
      <c r="L65" s="765"/>
      <c r="M65" s="766"/>
      <c r="N65" s="766"/>
      <c r="O65" s="765"/>
      <c r="P65" s="766"/>
      <c r="Q65" s="767"/>
      <c r="R65" s="764"/>
      <c r="S65" s="699"/>
      <c r="T65" s="765"/>
      <c r="U65" s="766"/>
      <c r="V65" s="766"/>
      <c r="W65" s="765"/>
      <c r="X65" s="766"/>
      <c r="Y65" s="767"/>
      <c r="Z65" s="764"/>
      <c r="AA65" s="699"/>
      <c r="AB65" s="765"/>
      <c r="AC65" s="766"/>
      <c r="AD65" s="766"/>
      <c r="AE65" s="765"/>
      <c r="AF65" s="766"/>
      <c r="AG65" s="767"/>
      <c r="AH65" s="764"/>
      <c r="AI65" s="699"/>
      <c r="AJ65" s="765"/>
      <c r="AK65" s="766"/>
      <c r="AL65" s="766"/>
      <c r="AM65" s="765"/>
      <c r="AN65" s="766"/>
      <c r="AO65" s="767"/>
      <c r="AP65" s="764"/>
      <c r="AQ65" s="699"/>
      <c r="AR65" s="765"/>
      <c r="AS65" s="766"/>
      <c r="AT65" s="766"/>
      <c r="AU65" s="765"/>
      <c r="AV65" s="766"/>
      <c r="AW65" s="767"/>
      <c r="AX65" s="764"/>
      <c r="AY65" s="699"/>
      <c r="AZ65" s="765"/>
      <c r="BA65" s="766"/>
      <c r="BB65" s="766"/>
      <c r="BC65" s="765"/>
      <c r="BD65" s="766"/>
      <c r="BE65" s="767"/>
      <c r="BF65" s="764"/>
      <c r="BG65" s="699"/>
      <c r="BH65" s="765"/>
      <c r="BI65" s="766"/>
      <c r="BJ65" s="766"/>
      <c r="BK65" s="765"/>
      <c r="BL65" s="766"/>
      <c r="BM65" s="767"/>
      <c r="BN65" s="764"/>
      <c r="BO65" s="699"/>
      <c r="BP65" s="765"/>
      <c r="BQ65" s="766"/>
      <c r="BR65" s="766"/>
      <c r="BS65" s="765"/>
      <c r="BT65" s="766"/>
      <c r="BU65" s="767"/>
      <c r="BV65" s="764"/>
      <c r="BW65" s="699"/>
      <c r="BX65" s="765"/>
      <c r="BY65" s="766"/>
      <c r="BZ65" s="766"/>
      <c r="CA65" s="765"/>
      <c r="CB65" s="766"/>
      <c r="CC65" s="767"/>
      <c r="CD65" s="764"/>
      <c r="CE65" s="699"/>
      <c r="CF65" s="765"/>
      <c r="CG65" s="766"/>
      <c r="CH65" s="766"/>
      <c r="CI65" s="765"/>
      <c r="CJ65" s="766"/>
      <c r="CK65" s="767"/>
      <c r="CL65" s="764"/>
      <c r="CM65" s="699"/>
      <c r="CN65" s="765"/>
      <c r="CO65" s="766"/>
      <c r="CP65" s="766"/>
      <c r="CQ65" s="765"/>
      <c r="CR65" s="766"/>
      <c r="CS65" s="767"/>
      <c r="CT65" s="764"/>
      <c r="CU65" s="699"/>
      <c r="CV65" s="765"/>
      <c r="CW65" s="766"/>
      <c r="CX65" s="766"/>
      <c r="CY65" s="765"/>
      <c r="CZ65" s="766"/>
      <c r="DA65" s="767"/>
      <c r="DB65" s="764"/>
      <c r="DC65" s="699"/>
      <c r="DD65" s="765"/>
      <c r="DE65" s="766"/>
      <c r="DF65" s="766"/>
      <c r="DG65" s="765"/>
      <c r="DH65" s="766"/>
      <c r="DI65" s="767"/>
      <c r="DJ65" s="764"/>
      <c r="DK65" s="699"/>
      <c r="DL65" s="765"/>
      <c r="DM65" s="766"/>
      <c r="DN65" s="766"/>
      <c r="DO65" s="765"/>
      <c r="DP65" s="766"/>
      <c r="DQ65" s="767"/>
      <c r="DR65" s="764"/>
      <c r="DS65" s="699"/>
      <c r="DT65" s="765"/>
      <c r="DU65" s="766"/>
      <c r="DV65" s="766"/>
      <c r="DW65" s="765"/>
      <c r="DX65" s="766"/>
      <c r="DY65" s="767"/>
      <c r="DZ65" s="764"/>
      <c r="EA65" s="699"/>
      <c r="EB65" s="765"/>
      <c r="EC65" s="766"/>
      <c r="ED65" s="766"/>
      <c r="EE65" s="765"/>
      <c r="EF65" s="766"/>
      <c r="EG65" s="767"/>
      <c r="EH65" s="764"/>
      <c r="EI65" s="699"/>
      <c r="EJ65" s="765"/>
      <c r="EK65" s="766"/>
      <c r="EL65" s="766"/>
      <c r="EM65" s="765"/>
      <c r="EN65" s="766"/>
      <c r="EO65" s="767"/>
      <c r="EP65" s="764"/>
      <c r="EQ65" s="699"/>
      <c r="ER65" s="765"/>
      <c r="ES65" s="766"/>
      <c r="ET65" s="766"/>
      <c r="EU65" s="765"/>
      <c r="EV65" s="766"/>
      <c r="EW65" s="767"/>
      <c r="EX65" s="764"/>
      <c r="EY65" s="699"/>
      <c r="EZ65" s="765"/>
      <c r="FA65" s="766"/>
      <c r="FB65" s="766"/>
      <c r="FC65" s="765"/>
      <c r="FD65" s="766"/>
      <c r="FE65" s="767"/>
      <c r="FF65" s="764"/>
      <c r="FG65" s="699"/>
      <c r="FH65" s="765"/>
      <c r="FI65" s="766"/>
      <c r="FJ65" s="766"/>
      <c r="FK65" s="765"/>
      <c r="FL65" s="766"/>
      <c r="FM65" s="767"/>
      <c r="FN65" s="764"/>
      <c r="FO65" s="699"/>
      <c r="FP65" s="765"/>
      <c r="FQ65" s="766"/>
      <c r="FR65" s="766"/>
      <c r="FS65" s="765"/>
      <c r="FT65" s="766"/>
      <c r="FU65" s="767"/>
      <c r="FV65" s="764"/>
      <c r="FW65" s="699"/>
      <c r="FX65" s="765"/>
      <c r="FY65" s="766"/>
      <c r="FZ65" s="766"/>
      <c r="GA65" s="765"/>
      <c r="GB65" s="766"/>
      <c r="GC65" s="767"/>
      <c r="GD65" s="764"/>
      <c r="GE65" s="699"/>
      <c r="GF65" s="765"/>
      <c r="GG65" s="766"/>
      <c r="GH65" s="766"/>
      <c r="GI65" s="765"/>
      <c r="GJ65" s="766"/>
      <c r="GK65" s="767"/>
      <c r="GL65" s="764"/>
      <c r="GM65" s="699"/>
      <c r="GN65" s="765"/>
      <c r="GO65" s="766"/>
      <c r="GP65" s="766"/>
      <c r="GQ65" s="765"/>
      <c r="GR65" s="766"/>
      <c r="GS65" s="767"/>
      <c r="GT65" s="764"/>
      <c r="GU65" s="699"/>
      <c r="GV65" s="765"/>
      <c r="GW65" s="766"/>
      <c r="GX65" s="766"/>
      <c r="GY65" s="765"/>
      <c r="GZ65" s="766"/>
      <c r="HA65" s="767"/>
      <c r="HB65" s="764"/>
      <c r="HC65" s="699"/>
      <c r="HD65" s="765"/>
      <c r="HE65" s="766"/>
      <c r="HF65" s="766"/>
      <c r="HG65" s="765"/>
      <c r="HH65" s="766"/>
      <c r="HI65" s="767"/>
      <c r="HJ65" s="764"/>
      <c r="HK65" s="699"/>
      <c r="HL65" s="765"/>
      <c r="HM65" s="766"/>
      <c r="HN65" s="766"/>
      <c r="HO65" s="765"/>
      <c r="HP65" s="766"/>
      <c r="HQ65" s="767"/>
      <c r="HR65" s="764"/>
      <c r="HS65" s="699"/>
      <c r="HT65" s="765"/>
      <c r="HU65" s="766"/>
      <c r="HV65" s="766"/>
      <c r="HW65" s="765"/>
      <c r="HX65" s="766"/>
      <c r="HY65" s="767"/>
      <c r="HZ65" s="764"/>
      <c r="IA65" s="699"/>
      <c r="IB65" s="765"/>
      <c r="IC65" s="766"/>
      <c r="ID65" s="766"/>
      <c r="IE65" s="765"/>
      <c r="IF65" s="766"/>
      <c r="IG65" s="765"/>
      <c r="IH65" s="768"/>
      <c r="II65" s="108"/>
      <c r="IJ65" s="108"/>
      <c r="IK65" s="108"/>
      <c r="IL65" s="108"/>
      <c r="IM65" s="108"/>
      <c r="IN65" s="108"/>
      <c r="IO65" s="770"/>
    </row>
    <row r="66" spans="1:249" x14ac:dyDescent="0.25">
      <c r="A66" s="763">
        <f t="shared" si="31"/>
        <v>56</v>
      </c>
      <c r="B66" s="764"/>
      <c r="C66" s="699"/>
      <c r="D66" s="765"/>
      <c r="E66" s="766"/>
      <c r="F66" s="766"/>
      <c r="G66" s="765"/>
      <c r="H66" s="766"/>
      <c r="I66" s="767"/>
      <c r="J66" s="764"/>
      <c r="K66" s="699"/>
      <c r="L66" s="765"/>
      <c r="M66" s="766"/>
      <c r="N66" s="766"/>
      <c r="O66" s="765"/>
      <c r="P66" s="766"/>
      <c r="Q66" s="767"/>
      <c r="R66" s="764"/>
      <c r="S66" s="699"/>
      <c r="T66" s="765"/>
      <c r="U66" s="766"/>
      <c r="V66" s="766"/>
      <c r="W66" s="765"/>
      <c r="X66" s="766"/>
      <c r="Y66" s="767"/>
      <c r="Z66" s="764"/>
      <c r="AA66" s="699"/>
      <c r="AB66" s="765"/>
      <c r="AC66" s="766"/>
      <c r="AD66" s="766"/>
      <c r="AE66" s="765"/>
      <c r="AF66" s="766"/>
      <c r="AG66" s="767"/>
      <c r="AH66" s="764"/>
      <c r="AI66" s="699"/>
      <c r="AJ66" s="765"/>
      <c r="AK66" s="766"/>
      <c r="AL66" s="766"/>
      <c r="AM66" s="765"/>
      <c r="AN66" s="766"/>
      <c r="AO66" s="767"/>
      <c r="AP66" s="764"/>
      <c r="AQ66" s="699"/>
      <c r="AR66" s="765"/>
      <c r="AS66" s="766"/>
      <c r="AT66" s="766"/>
      <c r="AU66" s="765"/>
      <c r="AV66" s="766"/>
      <c r="AW66" s="767"/>
      <c r="AX66" s="764"/>
      <c r="AY66" s="699"/>
      <c r="AZ66" s="765"/>
      <c r="BA66" s="766"/>
      <c r="BB66" s="766"/>
      <c r="BC66" s="765"/>
      <c r="BD66" s="766"/>
      <c r="BE66" s="767"/>
      <c r="BF66" s="764"/>
      <c r="BG66" s="699"/>
      <c r="BH66" s="765"/>
      <c r="BI66" s="766"/>
      <c r="BJ66" s="766"/>
      <c r="BK66" s="765"/>
      <c r="BL66" s="766"/>
      <c r="BM66" s="767"/>
      <c r="BN66" s="764"/>
      <c r="BO66" s="699"/>
      <c r="BP66" s="765"/>
      <c r="BQ66" s="766"/>
      <c r="BR66" s="766"/>
      <c r="BS66" s="765"/>
      <c r="BT66" s="766"/>
      <c r="BU66" s="767"/>
      <c r="BV66" s="764"/>
      <c r="BW66" s="699"/>
      <c r="BX66" s="765"/>
      <c r="BY66" s="766"/>
      <c r="BZ66" s="766"/>
      <c r="CA66" s="765"/>
      <c r="CB66" s="766"/>
      <c r="CC66" s="767"/>
      <c r="CD66" s="764"/>
      <c r="CE66" s="699"/>
      <c r="CF66" s="765"/>
      <c r="CG66" s="766"/>
      <c r="CH66" s="766"/>
      <c r="CI66" s="765"/>
      <c r="CJ66" s="766"/>
      <c r="CK66" s="767"/>
      <c r="CL66" s="764"/>
      <c r="CM66" s="699"/>
      <c r="CN66" s="765"/>
      <c r="CO66" s="766"/>
      <c r="CP66" s="766"/>
      <c r="CQ66" s="765"/>
      <c r="CR66" s="766"/>
      <c r="CS66" s="767"/>
      <c r="CT66" s="764"/>
      <c r="CU66" s="699"/>
      <c r="CV66" s="765"/>
      <c r="CW66" s="766"/>
      <c r="CX66" s="766"/>
      <c r="CY66" s="765"/>
      <c r="CZ66" s="766"/>
      <c r="DA66" s="767"/>
      <c r="DB66" s="764"/>
      <c r="DC66" s="699"/>
      <c r="DD66" s="765"/>
      <c r="DE66" s="766"/>
      <c r="DF66" s="766"/>
      <c r="DG66" s="765"/>
      <c r="DH66" s="766"/>
      <c r="DI66" s="767"/>
      <c r="DJ66" s="764"/>
      <c r="DK66" s="699"/>
      <c r="DL66" s="765"/>
      <c r="DM66" s="766"/>
      <c r="DN66" s="766"/>
      <c r="DO66" s="765"/>
      <c r="DP66" s="766"/>
      <c r="DQ66" s="767"/>
      <c r="DR66" s="764"/>
      <c r="DS66" s="699"/>
      <c r="DT66" s="765"/>
      <c r="DU66" s="766"/>
      <c r="DV66" s="766"/>
      <c r="DW66" s="765"/>
      <c r="DX66" s="766"/>
      <c r="DY66" s="767"/>
      <c r="DZ66" s="764"/>
      <c r="EA66" s="699"/>
      <c r="EB66" s="765"/>
      <c r="EC66" s="766"/>
      <c r="ED66" s="766"/>
      <c r="EE66" s="765"/>
      <c r="EF66" s="766"/>
      <c r="EG66" s="767"/>
      <c r="EH66" s="764"/>
      <c r="EI66" s="699"/>
      <c r="EJ66" s="765"/>
      <c r="EK66" s="766"/>
      <c r="EL66" s="766"/>
      <c r="EM66" s="765"/>
      <c r="EN66" s="766"/>
      <c r="EO66" s="767"/>
      <c r="EP66" s="764"/>
      <c r="EQ66" s="699"/>
      <c r="ER66" s="765"/>
      <c r="ES66" s="766"/>
      <c r="ET66" s="766"/>
      <c r="EU66" s="765"/>
      <c r="EV66" s="766"/>
      <c r="EW66" s="767"/>
      <c r="EX66" s="764"/>
      <c r="EY66" s="699"/>
      <c r="EZ66" s="765"/>
      <c r="FA66" s="766"/>
      <c r="FB66" s="766"/>
      <c r="FC66" s="765"/>
      <c r="FD66" s="766"/>
      <c r="FE66" s="767"/>
      <c r="FF66" s="764"/>
      <c r="FG66" s="699"/>
      <c r="FH66" s="765"/>
      <c r="FI66" s="766"/>
      <c r="FJ66" s="766"/>
      <c r="FK66" s="765"/>
      <c r="FL66" s="766"/>
      <c r="FM66" s="767"/>
      <c r="FN66" s="764"/>
      <c r="FO66" s="699"/>
      <c r="FP66" s="765"/>
      <c r="FQ66" s="766"/>
      <c r="FR66" s="766"/>
      <c r="FS66" s="765"/>
      <c r="FT66" s="766"/>
      <c r="FU66" s="767"/>
      <c r="FV66" s="764"/>
      <c r="FW66" s="699"/>
      <c r="FX66" s="765"/>
      <c r="FY66" s="766"/>
      <c r="FZ66" s="766"/>
      <c r="GA66" s="765"/>
      <c r="GB66" s="766"/>
      <c r="GC66" s="767"/>
      <c r="GD66" s="764"/>
      <c r="GE66" s="699"/>
      <c r="GF66" s="765"/>
      <c r="GG66" s="766"/>
      <c r="GH66" s="766"/>
      <c r="GI66" s="765"/>
      <c r="GJ66" s="766"/>
      <c r="GK66" s="767"/>
      <c r="GL66" s="764"/>
      <c r="GM66" s="699"/>
      <c r="GN66" s="765"/>
      <c r="GO66" s="766"/>
      <c r="GP66" s="766"/>
      <c r="GQ66" s="765"/>
      <c r="GR66" s="766"/>
      <c r="GS66" s="767"/>
      <c r="GT66" s="764"/>
      <c r="GU66" s="699"/>
      <c r="GV66" s="765"/>
      <c r="GW66" s="766"/>
      <c r="GX66" s="766"/>
      <c r="GY66" s="765"/>
      <c r="GZ66" s="766"/>
      <c r="HA66" s="767"/>
      <c r="HB66" s="764"/>
      <c r="HC66" s="699"/>
      <c r="HD66" s="765"/>
      <c r="HE66" s="766"/>
      <c r="HF66" s="766"/>
      <c r="HG66" s="765"/>
      <c r="HH66" s="766"/>
      <c r="HI66" s="767"/>
      <c r="HJ66" s="764"/>
      <c r="HK66" s="699"/>
      <c r="HL66" s="765"/>
      <c r="HM66" s="766"/>
      <c r="HN66" s="766"/>
      <c r="HO66" s="765"/>
      <c r="HP66" s="766"/>
      <c r="HQ66" s="767"/>
      <c r="HR66" s="764"/>
      <c r="HS66" s="699"/>
      <c r="HT66" s="765"/>
      <c r="HU66" s="766"/>
      <c r="HV66" s="766"/>
      <c r="HW66" s="765"/>
      <c r="HX66" s="766"/>
      <c r="HY66" s="767"/>
      <c r="HZ66" s="764"/>
      <c r="IA66" s="699"/>
      <c r="IB66" s="765"/>
      <c r="IC66" s="766"/>
      <c r="ID66" s="766"/>
      <c r="IE66" s="765"/>
      <c r="IF66" s="766"/>
      <c r="IG66" s="765"/>
      <c r="IH66" s="768"/>
      <c r="II66" s="108"/>
      <c r="IJ66" s="108"/>
      <c r="IK66" s="108"/>
      <c r="IL66" s="108"/>
      <c r="IM66" s="108"/>
      <c r="IN66" s="108"/>
      <c r="IO66" s="770"/>
    </row>
    <row r="67" spans="1:249" x14ac:dyDescent="0.25">
      <c r="A67" s="763">
        <f t="shared" si="31"/>
        <v>57</v>
      </c>
      <c r="B67" s="764"/>
      <c r="C67" s="699"/>
      <c r="D67" s="765"/>
      <c r="E67" s="766"/>
      <c r="F67" s="766"/>
      <c r="G67" s="765"/>
      <c r="H67" s="766"/>
      <c r="I67" s="767"/>
      <c r="J67" s="764"/>
      <c r="K67" s="699"/>
      <c r="L67" s="765"/>
      <c r="M67" s="766"/>
      <c r="N67" s="766"/>
      <c r="O67" s="765"/>
      <c r="P67" s="766"/>
      <c r="Q67" s="767"/>
      <c r="R67" s="764"/>
      <c r="S67" s="699"/>
      <c r="T67" s="765"/>
      <c r="U67" s="766"/>
      <c r="V67" s="766"/>
      <c r="W67" s="765"/>
      <c r="X67" s="766"/>
      <c r="Y67" s="767"/>
      <c r="Z67" s="764"/>
      <c r="AA67" s="699"/>
      <c r="AB67" s="765"/>
      <c r="AC67" s="766"/>
      <c r="AD67" s="766"/>
      <c r="AE67" s="765"/>
      <c r="AF67" s="766"/>
      <c r="AG67" s="767"/>
      <c r="AH67" s="764"/>
      <c r="AI67" s="699"/>
      <c r="AJ67" s="765"/>
      <c r="AK67" s="766"/>
      <c r="AL67" s="766"/>
      <c r="AM67" s="765"/>
      <c r="AN67" s="766"/>
      <c r="AO67" s="767"/>
      <c r="AP67" s="764"/>
      <c r="AQ67" s="699"/>
      <c r="AR67" s="765"/>
      <c r="AS67" s="766"/>
      <c r="AT67" s="766"/>
      <c r="AU67" s="765"/>
      <c r="AV67" s="766"/>
      <c r="AW67" s="767"/>
      <c r="AX67" s="764"/>
      <c r="AY67" s="699"/>
      <c r="AZ67" s="765"/>
      <c r="BA67" s="766"/>
      <c r="BB67" s="766"/>
      <c r="BC67" s="765"/>
      <c r="BD67" s="766"/>
      <c r="BE67" s="767"/>
      <c r="BF67" s="764"/>
      <c r="BG67" s="699"/>
      <c r="BH67" s="765"/>
      <c r="BI67" s="766"/>
      <c r="BJ67" s="766"/>
      <c r="BK67" s="765"/>
      <c r="BL67" s="766"/>
      <c r="BM67" s="767"/>
      <c r="BN67" s="764"/>
      <c r="BO67" s="699"/>
      <c r="BP67" s="765"/>
      <c r="BQ67" s="766"/>
      <c r="BR67" s="766"/>
      <c r="BS67" s="765"/>
      <c r="BT67" s="766"/>
      <c r="BU67" s="767"/>
      <c r="BV67" s="764"/>
      <c r="BW67" s="699"/>
      <c r="BX67" s="765"/>
      <c r="BY67" s="766"/>
      <c r="BZ67" s="766"/>
      <c r="CA67" s="765"/>
      <c r="CB67" s="766"/>
      <c r="CC67" s="767"/>
      <c r="CD67" s="764"/>
      <c r="CE67" s="699"/>
      <c r="CF67" s="765"/>
      <c r="CG67" s="766"/>
      <c r="CH67" s="766"/>
      <c r="CI67" s="765"/>
      <c r="CJ67" s="766"/>
      <c r="CK67" s="767"/>
      <c r="CL67" s="764"/>
      <c r="CM67" s="699"/>
      <c r="CN67" s="765"/>
      <c r="CO67" s="766"/>
      <c r="CP67" s="766"/>
      <c r="CQ67" s="765"/>
      <c r="CR67" s="766"/>
      <c r="CS67" s="767"/>
      <c r="CT67" s="764"/>
      <c r="CU67" s="699"/>
      <c r="CV67" s="765"/>
      <c r="CW67" s="766"/>
      <c r="CX67" s="766"/>
      <c r="CY67" s="765"/>
      <c r="CZ67" s="766"/>
      <c r="DA67" s="767"/>
      <c r="DB67" s="764"/>
      <c r="DC67" s="699"/>
      <c r="DD67" s="765"/>
      <c r="DE67" s="766"/>
      <c r="DF67" s="766"/>
      <c r="DG67" s="765"/>
      <c r="DH67" s="766"/>
      <c r="DI67" s="767"/>
      <c r="DJ67" s="764"/>
      <c r="DK67" s="699"/>
      <c r="DL67" s="765"/>
      <c r="DM67" s="766"/>
      <c r="DN67" s="766"/>
      <c r="DO67" s="765"/>
      <c r="DP67" s="766"/>
      <c r="DQ67" s="767"/>
      <c r="DR67" s="764"/>
      <c r="DS67" s="699"/>
      <c r="DT67" s="765"/>
      <c r="DU67" s="766"/>
      <c r="DV67" s="766"/>
      <c r="DW67" s="765"/>
      <c r="DX67" s="766"/>
      <c r="DY67" s="767"/>
      <c r="DZ67" s="764"/>
      <c r="EA67" s="699"/>
      <c r="EB67" s="765"/>
      <c r="EC67" s="766"/>
      <c r="ED67" s="766"/>
      <c r="EE67" s="765"/>
      <c r="EF67" s="766"/>
      <c r="EG67" s="767"/>
      <c r="EH67" s="764"/>
      <c r="EI67" s="699"/>
      <c r="EJ67" s="765"/>
      <c r="EK67" s="766"/>
      <c r="EL67" s="766"/>
      <c r="EM67" s="765"/>
      <c r="EN67" s="766"/>
      <c r="EO67" s="767"/>
      <c r="EP67" s="764"/>
      <c r="EQ67" s="699"/>
      <c r="ER67" s="765"/>
      <c r="ES67" s="766"/>
      <c r="ET67" s="766"/>
      <c r="EU67" s="765"/>
      <c r="EV67" s="766"/>
      <c r="EW67" s="767"/>
      <c r="EX67" s="764"/>
      <c r="EY67" s="699"/>
      <c r="EZ67" s="765"/>
      <c r="FA67" s="766"/>
      <c r="FB67" s="766"/>
      <c r="FC67" s="765"/>
      <c r="FD67" s="766"/>
      <c r="FE67" s="767"/>
      <c r="FF67" s="764"/>
      <c r="FG67" s="699"/>
      <c r="FH67" s="765"/>
      <c r="FI67" s="766"/>
      <c r="FJ67" s="766"/>
      <c r="FK67" s="765"/>
      <c r="FL67" s="766"/>
      <c r="FM67" s="767"/>
      <c r="FN67" s="764"/>
      <c r="FO67" s="699"/>
      <c r="FP67" s="765"/>
      <c r="FQ67" s="766"/>
      <c r="FR67" s="766"/>
      <c r="FS67" s="765"/>
      <c r="FT67" s="766"/>
      <c r="FU67" s="767"/>
      <c r="FV67" s="764"/>
      <c r="FW67" s="699"/>
      <c r="FX67" s="765"/>
      <c r="FY67" s="766"/>
      <c r="FZ67" s="766"/>
      <c r="GA67" s="765"/>
      <c r="GB67" s="766"/>
      <c r="GC67" s="767"/>
      <c r="GD67" s="764"/>
      <c r="GE67" s="699"/>
      <c r="GF67" s="765"/>
      <c r="GG67" s="766"/>
      <c r="GH67" s="766"/>
      <c r="GI67" s="765"/>
      <c r="GJ67" s="766"/>
      <c r="GK67" s="767"/>
      <c r="GL67" s="764"/>
      <c r="GM67" s="699"/>
      <c r="GN67" s="765"/>
      <c r="GO67" s="766"/>
      <c r="GP67" s="766"/>
      <c r="GQ67" s="765"/>
      <c r="GR67" s="766"/>
      <c r="GS67" s="767"/>
      <c r="GT67" s="764"/>
      <c r="GU67" s="699"/>
      <c r="GV67" s="765"/>
      <c r="GW67" s="766"/>
      <c r="GX67" s="766"/>
      <c r="GY67" s="765"/>
      <c r="GZ67" s="766"/>
      <c r="HA67" s="767"/>
      <c r="HB67" s="764"/>
      <c r="HC67" s="699"/>
      <c r="HD67" s="765"/>
      <c r="HE67" s="766"/>
      <c r="HF67" s="766"/>
      <c r="HG67" s="765"/>
      <c r="HH67" s="766"/>
      <c r="HI67" s="767"/>
      <c r="HJ67" s="764"/>
      <c r="HK67" s="699"/>
      <c r="HL67" s="765"/>
      <c r="HM67" s="766"/>
      <c r="HN67" s="766"/>
      <c r="HO67" s="765"/>
      <c r="HP67" s="766"/>
      <c r="HQ67" s="767"/>
      <c r="HR67" s="764"/>
      <c r="HS67" s="699"/>
      <c r="HT67" s="765"/>
      <c r="HU67" s="766"/>
      <c r="HV67" s="766"/>
      <c r="HW67" s="765"/>
      <c r="HX67" s="766"/>
      <c r="HY67" s="767"/>
      <c r="HZ67" s="764"/>
      <c r="IA67" s="699"/>
      <c r="IB67" s="765"/>
      <c r="IC67" s="766"/>
      <c r="ID67" s="766"/>
      <c r="IE67" s="765"/>
      <c r="IF67" s="766"/>
      <c r="IG67" s="765"/>
      <c r="IH67" s="768"/>
      <c r="II67" s="108"/>
      <c r="IJ67" s="108"/>
      <c r="IK67" s="108"/>
      <c r="IL67" s="108"/>
      <c r="IM67" s="108"/>
      <c r="IN67" s="108"/>
      <c r="IO67" s="770"/>
    </row>
    <row r="68" spans="1:249" x14ac:dyDescent="0.25">
      <c r="A68" s="763">
        <f t="shared" si="31"/>
        <v>58</v>
      </c>
      <c r="B68" s="764"/>
      <c r="C68" s="699"/>
      <c r="D68" s="765"/>
      <c r="E68" s="766"/>
      <c r="F68" s="766"/>
      <c r="G68" s="765"/>
      <c r="H68" s="766"/>
      <c r="I68" s="767"/>
      <c r="J68" s="764"/>
      <c r="K68" s="699"/>
      <c r="L68" s="765"/>
      <c r="M68" s="766"/>
      <c r="N68" s="766"/>
      <c r="O68" s="765"/>
      <c r="P68" s="766"/>
      <c r="Q68" s="767"/>
      <c r="R68" s="764"/>
      <c r="S68" s="699"/>
      <c r="T68" s="765"/>
      <c r="U68" s="766"/>
      <c r="V68" s="766"/>
      <c r="W68" s="765"/>
      <c r="X68" s="766"/>
      <c r="Y68" s="767"/>
      <c r="Z68" s="764"/>
      <c r="AA68" s="699"/>
      <c r="AB68" s="765"/>
      <c r="AC68" s="766"/>
      <c r="AD68" s="766"/>
      <c r="AE68" s="765"/>
      <c r="AF68" s="766"/>
      <c r="AG68" s="767"/>
      <c r="AH68" s="764"/>
      <c r="AI68" s="699"/>
      <c r="AJ68" s="765"/>
      <c r="AK68" s="766"/>
      <c r="AL68" s="766"/>
      <c r="AM68" s="765"/>
      <c r="AN68" s="766"/>
      <c r="AO68" s="767"/>
      <c r="AP68" s="764"/>
      <c r="AQ68" s="699"/>
      <c r="AR68" s="765"/>
      <c r="AS68" s="766"/>
      <c r="AT68" s="766"/>
      <c r="AU68" s="765"/>
      <c r="AV68" s="766"/>
      <c r="AW68" s="767"/>
      <c r="AX68" s="764"/>
      <c r="AY68" s="699"/>
      <c r="AZ68" s="765"/>
      <c r="BA68" s="766"/>
      <c r="BB68" s="766"/>
      <c r="BC68" s="765"/>
      <c r="BD68" s="766"/>
      <c r="BE68" s="767"/>
      <c r="BF68" s="764"/>
      <c r="BG68" s="699"/>
      <c r="BH68" s="765"/>
      <c r="BI68" s="766"/>
      <c r="BJ68" s="766"/>
      <c r="BK68" s="765"/>
      <c r="BL68" s="766"/>
      <c r="BM68" s="767"/>
      <c r="BN68" s="764"/>
      <c r="BO68" s="699"/>
      <c r="BP68" s="765"/>
      <c r="BQ68" s="766"/>
      <c r="BR68" s="766"/>
      <c r="BS68" s="765"/>
      <c r="BT68" s="766"/>
      <c r="BU68" s="767"/>
      <c r="BV68" s="764"/>
      <c r="BW68" s="699"/>
      <c r="BX68" s="765"/>
      <c r="BY68" s="766"/>
      <c r="BZ68" s="766"/>
      <c r="CA68" s="765"/>
      <c r="CB68" s="766"/>
      <c r="CC68" s="767"/>
      <c r="CD68" s="764"/>
      <c r="CE68" s="699"/>
      <c r="CF68" s="765"/>
      <c r="CG68" s="766"/>
      <c r="CH68" s="766"/>
      <c r="CI68" s="765"/>
      <c r="CJ68" s="766"/>
      <c r="CK68" s="767"/>
      <c r="CL68" s="764"/>
      <c r="CM68" s="699"/>
      <c r="CN68" s="765"/>
      <c r="CO68" s="766"/>
      <c r="CP68" s="766"/>
      <c r="CQ68" s="765"/>
      <c r="CR68" s="766"/>
      <c r="CS68" s="767"/>
      <c r="CT68" s="764"/>
      <c r="CU68" s="699"/>
      <c r="CV68" s="765"/>
      <c r="CW68" s="766"/>
      <c r="CX68" s="766"/>
      <c r="CY68" s="765"/>
      <c r="CZ68" s="766"/>
      <c r="DA68" s="767"/>
      <c r="DB68" s="764"/>
      <c r="DC68" s="699"/>
      <c r="DD68" s="765"/>
      <c r="DE68" s="766"/>
      <c r="DF68" s="766"/>
      <c r="DG68" s="765"/>
      <c r="DH68" s="766"/>
      <c r="DI68" s="767"/>
      <c r="DJ68" s="764"/>
      <c r="DK68" s="699"/>
      <c r="DL68" s="765"/>
      <c r="DM68" s="766"/>
      <c r="DN68" s="766"/>
      <c r="DO68" s="765"/>
      <c r="DP68" s="766"/>
      <c r="DQ68" s="767"/>
      <c r="DR68" s="764"/>
      <c r="DS68" s="699"/>
      <c r="DT68" s="765"/>
      <c r="DU68" s="766"/>
      <c r="DV68" s="766"/>
      <c r="DW68" s="765"/>
      <c r="DX68" s="766"/>
      <c r="DY68" s="767"/>
      <c r="DZ68" s="764"/>
      <c r="EA68" s="699"/>
      <c r="EB68" s="765"/>
      <c r="EC68" s="766"/>
      <c r="ED68" s="766"/>
      <c r="EE68" s="765"/>
      <c r="EF68" s="766"/>
      <c r="EG68" s="767"/>
      <c r="EH68" s="764"/>
      <c r="EI68" s="699"/>
      <c r="EJ68" s="765"/>
      <c r="EK68" s="766"/>
      <c r="EL68" s="766"/>
      <c r="EM68" s="765"/>
      <c r="EN68" s="766"/>
      <c r="EO68" s="767"/>
      <c r="EP68" s="764"/>
      <c r="EQ68" s="699"/>
      <c r="ER68" s="765"/>
      <c r="ES68" s="766"/>
      <c r="ET68" s="766"/>
      <c r="EU68" s="765"/>
      <c r="EV68" s="766"/>
      <c r="EW68" s="767"/>
      <c r="EX68" s="764"/>
      <c r="EY68" s="699"/>
      <c r="EZ68" s="765"/>
      <c r="FA68" s="766"/>
      <c r="FB68" s="766"/>
      <c r="FC68" s="765"/>
      <c r="FD68" s="766"/>
      <c r="FE68" s="767"/>
      <c r="FF68" s="764"/>
      <c r="FG68" s="699"/>
      <c r="FH68" s="765"/>
      <c r="FI68" s="766"/>
      <c r="FJ68" s="766"/>
      <c r="FK68" s="765"/>
      <c r="FL68" s="766"/>
      <c r="FM68" s="767"/>
      <c r="FN68" s="764"/>
      <c r="FO68" s="699"/>
      <c r="FP68" s="765"/>
      <c r="FQ68" s="766"/>
      <c r="FR68" s="766"/>
      <c r="FS68" s="765"/>
      <c r="FT68" s="766"/>
      <c r="FU68" s="767"/>
      <c r="FV68" s="764"/>
      <c r="FW68" s="699"/>
      <c r="FX68" s="765"/>
      <c r="FY68" s="766"/>
      <c r="FZ68" s="766"/>
      <c r="GA68" s="765"/>
      <c r="GB68" s="766"/>
      <c r="GC68" s="767"/>
      <c r="GD68" s="764"/>
      <c r="GE68" s="699"/>
      <c r="GF68" s="765"/>
      <c r="GG68" s="766"/>
      <c r="GH68" s="766"/>
      <c r="GI68" s="765"/>
      <c r="GJ68" s="766"/>
      <c r="GK68" s="767"/>
      <c r="GL68" s="764"/>
      <c r="GM68" s="699"/>
      <c r="GN68" s="765"/>
      <c r="GO68" s="766"/>
      <c r="GP68" s="766"/>
      <c r="GQ68" s="765"/>
      <c r="GR68" s="766"/>
      <c r="GS68" s="767"/>
      <c r="GT68" s="764"/>
      <c r="GU68" s="699"/>
      <c r="GV68" s="765"/>
      <c r="GW68" s="766"/>
      <c r="GX68" s="766"/>
      <c r="GY68" s="765"/>
      <c r="GZ68" s="766"/>
      <c r="HA68" s="767"/>
      <c r="HB68" s="764"/>
      <c r="HC68" s="699"/>
      <c r="HD68" s="765"/>
      <c r="HE68" s="766"/>
      <c r="HF68" s="766"/>
      <c r="HG68" s="765"/>
      <c r="HH68" s="766"/>
      <c r="HI68" s="767"/>
      <c r="HJ68" s="764"/>
      <c r="HK68" s="699"/>
      <c r="HL68" s="765"/>
      <c r="HM68" s="766"/>
      <c r="HN68" s="766"/>
      <c r="HO68" s="765"/>
      <c r="HP68" s="766"/>
      <c r="HQ68" s="767"/>
      <c r="HR68" s="764"/>
      <c r="HS68" s="699"/>
      <c r="HT68" s="765"/>
      <c r="HU68" s="766"/>
      <c r="HV68" s="766"/>
      <c r="HW68" s="765"/>
      <c r="HX68" s="766"/>
      <c r="HY68" s="767"/>
      <c r="HZ68" s="764"/>
      <c r="IA68" s="699"/>
      <c r="IB68" s="765"/>
      <c r="IC68" s="766"/>
      <c r="ID68" s="766"/>
      <c r="IE68" s="765"/>
      <c r="IF68" s="766"/>
      <c r="IG68" s="765"/>
      <c r="IH68" s="768"/>
      <c r="II68" s="108"/>
      <c r="IJ68" s="108"/>
      <c r="IK68" s="108"/>
      <c r="IL68" s="108"/>
      <c r="IM68" s="108"/>
      <c r="IN68" s="108"/>
      <c r="IO68" s="770"/>
    </row>
    <row r="69" spans="1:249" x14ac:dyDescent="0.25">
      <c r="A69" s="763">
        <f t="shared" si="31"/>
        <v>59</v>
      </c>
      <c r="B69" s="764"/>
      <c r="C69" s="699"/>
      <c r="D69" s="765"/>
      <c r="E69" s="766"/>
      <c r="F69" s="766"/>
      <c r="G69" s="765"/>
      <c r="H69" s="766"/>
      <c r="I69" s="767"/>
      <c r="J69" s="764"/>
      <c r="K69" s="699"/>
      <c r="L69" s="765"/>
      <c r="M69" s="766"/>
      <c r="N69" s="766"/>
      <c r="O69" s="765"/>
      <c r="P69" s="766"/>
      <c r="Q69" s="767"/>
      <c r="R69" s="764"/>
      <c r="S69" s="699"/>
      <c r="T69" s="765"/>
      <c r="U69" s="766"/>
      <c r="V69" s="766"/>
      <c r="W69" s="765"/>
      <c r="X69" s="766"/>
      <c r="Y69" s="767"/>
      <c r="Z69" s="764"/>
      <c r="AA69" s="699"/>
      <c r="AB69" s="765"/>
      <c r="AC69" s="766"/>
      <c r="AD69" s="766"/>
      <c r="AE69" s="765"/>
      <c r="AF69" s="766"/>
      <c r="AG69" s="767"/>
      <c r="AH69" s="764"/>
      <c r="AI69" s="699"/>
      <c r="AJ69" s="765"/>
      <c r="AK69" s="766"/>
      <c r="AL69" s="766"/>
      <c r="AM69" s="765"/>
      <c r="AN69" s="766"/>
      <c r="AO69" s="767"/>
      <c r="AP69" s="764"/>
      <c r="AQ69" s="699"/>
      <c r="AR69" s="765"/>
      <c r="AS69" s="766"/>
      <c r="AT69" s="766"/>
      <c r="AU69" s="765"/>
      <c r="AV69" s="766"/>
      <c r="AW69" s="767"/>
      <c r="AX69" s="764"/>
      <c r="AY69" s="699"/>
      <c r="AZ69" s="765"/>
      <c r="BA69" s="766"/>
      <c r="BB69" s="766"/>
      <c r="BC69" s="765"/>
      <c r="BD69" s="766"/>
      <c r="BE69" s="767"/>
      <c r="BF69" s="764"/>
      <c r="BG69" s="699"/>
      <c r="BH69" s="765"/>
      <c r="BI69" s="766"/>
      <c r="BJ69" s="766"/>
      <c r="BK69" s="765"/>
      <c r="BL69" s="766"/>
      <c r="BM69" s="767"/>
      <c r="BN69" s="764"/>
      <c r="BO69" s="699"/>
      <c r="BP69" s="765"/>
      <c r="BQ69" s="766"/>
      <c r="BR69" s="766"/>
      <c r="BS69" s="765"/>
      <c r="BT69" s="766"/>
      <c r="BU69" s="767"/>
      <c r="BV69" s="764"/>
      <c r="BW69" s="699"/>
      <c r="BX69" s="765"/>
      <c r="BY69" s="766"/>
      <c r="BZ69" s="766"/>
      <c r="CA69" s="765"/>
      <c r="CB69" s="766"/>
      <c r="CC69" s="767"/>
      <c r="CD69" s="764"/>
      <c r="CE69" s="699"/>
      <c r="CF69" s="765"/>
      <c r="CG69" s="766"/>
      <c r="CH69" s="766"/>
      <c r="CI69" s="765"/>
      <c r="CJ69" s="766"/>
      <c r="CK69" s="767"/>
      <c r="CL69" s="764"/>
      <c r="CM69" s="699"/>
      <c r="CN69" s="765"/>
      <c r="CO69" s="766"/>
      <c r="CP69" s="766"/>
      <c r="CQ69" s="765"/>
      <c r="CR69" s="766"/>
      <c r="CS69" s="767"/>
      <c r="CT69" s="764"/>
      <c r="CU69" s="699"/>
      <c r="CV69" s="765"/>
      <c r="CW69" s="766"/>
      <c r="CX69" s="766"/>
      <c r="CY69" s="765"/>
      <c r="CZ69" s="766"/>
      <c r="DA69" s="767"/>
      <c r="DB69" s="764"/>
      <c r="DC69" s="699"/>
      <c r="DD69" s="765"/>
      <c r="DE69" s="766"/>
      <c r="DF69" s="766"/>
      <c r="DG69" s="765"/>
      <c r="DH69" s="766"/>
      <c r="DI69" s="767"/>
      <c r="DJ69" s="764"/>
      <c r="DK69" s="699"/>
      <c r="DL69" s="765"/>
      <c r="DM69" s="766"/>
      <c r="DN69" s="766"/>
      <c r="DO69" s="765"/>
      <c r="DP69" s="766"/>
      <c r="DQ69" s="767"/>
      <c r="DR69" s="764"/>
      <c r="DS69" s="699"/>
      <c r="DT69" s="765"/>
      <c r="DU69" s="766"/>
      <c r="DV69" s="766"/>
      <c r="DW69" s="765"/>
      <c r="DX69" s="766"/>
      <c r="DY69" s="767"/>
      <c r="DZ69" s="764"/>
      <c r="EA69" s="699"/>
      <c r="EB69" s="765"/>
      <c r="EC69" s="766"/>
      <c r="ED69" s="766"/>
      <c r="EE69" s="765"/>
      <c r="EF69" s="766"/>
      <c r="EG69" s="767"/>
      <c r="EH69" s="764"/>
      <c r="EI69" s="699"/>
      <c r="EJ69" s="765"/>
      <c r="EK69" s="766"/>
      <c r="EL69" s="766"/>
      <c r="EM69" s="765"/>
      <c r="EN69" s="766"/>
      <c r="EO69" s="767"/>
      <c r="EP69" s="764"/>
      <c r="EQ69" s="699"/>
      <c r="ER69" s="765"/>
      <c r="ES69" s="766"/>
      <c r="ET69" s="766"/>
      <c r="EU69" s="765"/>
      <c r="EV69" s="766"/>
      <c r="EW69" s="767"/>
      <c r="EX69" s="764"/>
      <c r="EY69" s="699"/>
      <c r="EZ69" s="765"/>
      <c r="FA69" s="766"/>
      <c r="FB69" s="766"/>
      <c r="FC69" s="765"/>
      <c r="FD69" s="766"/>
      <c r="FE69" s="767"/>
      <c r="FF69" s="764"/>
      <c r="FG69" s="699"/>
      <c r="FH69" s="765"/>
      <c r="FI69" s="766"/>
      <c r="FJ69" s="766"/>
      <c r="FK69" s="765"/>
      <c r="FL69" s="766"/>
      <c r="FM69" s="767"/>
      <c r="FN69" s="764"/>
      <c r="FO69" s="699"/>
      <c r="FP69" s="765"/>
      <c r="FQ69" s="766"/>
      <c r="FR69" s="766"/>
      <c r="FS69" s="765"/>
      <c r="FT69" s="766"/>
      <c r="FU69" s="767"/>
      <c r="FV69" s="764"/>
      <c r="FW69" s="699"/>
      <c r="FX69" s="765"/>
      <c r="FY69" s="766"/>
      <c r="FZ69" s="766"/>
      <c r="GA69" s="765"/>
      <c r="GB69" s="766"/>
      <c r="GC69" s="767"/>
      <c r="GD69" s="764"/>
      <c r="GE69" s="699"/>
      <c r="GF69" s="765"/>
      <c r="GG69" s="766"/>
      <c r="GH69" s="766"/>
      <c r="GI69" s="765"/>
      <c r="GJ69" s="766"/>
      <c r="GK69" s="767"/>
      <c r="GL69" s="764"/>
      <c r="GM69" s="699"/>
      <c r="GN69" s="765"/>
      <c r="GO69" s="766"/>
      <c r="GP69" s="766"/>
      <c r="GQ69" s="765"/>
      <c r="GR69" s="766"/>
      <c r="GS69" s="767"/>
      <c r="GT69" s="764"/>
      <c r="GU69" s="699"/>
      <c r="GV69" s="765"/>
      <c r="GW69" s="766"/>
      <c r="GX69" s="766"/>
      <c r="GY69" s="765"/>
      <c r="GZ69" s="766"/>
      <c r="HA69" s="767"/>
      <c r="HB69" s="764"/>
      <c r="HC69" s="699"/>
      <c r="HD69" s="765"/>
      <c r="HE69" s="766"/>
      <c r="HF69" s="766"/>
      <c r="HG69" s="765"/>
      <c r="HH69" s="766"/>
      <c r="HI69" s="767"/>
      <c r="HJ69" s="764"/>
      <c r="HK69" s="699"/>
      <c r="HL69" s="765"/>
      <c r="HM69" s="766"/>
      <c r="HN69" s="766"/>
      <c r="HO69" s="765"/>
      <c r="HP69" s="766"/>
      <c r="HQ69" s="767"/>
      <c r="HR69" s="764"/>
      <c r="HS69" s="699"/>
      <c r="HT69" s="765"/>
      <c r="HU69" s="766"/>
      <c r="HV69" s="766"/>
      <c r="HW69" s="765"/>
      <c r="HX69" s="766"/>
      <c r="HY69" s="767"/>
      <c r="HZ69" s="764"/>
      <c r="IA69" s="699"/>
      <c r="IB69" s="765"/>
      <c r="IC69" s="766"/>
      <c r="ID69" s="766"/>
      <c r="IE69" s="765"/>
      <c r="IF69" s="766"/>
      <c r="IG69" s="765"/>
      <c r="IH69" s="768"/>
      <c r="II69" s="108"/>
      <c r="IJ69" s="108"/>
      <c r="IK69" s="108"/>
      <c r="IL69" s="108"/>
      <c r="IM69" s="108"/>
      <c r="IN69" s="108"/>
      <c r="IO69" s="770"/>
    </row>
    <row r="70" spans="1:249" ht="15.75" thickBot="1" x14ac:dyDescent="0.3">
      <c r="A70" s="771">
        <f t="shared" si="31"/>
        <v>60</v>
      </c>
      <c r="B70" s="772"/>
      <c r="C70" s="713"/>
      <c r="D70" s="773"/>
      <c r="E70" s="774"/>
      <c r="F70" s="774"/>
      <c r="G70" s="773"/>
      <c r="H70" s="774"/>
      <c r="I70" s="775"/>
      <c r="J70" s="772"/>
      <c r="K70" s="713"/>
      <c r="L70" s="773"/>
      <c r="M70" s="774"/>
      <c r="N70" s="774"/>
      <c r="O70" s="773"/>
      <c r="P70" s="774"/>
      <c r="Q70" s="775"/>
      <c r="R70" s="772"/>
      <c r="S70" s="713"/>
      <c r="T70" s="773"/>
      <c r="U70" s="774"/>
      <c r="V70" s="774"/>
      <c r="W70" s="773"/>
      <c r="X70" s="774"/>
      <c r="Y70" s="775"/>
      <c r="Z70" s="772"/>
      <c r="AA70" s="713"/>
      <c r="AB70" s="773"/>
      <c r="AC70" s="774"/>
      <c r="AD70" s="774"/>
      <c r="AE70" s="773"/>
      <c r="AF70" s="774"/>
      <c r="AG70" s="775"/>
      <c r="AH70" s="772"/>
      <c r="AI70" s="713"/>
      <c r="AJ70" s="773"/>
      <c r="AK70" s="774"/>
      <c r="AL70" s="774"/>
      <c r="AM70" s="773"/>
      <c r="AN70" s="774"/>
      <c r="AO70" s="775"/>
      <c r="AP70" s="772"/>
      <c r="AQ70" s="713"/>
      <c r="AR70" s="773"/>
      <c r="AS70" s="774"/>
      <c r="AT70" s="774"/>
      <c r="AU70" s="773"/>
      <c r="AV70" s="774"/>
      <c r="AW70" s="775"/>
      <c r="AX70" s="772"/>
      <c r="AY70" s="713"/>
      <c r="AZ70" s="773"/>
      <c r="BA70" s="774"/>
      <c r="BB70" s="774"/>
      <c r="BC70" s="773"/>
      <c r="BD70" s="774"/>
      <c r="BE70" s="775"/>
      <c r="BF70" s="772"/>
      <c r="BG70" s="713"/>
      <c r="BH70" s="773"/>
      <c r="BI70" s="774"/>
      <c r="BJ70" s="774"/>
      <c r="BK70" s="773"/>
      <c r="BL70" s="774"/>
      <c r="BM70" s="775"/>
      <c r="BN70" s="772"/>
      <c r="BO70" s="713"/>
      <c r="BP70" s="773"/>
      <c r="BQ70" s="774"/>
      <c r="BR70" s="774"/>
      <c r="BS70" s="773"/>
      <c r="BT70" s="774"/>
      <c r="BU70" s="775"/>
      <c r="BV70" s="772"/>
      <c r="BW70" s="713"/>
      <c r="BX70" s="773"/>
      <c r="BY70" s="774"/>
      <c r="BZ70" s="774"/>
      <c r="CA70" s="773"/>
      <c r="CB70" s="774"/>
      <c r="CC70" s="775"/>
      <c r="CD70" s="772"/>
      <c r="CE70" s="713"/>
      <c r="CF70" s="773"/>
      <c r="CG70" s="774"/>
      <c r="CH70" s="774"/>
      <c r="CI70" s="773"/>
      <c r="CJ70" s="774"/>
      <c r="CK70" s="775"/>
      <c r="CL70" s="772"/>
      <c r="CM70" s="713"/>
      <c r="CN70" s="773"/>
      <c r="CO70" s="774"/>
      <c r="CP70" s="774"/>
      <c r="CQ70" s="773"/>
      <c r="CR70" s="774"/>
      <c r="CS70" s="775"/>
      <c r="CT70" s="772"/>
      <c r="CU70" s="713"/>
      <c r="CV70" s="773"/>
      <c r="CW70" s="774"/>
      <c r="CX70" s="774"/>
      <c r="CY70" s="773"/>
      <c r="CZ70" s="774"/>
      <c r="DA70" s="775"/>
      <c r="DB70" s="772"/>
      <c r="DC70" s="713"/>
      <c r="DD70" s="773"/>
      <c r="DE70" s="774"/>
      <c r="DF70" s="774"/>
      <c r="DG70" s="773"/>
      <c r="DH70" s="774"/>
      <c r="DI70" s="775"/>
      <c r="DJ70" s="772"/>
      <c r="DK70" s="713"/>
      <c r="DL70" s="773"/>
      <c r="DM70" s="774"/>
      <c r="DN70" s="774"/>
      <c r="DO70" s="773"/>
      <c r="DP70" s="774"/>
      <c r="DQ70" s="775"/>
      <c r="DR70" s="772"/>
      <c r="DS70" s="713"/>
      <c r="DT70" s="773"/>
      <c r="DU70" s="774"/>
      <c r="DV70" s="774"/>
      <c r="DW70" s="773"/>
      <c r="DX70" s="774"/>
      <c r="DY70" s="775"/>
      <c r="DZ70" s="772"/>
      <c r="EA70" s="713"/>
      <c r="EB70" s="773"/>
      <c r="EC70" s="774"/>
      <c r="ED70" s="774"/>
      <c r="EE70" s="773"/>
      <c r="EF70" s="774"/>
      <c r="EG70" s="775"/>
      <c r="EH70" s="772"/>
      <c r="EI70" s="713"/>
      <c r="EJ70" s="773"/>
      <c r="EK70" s="774"/>
      <c r="EL70" s="774"/>
      <c r="EM70" s="773"/>
      <c r="EN70" s="774"/>
      <c r="EO70" s="775"/>
      <c r="EP70" s="772"/>
      <c r="EQ70" s="713"/>
      <c r="ER70" s="773"/>
      <c r="ES70" s="774"/>
      <c r="ET70" s="774"/>
      <c r="EU70" s="773"/>
      <c r="EV70" s="774"/>
      <c r="EW70" s="775"/>
      <c r="EX70" s="772"/>
      <c r="EY70" s="713"/>
      <c r="EZ70" s="773"/>
      <c r="FA70" s="774"/>
      <c r="FB70" s="774"/>
      <c r="FC70" s="773"/>
      <c r="FD70" s="774"/>
      <c r="FE70" s="775"/>
      <c r="FF70" s="772"/>
      <c r="FG70" s="713"/>
      <c r="FH70" s="773"/>
      <c r="FI70" s="774"/>
      <c r="FJ70" s="774"/>
      <c r="FK70" s="773"/>
      <c r="FL70" s="774"/>
      <c r="FM70" s="775"/>
      <c r="FN70" s="772"/>
      <c r="FO70" s="713"/>
      <c r="FP70" s="773"/>
      <c r="FQ70" s="774"/>
      <c r="FR70" s="774"/>
      <c r="FS70" s="773"/>
      <c r="FT70" s="774"/>
      <c r="FU70" s="775"/>
      <c r="FV70" s="772"/>
      <c r="FW70" s="713"/>
      <c r="FX70" s="773"/>
      <c r="FY70" s="774"/>
      <c r="FZ70" s="774"/>
      <c r="GA70" s="773"/>
      <c r="GB70" s="774"/>
      <c r="GC70" s="775"/>
      <c r="GD70" s="772"/>
      <c r="GE70" s="713"/>
      <c r="GF70" s="773"/>
      <c r="GG70" s="774"/>
      <c r="GH70" s="774"/>
      <c r="GI70" s="773"/>
      <c r="GJ70" s="774"/>
      <c r="GK70" s="775"/>
      <c r="GL70" s="772"/>
      <c r="GM70" s="713"/>
      <c r="GN70" s="773"/>
      <c r="GO70" s="774"/>
      <c r="GP70" s="774"/>
      <c r="GQ70" s="773"/>
      <c r="GR70" s="774"/>
      <c r="GS70" s="775"/>
      <c r="GT70" s="772"/>
      <c r="GU70" s="713"/>
      <c r="GV70" s="773"/>
      <c r="GW70" s="774"/>
      <c r="GX70" s="774"/>
      <c r="GY70" s="773"/>
      <c r="GZ70" s="774"/>
      <c r="HA70" s="775"/>
      <c r="HB70" s="772"/>
      <c r="HC70" s="713"/>
      <c r="HD70" s="773"/>
      <c r="HE70" s="774"/>
      <c r="HF70" s="774"/>
      <c r="HG70" s="773"/>
      <c r="HH70" s="774"/>
      <c r="HI70" s="775"/>
      <c r="HJ70" s="772"/>
      <c r="HK70" s="713"/>
      <c r="HL70" s="773"/>
      <c r="HM70" s="774"/>
      <c r="HN70" s="774"/>
      <c r="HO70" s="773"/>
      <c r="HP70" s="774"/>
      <c r="HQ70" s="775"/>
      <c r="HR70" s="772"/>
      <c r="HS70" s="713"/>
      <c r="HT70" s="773"/>
      <c r="HU70" s="774"/>
      <c r="HV70" s="774"/>
      <c r="HW70" s="773"/>
      <c r="HX70" s="774"/>
      <c r="HY70" s="775"/>
      <c r="HZ70" s="772"/>
      <c r="IA70" s="713"/>
      <c r="IB70" s="773"/>
      <c r="IC70" s="774"/>
      <c r="ID70" s="774"/>
      <c r="IE70" s="773"/>
      <c r="IF70" s="774"/>
      <c r="IG70" s="776"/>
      <c r="IH70" s="768"/>
      <c r="II70" s="108"/>
      <c r="IJ70" s="108"/>
      <c r="IK70" s="108"/>
      <c r="IL70" s="108"/>
      <c r="IM70" s="108"/>
      <c r="IN70" s="108"/>
      <c r="IO70" s="770"/>
    </row>
    <row r="71" spans="1:249" s="1" customFormat="1" x14ac:dyDescent="0.25">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c r="BA71" s="405"/>
      <c r="BB71" s="405"/>
      <c r="BC71" s="405"/>
      <c r="BD71" s="405"/>
      <c r="BE71" s="405"/>
      <c r="BF71" s="405"/>
      <c r="BG71" s="405"/>
      <c r="BH71" s="405"/>
      <c r="BI71" s="405"/>
      <c r="BJ71" s="405"/>
      <c r="BK71" s="405"/>
      <c r="BL71" s="405"/>
      <c r="BM71" s="405"/>
      <c r="BN71" s="405"/>
      <c r="BO71" s="405"/>
      <c r="BP71" s="405"/>
      <c r="BQ71" s="405"/>
      <c r="BR71" s="405"/>
      <c r="BS71" s="405"/>
      <c r="BT71" s="405"/>
      <c r="BU71" s="405"/>
      <c r="BV71" s="405"/>
      <c r="BW71" s="405"/>
      <c r="BX71" s="405"/>
      <c r="BY71" s="719"/>
      <c r="BZ71" s="719"/>
      <c r="CA71" s="405"/>
      <c r="CB71" s="719"/>
      <c r="CC71" s="405"/>
      <c r="CD71" s="719"/>
      <c r="CE71" s="719"/>
      <c r="CF71" s="405"/>
      <c r="CG71" s="720"/>
      <c r="CH71" s="720"/>
      <c r="CI71" s="405"/>
      <c r="CJ71" s="405"/>
      <c r="CK71" s="405"/>
      <c r="CL71" s="405"/>
      <c r="CM71" s="405"/>
      <c r="CN71" s="405"/>
      <c r="CO71" s="405"/>
      <c r="CP71" s="405"/>
      <c r="CQ71" s="405"/>
      <c r="CR71" s="405"/>
      <c r="CS71" s="405"/>
      <c r="CT71" s="405"/>
      <c r="CU71" s="405"/>
      <c r="CV71" s="405"/>
      <c r="CW71" s="405"/>
      <c r="CX71" s="405"/>
      <c r="CY71" s="405"/>
      <c r="CZ71" s="405"/>
      <c r="DA71" s="405"/>
      <c r="DB71" s="405"/>
      <c r="DC71" s="405"/>
      <c r="DD71" s="405"/>
      <c r="DE71" s="405"/>
      <c r="DF71" s="405"/>
      <c r="DG71" s="405"/>
      <c r="DH71" s="405"/>
      <c r="DI71" s="405"/>
      <c r="DJ71" s="405"/>
      <c r="DK71" s="405"/>
      <c r="DL71" s="405"/>
      <c r="DM71" s="405"/>
      <c r="DN71" s="405"/>
      <c r="DO71" s="405"/>
      <c r="DP71" s="405"/>
      <c r="DQ71" s="405"/>
      <c r="DR71" s="405"/>
      <c r="DS71" s="405"/>
      <c r="DT71" s="405"/>
      <c r="DU71" s="405"/>
      <c r="DV71" s="405"/>
      <c r="DW71" s="405"/>
      <c r="DX71" s="405"/>
      <c r="DY71" s="405"/>
      <c r="DZ71" s="405"/>
      <c r="EA71" s="405"/>
      <c r="EB71" s="405"/>
      <c r="EC71" s="405"/>
      <c r="ED71" s="405"/>
      <c r="EE71" s="405"/>
      <c r="EF71" s="405"/>
      <c r="EG71" s="405"/>
      <c r="EH71" s="405"/>
      <c r="EI71" s="405"/>
      <c r="EJ71" s="405"/>
      <c r="EK71" s="405"/>
      <c r="EL71" s="405"/>
      <c r="EM71" s="405"/>
      <c r="EN71" s="405"/>
      <c r="EO71" s="405"/>
      <c r="EP71" s="405"/>
      <c r="EQ71" s="405"/>
      <c r="ER71" s="405"/>
      <c r="ES71" s="405"/>
      <c r="ET71" s="405"/>
      <c r="EU71" s="405"/>
      <c r="EV71" s="405"/>
      <c r="EW71" s="405"/>
      <c r="EX71" s="405"/>
      <c r="EY71" s="405"/>
      <c r="EZ71" s="405"/>
      <c r="FA71" s="405"/>
      <c r="FB71" s="405"/>
      <c r="FC71" s="405"/>
      <c r="FD71" s="405"/>
      <c r="FE71" s="405"/>
      <c r="FF71" s="405"/>
      <c r="FG71" s="405"/>
      <c r="FH71" s="405"/>
      <c r="FI71" s="405"/>
      <c r="FJ71" s="405"/>
      <c r="FK71" s="405"/>
      <c r="FL71" s="405"/>
      <c r="FM71" s="405"/>
      <c r="FN71" s="405"/>
      <c r="FO71" s="405"/>
      <c r="FP71" s="405"/>
      <c r="FQ71" s="405"/>
      <c r="FR71" s="405"/>
      <c r="FS71" s="405"/>
      <c r="FT71" s="405"/>
      <c r="FU71" s="405"/>
      <c r="FV71" s="405"/>
      <c r="FW71" s="405"/>
      <c r="FX71" s="405"/>
      <c r="FY71" s="405"/>
      <c r="FZ71" s="405"/>
      <c r="GA71" s="405"/>
      <c r="GB71" s="405"/>
      <c r="GC71" s="405"/>
      <c r="GD71" s="405"/>
      <c r="GE71" s="405"/>
      <c r="GF71" s="405"/>
      <c r="GG71" s="405"/>
      <c r="GH71" s="405"/>
      <c r="GI71" s="405"/>
      <c r="GJ71" s="405"/>
      <c r="GK71" s="405"/>
      <c r="GL71" s="405"/>
      <c r="GM71" s="405"/>
      <c r="GN71" s="405"/>
      <c r="GO71" s="405"/>
      <c r="GP71" s="405"/>
      <c r="GQ71" s="405"/>
      <c r="GR71" s="405"/>
      <c r="GS71" s="405"/>
      <c r="GT71" s="405"/>
      <c r="GU71" s="405"/>
      <c r="GV71" s="405"/>
      <c r="GW71" s="405"/>
      <c r="GX71" s="405"/>
      <c r="GY71" s="405"/>
      <c r="GZ71" s="405"/>
      <c r="HA71" s="405"/>
      <c r="HB71" s="405"/>
      <c r="HC71" s="405"/>
      <c r="HD71" s="405"/>
      <c r="HE71" s="405"/>
      <c r="HF71" s="405"/>
      <c r="HG71" s="405"/>
      <c r="HH71" s="405"/>
      <c r="HI71" s="405"/>
      <c r="HJ71" s="405"/>
      <c r="HK71" s="405"/>
      <c r="HL71" s="405"/>
      <c r="HM71" s="405"/>
      <c r="HN71" s="405"/>
      <c r="HO71" s="405"/>
      <c r="HP71" s="405"/>
      <c r="HQ71" s="405"/>
      <c r="HR71" s="405"/>
      <c r="HS71" s="405"/>
      <c r="HT71" s="405"/>
      <c r="HU71" s="405"/>
      <c r="HV71" s="405"/>
      <c r="HW71" s="405"/>
      <c r="HX71" s="405"/>
      <c r="HY71" s="405"/>
      <c r="HZ71" s="405"/>
      <c r="IA71" s="405"/>
      <c r="IB71" s="405"/>
      <c r="IC71" s="405"/>
      <c r="ID71" s="405"/>
      <c r="IE71" s="405"/>
      <c r="IF71" s="405"/>
      <c r="IG71" s="405"/>
      <c r="IH71" s="401"/>
    </row>
    <row r="72" spans="1:249" s="1" customFormat="1" x14ac:dyDescent="0.25">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c r="BV72" s="405"/>
      <c r="BW72" s="405"/>
      <c r="BX72" s="405"/>
      <c r="BY72" s="719"/>
      <c r="BZ72" s="719"/>
      <c r="CA72" s="405"/>
      <c r="CB72" s="719"/>
      <c r="CC72" s="405"/>
      <c r="CD72" s="719"/>
      <c r="CE72" s="719"/>
      <c r="CF72" s="405"/>
      <c r="CG72" s="720"/>
      <c r="CH72" s="720"/>
      <c r="CI72" s="405"/>
      <c r="CJ72" s="405"/>
      <c r="CK72" s="405"/>
      <c r="CL72" s="405"/>
      <c r="CM72" s="405"/>
      <c r="CN72" s="405"/>
      <c r="CO72" s="405"/>
      <c r="CP72" s="405"/>
      <c r="CQ72" s="405"/>
      <c r="CR72" s="405"/>
      <c r="CS72" s="405"/>
      <c r="CT72" s="405"/>
      <c r="CU72" s="405"/>
      <c r="CV72" s="405"/>
      <c r="CW72" s="405"/>
      <c r="CX72" s="405"/>
      <c r="CY72" s="405"/>
      <c r="CZ72" s="405"/>
      <c r="DA72" s="405"/>
      <c r="DB72" s="405"/>
      <c r="DC72" s="405"/>
      <c r="DD72" s="405"/>
      <c r="DE72" s="405"/>
      <c r="DF72" s="405"/>
      <c r="DG72" s="405"/>
      <c r="DH72" s="405"/>
      <c r="DI72" s="405"/>
      <c r="DJ72" s="405"/>
      <c r="DK72" s="405"/>
      <c r="DL72" s="405"/>
      <c r="DM72" s="405"/>
      <c r="DN72" s="405"/>
      <c r="DO72" s="405"/>
      <c r="DP72" s="405"/>
      <c r="DQ72" s="405"/>
      <c r="DR72" s="405"/>
      <c r="DS72" s="405"/>
      <c r="DT72" s="405"/>
      <c r="DU72" s="405"/>
      <c r="DV72" s="405"/>
      <c r="DW72" s="405"/>
      <c r="DX72" s="405"/>
      <c r="DY72" s="405"/>
      <c r="DZ72" s="405"/>
      <c r="EA72" s="405"/>
      <c r="EB72" s="405"/>
      <c r="EC72" s="405"/>
      <c r="ED72" s="405"/>
      <c r="EE72" s="405"/>
      <c r="EF72" s="405"/>
      <c r="EG72" s="405"/>
      <c r="EH72" s="405"/>
      <c r="EI72" s="405"/>
      <c r="EJ72" s="405"/>
      <c r="EK72" s="405"/>
      <c r="EL72" s="405"/>
      <c r="EM72" s="405"/>
      <c r="EN72" s="405"/>
      <c r="EO72" s="405"/>
      <c r="EP72" s="405"/>
      <c r="EQ72" s="405"/>
      <c r="ER72" s="405"/>
      <c r="ES72" s="405"/>
      <c r="ET72" s="405"/>
      <c r="EU72" s="405"/>
      <c r="EV72" s="405"/>
      <c r="EW72" s="405"/>
      <c r="EX72" s="405"/>
      <c r="EY72" s="405"/>
      <c r="EZ72" s="405"/>
      <c r="FA72" s="405"/>
      <c r="FB72" s="405"/>
      <c r="FC72" s="405"/>
      <c r="FD72" s="405"/>
      <c r="FE72" s="405"/>
      <c r="FF72" s="405"/>
      <c r="FG72" s="405"/>
      <c r="FH72" s="405"/>
      <c r="FI72" s="405"/>
      <c r="FJ72" s="405"/>
      <c r="FK72" s="405"/>
      <c r="FL72" s="405"/>
      <c r="FM72" s="405"/>
      <c r="FN72" s="405"/>
      <c r="FO72" s="405"/>
      <c r="FP72" s="405"/>
      <c r="FQ72" s="405"/>
      <c r="FR72" s="405"/>
      <c r="FS72" s="405"/>
      <c r="FT72" s="405"/>
      <c r="FU72" s="405"/>
      <c r="FV72" s="405"/>
      <c r="FW72" s="405"/>
      <c r="FX72" s="405"/>
      <c r="FY72" s="405"/>
      <c r="FZ72" s="405"/>
      <c r="GA72" s="405"/>
      <c r="GB72" s="405"/>
      <c r="GC72" s="405"/>
      <c r="GD72" s="405"/>
      <c r="GE72" s="405"/>
      <c r="GF72" s="405"/>
      <c r="GG72" s="405"/>
      <c r="GH72" s="405"/>
      <c r="GI72" s="405"/>
      <c r="GJ72" s="405"/>
      <c r="GK72" s="405"/>
      <c r="GL72" s="405"/>
      <c r="GM72" s="405"/>
      <c r="GN72" s="405"/>
      <c r="GO72" s="405"/>
      <c r="GP72" s="405"/>
      <c r="GQ72" s="405"/>
      <c r="GR72" s="405"/>
      <c r="GS72" s="405"/>
      <c r="GT72" s="405"/>
      <c r="GU72" s="405"/>
      <c r="GV72" s="405"/>
      <c r="GW72" s="405"/>
      <c r="GX72" s="405"/>
      <c r="GY72" s="405"/>
      <c r="GZ72" s="405"/>
      <c r="HA72" s="405"/>
      <c r="HB72" s="405"/>
      <c r="HC72" s="405"/>
      <c r="HD72" s="405"/>
      <c r="HE72" s="405"/>
      <c r="HF72" s="405"/>
      <c r="HG72" s="405"/>
      <c r="HH72" s="405"/>
      <c r="HI72" s="405"/>
      <c r="HJ72" s="405"/>
      <c r="HK72" s="405"/>
      <c r="HL72" s="405"/>
      <c r="HM72" s="405"/>
      <c r="HN72" s="405"/>
      <c r="HO72" s="405"/>
      <c r="HP72" s="405"/>
      <c r="HQ72" s="405"/>
      <c r="HR72" s="405"/>
      <c r="HS72" s="405"/>
      <c r="HT72" s="405"/>
      <c r="HU72" s="405"/>
      <c r="HV72" s="405"/>
      <c r="HW72" s="405"/>
      <c r="HX72" s="405"/>
      <c r="HY72" s="405"/>
      <c r="HZ72" s="405"/>
      <c r="IA72" s="405"/>
      <c r="IB72" s="405"/>
      <c r="IC72" s="405"/>
      <c r="ID72" s="405"/>
      <c r="IE72" s="405"/>
      <c r="IF72" s="405"/>
      <c r="IG72" s="405"/>
      <c r="IH72" s="401"/>
    </row>
    <row r="73" spans="1:249" s="1" customFormat="1" x14ac:dyDescent="0.25">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c r="BS73" s="405"/>
      <c r="BT73" s="405"/>
      <c r="BU73" s="405"/>
      <c r="BV73" s="405"/>
      <c r="BW73" s="405"/>
      <c r="BX73" s="405"/>
      <c r="BY73" s="719"/>
      <c r="BZ73" s="719"/>
      <c r="CA73" s="405"/>
      <c r="CB73" s="719"/>
      <c r="CC73" s="405"/>
      <c r="CD73" s="719"/>
      <c r="CE73" s="719"/>
      <c r="CF73" s="405"/>
      <c r="CG73" s="720"/>
      <c r="CH73" s="720"/>
      <c r="CI73" s="405"/>
      <c r="CJ73" s="405"/>
      <c r="CK73" s="405"/>
      <c r="CL73" s="405"/>
      <c r="CM73" s="405"/>
      <c r="CN73" s="405"/>
      <c r="CO73" s="405"/>
      <c r="CP73" s="405"/>
      <c r="CQ73" s="405"/>
      <c r="CR73" s="405"/>
      <c r="CS73" s="405"/>
      <c r="CT73" s="405"/>
      <c r="CU73" s="405"/>
      <c r="CV73" s="405"/>
      <c r="CW73" s="405"/>
      <c r="CX73" s="405"/>
      <c r="CY73" s="405"/>
      <c r="CZ73" s="405"/>
      <c r="DA73" s="405"/>
      <c r="DB73" s="405"/>
      <c r="DC73" s="405"/>
      <c r="DD73" s="405"/>
      <c r="DE73" s="405"/>
      <c r="DF73" s="405"/>
      <c r="DG73" s="405"/>
      <c r="DH73" s="405"/>
      <c r="DI73" s="405"/>
      <c r="DJ73" s="405"/>
      <c r="DK73" s="405"/>
      <c r="DL73" s="405"/>
      <c r="DM73" s="405"/>
      <c r="DN73" s="405"/>
      <c r="DO73" s="405"/>
      <c r="DP73" s="405"/>
      <c r="DQ73" s="405"/>
      <c r="DR73" s="405"/>
      <c r="DS73" s="405"/>
      <c r="DT73" s="405"/>
      <c r="DU73" s="405"/>
      <c r="DV73" s="405"/>
      <c r="DW73" s="405"/>
      <c r="DX73" s="405"/>
      <c r="DY73" s="405"/>
      <c r="DZ73" s="405"/>
      <c r="EA73" s="405"/>
      <c r="EB73" s="405"/>
      <c r="EC73" s="405"/>
      <c r="ED73" s="405"/>
      <c r="EE73" s="405"/>
      <c r="EF73" s="405"/>
      <c r="EG73" s="405"/>
      <c r="EH73" s="405"/>
      <c r="EI73" s="405"/>
      <c r="EJ73" s="405"/>
      <c r="EK73" s="405"/>
      <c r="EL73" s="405"/>
      <c r="EM73" s="405"/>
      <c r="EN73" s="405"/>
      <c r="EO73" s="405"/>
      <c r="EP73" s="405"/>
      <c r="EQ73" s="405"/>
      <c r="ER73" s="405"/>
      <c r="ES73" s="405"/>
      <c r="ET73" s="405"/>
      <c r="EU73" s="405"/>
      <c r="EV73" s="405"/>
      <c r="EW73" s="405"/>
      <c r="EX73" s="405"/>
      <c r="EY73" s="405"/>
      <c r="EZ73" s="405"/>
      <c r="FA73" s="405"/>
      <c r="FB73" s="405"/>
      <c r="FC73" s="405"/>
      <c r="FD73" s="405"/>
      <c r="FE73" s="405"/>
      <c r="FF73" s="405"/>
      <c r="FG73" s="405"/>
      <c r="FH73" s="405"/>
      <c r="FI73" s="405"/>
      <c r="FJ73" s="405"/>
      <c r="FK73" s="405"/>
      <c r="FL73" s="405"/>
      <c r="FM73" s="405"/>
      <c r="FN73" s="405"/>
      <c r="FO73" s="405"/>
      <c r="FP73" s="405"/>
      <c r="FQ73" s="405"/>
      <c r="FR73" s="405"/>
      <c r="FS73" s="405"/>
      <c r="FT73" s="405"/>
      <c r="FU73" s="405"/>
      <c r="FV73" s="405"/>
      <c r="FW73" s="405"/>
      <c r="FX73" s="405"/>
      <c r="FY73" s="405"/>
      <c r="FZ73" s="405"/>
      <c r="GA73" s="405"/>
      <c r="GB73" s="405"/>
      <c r="GC73" s="405"/>
      <c r="GD73" s="405"/>
      <c r="GE73" s="405"/>
      <c r="GF73" s="405"/>
      <c r="GG73" s="405"/>
      <c r="GH73" s="405"/>
      <c r="GI73" s="405"/>
      <c r="GJ73" s="405"/>
      <c r="GK73" s="405"/>
      <c r="GL73" s="405"/>
      <c r="GM73" s="405"/>
      <c r="GN73" s="405"/>
      <c r="GO73" s="405"/>
      <c r="GP73" s="405"/>
      <c r="GQ73" s="405"/>
      <c r="GR73" s="405"/>
      <c r="GS73" s="405"/>
      <c r="GT73" s="405"/>
      <c r="GU73" s="405"/>
      <c r="GV73" s="405"/>
      <c r="GW73" s="405"/>
      <c r="GX73" s="405"/>
      <c r="GY73" s="405"/>
      <c r="GZ73" s="405"/>
      <c r="HA73" s="405"/>
      <c r="HB73" s="405"/>
      <c r="HC73" s="405"/>
      <c r="HD73" s="405"/>
      <c r="HE73" s="405"/>
      <c r="HF73" s="405"/>
      <c r="HG73" s="405"/>
      <c r="HH73" s="405"/>
      <c r="HI73" s="405"/>
      <c r="HJ73" s="405"/>
      <c r="HK73" s="405"/>
      <c r="HL73" s="405"/>
      <c r="HM73" s="405"/>
      <c r="HN73" s="405"/>
      <c r="HO73" s="405"/>
      <c r="HP73" s="405"/>
      <c r="HQ73" s="405"/>
      <c r="HR73" s="405"/>
      <c r="HS73" s="405"/>
      <c r="HT73" s="405"/>
      <c r="HU73" s="405"/>
      <c r="HV73" s="405"/>
      <c r="HW73" s="405"/>
      <c r="HX73" s="405"/>
      <c r="HY73" s="405"/>
      <c r="HZ73" s="405"/>
      <c r="IA73" s="405"/>
      <c r="IB73" s="405"/>
      <c r="IC73" s="405"/>
      <c r="ID73" s="405"/>
      <c r="IE73" s="405"/>
      <c r="IF73" s="405"/>
      <c r="IG73" s="405"/>
      <c r="IH73" s="401"/>
    </row>
    <row r="74" spans="1:249" s="1" customFormat="1" ht="15.75" thickBot="1" x14ac:dyDescent="0.3">
      <c r="A74" s="414"/>
      <c r="B74" s="414"/>
      <c r="C74" s="414"/>
      <c r="D74" s="41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414"/>
      <c r="AL74" s="414"/>
      <c r="AM74" s="414"/>
      <c r="AN74" s="414"/>
      <c r="AO74" s="414"/>
      <c r="AP74" s="414"/>
      <c r="AQ74" s="414"/>
      <c r="AR74" s="414"/>
      <c r="AS74" s="414"/>
      <c r="AT74" s="414"/>
      <c r="AU74" s="414"/>
      <c r="AV74" s="414"/>
      <c r="AW74" s="414"/>
      <c r="AX74" s="414"/>
      <c r="AY74" s="414"/>
      <c r="AZ74" s="414"/>
      <c r="BA74" s="414"/>
      <c r="BB74" s="414"/>
      <c r="BC74" s="414"/>
      <c r="BD74" s="414"/>
      <c r="BE74" s="414"/>
      <c r="BF74" s="414"/>
      <c r="BG74" s="414"/>
      <c r="BH74" s="414"/>
      <c r="BI74" s="414"/>
      <c r="BJ74" s="414"/>
      <c r="BK74" s="414"/>
      <c r="BL74" s="414"/>
      <c r="BM74" s="414"/>
      <c r="BN74" s="414"/>
      <c r="BO74" s="414"/>
      <c r="BP74" s="414"/>
      <c r="BQ74" s="414"/>
      <c r="BR74" s="414"/>
      <c r="BS74" s="414"/>
      <c r="BT74" s="414"/>
      <c r="BU74" s="414"/>
      <c r="BV74" s="414"/>
      <c r="BW74" s="414"/>
      <c r="BX74" s="414"/>
      <c r="BY74" s="414"/>
      <c r="BZ74" s="414"/>
      <c r="CA74" s="414"/>
      <c r="CB74" s="721"/>
      <c r="CC74" s="414"/>
      <c r="CD74" s="721"/>
      <c r="CE74" s="721"/>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c r="DB74" s="414"/>
      <c r="DC74" s="414"/>
      <c r="DD74" s="414"/>
      <c r="DE74" s="414"/>
      <c r="DF74" s="414"/>
      <c r="DG74" s="414"/>
      <c r="DH74" s="414"/>
      <c r="DI74" s="414"/>
      <c r="DJ74" s="414"/>
      <c r="DK74" s="414"/>
      <c r="DL74" s="414"/>
      <c r="DM74" s="414"/>
      <c r="DN74" s="414"/>
      <c r="DO74" s="414"/>
      <c r="DP74" s="414"/>
      <c r="DQ74" s="414"/>
      <c r="DR74" s="414"/>
      <c r="DS74" s="414"/>
      <c r="DT74" s="414"/>
      <c r="DU74" s="414"/>
      <c r="DV74" s="414"/>
      <c r="DW74" s="414"/>
      <c r="DX74" s="414"/>
      <c r="DY74" s="414"/>
      <c r="DZ74" s="414"/>
      <c r="EA74" s="414"/>
      <c r="EB74" s="414"/>
      <c r="EC74" s="414"/>
      <c r="ED74" s="414"/>
      <c r="EE74" s="414"/>
      <c r="EF74" s="414"/>
      <c r="EG74" s="414"/>
      <c r="EH74" s="414"/>
      <c r="EI74" s="414"/>
      <c r="EJ74" s="414"/>
      <c r="EK74" s="414"/>
      <c r="EL74" s="414"/>
      <c r="EM74" s="414"/>
      <c r="EN74" s="414"/>
      <c r="EO74" s="414"/>
      <c r="EP74" s="414"/>
      <c r="EQ74" s="414"/>
      <c r="ER74" s="414"/>
      <c r="ES74" s="414"/>
      <c r="ET74" s="414"/>
      <c r="EU74" s="414"/>
      <c r="EV74" s="414"/>
      <c r="EW74" s="414"/>
      <c r="EX74" s="414"/>
      <c r="EY74" s="414"/>
      <c r="EZ74" s="414"/>
      <c r="FA74" s="414"/>
      <c r="FB74" s="414"/>
      <c r="FC74" s="414"/>
      <c r="FD74" s="414"/>
      <c r="FE74" s="414"/>
      <c r="FF74" s="414"/>
      <c r="FG74" s="414"/>
      <c r="FH74" s="414"/>
      <c r="FI74" s="414"/>
      <c r="FJ74" s="414"/>
      <c r="FK74" s="414"/>
      <c r="FL74" s="414"/>
      <c r="FM74" s="414"/>
      <c r="FN74" s="414"/>
      <c r="FO74" s="414"/>
      <c r="FP74" s="414"/>
      <c r="FQ74" s="414"/>
      <c r="FR74" s="414"/>
      <c r="FS74" s="414"/>
      <c r="FT74" s="414"/>
      <c r="FU74" s="414"/>
      <c r="FV74" s="414"/>
      <c r="FW74" s="414"/>
      <c r="FX74" s="414"/>
      <c r="FY74" s="414"/>
      <c r="FZ74" s="414"/>
      <c r="GA74" s="414"/>
      <c r="GB74" s="414"/>
      <c r="GC74" s="414"/>
      <c r="GD74" s="414"/>
      <c r="GE74" s="414"/>
      <c r="GF74" s="414"/>
      <c r="GG74" s="414"/>
      <c r="GH74" s="414"/>
      <c r="GI74" s="414"/>
      <c r="GJ74" s="414"/>
      <c r="GK74" s="414"/>
      <c r="GL74" s="414"/>
      <c r="GM74" s="414"/>
      <c r="GN74" s="414"/>
      <c r="GO74" s="414"/>
      <c r="GP74" s="414"/>
      <c r="GQ74" s="414"/>
      <c r="GR74" s="414"/>
      <c r="GS74" s="414"/>
      <c r="GT74" s="414"/>
      <c r="GU74" s="414"/>
      <c r="GV74" s="414"/>
      <c r="GW74" s="414"/>
      <c r="GX74" s="414"/>
      <c r="GY74" s="414"/>
      <c r="GZ74" s="414"/>
      <c r="HA74" s="414"/>
      <c r="HB74" s="414"/>
      <c r="HC74" s="414"/>
      <c r="HD74" s="414"/>
      <c r="HE74" s="414"/>
      <c r="HF74" s="414"/>
      <c r="HG74" s="414"/>
      <c r="HH74" s="414"/>
      <c r="HI74" s="414"/>
      <c r="HJ74" s="414"/>
      <c r="HK74" s="414"/>
      <c r="HL74" s="414"/>
      <c r="HM74" s="414"/>
      <c r="HN74" s="414"/>
      <c r="HO74" s="414"/>
      <c r="HP74" s="414"/>
      <c r="HQ74" s="414"/>
      <c r="HR74" s="414"/>
      <c r="HS74" s="414"/>
      <c r="HT74" s="414"/>
      <c r="HU74" s="414"/>
      <c r="HV74" s="414"/>
      <c r="HW74" s="414"/>
      <c r="HX74" s="414"/>
      <c r="HY74" s="414"/>
      <c r="HZ74" s="414"/>
      <c r="IA74" s="414"/>
      <c r="IB74" s="414"/>
      <c r="IC74" s="414"/>
      <c r="ID74" s="414"/>
      <c r="IE74" s="414"/>
      <c r="IF74" s="414"/>
      <c r="IG74" s="414"/>
      <c r="IH74" s="415"/>
    </row>
    <row r="75" spans="1:249" x14ac:dyDescent="0.25">
      <c r="IG75" s="770"/>
    </row>
    <row r="76" spans="1:249" x14ac:dyDescent="0.25">
      <c r="IG76" s="770"/>
    </row>
    <row r="77" spans="1:249" x14ac:dyDescent="0.25">
      <c r="IG77" s="770"/>
    </row>
    <row r="78" spans="1:249" x14ac:dyDescent="0.25">
      <c r="IG78" s="770"/>
    </row>
    <row r="79" spans="1:249" x14ac:dyDescent="0.25">
      <c r="IG79" s="770"/>
    </row>
    <row r="80" spans="1:249" x14ac:dyDescent="0.25">
      <c r="IG80" s="770"/>
    </row>
    <row r="81" spans="241:241" x14ac:dyDescent="0.25">
      <c r="IG81" s="770"/>
    </row>
    <row r="82" spans="241:241" x14ac:dyDescent="0.25">
      <c r="IG82" s="770"/>
    </row>
    <row r="83" spans="241:241" x14ac:dyDescent="0.25">
      <c r="IG83" s="770"/>
    </row>
    <row r="84" spans="241:241" x14ac:dyDescent="0.25">
      <c r="IG84" s="770"/>
    </row>
    <row r="85" spans="241:241" x14ac:dyDescent="0.25">
      <c r="IG85" s="770"/>
    </row>
    <row r="86" spans="241:241" x14ac:dyDescent="0.25">
      <c r="IG86" s="770"/>
    </row>
    <row r="87" spans="241:241" x14ac:dyDescent="0.25">
      <c r="IG87" s="770"/>
    </row>
    <row r="88" spans="241:241" x14ac:dyDescent="0.25">
      <c r="IG88" s="770"/>
    </row>
    <row r="89" spans="241:241" x14ac:dyDescent="0.25">
      <c r="IG89" s="770"/>
    </row>
    <row r="90" spans="241:241" x14ac:dyDescent="0.25">
      <c r="IG90" s="770"/>
    </row>
    <row r="91" spans="241:241" x14ac:dyDescent="0.25">
      <c r="IG91" s="770"/>
    </row>
    <row r="92" spans="241:241" x14ac:dyDescent="0.25">
      <c r="IG92" s="770"/>
    </row>
    <row r="93" spans="241:241" x14ac:dyDescent="0.25">
      <c r="IG93" s="770"/>
    </row>
    <row r="94" spans="241:241" x14ac:dyDescent="0.25">
      <c r="IG94" s="770"/>
    </row>
    <row r="95" spans="241:241" x14ac:dyDescent="0.25">
      <c r="IG95" s="770"/>
    </row>
    <row r="96" spans="241:241" x14ac:dyDescent="0.25">
      <c r="IG96" s="770"/>
    </row>
    <row r="97" spans="241:241" x14ac:dyDescent="0.25">
      <c r="IG97" s="770"/>
    </row>
    <row r="98" spans="241:241" x14ac:dyDescent="0.25">
      <c r="IG98" s="770"/>
    </row>
    <row r="99" spans="241:241" x14ac:dyDescent="0.25">
      <c r="IG99" s="770"/>
    </row>
    <row r="100" spans="241:241" x14ac:dyDescent="0.25">
      <c r="IG100" s="770"/>
    </row>
    <row r="101" spans="241:241" x14ac:dyDescent="0.25">
      <c r="IG101" s="770"/>
    </row>
    <row r="102" spans="241:241" x14ac:dyDescent="0.25">
      <c r="IG102" s="770"/>
    </row>
    <row r="103" spans="241:241" x14ac:dyDescent="0.25">
      <c r="IG103" s="770"/>
    </row>
    <row r="104" spans="241:241" x14ac:dyDescent="0.25">
      <c r="IG104" s="770"/>
    </row>
    <row r="105" spans="241:241" x14ac:dyDescent="0.25">
      <c r="IG105" s="770"/>
    </row>
    <row r="106" spans="241:241" x14ac:dyDescent="0.25">
      <c r="IG106" s="770"/>
    </row>
    <row r="107" spans="241:241" x14ac:dyDescent="0.25">
      <c r="IG107" s="770"/>
    </row>
    <row r="108" spans="241:241" x14ac:dyDescent="0.25">
      <c r="IG108" s="770"/>
    </row>
    <row r="109" spans="241:241" x14ac:dyDescent="0.25">
      <c r="IG109" s="770"/>
    </row>
    <row r="110" spans="241:241" x14ac:dyDescent="0.25">
      <c r="IG110" s="770"/>
    </row>
    <row r="111" spans="241:241" x14ac:dyDescent="0.25">
      <c r="IG111" s="770"/>
    </row>
    <row r="112" spans="241:241" x14ac:dyDescent="0.25">
      <c r="IG112" s="770"/>
    </row>
    <row r="113" spans="241:241" x14ac:dyDescent="0.25">
      <c r="IG113" s="770"/>
    </row>
    <row r="114" spans="241:241" x14ac:dyDescent="0.25">
      <c r="IG114" s="770"/>
    </row>
    <row r="115" spans="241:241" x14ac:dyDescent="0.25">
      <c r="IG115" s="770"/>
    </row>
    <row r="116" spans="241:241" x14ac:dyDescent="0.25">
      <c r="IG116" s="770"/>
    </row>
    <row r="117" spans="241:241" x14ac:dyDescent="0.25">
      <c r="IG117" s="770"/>
    </row>
    <row r="118" spans="241:241" x14ac:dyDescent="0.25">
      <c r="IG118" s="770"/>
    </row>
    <row r="119" spans="241:241" x14ac:dyDescent="0.25">
      <c r="IG119" s="770"/>
    </row>
    <row r="120" spans="241:241" x14ac:dyDescent="0.25">
      <c r="IG120" s="770"/>
    </row>
    <row r="121" spans="241:241" x14ac:dyDescent="0.25">
      <c r="IG121" s="770"/>
    </row>
    <row r="122" spans="241:241" x14ac:dyDescent="0.25">
      <c r="IG122" s="770"/>
    </row>
    <row r="123" spans="241:241" x14ac:dyDescent="0.25">
      <c r="IG123" s="770"/>
    </row>
    <row r="124" spans="241:241" x14ac:dyDescent="0.25">
      <c r="IG124" s="770"/>
    </row>
    <row r="125" spans="241:241" x14ac:dyDescent="0.25">
      <c r="IG125" s="770"/>
    </row>
    <row r="126" spans="241:241" x14ac:dyDescent="0.25">
      <c r="IG126" s="770"/>
    </row>
    <row r="127" spans="241:241" x14ac:dyDescent="0.25">
      <c r="IG127" s="770"/>
    </row>
    <row r="128" spans="241:241" x14ac:dyDescent="0.25">
      <c r="IG128" s="770"/>
    </row>
    <row r="129" spans="241:242" x14ac:dyDescent="0.25">
      <c r="IG129" s="770"/>
    </row>
    <row r="130" spans="241:242" x14ac:dyDescent="0.25">
      <c r="IG130" s="770"/>
      <c r="IH130" s="777"/>
    </row>
    <row r="131" spans="241:242" x14ac:dyDescent="0.25">
      <c r="IG131" s="777"/>
    </row>
    <row r="132" spans="241:242" x14ac:dyDescent="0.25">
      <c r="IG132" s="777"/>
    </row>
    <row r="133" spans="241:242" x14ac:dyDescent="0.25">
      <c r="IG133" s="777"/>
    </row>
    <row r="134" spans="241:242" x14ac:dyDescent="0.25">
      <c r="IG134" s="777"/>
    </row>
    <row r="135" spans="241:242" x14ac:dyDescent="0.25">
      <c r="IG135" s="777"/>
    </row>
    <row r="136" spans="241:242" x14ac:dyDescent="0.25">
      <c r="IG136" s="777"/>
    </row>
    <row r="137" spans="241:242" x14ac:dyDescent="0.25">
      <c r="IG137" s="777"/>
    </row>
    <row r="138" spans="241:242" x14ac:dyDescent="0.25">
      <c r="IG138" s="777"/>
    </row>
    <row r="139" spans="241:242" x14ac:dyDescent="0.25">
      <c r="IG139" s="777"/>
    </row>
    <row r="140" spans="241:242" x14ac:dyDescent="0.25">
      <c r="IG140" s="777"/>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9" tint="0.39997558519241921"/>
  </sheetPr>
  <dimension ref="A1:IN150"/>
  <sheetViews>
    <sheetView workbookViewId="0">
      <selection activeCell="P29" sqref="P29"/>
    </sheetView>
  </sheetViews>
  <sheetFormatPr defaultColWidth="3.5703125" defaultRowHeight="15" x14ac:dyDescent="0.25"/>
  <cols>
    <col min="1" max="1" width="14.5703125" style="1" customWidth="1"/>
    <col min="2" max="2" width="17.7109375" style="1" customWidth="1"/>
    <col min="3" max="6" width="7.7109375" style="1" customWidth="1"/>
    <col min="7" max="7" width="11.85546875" style="1" customWidth="1"/>
    <col min="8" max="8" width="10.85546875" style="1" customWidth="1"/>
    <col min="9" max="9" width="7.7109375" style="1" customWidth="1"/>
    <col min="10" max="10" width="7.7109375" style="5" customWidth="1"/>
    <col min="11" max="11" width="9.28515625" style="1" customWidth="1"/>
    <col min="12" max="12" width="8.7109375" style="1" customWidth="1"/>
    <col min="13" max="13" width="8.85546875" style="1" customWidth="1"/>
    <col min="14" max="14" width="9.42578125" style="10" customWidth="1"/>
    <col min="15" max="15" width="7.7109375" style="1" customWidth="1"/>
    <col min="16" max="16" width="22.42578125" style="1" customWidth="1"/>
    <col min="17" max="20" width="7.7109375" style="1" customWidth="1"/>
    <col min="21" max="21" width="11.140625" style="1" customWidth="1"/>
    <col min="22" max="22" width="10.7109375" style="1" customWidth="1"/>
    <col min="23" max="23" width="7.7109375" style="1" customWidth="1"/>
    <col min="24" max="24" width="7.7109375" style="5" customWidth="1"/>
    <col min="25" max="25" width="7.7109375" style="1" customWidth="1"/>
    <col min="26" max="26" width="9" style="1" customWidth="1"/>
    <col min="27" max="28" width="9.5703125" style="1" customWidth="1"/>
    <col min="29" max="29" width="7.7109375" style="1" customWidth="1"/>
    <col min="30" max="30" width="25.140625" style="1" customWidth="1"/>
    <col min="31" max="36" width="7.7109375" style="1" customWidth="1"/>
    <col min="37" max="38" width="7.7109375" style="5" customWidth="1"/>
    <col min="39" max="39" width="7.7109375" style="1" customWidth="1"/>
    <col min="40" max="40" width="7.7109375" style="5" customWidth="1"/>
    <col min="41" max="43" width="7.7109375" style="1" customWidth="1"/>
    <col min="44" max="44" width="25.5703125" style="1" customWidth="1"/>
    <col min="45" max="57" width="7.7109375" style="1" customWidth="1"/>
    <col min="58" max="58" width="17.7109375" style="1" customWidth="1"/>
    <col min="59" max="71" width="7.7109375" style="1" customWidth="1"/>
    <col min="72" max="72" width="17.7109375" style="1" customWidth="1"/>
    <col min="73" max="85" width="7.7109375" style="1" customWidth="1"/>
    <col min="86" max="86" width="17.7109375" style="1" customWidth="1"/>
    <col min="87" max="99" width="7.7109375" style="1" customWidth="1"/>
    <col min="100" max="100" width="17.7109375" style="1" customWidth="1"/>
    <col min="101" max="113" width="7.7109375" style="1" customWidth="1"/>
    <col min="114" max="114" width="17.7109375" style="1" customWidth="1"/>
    <col min="115" max="127" width="7.7109375" style="1" customWidth="1"/>
    <col min="128" max="128" width="17.7109375" style="1" customWidth="1"/>
    <col min="129" max="141" width="7.7109375" style="1" customWidth="1"/>
    <col min="142" max="142" width="17.7109375" style="1" customWidth="1"/>
    <col min="143" max="155" width="7.7109375" style="1" customWidth="1"/>
    <col min="156" max="156" width="17.7109375" style="1" customWidth="1"/>
    <col min="157" max="169" width="7.7109375" style="1" customWidth="1"/>
    <col min="170" max="170" width="17.7109375" style="1" customWidth="1"/>
    <col min="171" max="183" width="7.7109375" style="1" customWidth="1"/>
    <col min="184" max="184" width="17.7109375" style="1" customWidth="1"/>
    <col min="185" max="197" width="7.7109375" style="1" customWidth="1"/>
    <col min="198" max="198" width="17.7109375" style="1" customWidth="1"/>
    <col min="199" max="211" width="7.7109375" style="1" customWidth="1"/>
    <col min="212" max="212" width="17.7109375" style="1" customWidth="1"/>
    <col min="213" max="216" width="7.7109375" style="1" customWidth="1"/>
    <col min="217" max="217" width="17.7109375" style="1" customWidth="1"/>
    <col min="218" max="229" width="7.7109375" style="1" customWidth="1"/>
    <col min="230" max="230" width="17.7109375" style="1" customWidth="1"/>
    <col min="231" max="234" width="7.7109375" style="1" customWidth="1"/>
    <col min="235" max="235" width="17.7109375" style="1" customWidth="1"/>
    <col min="236" max="247" width="7.7109375" style="1" customWidth="1"/>
    <col min="248" max="248" width="8" style="1" customWidth="1"/>
    <col min="249" max="249" width="4.7109375" style="1" customWidth="1"/>
    <col min="250" max="250" width="4.28515625" style="1" customWidth="1"/>
    <col min="251" max="254" width="3.85546875" style="1" customWidth="1"/>
    <col min="255" max="255" width="3.5703125" style="1" bestFit="1" customWidth="1"/>
    <col min="256" max="16384" width="3.5703125" style="1"/>
  </cols>
  <sheetData>
    <row r="1" spans="1:248" ht="15.75" thickBot="1" x14ac:dyDescent="0.3">
      <c r="A1" s="1178" t="s">
        <v>276</v>
      </c>
      <c r="B1" s="629"/>
      <c r="C1" s="629"/>
      <c r="D1" s="629"/>
      <c r="E1" s="629"/>
      <c r="F1" s="629"/>
      <c r="G1" s="1180"/>
      <c r="H1" s="629"/>
      <c r="I1" s="629"/>
      <c r="J1" s="630"/>
      <c r="K1" s="629"/>
      <c r="L1" s="629"/>
      <c r="M1" s="629"/>
      <c r="N1" s="631"/>
      <c r="O1" s="629"/>
      <c r="P1" s="629"/>
      <c r="Q1" s="629"/>
      <c r="R1" s="629"/>
      <c r="S1" s="629"/>
      <c r="T1" s="629"/>
      <c r="U1" s="629"/>
      <c r="V1" s="629"/>
      <c r="W1" s="629"/>
      <c r="X1" s="630"/>
      <c r="Y1" s="629"/>
      <c r="Z1" s="629"/>
      <c r="AA1" s="629"/>
      <c r="AB1" s="629"/>
      <c r="AC1" s="629"/>
      <c r="AD1" s="629"/>
      <c r="AE1" s="629"/>
      <c r="AF1" s="629"/>
      <c r="AG1" s="629"/>
      <c r="AH1" s="629"/>
      <c r="AI1" s="629"/>
      <c r="AJ1" s="629"/>
      <c r="AK1" s="630"/>
      <c r="AL1" s="630"/>
      <c r="AM1" s="629"/>
      <c r="AN1" s="630"/>
      <c r="AO1" s="629"/>
      <c r="AP1" s="629"/>
      <c r="AQ1" s="629"/>
      <c r="AR1" s="629"/>
      <c r="AS1" s="629"/>
      <c r="AT1" s="629"/>
      <c r="AU1" s="629"/>
      <c r="AV1" s="629"/>
      <c r="AW1" s="629"/>
      <c r="AX1" s="629"/>
      <c r="AY1" s="629"/>
      <c r="AZ1" s="629"/>
      <c r="BA1" s="629"/>
      <c r="BB1" s="629"/>
      <c r="BC1" s="629"/>
      <c r="BD1" s="629"/>
      <c r="BE1" s="629"/>
      <c r="BF1" s="629" t="s">
        <v>211</v>
      </c>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326"/>
    </row>
    <row r="2" spans="1:248" ht="15.75" thickBot="1" x14ac:dyDescent="0.3">
      <c r="A2" s="632" t="s">
        <v>288</v>
      </c>
      <c r="B2" s="633">
        <v>1</v>
      </c>
      <c r="C2" s="634"/>
      <c r="D2" s="634"/>
      <c r="E2" s="634"/>
      <c r="F2" s="634"/>
      <c r="G2" s="635"/>
      <c r="H2" s="636"/>
      <c r="I2" s="636"/>
      <c r="J2" s="637"/>
      <c r="K2" s="636"/>
      <c r="L2" s="636"/>
      <c r="M2" s="636"/>
      <c r="N2" s="636"/>
      <c r="O2" s="638"/>
      <c r="P2" s="633">
        <v>2</v>
      </c>
      <c r="Q2" s="634"/>
      <c r="R2" s="634"/>
      <c r="S2" s="634"/>
      <c r="T2" s="634"/>
      <c r="U2" s="635"/>
      <c r="V2" s="636"/>
      <c r="W2" s="639"/>
      <c r="X2" s="637"/>
      <c r="Y2" s="636"/>
      <c r="Z2" s="636"/>
      <c r="AA2" s="636"/>
      <c r="AB2" s="636"/>
      <c r="AC2" s="638"/>
      <c r="AD2" s="633">
        <v>3</v>
      </c>
      <c r="AE2" s="634"/>
      <c r="AF2" s="634"/>
      <c r="AG2" s="634"/>
      <c r="AH2" s="634"/>
      <c r="AI2" s="635"/>
      <c r="AJ2" s="636"/>
      <c r="AK2" s="637"/>
      <c r="AL2" s="637"/>
      <c r="AM2" s="636"/>
      <c r="AN2" s="637"/>
      <c r="AO2" s="636"/>
      <c r="AP2" s="636"/>
      <c r="AQ2" s="638"/>
      <c r="AR2" s="633">
        <v>4</v>
      </c>
      <c r="AS2" s="634"/>
      <c r="AT2" s="634"/>
      <c r="AU2" s="634"/>
      <c r="AV2" s="634"/>
      <c r="AW2" s="635"/>
      <c r="AX2" s="636"/>
      <c r="AY2" s="636"/>
      <c r="AZ2" s="636"/>
      <c r="BA2" s="636"/>
      <c r="BB2" s="636"/>
      <c r="BC2" s="636"/>
      <c r="BD2" s="636"/>
      <c r="BE2" s="638"/>
      <c r="BF2" s="633">
        <v>5</v>
      </c>
      <c r="BG2" s="634"/>
      <c r="BH2" s="634"/>
      <c r="BI2" s="634"/>
      <c r="BJ2" s="634"/>
      <c r="BK2" s="635"/>
      <c r="BL2" s="636"/>
      <c r="BM2" s="636"/>
      <c r="BN2" s="636"/>
      <c r="BO2" s="636"/>
      <c r="BP2" s="636"/>
      <c r="BQ2" s="636"/>
      <c r="BR2" s="636"/>
      <c r="BS2" s="638"/>
      <c r="BT2" s="633">
        <v>6</v>
      </c>
      <c r="BU2" s="634"/>
      <c r="BV2" s="634"/>
      <c r="BW2" s="634"/>
      <c r="BX2" s="634"/>
      <c r="BY2" s="635"/>
      <c r="BZ2" s="636"/>
      <c r="CA2" s="636"/>
      <c r="CB2" s="636"/>
      <c r="CC2" s="636"/>
      <c r="CD2" s="636"/>
      <c r="CE2" s="636"/>
      <c r="CF2" s="636"/>
      <c r="CG2" s="638"/>
      <c r="CH2" s="633">
        <v>7</v>
      </c>
      <c r="CI2" s="634"/>
      <c r="CJ2" s="634"/>
      <c r="CK2" s="634"/>
      <c r="CL2" s="634"/>
      <c r="CM2" s="635"/>
      <c r="CN2" s="636"/>
      <c r="CO2" s="636"/>
      <c r="CP2" s="636"/>
      <c r="CQ2" s="636"/>
      <c r="CR2" s="636"/>
      <c r="CS2" s="636"/>
      <c r="CT2" s="636"/>
      <c r="CU2" s="638"/>
      <c r="CV2" s="633">
        <v>8</v>
      </c>
      <c r="CW2" s="634"/>
      <c r="CX2" s="634"/>
      <c r="CY2" s="634"/>
      <c r="CZ2" s="634"/>
      <c r="DA2" s="635"/>
      <c r="DB2" s="636"/>
      <c r="DC2" s="636"/>
      <c r="DD2" s="636"/>
      <c r="DE2" s="636"/>
      <c r="DF2" s="636"/>
      <c r="DG2" s="636"/>
      <c r="DH2" s="636"/>
      <c r="DI2" s="638"/>
      <c r="DJ2" s="633">
        <v>9</v>
      </c>
      <c r="DK2" s="634"/>
      <c r="DL2" s="634"/>
      <c r="DM2" s="634"/>
      <c r="DN2" s="634"/>
      <c r="DO2" s="635"/>
      <c r="DP2" s="636"/>
      <c r="DQ2" s="636"/>
      <c r="DR2" s="636"/>
      <c r="DS2" s="636"/>
      <c r="DT2" s="636"/>
      <c r="DU2" s="636"/>
      <c r="DV2" s="636"/>
      <c r="DW2" s="638"/>
      <c r="DX2" s="633">
        <v>10</v>
      </c>
      <c r="DY2" s="634"/>
      <c r="DZ2" s="634"/>
      <c r="EA2" s="634"/>
      <c r="EB2" s="634"/>
      <c r="EC2" s="635"/>
      <c r="ED2" s="636"/>
      <c r="EE2" s="636"/>
      <c r="EF2" s="636"/>
      <c r="EG2" s="636"/>
      <c r="EH2" s="636"/>
      <c r="EI2" s="636"/>
      <c r="EJ2" s="636"/>
      <c r="EK2" s="638"/>
      <c r="EL2" s="633">
        <v>11</v>
      </c>
      <c r="EM2" s="634"/>
      <c r="EN2" s="634"/>
      <c r="EO2" s="634"/>
      <c r="EP2" s="634"/>
      <c r="EQ2" s="635"/>
      <c r="ER2" s="636"/>
      <c r="ES2" s="636"/>
      <c r="ET2" s="636"/>
      <c r="EU2" s="636"/>
      <c r="EV2" s="636"/>
      <c r="EW2" s="636"/>
      <c r="EX2" s="636"/>
      <c r="EY2" s="638"/>
      <c r="EZ2" s="633">
        <v>12</v>
      </c>
      <c r="FA2" s="634"/>
      <c r="FB2" s="634"/>
      <c r="FC2" s="634"/>
      <c r="FD2" s="634"/>
      <c r="FE2" s="635"/>
      <c r="FF2" s="636"/>
      <c r="FG2" s="636"/>
      <c r="FH2" s="636"/>
      <c r="FI2" s="636"/>
      <c r="FJ2" s="636"/>
      <c r="FK2" s="636"/>
      <c r="FL2" s="636"/>
      <c r="FM2" s="638"/>
      <c r="FN2" s="633">
        <v>13</v>
      </c>
      <c r="FO2" s="634"/>
      <c r="FP2" s="634"/>
      <c r="FQ2" s="634"/>
      <c r="FR2" s="634"/>
      <c r="FS2" s="635"/>
      <c r="FT2" s="636"/>
      <c r="FU2" s="636"/>
      <c r="FV2" s="636"/>
      <c r="FW2" s="636"/>
      <c r="FX2" s="636"/>
      <c r="FY2" s="636"/>
      <c r="FZ2" s="636"/>
      <c r="GA2" s="638"/>
      <c r="GB2" s="633">
        <v>14</v>
      </c>
      <c r="GC2" s="634"/>
      <c r="GD2" s="634"/>
      <c r="GE2" s="634"/>
      <c r="GF2" s="634"/>
      <c r="GG2" s="635"/>
      <c r="GH2" s="636"/>
      <c r="GI2" s="636"/>
      <c r="GJ2" s="636"/>
      <c r="GK2" s="636"/>
      <c r="GL2" s="636"/>
      <c r="GM2" s="636"/>
      <c r="GN2" s="636"/>
      <c r="GO2" s="638"/>
      <c r="GP2" s="633">
        <v>15</v>
      </c>
      <c r="GQ2" s="634"/>
      <c r="GR2" s="634"/>
      <c r="GS2" s="634"/>
      <c r="GT2" s="634"/>
      <c r="GU2" s="635"/>
      <c r="GV2" s="636"/>
      <c r="GW2" s="636"/>
      <c r="GX2" s="636"/>
      <c r="GY2" s="636"/>
      <c r="GZ2" s="636"/>
      <c r="HA2" s="636"/>
      <c r="HB2" s="636"/>
      <c r="HC2" s="638"/>
      <c r="HD2" s="640">
        <v>16</v>
      </c>
      <c r="HE2" s="640"/>
      <c r="HF2" s="634"/>
      <c r="HG2" s="634"/>
      <c r="HH2" s="634"/>
      <c r="HI2" s="634"/>
      <c r="HJ2" s="634"/>
      <c r="HK2" s="634"/>
      <c r="HL2" s="634"/>
      <c r="HM2" s="635"/>
      <c r="HN2" s="636"/>
      <c r="HO2" s="636"/>
      <c r="HP2" s="636"/>
      <c r="HQ2" s="636"/>
      <c r="HR2" s="636"/>
      <c r="HS2" s="636"/>
      <c r="HT2" s="636"/>
      <c r="HU2" s="638"/>
      <c r="HV2" s="640">
        <v>17</v>
      </c>
      <c r="HW2" s="640"/>
      <c r="HX2" s="634"/>
      <c r="HY2" s="634"/>
      <c r="HZ2" s="634"/>
      <c r="IA2" s="634"/>
      <c r="IB2" s="634"/>
      <c r="IC2" s="634"/>
      <c r="ID2" s="634"/>
      <c r="IE2" s="635"/>
      <c r="IF2" s="636"/>
      <c r="IG2" s="636"/>
      <c r="IH2" s="636"/>
      <c r="II2" s="636"/>
      <c r="IJ2" s="636"/>
      <c r="IK2" s="636"/>
      <c r="IL2" s="636"/>
      <c r="IM2" s="636"/>
      <c r="IN2" s="346"/>
    </row>
    <row r="3" spans="1:248" ht="15.75" thickBot="1" x14ac:dyDescent="0.3">
      <c r="A3" s="641" t="s">
        <v>46</v>
      </c>
      <c r="B3" s="642" t="s">
        <v>528</v>
      </c>
      <c r="C3" s="643"/>
      <c r="D3" s="643"/>
      <c r="E3" s="643"/>
      <c r="F3" s="643"/>
      <c r="G3" s="644"/>
      <c r="H3" s="644"/>
      <c r="I3" s="645" t="s">
        <v>329</v>
      </c>
      <c r="J3" s="646"/>
      <c r="K3" s="644"/>
      <c r="L3" s="644"/>
      <c r="M3" s="644"/>
      <c r="N3" s="644"/>
      <c r="O3" s="647"/>
      <c r="P3" s="642" t="s">
        <v>528</v>
      </c>
      <c r="Q3" s="648"/>
      <c r="R3" s="643"/>
      <c r="S3" s="643"/>
      <c r="T3" s="643"/>
      <c r="U3" s="644"/>
      <c r="V3" s="644"/>
      <c r="W3" s="1182" t="s">
        <v>329</v>
      </c>
      <c r="X3" s="646"/>
      <c r="Y3" s="644"/>
      <c r="Z3" s="646"/>
      <c r="AA3" s="644"/>
      <c r="AB3" s="644"/>
      <c r="AC3" s="647"/>
      <c r="AD3" s="642"/>
      <c r="AE3" s="648"/>
      <c r="AF3" s="643"/>
      <c r="AG3" s="643"/>
      <c r="AH3" s="643"/>
      <c r="AI3" s="644"/>
      <c r="AJ3" s="644"/>
      <c r="AK3" s="1182"/>
      <c r="AL3" s="646"/>
      <c r="AM3" s="644"/>
      <c r="AN3" s="646"/>
      <c r="AO3" s="644"/>
      <c r="AP3" s="644"/>
      <c r="AQ3" s="647"/>
      <c r="AR3" s="642"/>
      <c r="AS3" s="648"/>
      <c r="AT3" s="643"/>
      <c r="AU3" s="643"/>
      <c r="AV3" s="643"/>
      <c r="AW3" s="644"/>
      <c r="AX3" s="644"/>
      <c r="AY3" s="1182"/>
      <c r="AZ3" s="646"/>
      <c r="BA3" s="644"/>
      <c r="BB3" s="646"/>
      <c r="BC3" s="644"/>
      <c r="BD3" s="644"/>
      <c r="BE3" s="647"/>
      <c r="BF3" s="642"/>
      <c r="BG3" s="643"/>
      <c r="BH3" s="643"/>
      <c r="BI3" s="643"/>
      <c r="BJ3" s="643"/>
      <c r="BK3" s="644"/>
      <c r="BL3" s="644"/>
      <c r="BM3" s="1183"/>
      <c r="BN3" s="646"/>
      <c r="BO3" s="644"/>
      <c r="BP3" s="644"/>
      <c r="BQ3" s="644"/>
      <c r="BR3" s="644"/>
      <c r="BS3" s="647"/>
      <c r="BT3" s="642"/>
      <c r="BU3" s="648"/>
      <c r="BV3" s="643"/>
      <c r="BW3" s="643"/>
      <c r="BX3" s="643"/>
      <c r="BY3" s="644"/>
      <c r="BZ3" s="644"/>
      <c r="CA3" s="1183"/>
      <c r="CB3" s="646"/>
      <c r="CC3" s="644"/>
      <c r="CD3" s="644"/>
      <c r="CE3" s="644"/>
      <c r="CF3" s="644"/>
      <c r="CG3" s="647"/>
      <c r="CH3" s="642"/>
      <c r="CI3" s="648"/>
      <c r="CJ3" s="643"/>
      <c r="CK3" s="643"/>
      <c r="CL3" s="643"/>
      <c r="CM3" s="644"/>
      <c r="CN3" s="644"/>
      <c r="CO3" s="1182"/>
      <c r="CP3" s="646"/>
      <c r="CQ3" s="644"/>
      <c r="CR3" s="646"/>
      <c r="CS3" s="644"/>
      <c r="CT3" s="644"/>
      <c r="CU3" s="647"/>
      <c r="CV3" s="642"/>
      <c r="CW3" s="648"/>
      <c r="CX3" s="643"/>
      <c r="CY3" s="643"/>
      <c r="CZ3" s="643"/>
      <c r="DA3" s="644"/>
      <c r="DB3" s="644"/>
      <c r="DC3" s="1183"/>
      <c r="DD3" s="644"/>
      <c r="DE3" s="644"/>
      <c r="DF3" s="644"/>
      <c r="DG3" s="644"/>
      <c r="DH3" s="644"/>
      <c r="DI3" s="647"/>
      <c r="DJ3" s="642"/>
      <c r="DK3" s="648"/>
      <c r="DL3" s="643"/>
      <c r="DM3" s="643"/>
      <c r="DN3" s="643"/>
      <c r="DO3" s="644"/>
      <c r="DP3" s="644"/>
      <c r="DQ3" s="1183"/>
      <c r="DR3" s="644"/>
      <c r="DS3" s="644"/>
      <c r="DT3" s="644"/>
      <c r="DU3" s="644"/>
      <c r="DV3" s="644"/>
      <c r="DW3" s="647"/>
      <c r="DX3" s="642"/>
      <c r="DY3" s="648"/>
      <c r="DZ3" s="643"/>
      <c r="EA3" s="643"/>
      <c r="EB3" s="643"/>
      <c r="EC3" s="644"/>
      <c r="ED3" s="644"/>
      <c r="EE3" s="1183"/>
      <c r="EF3" s="644"/>
      <c r="EG3" s="644"/>
      <c r="EH3" s="644"/>
      <c r="EI3" s="644"/>
      <c r="EJ3" s="644"/>
      <c r="EK3" s="647"/>
      <c r="EL3" s="642"/>
      <c r="EM3" s="648"/>
      <c r="EN3" s="643"/>
      <c r="EO3" s="643"/>
      <c r="EP3" s="643"/>
      <c r="EQ3" s="644"/>
      <c r="ER3" s="644"/>
      <c r="ES3" s="1183"/>
      <c r="ET3" s="644"/>
      <c r="EU3" s="644"/>
      <c r="EV3" s="644"/>
      <c r="EW3" s="644"/>
      <c r="EX3" s="644"/>
      <c r="EY3" s="647"/>
      <c r="EZ3" s="642"/>
      <c r="FA3" s="648"/>
      <c r="FB3" s="643"/>
      <c r="FC3" s="643"/>
      <c r="FD3" s="643"/>
      <c r="FE3" s="644"/>
      <c r="FF3" s="644"/>
      <c r="FG3" s="644"/>
      <c r="FH3" s="644"/>
      <c r="FI3" s="644"/>
      <c r="FJ3" s="644"/>
      <c r="FK3" s="644"/>
      <c r="FL3" s="644"/>
      <c r="FM3" s="647"/>
      <c r="FN3" s="642"/>
      <c r="FO3" s="648"/>
      <c r="FP3" s="643"/>
      <c r="FQ3" s="643"/>
      <c r="FR3" s="643"/>
      <c r="FS3" s="644"/>
      <c r="FT3" s="644"/>
      <c r="FU3" s="1183"/>
      <c r="FV3" s="644"/>
      <c r="FW3" s="644"/>
      <c r="FX3" s="644"/>
      <c r="FY3" s="644"/>
      <c r="FZ3" s="644"/>
      <c r="GA3" s="647"/>
      <c r="GB3" s="642"/>
      <c r="GC3" s="648"/>
      <c r="GD3" s="643"/>
      <c r="GE3" s="643"/>
      <c r="GF3" s="643"/>
      <c r="GG3" s="644"/>
      <c r="GH3" s="644"/>
      <c r="GI3" s="1183"/>
      <c r="GJ3" s="644"/>
      <c r="GK3" s="644"/>
      <c r="GL3" s="644"/>
      <c r="GM3" s="644"/>
      <c r="GN3" s="644"/>
      <c r="GO3" s="647"/>
      <c r="GP3" s="642"/>
      <c r="GQ3" s="648"/>
      <c r="GR3" s="643"/>
      <c r="GS3" s="643"/>
      <c r="GT3" s="643"/>
      <c r="GU3" s="644"/>
      <c r="GV3" s="644"/>
      <c r="GW3" s="1183"/>
      <c r="GX3" s="644"/>
      <c r="GY3" s="644"/>
      <c r="GZ3" s="644"/>
      <c r="HA3" s="644"/>
      <c r="HB3" s="644"/>
      <c r="HC3" s="647"/>
      <c r="HD3" s="642"/>
      <c r="HE3" s="649"/>
      <c r="HF3" s="650"/>
      <c r="HG3" s="643"/>
      <c r="HH3" s="643"/>
      <c r="HI3" s="643"/>
      <c r="HJ3" s="643"/>
      <c r="HK3" s="643"/>
      <c r="HL3" s="643"/>
      <c r="HM3" s="644"/>
      <c r="HN3" s="644"/>
      <c r="HO3" s="1183"/>
      <c r="HP3" s="644"/>
      <c r="HQ3" s="644"/>
      <c r="HR3" s="644"/>
      <c r="HS3" s="644"/>
      <c r="HT3" s="644"/>
      <c r="HU3" s="647"/>
      <c r="HV3" s="642"/>
      <c r="HW3" s="649"/>
      <c r="HX3" s="650"/>
      <c r="HY3" s="643"/>
      <c r="HZ3" s="643"/>
      <c r="IA3" s="643"/>
      <c r="IB3" s="643"/>
      <c r="IC3" s="643"/>
      <c r="ID3" s="643"/>
      <c r="IE3" s="644"/>
      <c r="IF3" s="644"/>
      <c r="IG3" s="1183"/>
      <c r="IH3" s="644"/>
      <c r="II3" s="644"/>
      <c r="IJ3" s="644"/>
      <c r="IK3" s="644"/>
      <c r="IL3" s="644"/>
      <c r="IM3" s="644"/>
      <c r="IN3" s="346"/>
    </row>
    <row r="4" spans="1:248" ht="15.75" thickBot="1" x14ac:dyDescent="0.3">
      <c r="A4" s="641" t="s">
        <v>45</v>
      </c>
      <c r="B4" s="642" t="s">
        <v>534</v>
      </c>
      <c r="C4" s="643"/>
      <c r="D4" s="643"/>
      <c r="E4" s="643"/>
      <c r="F4" s="643"/>
      <c r="G4" s="644"/>
      <c r="H4" s="644"/>
      <c r="I4" s="645">
        <v>1500</v>
      </c>
      <c r="J4" s="646"/>
      <c r="K4" s="644"/>
      <c r="L4" s="644"/>
      <c r="M4" s="644"/>
      <c r="N4" s="644"/>
      <c r="O4" s="647"/>
      <c r="P4" s="642" t="s">
        <v>534</v>
      </c>
      <c r="Q4" s="648"/>
      <c r="R4" s="643"/>
      <c r="S4" s="643"/>
      <c r="T4" s="643"/>
      <c r="U4" s="644"/>
      <c r="V4" s="644"/>
      <c r="W4" s="1182">
        <v>1500</v>
      </c>
      <c r="X4" s="646"/>
      <c r="Y4" s="644"/>
      <c r="Z4" s="646"/>
      <c r="AA4" s="644"/>
      <c r="AB4" s="644"/>
      <c r="AC4" s="647"/>
      <c r="AD4" s="642"/>
      <c r="AE4" s="648"/>
      <c r="AF4" s="643"/>
      <c r="AG4" s="643"/>
      <c r="AH4" s="643"/>
      <c r="AI4" s="644"/>
      <c r="AJ4" s="644"/>
      <c r="AK4" s="1182"/>
      <c r="AL4" s="646"/>
      <c r="AM4" s="644"/>
      <c r="AN4" s="646"/>
      <c r="AO4" s="644"/>
      <c r="AP4" s="644"/>
      <c r="AQ4" s="647"/>
      <c r="AR4" s="642"/>
      <c r="AS4" s="648"/>
      <c r="AT4" s="643"/>
      <c r="AU4" s="643"/>
      <c r="AV4" s="643"/>
      <c r="AW4" s="644"/>
      <c r="AX4" s="644"/>
      <c r="AY4" s="1182"/>
      <c r="AZ4" s="646"/>
      <c r="BA4" s="644"/>
      <c r="BB4" s="646"/>
      <c r="BC4" s="644"/>
      <c r="BD4" s="644"/>
      <c r="BE4" s="647"/>
      <c r="BF4" s="642"/>
      <c r="BG4" s="643"/>
      <c r="BH4" s="643"/>
      <c r="BI4" s="643"/>
      <c r="BJ4" s="643"/>
      <c r="BK4" s="644"/>
      <c r="BL4" s="644"/>
      <c r="BM4" s="1183"/>
      <c r="BN4" s="646"/>
      <c r="BO4" s="644"/>
      <c r="BP4" s="644"/>
      <c r="BQ4" s="644"/>
      <c r="BR4" s="644"/>
      <c r="BS4" s="647"/>
      <c r="BT4" s="642"/>
      <c r="BU4" s="648"/>
      <c r="BV4" s="643"/>
      <c r="BW4" s="643"/>
      <c r="BX4" s="643"/>
      <c r="BY4" s="644"/>
      <c r="BZ4" s="644"/>
      <c r="CA4" s="1183"/>
      <c r="CB4" s="646"/>
      <c r="CC4" s="644"/>
      <c r="CD4" s="644"/>
      <c r="CE4" s="644"/>
      <c r="CF4" s="644"/>
      <c r="CG4" s="647"/>
      <c r="CH4" s="642"/>
      <c r="CI4" s="648"/>
      <c r="CJ4" s="643"/>
      <c r="CK4" s="643"/>
      <c r="CL4" s="643"/>
      <c r="CM4" s="644"/>
      <c r="CN4" s="644"/>
      <c r="CO4" s="1182"/>
      <c r="CP4" s="646"/>
      <c r="CQ4" s="644"/>
      <c r="CR4" s="646"/>
      <c r="CS4" s="644"/>
      <c r="CT4" s="644"/>
      <c r="CU4" s="647"/>
      <c r="CV4" s="642"/>
      <c r="CW4" s="648"/>
      <c r="CX4" s="643"/>
      <c r="CY4" s="643"/>
      <c r="CZ4" s="643"/>
      <c r="DA4" s="644"/>
      <c r="DB4" s="644"/>
      <c r="DC4" s="1183"/>
      <c r="DD4" s="644"/>
      <c r="DE4" s="644"/>
      <c r="DF4" s="644"/>
      <c r="DG4" s="644"/>
      <c r="DH4" s="644"/>
      <c r="DI4" s="647"/>
      <c r="DJ4" s="642"/>
      <c r="DK4" s="648"/>
      <c r="DL4" s="643"/>
      <c r="DM4" s="643"/>
      <c r="DN4" s="643"/>
      <c r="DO4" s="644"/>
      <c r="DP4" s="644"/>
      <c r="DQ4" s="1183"/>
      <c r="DR4" s="644"/>
      <c r="DS4" s="644"/>
      <c r="DT4" s="644"/>
      <c r="DU4" s="644"/>
      <c r="DV4" s="644"/>
      <c r="DW4" s="647"/>
      <c r="DX4" s="642"/>
      <c r="DY4" s="648"/>
      <c r="DZ4" s="643"/>
      <c r="EA4" s="643"/>
      <c r="EB4" s="643"/>
      <c r="EC4" s="644"/>
      <c r="ED4" s="644"/>
      <c r="EE4" s="1183"/>
      <c r="EF4" s="644"/>
      <c r="EG4" s="644"/>
      <c r="EH4" s="644"/>
      <c r="EI4" s="644"/>
      <c r="EJ4" s="644"/>
      <c r="EK4" s="647"/>
      <c r="EL4" s="642"/>
      <c r="EM4" s="648"/>
      <c r="EN4" s="643"/>
      <c r="EO4" s="643"/>
      <c r="EP4" s="643"/>
      <c r="EQ4" s="644"/>
      <c r="ER4" s="644"/>
      <c r="ES4" s="1183"/>
      <c r="ET4" s="644"/>
      <c r="EU4" s="644"/>
      <c r="EV4" s="644"/>
      <c r="EW4" s="644"/>
      <c r="EX4" s="644"/>
      <c r="EY4" s="647"/>
      <c r="EZ4" s="642"/>
      <c r="FA4" s="648"/>
      <c r="FB4" s="643"/>
      <c r="FC4" s="643"/>
      <c r="FD4" s="643"/>
      <c r="FE4" s="644"/>
      <c r="FF4" s="644"/>
      <c r="FG4" s="644"/>
      <c r="FH4" s="644"/>
      <c r="FI4" s="644"/>
      <c r="FJ4" s="644"/>
      <c r="FK4" s="644"/>
      <c r="FL4" s="644"/>
      <c r="FM4" s="647"/>
      <c r="FN4" s="642"/>
      <c r="FO4" s="648"/>
      <c r="FP4" s="643"/>
      <c r="FQ4" s="643"/>
      <c r="FR4" s="643"/>
      <c r="FS4" s="644"/>
      <c r="FT4" s="644"/>
      <c r="FU4" s="1183"/>
      <c r="FV4" s="644"/>
      <c r="FW4" s="644"/>
      <c r="FX4" s="644"/>
      <c r="FY4" s="644"/>
      <c r="FZ4" s="644"/>
      <c r="GA4" s="647"/>
      <c r="GB4" s="642"/>
      <c r="GC4" s="648"/>
      <c r="GD4" s="643"/>
      <c r="GE4" s="643"/>
      <c r="GF4" s="643"/>
      <c r="GG4" s="644"/>
      <c r="GH4" s="644"/>
      <c r="GI4" s="1183"/>
      <c r="GJ4" s="644"/>
      <c r="GK4" s="644"/>
      <c r="GL4" s="644"/>
      <c r="GM4" s="644"/>
      <c r="GN4" s="644"/>
      <c r="GO4" s="647"/>
      <c r="GP4" s="642"/>
      <c r="GQ4" s="648"/>
      <c r="GR4" s="643"/>
      <c r="GS4" s="643"/>
      <c r="GT4" s="643"/>
      <c r="GU4" s="644"/>
      <c r="GV4" s="644"/>
      <c r="GW4" s="1183"/>
      <c r="GX4" s="644"/>
      <c r="GY4" s="644"/>
      <c r="GZ4" s="644"/>
      <c r="HA4" s="644"/>
      <c r="HB4" s="644"/>
      <c r="HC4" s="647"/>
      <c r="HD4" s="642"/>
      <c r="HE4" s="648"/>
      <c r="HF4" s="643"/>
      <c r="HG4" s="643"/>
      <c r="HH4" s="643"/>
      <c r="HI4" s="643"/>
      <c r="HJ4" s="643"/>
      <c r="HK4" s="643"/>
      <c r="HL4" s="643"/>
      <c r="HM4" s="644"/>
      <c r="HN4" s="644"/>
      <c r="HO4" s="1183"/>
      <c r="HP4" s="644"/>
      <c r="HQ4" s="644"/>
      <c r="HR4" s="644"/>
      <c r="HS4" s="644"/>
      <c r="HT4" s="644"/>
      <c r="HU4" s="647"/>
      <c r="HV4" s="642"/>
      <c r="HW4" s="648"/>
      <c r="HX4" s="643"/>
      <c r="HY4" s="643"/>
      <c r="HZ4" s="643"/>
      <c r="IA4" s="643"/>
      <c r="IB4" s="643"/>
      <c r="IC4" s="643"/>
      <c r="ID4" s="643"/>
      <c r="IE4" s="644"/>
      <c r="IF4" s="644"/>
      <c r="IG4" s="1183"/>
      <c r="IH4" s="644"/>
      <c r="II4" s="644"/>
      <c r="IJ4" s="644"/>
      <c r="IK4" s="644"/>
      <c r="IL4" s="644"/>
      <c r="IM4" s="644"/>
      <c r="IN4" s="346"/>
    </row>
    <row r="5" spans="1:248" ht="15.75" thickBot="1" x14ac:dyDescent="0.3">
      <c r="A5" s="651" t="s">
        <v>54</v>
      </c>
      <c r="B5" s="642" t="s">
        <v>535</v>
      </c>
      <c r="C5" s="643"/>
      <c r="D5" s="643"/>
      <c r="E5" s="643"/>
      <c r="F5" s="643"/>
      <c r="G5" s="644"/>
      <c r="H5" s="644"/>
      <c r="I5" s="644"/>
      <c r="J5" s="646"/>
      <c r="K5" s="644"/>
      <c r="L5" s="644"/>
      <c r="M5" s="644"/>
      <c r="N5" s="644"/>
      <c r="O5" s="647"/>
      <c r="P5" s="642" t="s">
        <v>535</v>
      </c>
      <c r="Q5" s="648"/>
      <c r="R5" s="643"/>
      <c r="S5" s="643"/>
      <c r="T5" s="643"/>
      <c r="U5" s="644"/>
      <c r="V5" s="644"/>
      <c r="W5" s="646"/>
      <c r="X5" s="646"/>
      <c r="Y5" s="644"/>
      <c r="Z5" s="646"/>
      <c r="AA5" s="644"/>
      <c r="AB5" s="644"/>
      <c r="AC5" s="647"/>
      <c r="AD5" s="642"/>
      <c r="AE5" s="648"/>
      <c r="AF5" s="643"/>
      <c r="AG5" s="643"/>
      <c r="AH5" s="643"/>
      <c r="AI5" s="644"/>
      <c r="AJ5" s="644"/>
      <c r="AK5" s="646"/>
      <c r="AL5" s="646"/>
      <c r="AM5" s="644"/>
      <c r="AN5" s="646"/>
      <c r="AO5" s="644"/>
      <c r="AP5" s="644"/>
      <c r="AQ5" s="647"/>
      <c r="AR5" s="642"/>
      <c r="AS5" s="648"/>
      <c r="AT5" s="643"/>
      <c r="AU5" s="643"/>
      <c r="AV5" s="643"/>
      <c r="AW5" s="644"/>
      <c r="AX5" s="644"/>
      <c r="AY5" s="646"/>
      <c r="AZ5" s="646"/>
      <c r="BA5" s="644"/>
      <c r="BB5" s="646"/>
      <c r="BC5" s="644"/>
      <c r="BD5" s="644"/>
      <c r="BE5" s="647"/>
      <c r="BF5" s="642"/>
      <c r="BG5" s="643"/>
      <c r="BH5" s="643"/>
      <c r="BI5" s="643"/>
      <c r="BJ5" s="643"/>
      <c r="BK5" s="644"/>
      <c r="BL5" s="644"/>
      <c r="BM5" s="644"/>
      <c r="BN5" s="646"/>
      <c r="BO5" s="644"/>
      <c r="BP5" s="644"/>
      <c r="BQ5" s="644"/>
      <c r="BR5" s="644"/>
      <c r="BS5" s="647"/>
      <c r="BT5" s="642"/>
      <c r="BU5" s="648"/>
      <c r="BV5" s="643"/>
      <c r="BW5" s="643"/>
      <c r="BX5" s="643"/>
      <c r="BY5" s="644"/>
      <c r="BZ5" s="644"/>
      <c r="CA5" s="644"/>
      <c r="CB5" s="646"/>
      <c r="CC5" s="644"/>
      <c r="CD5" s="644"/>
      <c r="CE5" s="644"/>
      <c r="CF5" s="644"/>
      <c r="CG5" s="647"/>
      <c r="CH5" s="642"/>
      <c r="CI5" s="648"/>
      <c r="CJ5" s="643"/>
      <c r="CK5" s="643"/>
      <c r="CL5" s="643"/>
      <c r="CM5" s="644"/>
      <c r="CN5" s="644"/>
      <c r="CO5" s="646"/>
      <c r="CP5" s="646"/>
      <c r="CQ5" s="644"/>
      <c r="CR5" s="646"/>
      <c r="CS5" s="644"/>
      <c r="CT5" s="644"/>
      <c r="CU5" s="647"/>
      <c r="CV5" s="642"/>
      <c r="CW5" s="648"/>
      <c r="CX5" s="643"/>
      <c r="CY5" s="643"/>
      <c r="CZ5" s="643"/>
      <c r="DA5" s="644"/>
      <c r="DB5" s="644"/>
      <c r="DC5" s="644"/>
      <c r="DD5" s="644"/>
      <c r="DE5" s="644"/>
      <c r="DF5" s="644"/>
      <c r="DG5" s="644"/>
      <c r="DH5" s="644"/>
      <c r="DI5" s="647"/>
      <c r="DJ5" s="642"/>
      <c r="DK5" s="648"/>
      <c r="DL5" s="643"/>
      <c r="DM5" s="643"/>
      <c r="DN5" s="643"/>
      <c r="DO5" s="644"/>
      <c r="DP5" s="644"/>
      <c r="DQ5" s="644"/>
      <c r="DR5" s="644"/>
      <c r="DS5" s="644"/>
      <c r="DT5" s="644"/>
      <c r="DU5" s="644"/>
      <c r="DV5" s="644"/>
      <c r="DW5" s="647"/>
      <c r="DX5" s="642"/>
      <c r="DY5" s="648"/>
      <c r="DZ5" s="643"/>
      <c r="EA5" s="643"/>
      <c r="EB5" s="643"/>
      <c r="EC5" s="644"/>
      <c r="ED5" s="644"/>
      <c r="EE5" s="644"/>
      <c r="EF5" s="644"/>
      <c r="EG5" s="644"/>
      <c r="EH5" s="644"/>
      <c r="EI5" s="644"/>
      <c r="EJ5" s="644"/>
      <c r="EK5" s="647"/>
      <c r="EL5" s="642"/>
      <c r="EM5" s="648"/>
      <c r="EN5" s="643"/>
      <c r="EO5" s="643"/>
      <c r="EP5" s="643"/>
      <c r="EQ5" s="644"/>
      <c r="ER5" s="644"/>
      <c r="ES5" s="644"/>
      <c r="ET5" s="644"/>
      <c r="EU5" s="644"/>
      <c r="EV5" s="644"/>
      <c r="EW5" s="644"/>
      <c r="EX5" s="644"/>
      <c r="EY5" s="647"/>
      <c r="EZ5" s="642"/>
      <c r="FA5" s="648"/>
      <c r="FB5" s="643"/>
      <c r="FC5" s="643"/>
      <c r="FD5" s="643"/>
      <c r="FE5" s="644"/>
      <c r="FF5" s="644"/>
      <c r="FG5" s="644"/>
      <c r="FH5" s="644"/>
      <c r="FI5" s="644"/>
      <c r="FJ5" s="644"/>
      <c r="FK5" s="644"/>
      <c r="FL5" s="644"/>
      <c r="FM5" s="647"/>
      <c r="FN5" s="642"/>
      <c r="FO5" s="648"/>
      <c r="FP5" s="643"/>
      <c r="FQ5" s="643"/>
      <c r="FR5" s="643"/>
      <c r="FS5" s="644"/>
      <c r="FT5" s="644"/>
      <c r="FU5" s="644"/>
      <c r="FV5" s="644"/>
      <c r="FW5" s="644"/>
      <c r="FX5" s="644"/>
      <c r="FY5" s="644"/>
      <c r="FZ5" s="644"/>
      <c r="GA5" s="647"/>
      <c r="GB5" s="642"/>
      <c r="GC5" s="648"/>
      <c r="GD5" s="643"/>
      <c r="GE5" s="643"/>
      <c r="GF5" s="643"/>
      <c r="GG5" s="644"/>
      <c r="GH5" s="644"/>
      <c r="GI5" s="644"/>
      <c r="GJ5" s="644"/>
      <c r="GK5" s="644"/>
      <c r="GL5" s="644"/>
      <c r="GM5" s="644"/>
      <c r="GN5" s="644"/>
      <c r="GO5" s="647"/>
      <c r="GP5" s="642"/>
      <c r="GQ5" s="648"/>
      <c r="GR5" s="643"/>
      <c r="GS5" s="643"/>
      <c r="GT5" s="643"/>
      <c r="GU5" s="644"/>
      <c r="GV5" s="644"/>
      <c r="GW5" s="644"/>
      <c r="GX5" s="644"/>
      <c r="GY5" s="644"/>
      <c r="GZ5" s="644"/>
      <c r="HA5" s="644"/>
      <c r="HB5" s="644"/>
      <c r="HC5" s="647"/>
      <c r="HD5" s="642"/>
      <c r="HE5" s="648"/>
      <c r="HF5" s="643"/>
      <c r="HG5" s="643"/>
      <c r="HH5" s="643"/>
      <c r="HI5" s="643"/>
      <c r="HJ5" s="643"/>
      <c r="HK5" s="643"/>
      <c r="HL5" s="643"/>
      <c r="HM5" s="644"/>
      <c r="HN5" s="644"/>
      <c r="HO5" s="644"/>
      <c r="HP5" s="644"/>
      <c r="HQ5" s="644"/>
      <c r="HR5" s="644"/>
      <c r="HS5" s="644"/>
      <c r="HT5" s="644"/>
      <c r="HU5" s="647"/>
      <c r="HV5" s="642"/>
      <c r="HW5" s="648"/>
      <c r="HX5" s="643"/>
      <c r="HY5" s="643"/>
      <c r="HZ5" s="643"/>
      <c r="IA5" s="643"/>
      <c r="IB5" s="643"/>
      <c r="IC5" s="643"/>
      <c r="ID5" s="643"/>
      <c r="IE5" s="644"/>
      <c r="IF5" s="644"/>
      <c r="IG5" s="644"/>
      <c r="IH5" s="644"/>
      <c r="II5" s="644"/>
      <c r="IJ5" s="644"/>
      <c r="IK5" s="644"/>
      <c r="IL5" s="644"/>
      <c r="IM5" s="644"/>
      <c r="IN5" s="346"/>
    </row>
    <row r="6" spans="1:248" ht="15.75" thickBot="1" x14ac:dyDescent="0.3">
      <c r="A6" s="651" t="s">
        <v>277</v>
      </c>
      <c r="B6" s="642" t="s">
        <v>592</v>
      </c>
      <c r="C6" s="643"/>
      <c r="D6" s="643"/>
      <c r="E6" s="643"/>
      <c r="F6" s="643"/>
      <c r="G6" s="644"/>
      <c r="H6" s="644"/>
      <c r="I6" s="644"/>
      <c r="J6" s="646"/>
      <c r="K6" s="644"/>
      <c r="L6" s="644"/>
      <c r="M6" s="644"/>
      <c r="N6" s="644"/>
      <c r="O6" s="647"/>
      <c r="P6" s="642" t="s">
        <v>605</v>
      </c>
      <c r="Q6" s="648"/>
      <c r="R6" s="643"/>
      <c r="S6" s="643"/>
      <c r="T6" s="643"/>
      <c r="U6" s="644"/>
      <c r="V6" s="644"/>
      <c r="W6" s="646"/>
      <c r="X6" s="646"/>
      <c r="Y6" s="644"/>
      <c r="Z6" s="646"/>
      <c r="AA6" s="644"/>
      <c r="AB6" s="644"/>
      <c r="AC6" s="647"/>
      <c r="AD6" s="642"/>
      <c r="AE6" s="648"/>
      <c r="AF6" s="643"/>
      <c r="AG6" s="643"/>
      <c r="AH6" s="643"/>
      <c r="AI6" s="644"/>
      <c r="AJ6" s="644"/>
      <c r="AK6" s="646"/>
      <c r="AL6" s="646"/>
      <c r="AM6" s="644"/>
      <c r="AN6" s="646"/>
      <c r="AO6" s="644"/>
      <c r="AP6" s="644"/>
      <c r="AQ6" s="647"/>
      <c r="AR6" s="642"/>
      <c r="AS6" s="648"/>
      <c r="AT6" s="643"/>
      <c r="AU6" s="643"/>
      <c r="AV6" s="643"/>
      <c r="AW6" s="644"/>
      <c r="AX6" s="644"/>
      <c r="AY6" s="646"/>
      <c r="AZ6" s="646"/>
      <c r="BA6" s="644"/>
      <c r="BB6" s="646"/>
      <c r="BC6" s="644"/>
      <c r="BD6" s="644"/>
      <c r="BE6" s="647"/>
      <c r="BF6" s="642"/>
      <c r="BG6" s="643"/>
      <c r="BH6" s="643"/>
      <c r="BI6" s="643"/>
      <c r="BJ6" s="643"/>
      <c r="BK6" s="644"/>
      <c r="BL6" s="644"/>
      <c r="BM6" s="644"/>
      <c r="BN6" s="646"/>
      <c r="BO6" s="644"/>
      <c r="BP6" s="644"/>
      <c r="BQ6" s="644"/>
      <c r="BR6" s="644"/>
      <c r="BS6" s="647"/>
      <c r="BT6" s="642"/>
      <c r="BU6" s="648"/>
      <c r="BV6" s="643"/>
      <c r="BW6" s="643"/>
      <c r="BX6" s="643"/>
      <c r="BY6" s="644"/>
      <c r="BZ6" s="644"/>
      <c r="CA6" s="644"/>
      <c r="CB6" s="646"/>
      <c r="CC6" s="644"/>
      <c r="CD6" s="644"/>
      <c r="CE6" s="644"/>
      <c r="CF6" s="644"/>
      <c r="CG6" s="647"/>
      <c r="CH6" s="642"/>
      <c r="CI6" s="648"/>
      <c r="CJ6" s="643"/>
      <c r="CK6" s="643"/>
      <c r="CL6" s="643"/>
      <c r="CM6" s="644"/>
      <c r="CN6" s="644"/>
      <c r="CO6" s="646"/>
      <c r="CP6" s="646"/>
      <c r="CQ6" s="644"/>
      <c r="CR6" s="646"/>
      <c r="CS6" s="644"/>
      <c r="CT6" s="644"/>
      <c r="CU6" s="647"/>
      <c r="CV6" s="642"/>
      <c r="CW6" s="648"/>
      <c r="CX6" s="643"/>
      <c r="CY6" s="643"/>
      <c r="CZ6" s="643"/>
      <c r="DA6" s="644"/>
      <c r="DB6" s="644"/>
      <c r="DC6" s="644"/>
      <c r="DD6" s="644"/>
      <c r="DE6" s="644"/>
      <c r="DF6" s="644"/>
      <c r="DG6" s="644"/>
      <c r="DH6" s="644"/>
      <c r="DI6" s="647"/>
      <c r="DJ6" s="642"/>
      <c r="DK6" s="648"/>
      <c r="DL6" s="643"/>
      <c r="DM6" s="643"/>
      <c r="DN6" s="643"/>
      <c r="DO6" s="644"/>
      <c r="DP6" s="644"/>
      <c r="DQ6" s="644"/>
      <c r="DR6" s="644"/>
      <c r="DS6" s="644"/>
      <c r="DT6" s="644"/>
      <c r="DU6" s="644"/>
      <c r="DV6" s="644"/>
      <c r="DW6" s="647"/>
      <c r="DX6" s="642"/>
      <c r="DY6" s="648"/>
      <c r="DZ6" s="643"/>
      <c r="EA6" s="643"/>
      <c r="EB6" s="643"/>
      <c r="EC6" s="644"/>
      <c r="ED6" s="644"/>
      <c r="EE6" s="644"/>
      <c r="EF6" s="644"/>
      <c r="EG6" s="644"/>
      <c r="EH6" s="644"/>
      <c r="EI6" s="644"/>
      <c r="EJ6" s="644"/>
      <c r="EK6" s="647"/>
      <c r="EL6" s="642"/>
      <c r="EM6" s="648"/>
      <c r="EN6" s="643"/>
      <c r="EO6" s="643"/>
      <c r="EP6" s="643"/>
      <c r="EQ6" s="644"/>
      <c r="ER6" s="644"/>
      <c r="ES6" s="644"/>
      <c r="ET6" s="644"/>
      <c r="EU6" s="644"/>
      <c r="EV6" s="644"/>
      <c r="EW6" s="644"/>
      <c r="EX6" s="644"/>
      <c r="EY6" s="647"/>
      <c r="EZ6" s="642"/>
      <c r="FA6" s="648"/>
      <c r="FB6" s="643"/>
      <c r="FC6" s="643"/>
      <c r="FD6" s="643"/>
      <c r="FE6" s="644"/>
      <c r="FF6" s="644"/>
      <c r="FG6" s="644"/>
      <c r="FH6" s="644"/>
      <c r="FI6" s="644"/>
      <c r="FJ6" s="644"/>
      <c r="FK6" s="644"/>
      <c r="FL6" s="644"/>
      <c r="FM6" s="647"/>
      <c r="FN6" s="642"/>
      <c r="FO6" s="648"/>
      <c r="FP6" s="643"/>
      <c r="FQ6" s="643"/>
      <c r="FR6" s="643"/>
      <c r="FS6" s="644"/>
      <c r="FT6" s="644"/>
      <c r="FU6" s="644"/>
      <c r="FV6" s="644"/>
      <c r="FW6" s="644"/>
      <c r="FX6" s="644"/>
      <c r="FY6" s="644"/>
      <c r="FZ6" s="644"/>
      <c r="GA6" s="647"/>
      <c r="GB6" s="642"/>
      <c r="GC6" s="648"/>
      <c r="GD6" s="643"/>
      <c r="GE6" s="643"/>
      <c r="GF6" s="643"/>
      <c r="GG6" s="644"/>
      <c r="GH6" s="644"/>
      <c r="GI6" s="644"/>
      <c r="GJ6" s="644"/>
      <c r="GK6" s="644"/>
      <c r="GL6" s="644"/>
      <c r="GM6" s="644"/>
      <c r="GN6" s="644"/>
      <c r="GO6" s="647"/>
      <c r="GP6" s="642"/>
      <c r="GQ6" s="648"/>
      <c r="GR6" s="643"/>
      <c r="GS6" s="643"/>
      <c r="GT6" s="643"/>
      <c r="GU6" s="644"/>
      <c r="GV6" s="644"/>
      <c r="GW6" s="644"/>
      <c r="GX6" s="644"/>
      <c r="GY6" s="644"/>
      <c r="GZ6" s="644"/>
      <c r="HA6" s="644"/>
      <c r="HB6" s="644"/>
      <c r="HC6" s="647"/>
      <c r="HD6" s="642"/>
      <c r="HE6" s="648"/>
      <c r="HF6" s="643"/>
      <c r="HG6" s="643"/>
      <c r="HH6" s="643"/>
      <c r="HI6" s="643"/>
      <c r="HJ6" s="643"/>
      <c r="HK6" s="643"/>
      <c r="HL6" s="643"/>
      <c r="HM6" s="644"/>
      <c r="HN6" s="644"/>
      <c r="HO6" s="644"/>
      <c r="HP6" s="644"/>
      <c r="HQ6" s="644"/>
      <c r="HR6" s="644"/>
      <c r="HS6" s="644"/>
      <c r="HT6" s="644"/>
      <c r="HU6" s="647"/>
      <c r="HV6" s="642"/>
      <c r="HW6" s="648"/>
      <c r="HX6" s="643"/>
      <c r="HY6" s="643"/>
      <c r="HZ6" s="643"/>
      <c r="IA6" s="643"/>
      <c r="IB6" s="643"/>
      <c r="IC6" s="643"/>
      <c r="ID6" s="643"/>
      <c r="IE6" s="644"/>
      <c r="IF6" s="644"/>
      <c r="IG6" s="644"/>
      <c r="IH6" s="644"/>
      <c r="II6" s="644"/>
      <c r="IJ6" s="644"/>
      <c r="IK6" s="644"/>
      <c r="IL6" s="644"/>
      <c r="IM6" s="644"/>
      <c r="IN6" s="346"/>
    </row>
    <row r="7" spans="1:248" ht="15.75" thickBot="1" x14ac:dyDescent="0.3">
      <c r="A7" s="651" t="s">
        <v>278</v>
      </c>
      <c r="B7" s="642" t="s">
        <v>536</v>
      </c>
      <c r="C7" s="643"/>
      <c r="D7" s="643"/>
      <c r="E7" s="643"/>
      <c r="F7" s="643"/>
      <c r="G7" s="652"/>
      <c r="H7" s="644"/>
      <c r="I7" s="644"/>
      <c r="J7" s="646"/>
      <c r="K7" s="644"/>
      <c r="L7" s="644"/>
      <c r="M7" s="644"/>
      <c r="N7" s="644"/>
      <c r="O7" s="647"/>
      <c r="P7" s="642" t="s">
        <v>536</v>
      </c>
      <c r="Q7" s="648"/>
      <c r="R7" s="643"/>
      <c r="S7" s="643"/>
      <c r="T7" s="643"/>
      <c r="U7" s="644"/>
      <c r="V7" s="644"/>
      <c r="W7" s="646"/>
      <c r="X7" s="646"/>
      <c r="Y7" s="644"/>
      <c r="Z7" s="646"/>
      <c r="AA7" s="644"/>
      <c r="AB7" s="644"/>
      <c r="AC7" s="647"/>
      <c r="AD7" s="642"/>
      <c r="AE7" s="648"/>
      <c r="AF7" s="643"/>
      <c r="AG7" s="643"/>
      <c r="AH7" s="643"/>
      <c r="AI7" s="644"/>
      <c r="AJ7" s="644"/>
      <c r="AK7" s="646"/>
      <c r="AL7" s="646"/>
      <c r="AM7" s="644"/>
      <c r="AN7" s="646"/>
      <c r="AO7" s="644"/>
      <c r="AP7" s="644"/>
      <c r="AQ7" s="647"/>
      <c r="AR7" s="642"/>
      <c r="AS7" s="648"/>
      <c r="AT7" s="643"/>
      <c r="AU7" s="643"/>
      <c r="AV7" s="643"/>
      <c r="AW7" s="644"/>
      <c r="AX7" s="644"/>
      <c r="AY7" s="646"/>
      <c r="AZ7" s="646"/>
      <c r="BA7" s="644"/>
      <c r="BB7" s="646"/>
      <c r="BC7" s="644"/>
      <c r="BD7" s="644"/>
      <c r="BE7" s="647"/>
      <c r="BF7" s="642"/>
      <c r="BG7" s="643"/>
      <c r="BH7" s="643"/>
      <c r="BI7" s="643"/>
      <c r="BJ7" s="643"/>
      <c r="BK7" s="644"/>
      <c r="BL7" s="644"/>
      <c r="BM7" s="644"/>
      <c r="BN7" s="646"/>
      <c r="BO7" s="644"/>
      <c r="BP7" s="644"/>
      <c r="BQ7" s="644"/>
      <c r="BR7" s="644"/>
      <c r="BS7" s="647"/>
      <c r="BT7" s="642"/>
      <c r="BU7" s="648"/>
      <c r="BV7" s="643"/>
      <c r="BW7" s="643"/>
      <c r="BX7" s="643"/>
      <c r="BY7" s="644"/>
      <c r="BZ7" s="644"/>
      <c r="CA7" s="644"/>
      <c r="CB7" s="646"/>
      <c r="CC7" s="644"/>
      <c r="CD7" s="644"/>
      <c r="CE7" s="644"/>
      <c r="CF7" s="644"/>
      <c r="CG7" s="647"/>
      <c r="CH7" s="642"/>
      <c r="CI7" s="648"/>
      <c r="CJ7" s="643"/>
      <c r="CK7" s="643"/>
      <c r="CL7" s="643"/>
      <c r="CM7" s="644"/>
      <c r="CN7" s="644"/>
      <c r="CO7" s="646"/>
      <c r="CP7" s="646"/>
      <c r="CQ7" s="644"/>
      <c r="CR7" s="646"/>
      <c r="CS7" s="644"/>
      <c r="CT7" s="644"/>
      <c r="CU7" s="647"/>
      <c r="CV7" s="642"/>
      <c r="CW7" s="648"/>
      <c r="CX7" s="643"/>
      <c r="CY7" s="643"/>
      <c r="CZ7" s="643"/>
      <c r="DA7" s="644"/>
      <c r="DB7" s="644"/>
      <c r="DC7" s="644"/>
      <c r="DD7" s="644"/>
      <c r="DE7" s="644"/>
      <c r="DF7" s="644"/>
      <c r="DG7" s="644"/>
      <c r="DH7" s="644"/>
      <c r="DI7" s="647"/>
      <c r="DJ7" s="642"/>
      <c r="DK7" s="648"/>
      <c r="DL7" s="643"/>
      <c r="DM7" s="643"/>
      <c r="DN7" s="643"/>
      <c r="DO7" s="644"/>
      <c r="DP7" s="644"/>
      <c r="DQ7" s="644"/>
      <c r="DR7" s="644"/>
      <c r="DS7" s="644"/>
      <c r="DT7" s="644"/>
      <c r="DU7" s="644"/>
      <c r="DV7" s="644"/>
      <c r="DW7" s="647"/>
      <c r="DX7" s="642"/>
      <c r="DY7" s="648"/>
      <c r="DZ7" s="643"/>
      <c r="EA7" s="643"/>
      <c r="EB7" s="643"/>
      <c r="EC7" s="644"/>
      <c r="ED7" s="644"/>
      <c r="EE7" s="644"/>
      <c r="EF7" s="644"/>
      <c r="EG7" s="644"/>
      <c r="EH7" s="644"/>
      <c r="EI7" s="644"/>
      <c r="EJ7" s="644"/>
      <c r="EK7" s="647"/>
      <c r="EL7" s="642"/>
      <c r="EM7" s="648"/>
      <c r="EN7" s="643"/>
      <c r="EO7" s="643"/>
      <c r="EP7" s="643"/>
      <c r="EQ7" s="644"/>
      <c r="ER7" s="644"/>
      <c r="ES7" s="644"/>
      <c r="ET7" s="644"/>
      <c r="EU7" s="644"/>
      <c r="EV7" s="644"/>
      <c r="EW7" s="644"/>
      <c r="EX7" s="644"/>
      <c r="EY7" s="647"/>
      <c r="EZ7" s="642"/>
      <c r="FA7" s="648"/>
      <c r="FB7" s="643"/>
      <c r="FC7" s="643"/>
      <c r="FD7" s="643"/>
      <c r="FE7" s="644"/>
      <c r="FF7" s="644"/>
      <c r="FG7" s="644"/>
      <c r="FH7" s="644"/>
      <c r="FI7" s="644"/>
      <c r="FJ7" s="644"/>
      <c r="FK7" s="644"/>
      <c r="FL7" s="644"/>
      <c r="FM7" s="647"/>
      <c r="FN7" s="642"/>
      <c r="FO7" s="648"/>
      <c r="FP7" s="643"/>
      <c r="FQ7" s="643"/>
      <c r="FR7" s="643"/>
      <c r="FS7" s="644"/>
      <c r="FT7" s="644"/>
      <c r="FU7" s="644"/>
      <c r="FV7" s="644"/>
      <c r="FW7" s="644"/>
      <c r="FX7" s="644"/>
      <c r="FY7" s="644"/>
      <c r="FZ7" s="644"/>
      <c r="GA7" s="647"/>
      <c r="GB7" s="642"/>
      <c r="GC7" s="648"/>
      <c r="GD7" s="643"/>
      <c r="GE7" s="643"/>
      <c r="GF7" s="643"/>
      <c r="GG7" s="644"/>
      <c r="GH7" s="644"/>
      <c r="GI7" s="644"/>
      <c r="GJ7" s="644"/>
      <c r="GK7" s="644"/>
      <c r="GL7" s="644"/>
      <c r="GM7" s="644"/>
      <c r="GN7" s="644"/>
      <c r="GO7" s="647"/>
      <c r="GP7" s="642"/>
      <c r="GQ7" s="648"/>
      <c r="GR7" s="643"/>
      <c r="GS7" s="643"/>
      <c r="GT7" s="643"/>
      <c r="GU7" s="644"/>
      <c r="GV7" s="644"/>
      <c r="GW7" s="644"/>
      <c r="GX7" s="644"/>
      <c r="GY7" s="644"/>
      <c r="GZ7" s="644"/>
      <c r="HA7" s="644"/>
      <c r="HB7" s="644"/>
      <c r="HC7" s="647"/>
      <c r="HD7" s="642"/>
      <c r="HE7" s="648"/>
      <c r="HF7" s="643"/>
      <c r="HG7" s="643"/>
      <c r="HH7" s="643"/>
      <c r="HI7" s="643"/>
      <c r="HJ7" s="643"/>
      <c r="HK7" s="643"/>
      <c r="HL7" s="643"/>
      <c r="HM7" s="644"/>
      <c r="HN7" s="644"/>
      <c r="HO7" s="644"/>
      <c r="HP7" s="644"/>
      <c r="HQ7" s="644"/>
      <c r="HR7" s="644"/>
      <c r="HS7" s="644"/>
      <c r="HT7" s="644"/>
      <c r="HU7" s="647"/>
      <c r="HV7" s="642"/>
      <c r="HW7" s="648"/>
      <c r="HX7" s="643"/>
      <c r="HY7" s="643"/>
      <c r="HZ7" s="643"/>
      <c r="IA7" s="643"/>
      <c r="IB7" s="643"/>
      <c r="IC7" s="643"/>
      <c r="ID7" s="643"/>
      <c r="IE7" s="644"/>
      <c r="IF7" s="644"/>
      <c r="IG7" s="644"/>
      <c r="IH7" s="644"/>
      <c r="II7" s="644"/>
      <c r="IJ7" s="644"/>
      <c r="IK7" s="644"/>
      <c r="IL7" s="644"/>
      <c r="IM7" s="644"/>
      <c r="IN7" s="346"/>
    </row>
    <row r="8" spans="1:248" ht="15.75" thickBot="1" x14ac:dyDescent="0.3">
      <c r="A8" s="651" t="s">
        <v>291</v>
      </c>
      <c r="B8" s="653" t="s">
        <v>210</v>
      </c>
      <c r="C8" s="654"/>
      <c r="D8" s="654"/>
      <c r="E8" s="654"/>
      <c r="F8" s="654"/>
      <c r="G8" s="655"/>
      <c r="H8" s="655"/>
      <c r="I8" s="655"/>
      <c r="J8" s="656"/>
      <c r="K8" s="655"/>
      <c r="L8" s="655"/>
      <c r="M8" s="655"/>
      <c r="N8" s="655"/>
      <c r="O8" s="657"/>
      <c r="P8" s="653" t="s">
        <v>210</v>
      </c>
      <c r="Q8" s="658"/>
      <c r="R8" s="654"/>
      <c r="S8" s="654"/>
      <c r="T8" s="654"/>
      <c r="U8" s="655"/>
      <c r="V8" s="655"/>
      <c r="W8" s="656"/>
      <c r="X8" s="656"/>
      <c r="Y8" s="655"/>
      <c r="Z8" s="656"/>
      <c r="AA8" s="655"/>
      <c r="AB8" s="655"/>
      <c r="AC8" s="657"/>
      <c r="AD8" s="653"/>
      <c r="AE8" s="658"/>
      <c r="AF8" s="654"/>
      <c r="AG8" s="654"/>
      <c r="AH8" s="654"/>
      <c r="AI8" s="655"/>
      <c r="AJ8" s="655"/>
      <c r="AK8" s="656"/>
      <c r="AL8" s="656"/>
      <c r="AM8" s="655"/>
      <c r="AN8" s="656"/>
      <c r="AO8" s="655"/>
      <c r="AP8" s="655"/>
      <c r="AQ8" s="657"/>
      <c r="AR8" s="653"/>
      <c r="AS8" s="658"/>
      <c r="AT8" s="654"/>
      <c r="AU8" s="654"/>
      <c r="AV8" s="654"/>
      <c r="AW8" s="655"/>
      <c r="AX8" s="655"/>
      <c r="AY8" s="656"/>
      <c r="AZ8" s="656"/>
      <c r="BA8" s="655"/>
      <c r="BB8" s="656"/>
      <c r="BC8" s="655"/>
      <c r="BD8" s="655"/>
      <c r="BE8" s="657"/>
      <c r="BF8" s="653"/>
      <c r="BG8" s="654"/>
      <c r="BH8" s="654"/>
      <c r="BI8" s="654"/>
      <c r="BJ8" s="654"/>
      <c r="BK8" s="655"/>
      <c r="BL8" s="655"/>
      <c r="BM8" s="655"/>
      <c r="BN8" s="656"/>
      <c r="BO8" s="655"/>
      <c r="BP8" s="655"/>
      <c r="BQ8" s="655"/>
      <c r="BR8" s="655"/>
      <c r="BS8" s="657"/>
      <c r="BT8" s="653"/>
      <c r="BU8" s="658"/>
      <c r="BV8" s="654"/>
      <c r="BW8" s="654"/>
      <c r="BX8" s="654"/>
      <c r="BY8" s="655"/>
      <c r="BZ8" s="655"/>
      <c r="CA8" s="655"/>
      <c r="CB8" s="656"/>
      <c r="CC8" s="655"/>
      <c r="CD8" s="655"/>
      <c r="CE8" s="655"/>
      <c r="CF8" s="655"/>
      <c r="CG8" s="657"/>
      <c r="CH8" s="653"/>
      <c r="CI8" s="658"/>
      <c r="CJ8" s="654"/>
      <c r="CK8" s="654"/>
      <c r="CL8" s="654"/>
      <c r="CM8" s="655"/>
      <c r="CN8" s="655"/>
      <c r="CO8" s="656"/>
      <c r="CP8" s="656"/>
      <c r="CQ8" s="655"/>
      <c r="CR8" s="656"/>
      <c r="CS8" s="655"/>
      <c r="CT8" s="655"/>
      <c r="CU8" s="657"/>
      <c r="CV8" s="653"/>
      <c r="CW8" s="658"/>
      <c r="CX8" s="654"/>
      <c r="CY8" s="654"/>
      <c r="CZ8" s="654"/>
      <c r="DA8" s="655"/>
      <c r="DB8" s="655"/>
      <c r="DC8" s="655"/>
      <c r="DD8" s="655"/>
      <c r="DE8" s="655"/>
      <c r="DF8" s="655"/>
      <c r="DG8" s="655"/>
      <c r="DH8" s="655"/>
      <c r="DI8" s="657"/>
      <c r="DJ8" s="653"/>
      <c r="DK8" s="658"/>
      <c r="DL8" s="654"/>
      <c r="DM8" s="654"/>
      <c r="DN8" s="654"/>
      <c r="DO8" s="655"/>
      <c r="DP8" s="655"/>
      <c r="DQ8" s="655"/>
      <c r="DR8" s="655"/>
      <c r="DS8" s="655"/>
      <c r="DT8" s="655"/>
      <c r="DU8" s="655"/>
      <c r="DV8" s="655"/>
      <c r="DW8" s="657"/>
      <c r="DX8" s="653"/>
      <c r="DY8" s="658"/>
      <c r="DZ8" s="654"/>
      <c r="EA8" s="654"/>
      <c r="EB8" s="654"/>
      <c r="EC8" s="655"/>
      <c r="ED8" s="655"/>
      <c r="EE8" s="655"/>
      <c r="EF8" s="655"/>
      <c r="EG8" s="655"/>
      <c r="EH8" s="655"/>
      <c r="EI8" s="655"/>
      <c r="EJ8" s="655"/>
      <c r="EK8" s="657"/>
      <c r="EL8" s="653"/>
      <c r="EM8" s="658"/>
      <c r="EN8" s="654"/>
      <c r="EO8" s="654"/>
      <c r="EP8" s="654"/>
      <c r="EQ8" s="655"/>
      <c r="ER8" s="655"/>
      <c r="ES8" s="655"/>
      <c r="ET8" s="655"/>
      <c r="EU8" s="655"/>
      <c r="EV8" s="655"/>
      <c r="EW8" s="655"/>
      <c r="EX8" s="655"/>
      <c r="EY8" s="657"/>
      <c r="EZ8" s="653"/>
      <c r="FA8" s="658"/>
      <c r="FB8" s="654"/>
      <c r="FC8" s="654"/>
      <c r="FD8" s="654"/>
      <c r="FE8" s="655"/>
      <c r="FF8" s="655"/>
      <c r="FG8" s="655"/>
      <c r="FH8" s="655"/>
      <c r="FI8" s="655"/>
      <c r="FJ8" s="655"/>
      <c r="FK8" s="655"/>
      <c r="FL8" s="655"/>
      <c r="FM8" s="657"/>
      <c r="FN8" s="653"/>
      <c r="FO8" s="658"/>
      <c r="FP8" s="654"/>
      <c r="FQ8" s="654"/>
      <c r="FR8" s="654"/>
      <c r="FS8" s="655"/>
      <c r="FT8" s="655"/>
      <c r="FU8" s="655"/>
      <c r="FV8" s="655"/>
      <c r="FW8" s="655"/>
      <c r="FX8" s="655"/>
      <c r="FY8" s="655"/>
      <c r="FZ8" s="655"/>
      <c r="GA8" s="657"/>
      <c r="GB8" s="653"/>
      <c r="GC8" s="658"/>
      <c r="GD8" s="654"/>
      <c r="GE8" s="654"/>
      <c r="GF8" s="654"/>
      <c r="GG8" s="655"/>
      <c r="GH8" s="655"/>
      <c r="GI8" s="655"/>
      <c r="GJ8" s="655"/>
      <c r="GK8" s="655"/>
      <c r="GL8" s="655"/>
      <c r="GM8" s="655"/>
      <c r="GN8" s="655"/>
      <c r="GO8" s="657"/>
      <c r="GP8" s="653"/>
      <c r="GQ8" s="658"/>
      <c r="GR8" s="654"/>
      <c r="GS8" s="654"/>
      <c r="GT8" s="654"/>
      <c r="GU8" s="655"/>
      <c r="GV8" s="655"/>
      <c r="GW8" s="655"/>
      <c r="GX8" s="655"/>
      <c r="GY8" s="655"/>
      <c r="GZ8" s="655"/>
      <c r="HA8" s="655"/>
      <c r="HB8" s="655"/>
      <c r="HC8" s="657"/>
      <c r="HD8" s="653"/>
      <c r="HE8" s="658"/>
      <c r="HF8" s="654"/>
      <c r="HG8" s="654"/>
      <c r="HH8" s="654"/>
      <c r="HI8" s="654"/>
      <c r="HJ8" s="654"/>
      <c r="HK8" s="654"/>
      <c r="HL8" s="654"/>
      <c r="HM8" s="655"/>
      <c r="HN8" s="655"/>
      <c r="HO8" s="655"/>
      <c r="HP8" s="655"/>
      <c r="HQ8" s="655"/>
      <c r="HR8" s="655"/>
      <c r="HS8" s="655"/>
      <c r="HT8" s="655"/>
      <c r="HU8" s="657"/>
      <c r="HV8" s="653"/>
      <c r="HW8" s="658"/>
      <c r="HX8" s="654"/>
      <c r="HY8" s="654"/>
      <c r="HZ8" s="654"/>
      <c r="IA8" s="654"/>
      <c r="IB8" s="654"/>
      <c r="IC8" s="654"/>
      <c r="ID8" s="654"/>
      <c r="IE8" s="655"/>
      <c r="IF8" s="655"/>
      <c r="IG8" s="655"/>
      <c r="IH8" s="655"/>
      <c r="II8" s="655"/>
      <c r="IJ8" s="655"/>
      <c r="IK8" s="655"/>
      <c r="IL8" s="655"/>
      <c r="IM8" s="655"/>
      <c r="IN8" s="346"/>
    </row>
    <row r="9" spans="1:248" ht="15.75" thickBot="1" x14ac:dyDescent="0.3">
      <c r="A9" s="651" t="s">
        <v>295</v>
      </c>
      <c r="B9" s="653" t="s">
        <v>210</v>
      </c>
      <c r="C9" s="659"/>
      <c r="D9" s="659"/>
      <c r="E9" s="659"/>
      <c r="F9" s="659"/>
      <c r="G9" s="660"/>
      <c r="H9" s="660"/>
      <c r="I9" s="660"/>
      <c r="J9" s="656"/>
      <c r="K9" s="655"/>
      <c r="L9" s="655"/>
      <c r="M9" s="655"/>
      <c r="N9" s="655"/>
      <c r="O9" s="657"/>
      <c r="P9" s="653" t="s">
        <v>210</v>
      </c>
      <c r="Q9" s="658"/>
      <c r="R9" s="654"/>
      <c r="S9" s="654"/>
      <c r="T9" s="654"/>
      <c r="U9" s="655"/>
      <c r="V9" s="655"/>
      <c r="W9" s="656"/>
      <c r="X9" s="656"/>
      <c r="Y9" s="655"/>
      <c r="Z9" s="656"/>
      <c r="AA9" s="655"/>
      <c r="AB9" s="655"/>
      <c r="AC9" s="657"/>
      <c r="AD9" s="653"/>
      <c r="AE9" s="658"/>
      <c r="AF9" s="654"/>
      <c r="AG9" s="654"/>
      <c r="AH9" s="654"/>
      <c r="AI9" s="655"/>
      <c r="AJ9" s="655"/>
      <c r="AK9" s="656"/>
      <c r="AL9" s="656"/>
      <c r="AM9" s="655"/>
      <c r="AN9" s="656"/>
      <c r="AO9" s="655"/>
      <c r="AP9" s="655"/>
      <c r="AQ9" s="657"/>
      <c r="AR9" s="653"/>
      <c r="AS9" s="658"/>
      <c r="AT9" s="654"/>
      <c r="AU9" s="654"/>
      <c r="AV9" s="654"/>
      <c r="AW9" s="655"/>
      <c r="AX9" s="655"/>
      <c r="AY9" s="656"/>
      <c r="AZ9" s="656"/>
      <c r="BA9" s="655"/>
      <c r="BB9" s="656"/>
      <c r="BC9" s="655"/>
      <c r="BD9" s="655"/>
      <c r="BE9" s="657"/>
      <c r="BF9" s="653"/>
      <c r="BG9" s="659"/>
      <c r="BH9" s="659"/>
      <c r="BI9" s="659"/>
      <c r="BJ9" s="659"/>
      <c r="BK9" s="660"/>
      <c r="BL9" s="660"/>
      <c r="BM9" s="660"/>
      <c r="BN9" s="656"/>
      <c r="BO9" s="655"/>
      <c r="BP9" s="655"/>
      <c r="BQ9" s="655"/>
      <c r="BR9" s="655"/>
      <c r="BS9" s="657"/>
      <c r="BT9" s="653"/>
      <c r="BU9" s="658"/>
      <c r="BV9" s="654"/>
      <c r="BW9" s="654"/>
      <c r="BX9" s="654"/>
      <c r="BY9" s="655"/>
      <c r="BZ9" s="655"/>
      <c r="CA9" s="655"/>
      <c r="CB9" s="656"/>
      <c r="CC9" s="655"/>
      <c r="CD9" s="655"/>
      <c r="CE9" s="655"/>
      <c r="CF9" s="655"/>
      <c r="CG9" s="657"/>
      <c r="CH9" s="653"/>
      <c r="CI9" s="658"/>
      <c r="CJ9" s="654"/>
      <c r="CK9" s="654"/>
      <c r="CL9" s="654"/>
      <c r="CM9" s="655"/>
      <c r="CN9" s="655"/>
      <c r="CO9" s="656"/>
      <c r="CP9" s="656"/>
      <c r="CQ9" s="655"/>
      <c r="CR9" s="656"/>
      <c r="CS9" s="655"/>
      <c r="CT9" s="655"/>
      <c r="CU9" s="657"/>
      <c r="CV9" s="653"/>
      <c r="CW9" s="658"/>
      <c r="CX9" s="654"/>
      <c r="CY9" s="654"/>
      <c r="CZ9" s="654"/>
      <c r="DA9" s="655"/>
      <c r="DB9" s="655"/>
      <c r="DC9" s="655"/>
      <c r="DD9" s="655"/>
      <c r="DE9" s="655"/>
      <c r="DF9" s="655"/>
      <c r="DG9" s="655"/>
      <c r="DH9" s="655"/>
      <c r="DI9" s="657"/>
      <c r="DJ9" s="653"/>
      <c r="DK9" s="658"/>
      <c r="DL9" s="654"/>
      <c r="DM9" s="654"/>
      <c r="DN9" s="654"/>
      <c r="DO9" s="655"/>
      <c r="DP9" s="655"/>
      <c r="DQ9" s="655"/>
      <c r="DR9" s="655"/>
      <c r="DS9" s="655"/>
      <c r="DT9" s="655"/>
      <c r="DU9" s="655"/>
      <c r="DV9" s="655"/>
      <c r="DW9" s="657"/>
      <c r="DX9" s="653"/>
      <c r="DY9" s="658"/>
      <c r="DZ9" s="654"/>
      <c r="EA9" s="654"/>
      <c r="EB9" s="654"/>
      <c r="EC9" s="655"/>
      <c r="ED9" s="655"/>
      <c r="EE9" s="655"/>
      <c r="EF9" s="655"/>
      <c r="EG9" s="655"/>
      <c r="EH9" s="655"/>
      <c r="EI9" s="655"/>
      <c r="EJ9" s="655"/>
      <c r="EK9" s="657"/>
      <c r="EL9" s="653"/>
      <c r="EM9" s="658"/>
      <c r="EN9" s="654"/>
      <c r="EO9" s="654"/>
      <c r="EP9" s="654"/>
      <c r="EQ9" s="655"/>
      <c r="ER9" s="655"/>
      <c r="ES9" s="655"/>
      <c r="ET9" s="655"/>
      <c r="EU9" s="655"/>
      <c r="EV9" s="655"/>
      <c r="EW9" s="655"/>
      <c r="EX9" s="655"/>
      <c r="EY9" s="657"/>
      <c r="EZ9" s="653"/>
      <c r="FA9" s="658"/>
      <c r="FB9" s="654"/>
      <c r="FC9" s="654"/>
      <c r="FD9" s="654"/>
      <c r="FE9" s="655"/>
      <c r="FF9" s="655"/>
      <c r="FG9" s="655"/>
      <c r="FH9" s="655"/>
      <c r="FI9" s="655"/>
      <c r="FJ9" s="655"/>
      <c r="FK9" s="655"/>
      <c r="FL9" s="655"/>
      <c r="FM9" s="657"/>
      <c r="FN9" s="653"/>
      <c r="FO9" s="658"/>
      <c r="FP9" s="654"/>
      <c r="FQ9" s="654"/>
      <c r="FR9" s="654"/>
      <c r="FS9" s="655"/>
      <c r="FT9" s="655"/>
      <c r="FU9" s="655"/>
      <c r="FV9" s="655"/>
      <c r="FW9" s="655"/>
      <c r="FX9" s="655"/>
      <c r="FY9" s="655"/>
      <c r="FZ9" s="655"/>
      <c r="GA9" s="657"/>
      <c r="GB9" s="653"/>
      <c r="GC9" s="658"/>
      <c r="GD9" s="654"/>
      <c r="GE9" s="654"/>
      <c r="GF9" s="654"/>
      <c r="GG9" s="655"/>
      <c r="GH9" s="655"/>
      <c r="GI9" s="655"/>
      <c r="GJ9" s="655"/>
      <c r="GK9" s="655"/>
      <c r="GL9" s="655"/>
      <c r="GM9" s="655"/>
      <c r="GN9" s="655"/>
      <c r="GO9" s="657"/>
      <c r="GP9" s="653"/>
      <c r="GQ9" s="658"/>
      <c r="GR9" s="654"/>
      <c r="GS9" s="654"/>
      <c r="GT9" s="654"/>
      <c r="GU9" s="655"/>
      <c r="GV9" s="655"/>
      <c r="GW9" s="655"/>
      <c r="GX9" s="655"/>
      <c r="GY9" s="655"/>
      <c r="GZ9" s="655"/>
      <c r="HA9" s="655"/>
      <c r="HB9" s="655"/>
      <c r="HC9" s="657"/>
      <c r="HD9" s="653"/>
      <c r="HE9" s="658"/>
      <c r="HF9" s="654"/>
      <c r="HG9" s="654"/>
      <c r="HH9" s="654"/>
      <c r="HI9" s="654"/>
      <c r="HJ9" s="654"/>
      <c r="HK9" s="654"/>
      <c r="HL9" s="654"/>
      <c r="HM9" s="655"/>
      <c r="HN9" s="655"/>
      <c r="HO9" s="655"/>
      <c r="HP9" s="655"/>
      <c r="HQ9" s="655"/>
      <c r="HR9" s="655"/>
      <c r="HS9" s="655"/>
      <c r="HT9" s="655"/>
      <c r="HU9" s="657"/>
      <c r="HV9" s="653"/>
      <c r="HW9" s="658"/>
      <c r="HX9" s="654"/>
      <c r="HY9" s="654"/>
      <c r="HZ9" s="654"/>
      <c r="IA9" s="654"/>
      <c r="IB9" s="654"/>
      <c r="IC9" s="654"/>
      <c r="ID9" s="654"/>
      <c r="IE9" s="655"/>
      <c r="IF9" s="655"/>
      <c r="IG9" s="655"/>
      <c r="IH9" s="655"/>
      <c r="II9" s="655"/>
      <c r="IJ9" s="655"/>
      <c r="IK9" s="655"/>
      <c r="IL9" s="655"/>
      <c r="IM9" s="655"/>
      <c r="IN9" s="346"/>
    </row>
    <row r="10" spans="1:248" ht="15.75" thickBot="1" x14ac:dyDescent="0.3">
      <c r="A10" s="661" t="s">
        <v>279</v>
      </c>
      <c r="B10" s="642">
        <v>8</v>
      </c>
      <c r="C10" s="643"/>
      <c r="D10" s="643"/>
      <c r="E10" s="643"/>
      <c r="F10" s="643"/>
      <c r="G10" s="644"/>
      <c r="H10" s="644"/>
      <c r="I10" s="644"/>
      <c r="J10" s="646"/>
      <c r="K10" s="644"/>
      <c r="L10" s="644"/>
      <c r="M10" s="644"/>
      <c r="N10" s="644"/>
      <c r="O10" s="647"/>
      <c r="P10" s="642">
        <v>8</v>
      </c>
      <c r="Q10" s="648"/>
      <c r="R10" s="643"/>
      <c r="S10" s="643"/>
      <c r="T10" s="643"/>
      <c r="U10" s="644"/>
      <c r="V10" s="644"/>
      <c r="W10" s="646"/>
      <c r="X10" s="646"/>
      <c r="Y10" s="644"/>
      <c r="Z10" s="646"/>
      <c r="AA10" s="644"/>
      <c r="AB10" s="644"/>
      <c r="AC10" s="647"/>
      <c r="AD10" s="642"/>
      <c r="AE10" s="648"/>
      <c r="AF10" s="643"/>
      <c r="AG10" s="643"/>
      <c r="AH10" s="643"/>
      <c r="AI10" s="644"/>
      <c r="AJ10" s="644"/>
      <c r="AK10" s="646"/>
      <c r="AL10" s="646"/>
      <c r="AM10" s="644"/>
      <c r="AN10" s="646"/>
      <c r="AO10" s="644"/>
      <c r="AP10" s="644"/>
      <c r="AQ10" s="647"/>
      <c r="AR10" s="642"/>
      <c r="AS10" s="648"/>
      <c r="AT10" s="643"/>
      <c r="AU10" s="643"/>
      <c r="AV10" s="643"/>
      <c r="AW10" s="644"/>
      <c r="AX10" s="644"/>
      <c r="AY10" s="646"/>
      <c r="AZ10" s="646"/>
      <c r="BA10" s="644"/>
      <c r="BB10" s="646"/>
      <c r="BC10" s="644"/>
      <c r="BD10" s="644"/>
      <c r="BE10" s="647"/>
      <c r="BF10" s="642"/>
      <c r="BG10" s="643"/>
      <c r="BH10" s="643"/>
      <c r="BI10" s="643"/>
      <c r="BJ10" s="643"/>
      <c r="BK10" s="644"/>
      <c r="BL10" s="644"/>
      <c r="BM10" s="644"/>
      <c r="BN10" s="646"/>
      <c r="BO10" s="644"/>
      <c r="BP10" s="644"/>
      <c r="BQ10" s="644"/>
      <c r="BR10" s="644"/>
      <c r="BS10" s="647"/>
      <c r="BT10" s="642"/>
      <c r="BU10" s="648"/>
      <c r="BV10" s="643"/>
      <c r="BW10" s="643"/>
      <c r="BX10" s="643"/>
      <c r="BY10" s="644"/>
      <c r="BZ10" s="644"/>
      <c r="CA10" s="644"/>
      <c r="CB10" s="646"/>
      <c r="CC10" s="644"/>
      <c r="CD10" s="644"/>
      <c r="CE10" s="644"/>
      <c r="CF10" s="644"/>
      <c r="CG10" s="647"/>
      <c r="CH10" s="642"/>
      <c r="CI10" s="648"/>
      <c r="CJ10" s="643"/>
      <c r="CK10" s="643"/>
      <c r="CL10" s="643"/>
      <c r="CM10" s="644"/>
      <c r="CN10" s="644"/>
      <c r="CO10" s="646"/>
      <c r="CP10" s="646"/>
      <c r="CQ10" s="644"/>
      <c r="CR10" s="646"/>
      <c r="CS10" s="644"/>
      <c r="CT10" s="644"/>
      <c r="CU10" s="647"/>
      <c r="CV10" s="642"/>
      <c r="CW10" s="648"/>
      <c r="CX10" s="643"/>
      <c r="CY10" s="643"/>
      <c r="CZ10" s="643"/>
      <c r="DA10" s="644"/>
      <c r="DB10" s="644"/>
      <c r="DC10" s="644"/>
      <c r="DD10" s="644"/>
      <c r="DE10" s="644"/>
      <c r="DF10" s="644"/>
      <c r="DG10" s="644"/>
      <c r="DH10" s="644"/>
      <c r="DI10" s="647"/>
      <c r="DJ10" s="642"/>
      <c r="DK10" s="648"/>
      <c r="DL10" s="643"/>
      <c r="DM10" s="643"/>
      <c r="DN10" s="643"/>
      <c r="DO10" s="644"/>
      <c r="DP10" s="644"/>
      <c r="DQ10" s="644"/>
      <c r="DR10" s="644"/>
      <c r="DS10" s="644"/>
      <c r="DT10" s="644"/>
      <c r="DU10" s="644"/>
      <c r="DV10" s="644"/>
      <c r="DW10" s="647"/>
      <c r="DX10" s="642"/>
      <c r="DY10" s="648"/>
      <c r="DZ10" s="643"/>
      <c r="EA10" s="643"/>
      <c r="EB10" s="643"/>
      <c r="EC10" s="644"/>
      <c r="ED10" s="644"/>
      <c r="EE10" s="644"/>
      <c r="EF10" s="644"/>
      <c r="EG10" s="644"/>
      <c r="EH10" s="644"/>
      <c r="EI10" s="644"/>
      <c r="EJ10" s="644"/>
      <c r="EK10" s="647"/>
      <c r="EL10" s="642"/>
      <c r="EM10" s="648"/>
      <c r="EN10" s="643"/>
      <c r="EO10" s="643"/>
      <c r="EP10" s="643"/>
      <c r="EQ10" s="644"/>
      <c r="ER10" s="644"/>
      <c r="ES10" s="644"/>
      <c r="ET10" s="644"/>
      <c r="EU10" s="644"/>
      <c r="EV10" s="644"/>
      <c r="EW10" s="644"/>
      <c r="EX10" s="644"/>
      <c r="EY10" s="647"/>
      <c r="EZ10" s="642"/>
      <c r="FA10" s="648"/>
      <c r="FB10" s="643"/>
      <c r="FC10" s="643"/>
      <c r="FD10" s="643"/>
      <c r="FE10" s="644"/>
      <c r="FF10" s="644"/>
      <c r="FG10" s="644"/>
      <c r="FH10" s="644"/>
      <c r="FI10" s="644"/>
      <c r="FJ10" s="644"/>
      <c r="FK10" s="644"/>
      <c r="FL10" s="644"/>
      <c r="FM10" s="647"/>
      <c r="FN10" s="642"/>
      <c r="FO10" s="648"/>
      <c r="FP10" s="643"/>
      <c r="FQ10" s="643"/>
      <c r="FR10" s="643"/>
      <c r="FS10" s="644"/>
      <c r="FT10" s="644"/>
      <c r="FU10" s="644"/>
      <c r="FV10" s="644"/>
      <c r="FW10" s="644"/>
      <c r="FX10" s="644"/>
      <c r="FY10" s="644"/>
      <c r="FZ10" s="644"/>
      <c r="GA10" s="647"/>
      <c r="GB10" s="642"/>
      <c r="GC10" s="648"/>
      <c r="GD10" s="643"/>
      <c r="GE10" s="643"/>
      <c r="GF10" s="643"/>
      <c r="GG10" s="644"/>
      <c r="GH10" s="644"/>
      <c r="GI10" s="644"/>
      <c r="GJ10" s="644"/>
      <c r="GK10" s="644"/>
      <c r="GL10" s="644"/>
      <c r="GM10" s="644"/>
      <c r="GN10" s="644"/>
      <c r="GO10" s="647"/>
      <c r="GP10" s="642"/>
      <c r="GQ10" s="648"/>
      <c r="GR10" s="643"/>
      <c r="GS10" s="643"/>
      <c r="GT10" s="643"/>
      <c r="GU10" s="644"/>
      <c r="GV10" s="644"/>
      <c r="GW10" s="644"/>
      <c r="GX10" s="644"/>
      <c r="GY10" s="644"/>
      <c r="GZ10" s="644"/>
      <c r="HA10" s="644"/>
      <c r="HB10" s="644"/>
      <c r="HC10" s="647"/>
      <c r="HD10" s="642"/>
      <c r="HE10" s="648"/>
      <c r="HF10" s="643"/>
      <c r="HG10" s="643"/>
      <c r="HH10" s="643"/>
      <c r="HI10" s="643"/>
      <c r="HJ10" s="643"/>
      <c r="HK10" s="643"/>
      <c r="HL10" s="643"/>
      <c r="HM10" s="644"/>
      <c r="HN10" s="644"/>
      <c r="HO10" s="644"/>
      <c r="HP10" s="644"/>
      <c r="HQ10" s="644"/>
      <c r="HR10" s="644"/>
      <c r="HS10" s="644"/>
      <c r="HT10" s="644"/>
      <c r="HU10" s="647"/>
      <c r="HV10" s="642"/>
      <c r="HW10" s="648"/>
      <c r="HX10" s="643"/>
      <c r="HY10" s="643"/>
      <c r="HZ10" s="643"/>
      <c r="IA10" s="643"/>
      <c r="IB10" s="643"/>
      <c r="IC10" s="643"/>
      <c r="ID10" s="643"/>
      <c r="IE10" s="644"/>
      <c r="IF10" s="644"/>
      <c r="IG10" s="644"/>
      <c r="IH10" s="644"/>
      <c r="II10" s="644"/>
      <c r="IJ10" s="644"/>
      <c r="IK10" s="644"/>
      <c r="IL10" s="644"/>
      <c r="IM10" s="644"/>
      <c r="IN10" s="346"/>
    </row>
    <row r="11" spans="1:248" ht="111.75" thickBot="1" x14ac:dyDescent="0.3">
      <c r="A11" s="778" t="s">
        <v>564</v>
      </c>
      <c r="B11" s="662" t="str">
        <f>CONCATENATE(B$2," ",B12)</f>
        <v>1 crop species</v>
      </c>
      <c r="C11" s="663" t="str">
        <f>CONCATENATE($B$2," ",C12)</f>
        <v>1 Livestock</v>
      </c>
      <c r="D11" s="663" t="str">
        <f>CONCATENATE(B$2," ",D12)</f>
        <v>1 area</v>
      </c>
      <c r="E11" s="663" t="str">
        <f>CONCATENATE(B$2," ",E12)</f>
        <v>1 crop yield</v>
      </c>
      <c r="F11" s="663" t="str">
        <f>CONCATENATE(B$2," ",F12)</f>
        <v>1 crop by-product</v>
      </c>
      <c r="G11" s="664" t="str">
        <f>CONCATENATE(B$2," ",G12)</f>
        <v>1 trees planted</v>
      </c>
      <c r="H11" s="665" t="str">
        <f>CONCATENATE(B$2," ",H12)</f>
        <v>1 trees harvested</v>
      </c>
      <c r="I11" s="665" t="str">
        <f>CONCATENATE(B$2," ",I12)</f>
        <v>1 tree height</v>
      </c>
      <c r="J11" s="666" t="str">
        <f>CONCATENATE(B$2," ",J12)</f>
        <v>1 Canopy area</v>
      </c>
      <c r="K11" s="665" t="str">
        <f>CONCATENATE(B$2," ",K12)</f>
        <v>1 prune height</v>
      </c>
      <c r="L11" s="665" t="str">
        <f>CONCATENATE($B$2," ",L12)</f>
        <v>1 standing timber</v>
      </c>
      <c r="M11" s="665" t="str">
        <f>CONCATENATE($B$2," ",M12)</f>
        <v>1 standing firewood</v>
      </c>
      <c r="N11" s="665" t="str">
        <f>CONCATENATE($B$2," ",N12)</f>
        <v>1 harvested firewood</v>
      </c>
      <c r="O11" s="667" t="str">
        <f>CONCATENATE(B$2," ",O12)</f>
        <v>1 tree by-product</v>
      </c>
      <c r="P11" s="662" t="str">
        <f>CONCATENATE(P$2," ",P12)</f>
        <v>2 crop species</v>
      </c>
      <c r="Q11" s="663" t="str">
        <f>CONCATENATE($P$2," ",Q12)</f>
        <v>2 Livestock</v>
      </c>
      <c r="R11" s="663" t="str">
        <f>CONCATENATE(P$2," ",R12)</f>
        <v>2 area</v>
      </c>
      <c r="S11" s="663" t="str">
        <f>CONCATENATE(P$2," ",S12)</f>
        <v>2 crop yield</v>
      </c>
      <c r="T11" s="663" t="str">
        <f>CONCATENATE(P$2," ",T12)</f>
        <v>2 crop by-product</v>
      </c>
      <c r="U11" s="664" t="str">
        <f>CONCATENATE(P$2," ",U12)</f>
        <v>2 trees planted</v>
      </c>
      <c r="V11" s="665" t="str">
        <f>CONCATENATE(P$2," ",V12)</f>
        <v>2 trees harvested</v>
      </c>
      <c r="W11" s="665" t="str">
        <f>CONCATENATE(P$2," ",W12)</f>
        <v>2 tree height</v>
      </c>
      <c r="X11" s="666" t="str">
        <f>CONCATENATE($P$2," ",X12)</f>
        <v>2 Canopy area</v>
      </c>
      <c r="Y11" s="665" t="str">
        <f>CONCATENATE($P$2," ",Y12)</f>
        <v>2 prune height</v>
      </c>
      <c r="Z11" s="665" t="str">
        <f>CONCATENATE($P$2," ",Z12)</f>
        <v>2 standing timber</v>
      </c>
      <c r="AA11" s="665" t="str">
        <f>CONCATENATE($P$2," ",AA12)</f>
        <v>2 standing firewood</v>
      </c>
      <c r="AB11" s="665" t="str">
        <f>CONCATENATE($P$2," ",AB12)</f>
        <v>2 harvested firewood</v>
      </c>
      <c r="AC11" s="667" t="str">
        <f>CONCATENATE(P$2," ",AC12)</f>
        <v>2 tree by-product</v>
      </c>
      <c r="AD11" s="662" t="str">
        <f>CONCATENATE(AD$2," ",AD12)</f>
        <v>3 crop species</v>
      </c>
      <c r="AE11" s="663" t="str">
        <f>CONCATENATE($AD$2," ",AE12)</f>
        <v>3 Livestock</v>
      </c>
      <c r="AF11" s="663" t="str">
        <f>CONCATENATE(AD$2," ",AF12)</f>
        <v>3 area</v>
      </c>
      <c r="AG11" s="663" t="str">
        <f>CONCATENATE(AD$2," ",AG12)</f>
        <v>3 crop yield</v>
      </c>
      <c r="AH11" s="663" t="str">
        <f>CONCATENATE(AD$2," ",AH12)</f>
        <v>3 crop by-product</v>
      </c>
      <c r="AI11" s="664" t="str">
        <f>CONCATENATE(AD$2," ",AI12)</f>
        <v>3 trees planted</v>
      </c>
      <c r="AJ11" s="665" t="str">
        <f>CONCATENATE(AD$2," ",AJ12)</f>
        <v>3 trees harvested</v>
      </c>
      <c r="AK11" s="666" t="str">
        <f>CONCATENATE(AD$2," ",AK12)</f>
        <v>3 tree height</v>
      </c>
      <c r="AL11" s="666" t="str">
        <f>CONCATENATE($AD$2," ",AL12)</f>
        <v>3 Canopy area</v>
      </c>
      <c r="AM11" s="665" t="str">
        <f>CONCATENATE($AD$2," ",AM12)</f>
        <v>3 prune height</v>
      </c>
      <c r="AN11" s="666" t="str">
        <f>CONCATENATE(AD$2," ",AN12)</f>
        <v>3 standing timber</v>
      </c>
      <c r="AO11" s="665" t="str">
        <f>CONCATENATE($AD$2," ",AO12)</f>
        <v>3 standing firewood</v>
      </c>
      <c r="AP11" s="665" t="str">
        <f>CONCATENATE($AD$2," ",AP12)</f>
        <v>3 harvested firewood</v>
      </c>
      <c r="AQ11" s="667" t="str">
        <f>CONCATENATE(AD$2," ",AQ12)</f>
        <v>3 tree by-product</v>
      </c>
      <c r="AR11" s="662" t="str">
        <f>CONCATENATE(AR$2," ",AR12)</f>
        <v>4 crop species</v>
      </c>
      <c r="AS11" s="663" t="str">
        <f>CONCATENATE($AR$2," ",AS12)</f>
        <v>4 Livestock</v>
      </c>
      <c r="AT11" s="663" t="str">
        <f>CONCATENATE(AR$2," ",AT12)</f>
        <v>4 area</v>
      </c>
      <c r="AU11" s="663" t="str">
        <f>CONCATENATE(AR$2," ",AU12)</f>
        <v>4 crop yield</v>
      </c>
      <c r="AV11" s="663" t="str">
        <f>CONCATENATE(AR$2," ",AV12)</f>
        <v>4 crop by-product</v>
      </c>
      <c r="AW11" s="664" t="str">
        <f>CONCATENATE(AR$2," ",AW12)</f>
        <v>4 trees planted</v>
      </c>
      <c r="AX11" s="665" t="str">
        <f>CONCATENATE(AR$2," ",AX12)</f>
        <v>4 trees harvested</v>
      </c>
      <c r="AY11" s="665" t="str">
        <f>CONCATENATE(AR$2," ",AY12)</f>
        <v>4 tree height</v>
      </c>
      <c r="AZ11" s="665" t="str">
        <f>CONCATENATE($AR$2," ",AZ12)</f>
        <v>4 Canopy area</v>
      </c>
      <c r="BA11" s="665" t="str">
        <f>CONCATENATE(AR$2," ",BA12)</f>
        <v>4 prune height</v>
      </c>
      <c r="BB11" s="665" t="str">
        <f>CONCATENATE(AR$2," ",BB12)</f>
        <v>4 standing timber</v>
      </c>
      <c r="BC11" s="665" t="str">
        <f>CONCATENATE($AR$2," ",BC12)</f>
        <v>4 standing firewood</v>
      </c>
      <c r="BD11" s="665" t="str">
        <f>CONCATENATE($AR$2," ",BD12)</f>
        <v>4 harvested firewood</v>
      </c>
      <c r="BE11" s="667" t="str">
        <f>CONCATENATE(AR$2," ",BE12)</f>
        <v>4 tree by-product</v>
      </c>
      <c r="BF11" s="662" t="str">
        <f>CONCATENATE(BF$2," ",BF12)</f>
        <v>5 crop species</v>
      </c>
      <c r="BG11" s="663" t="str">
        <f>CONCATENATE($BF$2," ",BG12)</f>
        <v>5 Livestock</v>
      </c>
      <c r="BH11" s="663" t="str">
        <f>CONCATENATE(BF$2," ",BH12)</f>
        <v>5 area</v>
      </c>
      <c r="BI11" s="663" t="str">
        <f>CONCATENATE(BF$2," ",BI12)</f>
        <v>5 crop yield</v>
      </c>
      <c r="BJ11" s="663" t="str">
        <f>CONCATENATE(BF$2," ",BJ12)</f>
        <v>5 crop by-product</v>
      </c>
      <c r="BK11" s="664" t="str">
        <f>CONCATENATE(BF$2," ",BK12)</f>
        <v>5 trees planted</v>
      </c>
      <c r="BL11" s="665" t="str">
        <f>CONCATENATE(BF$2," ",BL12)</f>
        <v>5 trees harvested</v>
      </c>
      <c r="BM11" s="665" t="str">
        <f>CONCATENATE(BF$2," ",BM12)</f>
        <v>5 tree height</v>
      </c>
      <c r="BN11" s="665" t="str">
        <f>CONCATENATE($BF$2," ",BN12)</f>
        <v>5 Canopy area</v>
      </c>
      <c r="BO11" s="665" t="str">
        <f>CONCATENATE(BF$2," ",BO12)</f>
        <v>5 prune height</v>
      </c>
      <c r="BP11" s="665" t="str">
        <f>CONCATENATE(BF$2," ",BP12)</f>
        <v>5 standing timber</v>
      </c>
      <c r="BQ11" s="665" t="str">
        <f>CONCATENATE($BF$2," ",BQ12)</f>
        <v>5 standing firewood</v>
      </c>
      <c r="BR11" s="665" t="str">
        <f>CONCATENATE($BF$2," ",BR12)</f>
        <v>5 harvested firewood</v>
      </c>
      <c r="BS11" s="667" t="str">
        <f>CONCATENATE(BF$2," ",BS12)</f>
        <v>5 tree by-product</v>
      </c>
      <c r="BT11" s="662" t="str">
        <f>CONCATENATE(BT$2," ",BT12)</f>
        <v>6 crop species</v>
      </c>
      <c r="BU11" s="663" t="str">
        <f>CONCATENATE($BT$2," ",BU12)</f>
        <v>6 Livestock</v>
      </c>
      <c r="BV11" s="663" t="str">
        <f>CONCATENATE(BT$2," ",BV12)</f>
        <v>6 area</v>
      </c>
      <c r="BW11" s="663" t="str">
        <f>CONCATENATE(BT$2," ",BW12)</f>
        <v>6 crop yield</v>
      </c>
      <c r="BX11" s="663" t="str">
        <f>CONCATENATE(BT$2," ",BX12)</f>
        <v>6 crop by-product</v>
      </c>
      <c r="BY11" s="664" t="str">
        <f>CONCATENATE(BT$2," ",BY12)</f>
        <v>6 trees planted</v>
      </c>
      <c r="BZ11" s="665" t="str">
        <f>CONCATENATE(BT$2," ",BZ12)</f>
        <v>6 trees harvested</v>
      </c>
      <c r="CA11" s="665" t="str">
        <f>CONCATENATE(BT$2," ",CA12)</f>
        <v>6 tree height</v>
      </c>
      <c r="CB11" s="665" t="str">
        <f>CONCATENATE($BT$2," ",CB12)</f>
        <v>6 Canopy area</v>
      </c>
      <c r="CC11" s="665" t="str">
        <f>CONCATENATE(BT$2," ",CC12)</f>
        <v>6 prune height</v>
      </c>
      <c r="CD11" s="665" t="str">
        <f>CONCATENATE(BT$2," ",CD12)</f>
        <v>6 standing timber</v>
      </c>
      <c r="CE11" s="665" t="str">
        <f>CONCATENATE($BT$2," ",CE12)</f>
        <v>6 standing firewood</v>
      </c>
      <c r="CF11" s="665" t="str">
        <f>CONCATENATE($BT$2," ",CF12)</f>
        <v>6 harvested firewood</v>
      </c>
      <c r="CG11" s="667" t="str">
        <f>CONCATENATE(BT$2," ",CG12)</f>
        <v>6 tree by-product</v>
      </c>
      <c r="CH11" s="662" t="str">
        <f>CONCATENATE(CH$2," ",CH12)</f>
        <v>7 crop species</v>
      </c>
      <c r="CI11" s="663" t="str">
        <f>CONCATENATE($CH$2," ",CI12)</f>
        <v>7 Livestock</v>
      </c>
      <c r="CJ11" s="663" t="str">
        <f>CONCATENATE(CH$2," ",CJ12)</f>
        <v>7 area</v>
      </c>
      <c r="CK11" s="663" t="str">
        <f>CONCATENATE(CH$2," ",CK12)</f>
        <v>7 crop yield</v>
      </c>
      <c r="CL11" s="663" t="str">
        <f>CONCATENATE(CH$2," ",CL12)</f>
        <v>7 crop by-product</v>
      </c>
      <c r="CM11" s="664" t="str">
        <f>CONCATENATE(CH$2," ",CM12)</f>
        <v>7 trees planted</v>
      </c>
      <c r="CN11" s="665" t="str">
        <f>CONCATENATE(CH$2," ",CN12)</f>
        <v>7 trees harvested</v>
      </c>
      <c r="CO11" s="665" t="str">
        <f>CONCATENATE(CH$2," ",CO12)</f>
        <v>7 tree height</v>
      </c>
      <c r="CP11" s="665" t="str">
        <f>CONCATENATE($CH$2," ",CP12)</f>
        <v>7 Canopy area</v>
      </c>
      <c r="CQ11" s="665" t="str">
        <f>CONCATENATE(CH$2," ",CQ12)</f>
        <v>7 prune height</v>
      </c>
      <c r="CR11" s="665" t="str">
        <f>CONCATENATE(CH$2," ",CR12)</f>
        <v>7 standing timber</v>
      </c>
      <c r="CS11" s="665" t="str">
        <f>CONCATENATE($CH$2," ",CS12)</f>
        <v>7 standing firewood</v>
      </c>
      <c r="CT11" s="665" t="str">
        <f>CONCATENATE($CH$2," ",CT12)</f>
        <v>7 harvested firewood</v>
      </c>
      <c r="CU11" s="667" t="str">
        <f>CONCATENATE(CH$2," ",CU12)</f>
        <v>7 tree by-product</v>
      </c>
      <c r="CV11" s="662" t="str">
        <f>CONCATENATE(CV$2," ",CV12)</f>
        <v>8 crop species</v>
      </c>
      <c r="CW11" s="663" t="str">
        <f>CONCATENATE($CV$2," ",CW12)</f>
        <v>8 Livestock</v>
      </c>
      <c r="CX11" s="663" t="str">
        <f>CONCATENATE(CV$2," ",CX12)</f>
        <v>8 area</v>
      </c>
      <c r="CY11" s="663" t="str">
        <f>CONCATENATE(CV$2," ",CY12)</f>
        <v>8 crop yield</v>
      </c>
      <c r="CZ11" s="663" t="str">
        <f>CONCATENATE(CV$2," ",CZ12)</f>
        <v>8 crop by-product</v>
      </c>
      <c r="DA11" s="664" t="str">
        <f>CONCATENATE(CV$2," ",DA12)</f>
        <v>8 trees planted</v>
      </c>
      <c r="DB11" s="665" t="str">
        <f>CONCATENATE(CV$2," ",DB12)</f>
        <v>8 trees harvested</v>
      </c>
      <c r="DC11" s="665" t="str">
        <f>CONCATENATE(CV$2," ",DC12)</f>
        <v>8 tree height</v>
      </c>
      <c r="DD11" s="665" t="str">
        <f>CONCATENATE($CV$2," ",DD12)</f>
        <v>8 Canopy area</v>
      </c>
      <c r="DE11" s="665" t="str">
        <f>CONCATENATE(CV$2," ",DE12)</f>
        <v>8 prune height</v>
      </c>
      <c r="DF11" s="665" t="str">
        <f>CONCATENATE(CV$2," ",DF12)</f>
        <v>8 standing timber</v>
      </c>
      <c r="DG11" s="665" t="str">
        <f>CONCATENATE($CV$2," ",DG12)</f>
        <v>8 standing firewood</v>
      </c>
      <c r="DH11" s="665" t="str">
        <f>CONCATENATE($CV$2," ",DH12)</f>
        <v>8 harvested firewood</v>
      </c>
      <c r="DI11" s="667" t="str">
        <f>CONCATENATE(CV$2," ",DI12)</f>
        <v>8 tree by-product</v>
      </c>
      <c r="DJ11" s="662" t="str">
        <f>CONCATENATE(DJ$2," ",DJ12)</f>
        <v>9 crop species</v>
      </c>
      <c r="DK11" s="663" t="str">
        <f>CONCATENATE($DJ$2," ",DK12)</f>
        <v>9 Livestock</v>
      </c>
      <c r="DL11" s="663" t="str">
        <f>CONCATENATE(DJ$2," ",DL12)</f>
        <v>9 area</v>
      </c>
      <c r="DM11" s="663" t="str">
        <f>CONCATENATE(DJ$2," ",DM12)</f>
        <v>9 crop yield</v>
      </c>
      <c r="DN11" s="663" t="str">
        <f>CONCATENATE(DJ$2," ",DN12)</f>
        <v>9 crop by-product</v>
      </c>
      <c r="DO11" s="664" t="str">
        <f>CONCATENATE(DJ$2," ",DO12)</f>
        <v>9 trees planted</v>
      </c>
      <c r="DP11" s="665" t="str">
        <f>CONCATENATE(DJ$2," ",DP12)</f>
        <v>9 trees harvested</v>
      </c>
      <c r="DQ11" s="665" t="str">
        <f>CONCATENATE(DJ$2," ",DQ12)</f>
        <v>9 tree height</v>
      </c>
      <c r="DR11" s="665" t="str">
        <f>CONCATENATE($DJ$2," ",DR12)</f>
        <v>9 Canopy area</v>
      </c>
      <c r="DS11" s="665" t="str">
        <f>CONCATENATE(DJ$2," ",DS12)</f>
        <v>9 prune height</v>
      </c>
      <c r="DT11" s="665" t="str">
        <f>CONCATENATE(DJ$2," ",DT12)</f>
        <v>9 standing timber</v>
      </c>
      <c r="DU11" s="665" t="str">
        <f>CONCATENATE($DJ$2," ",DU12)</f>
        <v>9 standing firewood</v>
      </c>
      <c r="DV11" s="665" t="str">
        <f>CONCATENATE($DJ$2," ",DV12)</f>
        <v>9 harvested firewood</v>
      </c>
      <c r="DW11" s="667" t="str">
        <f>CONCATENATE(DJ$2," ",DW12)</f>
        <v>9 tree by-product</v>
      </c>
      <c r="DX11" s="662" t="str">
        <f>CONCATENATE(DX$2," ",DX12)</f>
        <v>10 crop species</v>
      </c>
      <c r="DY11" s="663" t="str">
        <f>CONCATENATE($DX$2," ",DY12)</f>
        <v>10 Livestock</v>
      </c>
      <c r="DZ11" s="663" t="str">
        <f>CONCATENATE(DX$2," ",DZ12)</f>
        <v>10 area</v>
      </c>
      <c r="EA11" s="663" t="str">
        <f>CONCATENATE(DX$2," ",EA12)</f>
        <v>10 crop yield</v>
      </c>
      <c r="EB11" s="663" t="str">
        <f>CONCATENATE(DX$2," ",EB12)</f>
        <v>10 crop by-product</v>
      </c>
      <c r="EC11" s="664" t="str">
        <f>CONCATENATE(DX$2," ",EC12)</f>
        <v>10 trees planted</v>
      </c>
      <c r="ED11" s="665" t="str">
        <f>CONCATENATE(DX$2," ",ED12)</f>
        <v>10 trees harvested</v>
      </c>
      <c r="EE11" s="665" t="str">
        <f>CONCATENATE(DX$2," ",EE12)</f>
        <v>10 tree height</v>
      </c>
      <c r="EF11" s="665" t="str">
        <f>CONCATENATE($DX$2," ",EF12)</f>
        <v>10 Canopy area</v>
      </c>
      <c r="EG11" s="665" t="str">
        <f>CONCATENATE(DX$2," ",EG12)</f>
        <v>10 prune height</v>
      </c>
      <c r="EH11" s="665" t="str">
        <f>CONCATENATE(DX$2," ",EH12)</f>
        <v>10 standing timber</v>
      </c>
      <c r="EI11" s="665" t="str">
        <f>CONCATENATE($DX$2," ",EI12)</f>
        <v>10 standing firewood</v>
      </c>
      <c r="EJ11" s="665" t="str">
        <f>CONCATENATE($DX$2," ",EJ12)</f>
        <v>10 harvested firewood</v>
      </c>
      <c r="EK11" s="667" t="str">
        <f>CONCATENATE(DX$2," ",EK12)</f>
        <v>10 tree by-product</v>
      </c>
      <c r="EL11" s="662" t="str">
        <f>CONCATENATE(EL$2," ",EL12)</f>
        <v>11 crop species</v>
      </c>
      <c r="EM11" s="663" t="str">
        <f>CONCATENATE($EL$2," ",EM12)</f>
        <v>11 Livestock</v>
      </c>
      <c r="EN11" s="663" t="str">
        <f>CONCATENATE(EL$2," ",EN12)</f>
        <v>11 area</v>
      </c>
      <c r="EO11" s="663" t="str">
        <f>CONCATENATE(EL$2," ",EO12)</f>
        <v>11 crop yield</v>
      </c>
      <c r="EP11" s="663" t="str">
        <f>CONCATENATE(EL$2," ",EP12)</f>
        <v>11 crop by-product</v>
      </c>
      <c r="EQ11" s="664" t="str">
        <f>CONCATENATE(EL$2," ",EQ12)</f>
        <v>11 trees planted</v>
      </c>
      <c r="ER11" s="665" t="str">
        <f>CONCATENATE(EL$2," ",ER12)</f>
        <v>11 trees harvested</v>
      </c>
      <c r="ES11" s="665" t="str">
        <f>CONCATENATE(EL$2," ",ES12)</f>
        <v>11 tree height</v>
      </c>
      <c r="ET11" s="665" t="str">
        <f>CONCATENATE($EL$2," ",ET12)</f>
        <v>11 Canopy area</v>
      </c>
      <c r="EU11" s="665" t="str">
        <f>CONCATENATE(EL$2," ",EU12)</f>
        <v>11 prune height</v>
      </c>
      <c r="EV11" s="665" t="str">
        <f>CONCATENATE(EL$2," ",EV12)</f>
        <v>11 standing timber</v>
      </c>
      <c r="EW11" s="665" t="str">
        <f>CONCATENATE($EL$2," ",EW12)</f>
        <v>11 standing firewood</v>
      </c>
      <c r="EX11" s="665" t="str">
        <f>CONCATENATE($EL$2," ",EX12)</f>
        <v>11 harvested firewood</v>
      </c>
      <c r="EY11" s="667" t="str">
        <f>CONCATENATE(EL$2," ",EY12)</f>
        <v>11 tree by-product</v>
      </c>
      <c r="EZ11" s="662" t="str">
        <f>CONCATENATE(EZ$2," ",EZ12)</f>
        <v>12 crop species</v>
      </c>
      <c r="FA11" s="663" t="str">
        <f>CONCATENATE($EZ$2," ",FA12)</f>
        <v>12 Livestock</v>
      </c>
      <c r="FB11" s="663" t="str">
        <f>CONCATENATE(EZ$2," ",FB12)</f>
        <v>12 area</v>
      </c>
      <c r="FC11" s="663" t="str">
        <f>CONCATENATE(EZ$2," ",FC12)</f>
        <v>12 crop yield</v>
      </c>
      <c r="FD11" s="663" t="str">
        <f>CONCATENATE(EZ$2," ",FD12)</f>
        <v>12 crop by-product</v>
      </c>
      <c r="FE11" s="664" t="str">
        <f>CONCATENATE(EZ$2," ",FE12)</f>
        <v>12 trees planted</v>
      </c>
      <c r="FF11" s="665" t="str">
        <f>CONCATENATE(EZ$2," ",FF12)</f>
        <v>12 trees harvested</v>
      </c>
      <c r="FG11" s="665" t="str">
        <f>CONCATENATE(EZ$2," ",FG12)</f>
        <v>12 tree height</v>
      </c>
      <c r="FH11" s="665" t="str">
        <f>CONCATENATE($EZ$2," ",FH12)</f>
        <v>12 Canopy area</v>
      </c>
      <c r="FI11" s="665" t="str">
        <f>CONCATENATE(EZ$2," ",FI12)</f>
        <v>12 prune height</v>
      </c>
      <c r="FJ11" s="665" t="str">
        <f>CONCATENATE(EZ$2," ",FJ12)</f>
        <v>12 standing timber</v>
      </c>
      <c r="FK11" s="665" t="str">
        <f>CONCATENATE($EZ$2," ",FK12)</f>
        <v>12 standing firewood</v>
      </c>
      <c r="FL11" s="665" t="str">
        <f>CONCATENATE($EZ$2," ",FL12)</f>
        <v>12 harvested firewood</v>
      </c>
      <c r="FM11" s="667" t="str">
        <f>CONCATENATE(EZ$2," ",FM12)</f>
        <v>12 tree by-product</v>
      </c>
      <c r="FN11" s="662" t="str">
        <f>CONCATENATE(FN$2," ",FN12)</f>
        <v>13 crop species</v>
      </c>
      <c r="FO11" s="663" t="str">
        <f>CONCATENATE($FN$2," ",FO12)</f>
        <v>13 Livestock</v>
      </c>
      <c r="FP11" s="663" t="str">
        <f>CONCATENATE(FN$2," ",FP12)</f>
        <v>13 area</v>
      </c>
      <c r="FQ11" s="663" t="str">
        <f>CONCATENATE(FN$2," ",FQ12)</f>
        <v>13 crop yield</v>
      </c>
      <c r="FR11" s="663" t="str">
        <f>CONCATENATE(FN$2," ",FR12)</f>
        <v>13 crop by-product</v>
      </c>
      <c r="FS11" s="664" t="str">
        <f>CONCATENATE(FN$2," ",FS12)</f>
        <v>13 trees planted</v>
      </c>
      <c r="FT11" s="665" t="str">
        <f>CONCATENATE(FN$2," ",FT12)</f>
        <v>13 trees harvested</v>
      </c>
      <c r="FU11" s="665" t="str">
        <f>CONCATENATE(FN$2," ",FU12)</f>
        <v>13 tree height</v>
      </c>
      <c r="FV11" s="665" t="str">
        <f>CONCATENATE($FN$2," ",FV12)</f>
        <v>13 Canopy area</v>
      </c>
      <c r="FW11" s="665" t="str">
        <f>CONCATENATE(FN$2," ",FW12)</f>
        <v>13 prune height</v>
      </c>
      <c r="FX11" s="665" t="str">
        <f>CONCATENATE(FN$2," ",FX12)</f>
        <v>13 standing timber</v>
      </c>
      <c r="FY11" s="665" t="str">
        <f>CONCATENATE($FN$2," ",FY12)</f>
        <v>13 standing firewood</v>
      </c>
      <c r="FZ11" s="665" t="str">
        <f>CONCATENATE($FN$2," ",FZ12)</f>
        <v>13 harvested firewood</v>
      </c>
      <c r="GA11" s="667" t="str">
        <f>CONCATENATE(FN$2," ",GA12)</f>
        <v>13 tree by-product</v>
      </c>
      <c r="GB11" s="662" t="str">
        <f>CONCATENATE(GB$2," ",GB12)</f>
        <v>14 crop species</v>
      </c>
      <c r="GC11" s="663" t="str">
        <f>CONCATENATE($GB$2," ",GC12)</f>
        <v>14 Livestock</v>
      </c>
      <c r="GD11" s="663" t="str">
        <f>CONCATENATE(GB$2," ",GD12)</f>
        <v>14 area</v>
      </c>
      <c r="GE11" s="663" t="str">
        <f>CONCATENATE(GB$2," ",GE12)</f>
        <v>14 crop yield</v>
      </c>
      <c r="GF11" s="663" t="str">
        <f>CONCATENATE(GB$2," ",GF12)</f>
        <v>14 crop by-product</v>
      </c>
      <c r="GG11" s="664" t="str">
        <f>CONCATENATE(GB$2," ",GG12)</f>
        <v>14 trees planted</v>
      </c>
      <c r="GH11" s="665" t="str">
        <f>CONCATENATE(GB$2," ",GH12)</f>
        <v>14 trees harvested</v>
      </c>
      <c r="GI11" s="665" t="str">
        <f>CONCATENATE(GB$2," ",GI12)</f>
        <v>14 tree height</v>
      </c>
      <c r="GJ11" s="665" t="str">
        <f>CONCATENATE($GB$2," ",GJ12)</f>
        <v>14 Canopy area</v>
      </c>
      <c r="GK11" s="665" t="str">
        <f>CONCATENATE(GB$2," ",GK12)</f>
        <v>14 prune height</v>
      </c>
      <c r="GL11" s="665" t="str">
        <f>CONCATENATE(GB$2," ",GL12)</f>
        <v>14 standing timber</v>
      </c>
      <c r="GM11" s="665" t="str">
        <f>CONCATENATE($GB$2," ",GM12)</f>
        <v>14 standing firewood</v>
      </c>
      <c r="GN11" s="665" t="str">
        <f>CONCATENATE($GB$2," ",GN12)</f>
        <v>14 harvested firewood</v>
      </c>
      <c r="GO11" s="667" t="str">
        <f>CONCATENATE(GB$2," ",GO12)</f>
        <v>14 tree by-product</v>
      </c>
      <c r="GP11" s="662" t="str">
        <f>CONCATENATE(GP$2," ",GP12)</f>
        <v>15 crop species</v>
      </c>
      <c r="GQ11" s="663" t="str">
        <f>CONCATENATE($GP$2," ",GQ12)</f>
        <v>15 Livestock</v>
      </c>
      <c r="GR11" s="663" t="str">
        <f>CONCATENATE(GP$2," ",GR12)</f>
        <v>15 area</v>
      </c>
      <c r="GS11" s="663" t="str">
        <f>CONCATENATE(GP$2," ",GS12)</f>
        <v>15 crop yield</v>
      </c>
      <c r="GT11" s="663" t="str">
        <f>CONCATENATE(GP$2," ",GT12)</f>
        <v>15 crop by-product</v>
      </c>
      <c r="GU11" s="664" t="str">
        <f>CONCATENATE(GP$2," ",GU12)</f>
        <v>15 trees planted</v>
      </c>
      <c r="GV11" s="665" t="str">
        <f>CONCATENATE(GP$2," ",GV12)</f>
        <v>15 trees harvested</v>
      </c>
      <c r="GW11" s="665" t="str">
        <f>CONCATENATE(GP$2," ",GW12)</f>
        <v>15 tree height</v>
      </c>
      <c r="GX11" s="665" t="str">
        <f>CONCATENATE($GP$2," ",GX12)</f>
        <v>15 Canopy area</v>
      </c>
      <c r="GY11" s="665" t="str">
        <f>CONCATENATE(GP$2," ",GY12)</f>
        <v>15 prune height</v>
      </c>
      <c r="GZ11" s="665" t="str">
        <f>CONCATENATE(GP$2," ",GZ12)</f>
        <v>15 standing timber</v>
      </c>
      <c r="HA11" s="665" t="str">
        <f>CONCATENATE($GP$2," ",HA12)</f>
        <v>15 standing firewood</v>
      </c>
      <c r="HB11" s="665" t="str">
        <f>CONCATENATE($GP$2," ",HB12)</f>
        <v>15 harvested firewood</v>
      </c>
      <c r="HC11" s="667" t="str">
        <f>CONCATENATE(GP$2," ",HC12)</f>
        <v>15 tree by-product</v>
      </c>
      <c r="HD11" s="662" t="str">
        <f>CONCATENATE(HD$2," ",HD12)</f>
        <v>16 crop species</v>
      </c>
      <c r="HE11" s="663" t="str">
        <f>CONCATENATE($HD$2," ",HE12)</f>
        <v>16 Livestock</v>
      </c>
      <c r="HF11" s="663" t="str">
        <f>CONCATENATE(HD$2," ",HF12)</f>
        <v>16 area</v>
      </c>
      <c r="HG11" s="663" t="str">
        <f>CONCATENATE(HD$2," ",HG12)</f>
        <v>16 crop yield</v>
      </c>
      <c r="HH11" s="663" t="str">
        <f>CONCATENATE(HD$2," ",HH12)</f>
        <v>16 crop by-product</v>
      </c>
      <c r="HI11" s="662" t="str">
        <f>CONCATENATE(HD2,":",HD2," ",HI12)</f>
        <v>16:16 crop species</v>
      </c>
      <c r="HJ11" s="663" t="str">
        <f>CONCATENATE(HD2,":",HD2," ",HJ12)</f>
        <v>16:16 area</v>
      </c>
      <c r="HK11" s="663" t="str">
        <f>CONCATENATE(HD2,":",HD2," ",HK12)</f>
        <v>16:16 crop yield</v>
      </c>
      <c r="HL11" s="663" t="str">
        <f>CONCATENATE(HD2,":",HD2," ",HL12)</f>
        <v>16:16 crop by-product</v>
      </c>
      <c r="HM11" s="664" t="str">
        <f>CONCATENATE(HD$2," ",HM12)</f>
        <v>16 trees planted</v>
      </c>
      <c r="HN11" s="665" t="str">
        <f>CONCATENATE(HD$2," ",HN12)</f>
        <v>16 trees harvested</v>
      </c>
      <c r="HO11" s="665" t="str">
        <f>CONCATENATE(HD$2," ",HO12)</f>
        <v>16 tree height</v>
      </c>
      <c r="HP11" s="665" t="str">
        <f>CONCATENATE($HD2," ",HP12)</f>
        <v>16 Canopy area</v>
      </c>
      <c r="HQ11" s="665" t="str">
        <f>CONCATENATE(HD$2," ",HQ12)</f>
        <v>16 prune height</v>
      </c>
      <c r="HR11" s="665" t="str">
        <f>CONCATENATE(HD$2," ",HR12)</f>
        <v>16 standing timber</v>
      </c>
      <c r="HS11" s="665" t="str">
        <f>CONCATENATE($HD$2," ",HS12)</f>
        <v>16 standing firewood</v>
      </c>
      <c r="HT11" s="665" t="str">
        <f>CONCATENATE($HD$2," ",HT12)</f>
        <v>16 harvested firewood</v>
      </c>
      <c r="HU11" s="667" t="str">
        <f>CONCATENATE(HD$2," ",HU12)</f>
        <v>16 tree by-product</v>
      </c>
      <c r="HV11" s="662" t="str">
        <f>CONCATENATE($HV$2," ",HV12)</f>
        <v>17 crop species</v>
      </c>
      <c r="HW11" s="663" t="str">
        <f>CONCATENATE($HV$2," ",HW12)</f>
        <v>17 Livestock</v>
      </c>
      <c r="HX11" s="663" t="str">
        <f>CONCATENATE($HV$2," ",HX12)</f>
        <v>17 area</v>
      </c>
      <c r="HY11" s="663" t="str">
        <f>CONCATENATE($HV$2," ",HY12)</f>
        <v>17 crop yield</v>
      </c>
      <c r="HZ11" s="663" t="str">
        <f>CONCATENATE($HV$2," ",HZ12)</f>
        <v>17 crop by-product</v>
      </c>
      <c r="IA11" s="662" t="str">
        <f>CONCATENATE($HV$2,":",$HV$2," ",IA12)</f>
        <v>17:17 crop species</v>
      </c>
      <c r="IB11" s="663" t="str">
        <f>CONCATENATE($HV$2,":",$HV$2," ",IB12)</f>
        <v>17:17 area</v>
      </c>
      <c r="IC11" s="663" t="str">
        <f>CONCATENATE($HV$2,":",$HV$2," ",IC12)</f>
        <v>17:17 crop yield</v>
      </c>
      <c r="ID11" s="663" t="str">
        <f>CONCATENATE($HV$2,":",$HV$2," ",ID12)</f>
        <v>17:17 crop by-product</v>
      </c>
      <c r="IE11" s="664" t="str">
        <f>CONCATENATE(HV$2," ",IE12)</f>
        <v>17 trees planted</v>
      </c>
      <c r="IF11" s="665" t="str">
        <f>CONCATENATE(HV$2," ",IF12)</f>
        <v>17 trees harvested</v>
      </c>
      <c r="IG11" s="665" t="str">
        <f>CONCATENATE(HV$2," ",IG12)</f>
        <v>17 tree height</v>
      </c>
      <c r="IH11" s="665" t="str">
        <f>CONCATENATE(HV2," ",IH12)</f>
        <v>17 Canopy area</v>
      </c>
      <c r="II11" s="665" t="str">
        <f>CONCATENATE(HV$2," ",II12)</f>
        <v>17 prune height</v>
      </c>
      <c r="IJ11" s="665" t="str">
        <f>CONCATENATE(HV$2," ",IJ12)</f>
        <v>17 standing timber</v>
      </c>
      <c r="IK11" s="665" t="str">
        <f>CONCATENATE($HV$2," ",IK12)</f>
        <v>17 standing firewood</v>
      </c>
      <c r="IL11" s="665" t="str">
        <f>CONCATENATE($HV$2," ",IL12)</f>
        <v>17 harvested firewood</v>
      </c>
      <c r="IM11" s="665" t="str">
        <f>CONCATENATE(HV$2," ",IM12)</f>
        <v>17 tree by-product</v>
      </c>
      <c r="IN11" s="346"/>
    </row>
    <row r="12" spans="1:248" ht="99" thickBot="1" x14ac:dyDescent="0.3">
      <c r="A12" s="668" t="s">
        <v>289</v>
      </c>
      <c r="B12" s="669" t="s">
        <v>59</v>
      </c>
      <c r="C12" s="670" t="s">
        <v>337</v>
      </c>
      <c r="D12" s="670" t="s">
        <v>61</v>
      </c>
      <c r="E12" s="670" t="s">
        <v>62</v>
      </c>
      <c r="F12" s="670" t="s">
        <v>280</v>
      </c>
      <c r="G12" s="664" t="s">
        <v>64</v>
      </c>
      <c r="H12" s="671" t="s">
        <v>65</v>
      </c>
      <c r="I12" s="671" t="s">
        <v>66</v>
      </c>
      <c r="J12" s="672" t="s">
        <v>296</v>
      </c>
      <c r="K12" s="671" t="s">
        <v>305</v>
      </c>
      <c r="L12" s="671" t="s">
        <v>348</v>
      </c>
      <c r="M12" s="671" t="s">
        <v>352</v>
      </c>
      <c r="N12" s="671" t="s">
        <v>347</v>
      </c>
      <c r="O12" s="673" t="s">
        <v>281</v>
      </c>
      <c r="P12" s="669" t="s">
        <v>59</v>
      </c>
      <c r="Q12" s="670" t="s">
        <v>337</v>
      </c>
      <c r="R12" s="670" t="s">
        <v>61</v>
      </c>
      <c r="S12" s="670" t="s">
        <v>62</v>
      </c>
      <c r="T12" s="670" t="s">
        <v>280</v>
      </c>
      <c r="U12" s="664" t="s">
        <v>64</v>
      </c>
      <c r="V12" s="671" t="s">
        <v>65</v>
      </c>
      <c r="W12" s="671" t="s">
        <v>66</v>
      </c>
      <c r="X12" s="672" t="s">
        <v>296</v>
      </c>
      <c r="Y12" s="671" t="s">
        <v>305</v>
      </c>
      <c r="Z12" s="671" t="s">
        <v>348</v>
      </c>
      <c r="AA12" s="671" t="s">
        <v>352</v>
      </c>
      <c r="AB12" s="671" t="s">
        <v>347</v>
      </c>
      <c r="AC12" s="673" t="s">
        <v>281</v>
      </c>
      <c r="AD12" s="669" t="s">
        <v>59</v>
      </c>
      <c r="AE12" s="670" t="s">
        <v>337</v>
      </c>
      <c r="AF12" s="670" t="s">
        <v>61</v>
      </c>
      <c r="AG12" s="670" t="s">
        <v>62</v>
      </c>
      <c r="AH12" s="670" t="s">
        <v>280</v>
      </c>
      <c r="AI12" s="664" t="s">
        <v>64</v>
      </c>
      <c r="AJ12" s="671" t="s">
        <v>65</v>
      </c>
      <c r="AK12" s="672" t="s">
        <v>66</v>
      </c>
      <c r="AL12" s="672" t="s">
        <v>296</v>
      </c>
      <c r="AM12" s="671" t="s">
        <v>305</v>
      </c>
      <c r="AN12" s="672" t="s">
        <v>348</v>
      </c>
      <c r="AO12" s="671" t="s">
        <v>352</v>
      </c>
      <c r="AP12" s="671" t="s">
        <v>347</v>
      </c>
      <c r="AQ12" s="673" t="s">
        <v>281</v>
      </c>
      <c r="AR12" s="669" t="s">
        <v>59</v>
      </c>
      <c r="AS12" s="670" t="s">
        <v>337</v>
      </c>
      <c r="AT12" s="670" t="s">
        <v>61</v>
      </c>
      <c r="AU12" s="670" t="s">
        <v>62</v>
      </c>
      <c r="AV12" s="670" t="s">
        <v>280</v>
      </c>
      <c r="AW12" s="664" t="s">
        <v>64</v>
      </c>
      <c r="AX12" s="671" t="s">
        <v>65</v>
      </c>
      <c r="AY12" s="671" t="s">
        <v>66</v>
      </c>
      <c r="AZ12" s="671" t="s">
        <v>296</v>
      </c>
      <c r="BA12" s="671" t="s">
        <v>305</v>
      </c>
      <c r="BB12" s="671" t="s">
        <v>348</v>
      </c>
      <c r="BC12" s="671" t="s">
        <v>352</v>
      </c>
      <c r="BD12" s="671" t="s">
        <v>347</v>
      </c>
      <c r="BE12" s="673" t="s">
        <v>281</v>
      </c>
      <c r="BF12" s="669" t="s">
        <v>59</v>
      </c>
      <c r="BG12" s="670" t="s">
        <v>337</v>
      </c>
      <c r="BH12" s="670" t="s">
        <v>61</v>
      </c>
      <c r="BI12" s="670" t="s">
        <v>62</v>
      </c>
      <c r="BJ12" s="670" t="s">
        <v>280</v>
      </c>
      <c r="BK12" s="664" t="s">
        <v>64</v>
      </c>
      <c r="BL12" s="671" t="s">
        <v>65</v>
      </c>
      <c r="BM12" s="671" t="s">
        <v>66</v>
      </c>
      <c r="BN12" s="671" t="s">
        <v>296</v>
      </c>
      <c r="BO12" s="671" t="s">
        <v>305</v>
      </c>
      <c r="BP12" s="671" t="s">
        <v>348</v>
      </c>
      <c r="BQ12" s="671" t="s">
        <v>352</v>
      </c>
      <c r="BR12" s="671" t="s">
        <v>347</v>
      </c>
      <c r="BS12" s="673" t="s">
        <v>281</v>
      </c>
      <c r="BT12" s="669" t="s">
        <v>59</v>
      </c>
      <c r="BU12" s="670" t="s">
        <v>337</v>
      </c>
      <c r="BV12" s="670" t="s">
        <v>61</v>
      </c>
      <c r="BW12" s="670" t="s">
        <v>62</v>
      </c>
      <c r="BX12" s="670" t="s">
        <v>280</v>
      </c>
      <c r="BY12" s="664" t="s">
        <v>64</v>
      </c>
      <c r="BZ12" s="671" t="s">
        <v>65</v>
      </c>
      <c r="CA12" s="671" t="s">
        <v>66</v>
      </c>
      <c r="CB12" s="671" t="s">
        <v>296</v>
      </c>
      <c r="CC12" s="671" t="s">
        <v>305</v>
      </c>
      <c r="CD12" s="671" t="s">
        <v>348</v>
      </c>
      <c r="CE12" s="671" t="s">
        <v>352</v>
      </c>
      <c r="CF12" s="671" t="s">
        <v>347</v>
      </c>
      <c r="CG12" s="673" t="s">
        <v>281</v>
      </c>
      <c r="CH12" s="669" t="s">
        <v>59</v>
      </c>
      <c r="CI12" s="670" t="s">
        <v>337</v>
      </c>
      <c r="CJ12" s="670" t="s">
        <v>61</v>
      </c>
      <c r="CK12" s="670" t="s">
        <v>62</v>
      </c>
      <c r="CL12" s="670" t="s">
        <v>280</v>
      </c>
      <c r="CM12" s="664" t="s">
        <v>64</v>
      </c>
      <c r="CN12" s="671" t="s">
        <v>65</v>
      </c>
      <c r="CO12" s="671" t="s">
        <v>66</v>
      </c>
      <c r="CP12" s="671" t="s">
        <v>296</v>
      </c>
      <c r="CQ12" s="671" t="s">
        <v>305</v>
      </c>
      <c r="CR12" s="671" t="s">
        <v>348</v>
      </c>
      <c r="CS12" s="671" t="s">
        <v>352</v>
      </c>
      <c r="CT12" s="671" t="s">
        <v>347</v>
      </c>
      <c r="CU12" s="673" t="s">
        <v>281</v>
      </c>
      <c r="CV12" s="669" t="s">
        <v>59</v>
      </c>
      <c r="CW12" s="670" t="s">
        <v>337</v>
      </c>
      <c r="CX12" s="670" t="s">
        <v>61</v>
      </c>
      <c r="CY12" s="670" t="s">
        <v>62</v>
      </c>
      <c r="CZ12" s="670" t="s">
        <v>280</v>
      </c>
      <c r="DA12" s="664" t="s">
        <v>64</v>
      </c>
      <c r="DB12" s="671" t="s">
        <v>65</v>
      </c>
      <c r="DC12" s="671" t="s">
        <v>66</v>
      </c>
      <c r="DD12" s="671" t="s">
        <v>296</v>
      </c>
      <c r="DE12" s="671" t="s">
        <v>305</v>
      </c>
      <c r="DF12" s="671" t="s">
        <v>348</v>
      </c>
      <c r="DG12" s="671" t="s">
        <v>352</v>
      </c>
      <c r="DH12" s="671" t="s">
        <v>347</v>
      </c>
      <c r="DI12" s="673" t="s">
        <v>281</v>
      </c>
      <c r="DJ12" s="669" t="s">
        <v>59</v>
      </c>
      <c r="DK12" s="670" t="s">
        <v>337</v>
      </c>
      <c r="DL12" s="670" t="s">
        <v>61</v>
      </c>
      <c r="DM12" s="670" t="s">
        <v>62</v>
      </c>
      <c r="DN12" s="670" t="s">
        <v>280</v>
      </c>
      <c r="DO12" s="664" t="s">
        <v>64</v>
      </c>
      <c r="DP12" s="671" t="s">
        <v>65</v>
      </c>
      <c r="DQ12" s="671" t="s">
        <v>66</v>
      </c>
      <c r="DR12" s="671" t="s">
        <v>296</v>
      </c>
      <c r="DS12" s="671" t="s">
        <v>305</v>
      </c>
      <c r="DT12" s="671" t="s">
        <v>348</v>
      </c>
      <c r="DU12" s="671" t="s">
        <v>352</v>
      </c>
      <c r="DV12" s="671" t="s">
        <v>347</v>
      </c>
      <c r="DW12" s="673" t="s">
        <v>281</v>
      </c>
      <c r="DX12" s="669" t="s">
        <v>59</v>
      </c>
      <c r="DY12" s="670" t="s">
        <v>337</v>
      </c>
      <c r="DZ12" s="670" t="s">
        <v>61</v>
      </c>
      <c r="EA12" s="670" t="s">
        <v>62</v>
      </c>
      <c r="EB12" s="670" t="s">
        <v>280</v>
      </c>
      <c r="EC12" s="664" t="s">
        <v>64</v>
      </c>
      <c r="ED12" s="671" t="s">
        <v>65</v>
      </c>
      <c r="EE12" s="671" t="s">
        <v>66</v>
      </c>
      <c r="EF12" s="671" t="s">
        <v>296</v>
      </c>
      <c r="EG12" s="671" t="s">
        <v>305</v>
      </c>
      <c r="EH12" s="671" t="s">
        <v>348</v>
      </c>
      <c r="EI12" s="671" t="s">
        <v>352</v>
      </c>
      <c r="EJ12" s="671" t="s">
        <v>347</v>
      </c>
      <c r="EK12" s="673" t="s">
        <v>281</v>
      </c>
      <c r="EL12" s="669" t="s">
        <v>59</v>
      </c>
      <c r="EM12" s="670" t="s">
        <v>337</v>
      </c>
      <c r="EN12" s="670" t="s">
        <v>61</v>
      </c>
      <c r="EO12" s="670" t="s">
        <v>62</v>
      </c>
      <c r="EP12" s="670" t="s">
        <v>280</v>
      </c>
      <c r="EQ12" s="664" t="s">
        <v>64</v>
      </c>
      <c r="ER12" s="671" t="s">
        <v>65</v>
      </c>
      <c r="ES12" s="671" t="s">
        <v>66</v>
      </c>
      <c r="ET12" s="671" t="s">
        <v>296</v>
      </c>
      <c r="EU12" s="671" t="s">
        <v>305</v>
      </c>
      <c r="EV12" s="671" t="s">
        <v>348</v>
      </c>
      <c r="EW12" s="671" t="s">
        <v>352</v>
      </c>
      <c r="EX12" s="671" t="s">
        <v>347</v>
      </c>
      <c r="EY12" s="673" t="s">
        <v>281</v>
      </c>
      <c r="EZ12" s="669" t="s">
        <v>59</v>
      </c>
      <c r="FA12" s="670" t="s">
        <v>337</v>
      </c>
      <c r="FB12" s="670" t="s">
        <v>61</v>
      </c>
      <c r="FC12" s="670" t="s">
        <v>62</v>
      </c>
      <c r="FD12" s="670" t="s">
        <v>280</v>
      </c>
      <c r="FE12" s="664" t="s">
        <v>64</v>
      </c>
      <c r="FF12" s="671" t="s">
        <v>65</v>
      </c>
      <c r="FG12" s="671" t="s">
        <v>66</v>
      </c>
      <c r="FH12" s="671" t="s">
        <v>296</v>
      </c>
      <c r="FI12" s="671" t="s">
        <v>305</v>
      </c>
      <c r="FJ12" s="671" t="s">
        <v>348</v>
      </c>
      <c r="FK12" s="671" t="s">
        <v>352</v>
      </c>
      <c r="FL12" s="671" t="s">
        <v>347</v>
      </c>
      <c r="FM12" s="673" t="s">
        <v>281</v>
      </c>
      <c r="FN12" s="669" t="s">
        <v>59</v>
      </c>
      <c r="FO12" s="670" t="s">
        <v>337</v>
      </c>
      <c r="FP12" s="670" t="s">
        <v>61</v>
      </c>
      <c r="FQ12" s="670" t="s">
        <v>62</v>
      </c>
      <c r="FR12" s="670" t="s">
        <v>280</v>
      </c>
      <c r="FS12" s="664" t="s">
        <v>64</v>
      </c>
      <c r="FT12" s="671" t="s">
        <v>65</v>
      </c>
      <c r="FU12" s="671" t="s">
        <v>66</v>
      </c>
      <c r="FV12" s="671" t="s">
        <v>296</v>
      </c>
      <c r="FW12" s="671" t="s">
        <v>305</v>
      </c>
      <c r="FX12" s="671" t="s">
        <v>348</v>
      </c>
      <c r="FY12" s="671" t="s">
        <v>352</v>
      </c>
      <c r="FZ12" s="671" t="s">
        <v>347</v>
      </c>
      <c r="GA12" s="673" t="s">
        <v>281</v>
      </c>
      <c r="GB12" s="669" t="s">
        <v>59</v>
      </c>
      <c r="GC12" s="670" t="s">
        <v>337</v>
      </c>
      <c r="GD12" s="670" t="s">
        <v>61</v>
      </c>
      <c r="GE12" s="670" t="s">
        <v>62</v>
      </c>
      <c r="GF12" s="670" t="s">
        <v>280</v>
      </c>
      <c r="GG12" s="664" t="s">
        <v>64</v>
      </c>
      <c r="GH12" s="671" t="s">
        <v>65</v>
      </c>
      <c r="GI12" s="671" t="s">
        <v>66</v>
      </c>
      <c r="GJ12" s="671" t="s">
        <v>296</v>
      </c>
      <c r="GK12" s="671" t="s">
        <v>305</v>
      </c>
      <c r="GL12" s="671" t="s">
        <v>348</v>
      </c>
      <c r="GM12" s="671" t="s">
        <v>352</v>
      </c>
      <c r="GN12" s="671" t="s">
        <v>347</v>
      </c>
      <c r="GO12" s="673" t="s">
        <v>281</v>
      </c>
      <c r="GP12" s="669" t="s">
        <v>59</v>
      </c>
      <c r="GQ12" s="670" t="s">
        <v>337</v>
      </c>
      <c r="GR12" s="670" t="s">
        <v>61</v>
      </c>
      <c r="GS12" s="670" t="s">
        <v>62</v>
      </c>
      <c r="GT12" s="670" t="s">
        <v>280</v>
      </c>
      <c r="GU12" s="664" t="s">
        <v>64</v>
      </c>
      <c r="GV12" s="671" t="s">
        <v>65</v>
      </c>
      <c r="GW12" s="671" t="s">
        <v>66</v>
      </c>
      <c r="GX12" s="671" t="s">
        <v>296</v>
      </c>
      <c r="GY12" s="671" t="s">
        <v>305</v>
      </c>
      <c r="GZ12" s="671" t="s">
        <v>348</v>
      </c>
      <c r="HA12" s="671" t="s">
        <v>352</v>
      </c>
      <c r="HB12" s="671" t="s">
        <v>347</v>
      </c>
      <c r="HC12" s="673" t="s">
        <v>281</v>
      </c>
      <c r="HD12" s="669" t="s">
        <v>59</v>
      </c>
      <c r="HE12" s="670" t="s">
        <v>337</v>
      </c>
      <c r="HF12" s="670" t="s">
        <v>61</v>
      </c>
      <c r="HG12" s="670" t="s">
        <v>62</v>
      </c>
      <c r="HH12" s="670" t="s">
        <v>280</v>
      </c>
      <c r="HI12" s="669" t="s">
        <v>59</v>
      </c>
      <c r="HJ12" s="670" t="s">
        <v>61</v>
      </c>
      <c r="HK12" s="670" t="s">
        <v>62</v>
      </c>
      <c r="HL12" s="670" t="s">
        <v>280</v>
      </c>
      <c r="HM12" s="664" t="s">
        <v>64</v>
      </c>
      <c r="HN12" s="671" t="s">
        <v>65</v>
      </c>
      <c r="HO12" s="671" t="s">
        <v>66</v>
      </c>
      <c r="HP12" s="671" t="s">
        <v>296</v>
      </c>
      <c r="HQ12" s="671" t="s">
        <v>305</v>
      </c>
      <c r="HR12" s="671" t="s">
        <v>348</v>
      </c>
      <c r="HS12" s="671" t="s">
        <v>352</v>
      </c>
      <c r="HT12" s="671" t="s">
        <v>347</v>
      </c>
      <c r="HU12" s="673" t="s">
        <v>281</v>
      </c>
      <c r="HV12" s="669" t="s">
        <v>59</v>
      </c>
      <c r="HW12" s="670" t="s">
        <v>337</v>
      </c>
      <c r="HX12" s="670" t="s">
        <v>61</v>
      </c>
      <c r="HY12" s="670" t="s">
        <v>62</v>
      </c>
      <c r="HZ12" s="670" t="s">
        <v>280</v>
      </c>
      <c r="IA12" s="669" t="s">
        <v>59</v>
      </c>
      <c r="IB12" s="670" t="s">
        <v>61</v>
      </c>
      <c r="IC12" s="670" t="s">
        <v>62</v>
      </c>
      <c r="ID12" s="670" t="s">
        <v>280</v>
      </c>
      <c r="IE12" s="664" t="s">
        <v>64</v>
      </c>
      <c r="IF12" s="671" t="s">
        <v>65</v>
      </c>
      <c r="IG12" s="671" t="s">
        <v>66</v>
      </c>
      <c r="IH12" s="671" t="s">
        <v>296</v>
      </c>
      <c r="II12" s="671" t="s">
        <v>305</v>
      </c>
      <c r="IJ12" s="671" t="s">
        <v>348</v>
      </c>
      <c r="IK12" s="671" t="s">
        <v>352</v>
      </c>
      <c r="IL12" s="671" t="s">
        <v>347</v>
      </c>
      <c r="IM12" s="671" t="s">
        <v>281</v>
      </c>
      <c r="IN12" s="346"/>
    </row>
    <row r="13" spans="1:248" s="733" customFormat="1" ht="18" thickBot="1" x14ac:dyDescent="0.25">
      <c r="A13" s="722" t="s">
        <v>172</v>
      </c>
      <c r="B13" s="723" t="s">
        <v>300</v>
      </c>
      <c r="C13" s="724" t="s">
        <v>217</v>
      </c>
      <c r="D13" s="725" t="s">
        <v>37</v>
      </c>
      <c r="E13" s="724" t="s">
        <v>561</v>
      </c>
      <c r="F13" s="725" t="s">
        <v>561</v>
      </c>
      <c r="G13" s="726" t="s">
        <v>562</v>
      </c>
      <c r="H13" s="727" t="s">
        <v>562</v>
      </c>
      <c r="I13" s="728" t="s">
        <v>39</v>
      </c>
      <c r="J13" s="729" t="s">
        <v>37</v>
      </c>
      <c r="K13" s="728" t="s">
        <v>39</v>
      </c>
      <c r="L13" s="727" t="s">
        <v>563</v>
      </c>
      <c r="M13" s="728" t="s">
        <v>563</v>
      </c>
      <c r="N13" s="727" t="s">
        <v>563</v>
      </c>
      <c r="O13" s="730" t="s">
        <v>561</v>
      </c>
      <c r="P13" s="723" t="s">
        <v>300</v>
      </c>
      <c r="Q13" s="724" t="s">
        <v>217</v>
      </c>
      <c r="R13" s="725" t="s">
        <v>37</v>
      </c>
      <c r="S13" s="724" t="s">
        <v>561</v>
      </c>
      <c r="T13" s="725" t="s">
        <v>561</v>
      </c>
      <c r="U13" s="726" t="s">
        <v>562</v>
      </c>
      <c r="V13" s="727" t="s">
        <v>562</v>
      </c>
      <c r="W13" s="728" t="s">
        <v>39</v>
      </c>
      <c r="X13" s="729" t="s">
        <v>37</v>
      </c>
      <c r="Y13" s="728" t="s">
        <v>39</v>
      </c>
      <c r="Z13" s="727" t="s">
        <v>563</v>
      </c>
      <c r="AA13" s="728" t="s">
        <v>563</v>
      </c>
      <c r="AB13" s="727" t="s">
        <v>563</v>
      </c>
      <c r="AC13" s="730" t="s">
        <v>561</v>
      </c>
      <c r="AD13" s="723" t="s">
        <v>300</v>
      </c>
      <c r="AE13" s="724" t="s">
        <v>217</v>
      </c>
      <c r="AF13" s="725" t="s">
        <v>37</v>
      </c>
      <c r="AG13" s="724" t="s">
        <v>561</v>
      </c>
      <c r="AH13" s="725" t="s">
        <v>561</v>
      </c>
      <c r="AI13" s="726" t="s">
        <v>562</v>
      </c>
      <c r="AJ13" s="727" t="s">
        <v>562</v>
      </c>
      <c r="AK13" s="728" t="s">
        <v>39</v>
      </c>
      <c r="AL13" s="729" t="s">
        <v>37</v>
      </c>
      <c r="AM13" s="728" t="s">
        <v>39</v>
      </c>
      <c r="AN13" s="727" t="s">
        <v>563</v>
      </c>
      <c r="AO13" s="728" t="s">
        <v>563</v>
      </c>
      <c r="AP13" s="727" t="s">
        <v>563</v>
      </c>
      <c r="AQ13" s="730" t="s">
        <v>561</v>
      </c>
      <c r="AR13" s="723" t="s">
        <v>300</v>
      </c>
      <c r="AS13" s="724" t="s">
        <v>217</v>
      </c>
      <c r="AT13" s="725" t="s">
        <v>37</v>
      </c>
      <c r="AU13" s="724" t="s">
        <v>561</v>
      </c>
      <c r="AV13" s="725" t="s">
        <v>561</v>
      </c>
      <c r="AW13" s="726" t="s">
        <v>562</v>
      </c>
      <c r="AX13" s="727" t="s">
        <v>562</v>
      </c>
      <c r="AY13" s="728" t="s">
        <v>39</v>
      </c>
      <c r="AZ13" s="729" t="s">
        <v>37</v>
      </c>
      <c r="BA13" s="728" t="s">
        <v>39</v>
      </c>
      <c r="BB13" s="727" t="s">
        <v>563</v>
      </c>
      <c r="BC13" s="728" t="s">
        <v>563</v>
      </c>
      <c r="BD13" s="727" t="s">
        <v>563</v>
      </c>
      <c r="BE13" s="730" t="s">
        <v>561</v>
      </c>
      <c r="BF13" s="723" t="s">
        <v>300</v>
      </c>
      <c r="BG13" s="724" t="s">
        <v>217</v>
      </c>
      <c r="BH13" s="725" t="s">
        <v>37</v>
      </c>
      <c r="BI13" s="724" t="s">
        <v>561</v>
      </c>
      <c r="BJ13" s="725" t="s">
        <v>561</v>
      </c>
      <c r="BK13" s="726" t="s">
        <v>562</v>
      </c>
      <c r="BL13" s="727" t="s">
        <v>562</v>
      </c>
      <c r="BM13" s="728" t="s">
        <v>39</v>
      </c>
      <c r="BN13" s="729" t="s">
        <v>37</v>
      </c>
      <c r="BO13" s="728" t="s">
        <v>39</v>
      </c>
      <c r="BP13" s="727" t="s">
        <v>563</v>
      </c>
      <c r="BQ13" s="728" t="s">
        <v>563</v>
      </c>
      <c r="BR13" s="727" t="s">
        <v>563</v>
      </c>
      <c r="BS13" s="730" t="s">
        <v>561</v>
      </c>
      <c r="BT13" s="723" t="s">
        <v>300</v>
      </c>
      <c r="BU13" s="724" t="s">
        <v>217</v>
      </c>
      <c r="BV13" s="725" t="s">
        <v>37</v>
      </c>
      <c r="BW13" s="724" t="s">
        <v>561</v>
      </c>
      <c r="BX13" s="725" t="s">
        <v>561</v>
      </c>
      <c r="BY13" s="726" t="s">
        <v>562</v>
      </c>
      <c r="BZ13" s="727" t="s">
        <v>562</v>
      </c>
      <c r="CA13" s="728" t="s">
        <v>39</v>
      </c>
      <c r="CB13" s="729" t="s">
        <v>37</v>
      </c>
      <c r="CC13" s="728" t="s">
        <v>39</v>
      </c>
      <c r="CD13" s="727" t="s">
        <v>563</v>
      </c>
      <c r="CE13" s="728" t="s">
        <v>563</v>
      </c>
      <c r="CF13" s="727" t="s">
        <v>563</v>
      </c>
      <c r="CG13" s="730" t="s">
        <v>561</v>
      </c>
      <c r="CH13" s="723" t="s">
        <v>300</v>
      </c>
      <c r="CI13" s="724" t="s">
        <v>217</v>
      </c>
      <c r="CJ13" s="725" t="s">
        <v>37</v>
      </c>
      <c r="CK13" s="724" t="s">
        <v>561</v>
      </c>
      <c r="CL13" s="725" t="s">
        <v>561</v>
      </c>
      <c r="CM13" s="726" t="s">
        <v>562</v>
      </c>
      <c r="CN13" s="727" t="s">
        <v>562</v>
      </c>
      <c r="CO13" s="728" t="s">
        <v>39</v>
      </c>
      <c r="CP13" s="729" t="s">
        <v>37</v>
      </c>
      <c r="CQ13" s="728" t="s">
        <v>39</v>
      </c>
      <c r="CR13" s="727" t="s">
        <v>563</v>
      </c>
      <c r="CS13" s="728" t="s">
        <v>563</v>
      </c>
      <c r="CT13" s="727" t="s">
        <v>563</v>
      </c>
      <c r="CU13" s="730" t="s">
        <v>561</v>
      </c>
      <c r="CV13" s="723" t="s">
        <v>300</v>
      </c>
      <c r="CW13" s="724" t="s">
        <v>217</v>
      </c>
      <c r="CX13" s="725" t="s">
        <v>37</v>
      </c>
      <c r="CY13" s="724" t="s">
        <v>561</v>
      </c>
      <c r="CZ13" s="725" t="s">
        <v>561</v>
      </c>
      <c r="DA13" s="726" t="s">
        <v>562</v>
      </c>
      <c r="DB13" s="727" t="s">
        <v>562</v>
      </c>
      <c r="DC13" s="728" t="s">
        <v>39</v>
      </c>
      <c r="DD13" s="729" t="s">
        <v>37</v>
      </c>
      <c r="DE13" s="728" t="s">
        <v>39</v>
      </c>
      <c r="DF13" s="727" t="s">
        <v>563</v>
      </c>
      <c r="DG13" s="728" t="s">
        <v>563</v>
      </c>
      <c r="DH13" s="727" t="s">
        <v>563</v>
      </c>
      <c r="DI13" s="730" t="s">
        <v>561</v>
      </c>
      <c r="DJ13" s="723" t="s">
        <v>300</v>
      </c>
      <c r="DK13" s="724" t="s">
        <v>217</v>
      </c>
      <c r="DL13" s="725" t="s">
        <v>37</v>
      </c>
      <c r="DM13" s="724" t="s">
        <v>561</v>
      </c>
      <c r="DN13" s="725" t="s">
        <v>561</v>
      </c>
      <c r="DO13" s="726" t="s">
        <v>562</v>
      </c>
      <c r="DP13" s="727" t="s">
        <v>562</v>
      </c>
      <c r="DQ13" s="728" t="s">
        <v>39</v>
      </c>
      <c r="DR13" s="729" t="s">
        <v>37</v>
      </c>
      <c r="DS13" s="728" t="s">
        <v>39</v>
      </c>
      <c r="DT13" s="727" t="s">
        <v>563</v>
      </c>
      <c r="DU13" s="728" t="s">
        <v>563</v>
      </c>
      <c r="DV13" s="727" t="s">
        <v>563</v>
      </c>
      <c r="DW13" s="730" t="s">
        <v>561</v>
      </c>
      <c r="DX13" s="723" t="s">
        <v>300</v>
      </c>
      <c r="DY13" s="724" t="s">
        <v>217</v>
      </c>
      <c r="DZ13" s="725" t="s">
        <v>37</v>
      </c>
      <c r="EA13" s="724" t="s">
        <v>561</v>
      </c>
      <c r="EB13" s="725" t="s">
        <v>561</v>
      </c>
      <c r="EC13" s="726" t="s">
        <v>562</v>
      </c>
      <c r="ED13" s="727" t="s">
        <v>562</v>
      </c>
      <c r="EE13" s="728" t="s">
        <v>39</v>
      </c>
      <c r="EF13" s="729" t="s">
        <v>37</v>
      </c>
      <c r="EG13" s="728" t="s">
        <v>39</v>
      </c>
      <c r="EH13" s="727" t="s">
        <v>563</v>
      </c>
      <c r="EI13" s="728" t="s">
        <v>563</v>
      </c>
      <c r="EJ13" s="727" t="s">
        <v>563</v>
      </c>
      <c r="EK13" s="730" t="s">
        <v>561</v>
      </c>
      <c r="EL13" s="723" t="s">
        <v>300</v>
      </c>
      <c r="EM13" s="724" t="s">
        <v>217</v>
      </c>
      <c r="EN13" s="725" t="s">
        <v>37</v>
      </c>
      <c r="EO13" s="724" t="s">
        <v>561</v>
      </c>
      <c r="EP13" s="725" t="s">
        <v>561</v>
      </c>
      <c r="EQ13" s="726" t="s">
        <v>562</v>
      </c>
      <c r="ER13" s="727" t="s">
        <v>562</v>
      </c>
      <c r="ES13" s="728" t="s">
        <v>39</v>
      </c>
      <c r="ET13" s="729" t="s">
        <v>37</v>
      </c>
      <c r="EU13" s="728" t="s">
        <v>39</v>
      </c>
      <c r="EV13" s="727" t="s">
        <v>563</v>
      </c>
      <c r="EW13" s="728" t="s">
        <v>563</v>
      </c>
      <c r="EX13" s="727" t="s">
        <v>563</v>
      </c>
      <c r="EY13" s="730" t="s">
        <v>561</v>
      </c>
      <c r="EZ13" s="723" t="s">
        <v>300</v>
      </c>
      <c r="FA13" s="724" t="s">
        <v>217</v>
      </c>
      <c r="FB13" s="725" t="s">
        <v>37</v>
      </c>
      <c r="FC13" s="724" t="s">
        <v>561</v>
      </c>
      <c r="FD13" s="725" t="s">
        <v>561</v>
      </c>
      <c r="FE13" s="726" t="s">
        <v>562</v>
      </c>
      <c r="FF13" s="727" t="s">
        <v>562</v>
      </c>
      <c r="FG13" s="728" t="s">
        <v>39</v>
      </c>
      <c r="FH13" s="729" t="s">
        <v>37</v>
      </c>
      <c r="FI13" s="728" t="s">
        <v>39</v>
      </c>
      <c r="FJ13" s="727" t="s">
        <v>563</v>
      </c>
      <c r="FK13" s="728" t="s">
        <v>563</v>
      </c>
      <c r="FL13" s="727" t="s">
        <v>563</v>
      </c>
      <c r="FM13" s="730" t="s">
        <v>561</v>
      </c>
      <c r="FN13" s="723" t="s">
        <v>300</v>
      </c>
      <c r="FO13" s="724" t="s">
        <v>217</v>
      </c>
      <c r="FP13" s="725" t="s">
        <v>37</v>
      </c>
      <c r="FQ13" s="724" t="s">
        <v>561</v>
      </c>
      <c r="FR13" s="725" t="s">
        <v>561</v>
      </c>
      <c r="FS13" s="726" t="s">
        <v>562</v>
      </c>
      <c r="FT13" s="727" t="s">
        <v>562</v>
      </c>
      <c r="FU13" s="728" t="s">
        <v>39</v>
      </c>
      <c r="FV13" s="729" t="s">
        <v>37</v>
      </c>
      <c r="FW13" s="728" t="s">
        <v>39</v>
      </c>
      <c r="FX13" s="727" t="s">
        <v>563</v>
      </c>
      <c r="FY13" s="728" t="s">
        <v>563</v>
      </c>
      <c r="FZ13" s="727" t="s">
        <v>563</v>
      </c>
      <c r="GA13" s="730" t="s">
        <v>561</v>
      </c>
      <c r="GB13" s="723" t="s">
        <v>300</v>
      </c>
      <c r="GC13" s="724" t="s">
        <v>217</v>
      </c>
      <c r="GD13" s="725" t="s">
        <v>37</v>
      </c>
      <c r="GE13" s="724" t="s">
        <v>561</v>
      </c>
      <c r="GF13" s="725" t="s">
        <v>561</v>
      </c>
      <c r="GG13" s="726" t="s">
        <v>562</v>
      </c>
      <c r="GH13" s="727" t="s">
        <v>562</v>
      </c>
      <c r="GI13" s="728" t="s">
        <v>39</v>
      </c>
      <c r="GJ13" s="729" t="s">
        <v>37</v>
      </c>
      <c r="GK13" s="728" t="s">
        <v>39</v>
      </c>
      <c r="GL13" s="727" t="s">
        <v>563</v>
      </c>
      <c r="GM13" s="728" t="s">
        <v>563</v>
      </c>
      <c r="GN13" s="727" t="s">
        <v>563</v>
      </c>
      <c r="GO13" s="730" t="s">
        <v>561</v>
      </c>
      <c r="GP13" s="723" t="s">
        <v>300</v>
      </c>
      <c r="GQ13" s="724" t="s">
        <v>217</v>
      </c>
      <c r="GR13" s="725" t="s">
        <v>37</v>
      </c>
      <c r="GS13" s="724" t="s">
        <v>561</v>
      </c>
      <c r="GT13" s="725" t="s">
        <v>561</v>
      </c>
      <c r="GU13" s="726" t="s">
        <v>562</v>
      </c>
      <c r="GV13" s="727" t="s">
        <v>562</v>
      </c>
      <c r="GW13" s="728" t="s">
        <v>39</v>
      </c>
      <c r="GX13" s="729" t="s">
        <v>37</v>
      </c>
      <c r="GY13" s="728" t="s">
        <v>39</v>
      </c>
      <c r="GZ13" s="727" t="s">
        <v>563</v>
      </c>
      <c r="HA13" s="728" t="s">
        <v>563</v>
      </c>
      <c r="HB13" s="727" t="s">
        <v>563</v>
      </c>
      <c r="HC13" s="730" t="s">
        <v>561</v>
      </c>
      <c r="HD13" s="723" t="s">
        <v>300</v>
      </c>
      <c r="HE13" s="724" t="s">
        <v>217</v>
      </c>
      <c r="HF13" s="725" t="s">
        <v>37</v>
      </c>
      <c r="HG13" s="724" t="s">
        <v>561</v>
      </c>
      <c r="HH13" s="725" t="s">
        <v>561</v>
      </c>
      <c r="HI13" s="723" t="s">
        <v>60</v>
      </c>
      <c r="HJ13" s="731" t="s">
        <v>37</v>
      </c>
      <c r="HK13" s="724" t="s">
        <v>561</v>
      </c>
      <c r="HL13" s="725" t="s">
        <v>561</v>
      </c>
      <c r="HM13" s="726" t="s">
        <v>562</v>
      </c>
      <c r="HN13" s="727" t="s">
        <v>562</v>
      </c>
      <c r="HO13" s="728" t="s">
        <v>39</v>
      </c>
      <c r="HP13" s="729" t="s">
        <v>37</v>
      </c>
      <c r="HQ13" s="728" t="s">
        <v>39</v>
      </c>
      <c r="HR13" s="727" t="s">
        <v>563</v>
      </c>
      <c r="HS13" s="728" t="s">
        <v>563</v>
      </c>
      <c r="HT13" s="727" t="s">
        <v>563</v>
      </c>
      <c r="HU13" s="730" t="s">
        <v>561</v>
      </c>
      <c r="HV13" s="723" t="s">
        <v>300</v>
      </c>
      <c r="HW13" s="724" t="s">
        <v>217</v>
      </c>
      <c r="HX13" s="725" t="s">
        <v>37</v>
      </c>
      <c r="HY13" s="724" t="s">
        <v>561</v>
      </c>
      <c r="HZ13" s="725" t="s">
        <v>561</v>
      </c>
      <c r="IA13" s="723" t="s">
        <v>60</v>
      </c>
      <c r="IB13" s="731" t="s">
        <v>37</v>
      </c>
      <c r="IC13" s="724" t="s">
        <v>561</v>
      </c>
      <c r="ID13" s="725" t="s">
        <v>561</v>
      </c>
      <c r="IE13" s="726" t="s">
        <v>562</v>
      </c>
      <c r="IF13" s="727" t="s">
        <v>562</v>
      </c>
      <c r="IG13" s="728" t="s">
        <v>39</v>
      </c>
      <c r="IH13" s="729" t="s">
        <v>37</v>
      </c>
      <c r="II13" s="728" t="s">
        <v>39</v>
      </c>
      <c r="IJ13" s="727" t="s">
        <v>563</v>
      </c>
      <c r="IK13" s="728" t="s">
        <v>563</v>
      </c>
      <c r="IL13" s="727" t="s">
        <v>563</v>
      </c>
      <c r="IM13" s="730" t="s">
        <v>561</v>
      </c>
      <c r="IN13" s="732"/>
    </row>
    <row r="14" spans="1:248" ht="15.75" thickBot="1" x14ac:dyDescent="0.3">
      <c r="A14" s="678">
        <v>0</v>
      </c>
      <c r="B14" s="679"/>
      <c r="C14" s="680"/>
      <c r="D14" s="681"/>
      <c r="E14" s="682"/>
      <c r="F14" s="683"/>
      <c r="G14" s="684">
        <v>100</v>
      </c>
      <c r="H14" s="685"/>
      <c r="I14" s="686"/>
      <c r="J14" s="687"/>
      <c r="K14" s="688"/>
      <c r="L14" s="689"/>
      <c r="M14" s="688"/>
      <c r="N14" s="689"/>
      <c r="O14" s="690"/>
      <c r="P14" s="679"/>
      <c r="Q14" s="680"/>
      <c r="R14" s="681"/>
      <c r="S14" s="682"/>
      <c r="T14" s="683"/>
      <c r="U14" s="684">
        <v>100</v>
      </c>
      <c r="V14" s="685"/>
      <c r="W14" s="686"/>
      <c r="X14" s="687"/>
      <c r="Y14" s="688"/>
      <c r="Z14" s="689"/>
      <c r="AA14" s="688"/>
      <c r="AB14" s="689"/>
      <c r="AC14" s="690"/>
      <c r="AD14" s="679"/>
      <c r="AE14" s="680"/>
      <c r="AF14" s="681"/>
      <c r="AG14" s="682"/>
      <c r="AH14" s="683"/>
      <c r="AI14" s="684"/>
      <c r="AJ14" s="685"/>
      <c r="AK14" s="686"/>
      <c r="AL14" s="687"/>
      <c r="AM14" s="688"/>
      <c r="AN14" s="689"/>
      <c r="AO14" s="688"/>
      <c r="AP14" s="689"/>
      <c r="AQ14" s="690"/>
      <c r="AR14" s="679"/>
      <c r="AS14" s="680"/>
      <c r="AT14" s="681"/>
      <c r="AU14" s="682"/>
      <c r="AV14" s="683"/>
      <c r="AW14" s="684"/>
      <c r="AX14" s="685"/>
      <c r="AY14" s="686"/>
      <c r="AZ14" s="687"/>
      <c r="BA14" s="688"/>
      <c r="BB14" s="689"/>
      <c r="BC14" s="688"/>
      <c r="BD14" s="689"/>
      <c r="BE14" s="690"/>
      <c r="BF14" s="679"/>
      <c r="BG14" s="680"/>
      <c r="BH14" s="681"/>
      <c r="BI14" s="682"/>
      <c r="BJ14" s="683"/>
      <c r="BK14" s="684"/>
      <c r="BL14" s="685"/>
      <c r="BM14" s="686"/>
      <c r="BN14" s="687"/>
      <c r="BO14" s="688"/>
      <c r="BP14" s="689"/>
      <c r="BQ14" s="688"/>
      <c r="BR14" s="689"/>
      <c r="BS14" s="690"/>
      <c r="BT14" s="679"/>
      <c r="BU14" s="680"/>
      <c r="BV14" s="681"/>
      <c r="BW14" s="682"/>
      <c r="BX14" s="683"/>
      <c r="BY14" s="684"/>
      <c r="BZ14" s="685"/>
      <c r="CA14" s="686"/>
      <c r="CB14" s="687"/>
      <c r="CC14" s="688"/>
      <c r="CD14" s="689"/>
      <c r="CE14" s="688"/>
      <c r="CF14" s="689"/>
      <c r="CG14" s="690"/>
      <c r="CH14" s="679"/>
      <c r="CI14" s="680"/>
      <c r="CJ14" s="681"/>
      <c r="CK14" s="682"/>
      <c r="CL14" s="683"/>
      <c r="CM14" s="684"/>
      <c r="CN14" s="685"/>
      <c r="CO14" s="686"/>
      <c r="CP14" s="687"/>
      <c r="CQ14" s="688"/>
      <c r="CR14" s="689"/>
      <c r="CS14" s="688"/>
      <c r="CT14" s="689"/>
      <c r="CU14" s="690"/>
      <c r="CV14" s="679"/>
      <c r="CW14" s="680"/>
      <c r="CX14" s="681"/>
      <c r="CY14" s="682"/>
      <c r="CZ14" s="683"/>
      <c r="DA14" s="684"/>
      <c r="DB14" s="685"/>
      <c r="DC14" s="686"/>
      <c r="DD14" s="687"/>
      <c r="DE14" s="688"/>
      <c r="DF14" s="689"/>
      <c r="DG14" s="688"/>
      <c r="DH14" s="689"/>
      <c r="DI14" s="690"/>
      <c r="DJ14" s="679"/>
      <c r="DK14" s="680"/>
      <c r="DL14" s="681"/>
      <c r="DM14" s="682"/>
      <c r="DN14" s="683"/>
      <c r="DO14" s="684"/>
      <c r="DP14" s="685"/>
      <c r="DQ14" s="686"/>
      <c r="DR14" s="687"/>
      <c r="DS14" s="688"/>
      <c r="DT14" s="689"/>
      <c r="DU14" s="688"/>
      <c r="DV14" s="689"/>
      <c r="DW14" s="690"/>
      <c r="DX14" s="679"/>
      <c r="DY14" s="680"/>
      <c r="DZ14" s="681"/>
      <c r="EA14" s="682"/>
      <c r="EB14" s="683"/>
      <c r="EC14" s="684"/>
      <c r="ED14" s="685"/>
      <c r="EE14" s="686"/>
      <c r="EF14" s="687"/>
      <c r="EG14" s="688"/>
      <c r="EH14" s="689"/>
      <c r="EI14" s="688"/>
      <c r="EJ14" s="689"/>
      <c r="EK14" s="690"/>
      <c r="EL14" s="679"/>
      <c r="EM14" s="680"/>
      <c r="EN14" s="681"/>
      <c r="EO14" s="682"/>
      <c r="EP14" s="683"/>
      <c r="EQ14" s="684"/>
      <c r="ER14" s="685"/>
      <c r="ES14" s="686"/>
      <c r="ET14" s="687"/>
      <c r="EU14" s="688"/>
      <c r="EV14" s="689"/>
      <c r="EW14" s="688"/>
      <c r="EX14" s="689"/>
      <c r="EY14" s="690"/>
      <c r="EZ14" s="679"/>
      <c r="FA14" s="680"/>
      <c r="FB14" s="681"/>
      <c r="FC14" s="682"/>
      <c r="FD14" s="683"/>
      <c r="FE14" s="684"/>
      <c r="FF14" s="685"/>
      <c r="FG14" s="686"/>
      <c r="FH14" s="687"/>
      <c r="FI14" s="688"/>
      <c r="FJ14" s="689"/>
      <c r="FK14" s="688"/>
      <c r="FL14" s="689"/>
      <c r="FM14" s="690"/>
      <c r="FN14" s="679"/>
      <c r="FO14" s="680"/>
      <c r="FP14" s="681"/>
      <c r="FQ14" s="682"/>
      <c r="FR14" s="683"/>
      <c r="FS14" s="684"/>
      <c r="FT14" s="685"/>
      <c r="FU14" s="686"/>
      <c r="FV14" s="687"/>
      <c r="FW14" s="688"/>
      <c r="FX14" s="689"/>
      <c r="FY14" s="688"/>
      <c r="FZ14" s="689"/>
      <c r="GA14" s="690"/>
      <c r="GB14" s="679"/>
      <c r="GC14" s="680"/>
      <c r="GD14" s="681"/>
      <c r="GE14" s="682"/>
      <c r="GF14" s="683"/>
      <c r="GG14" s="684"/>
      <c r="GH14" s="685"/>
      <c r="GI14" s="686"/>
      <c r="GJ14" s="687"/>
      <c r="GK14" s="688"/>
      <c r="GL14" s="689"/>
      <c r="GM14" s="688"/>
      <c r="GN14" s="689"/>
      <c r="GO14" s="690"/>
      <c r="GP14" s="679"/>
      <c r="GQ14" s="680"/>
      <c r="GR14" s="681"/>
      <c r="GS14" s="682"/>
      <c r="GT14" s="683"/>
      <c r="GU14" s="684"/>
      <c r="GV14" s="685"/>
      <c r="GW14" s="686"/>
      <c r="GX14" s="687"/>
      <c r="GY14" s="688"/>
      <c r="GZ14" s="689"/>
      <c r="HA14" s="688"/>
      <c r="HB14" s="689"/>
      <c r="HC14" s="690"/>
      <c r="HD14" s="679"/>
      <c r="HE14" s="680"/>
      <c r="HF14" s="681"/>
      <c r="HG14" s="682"/>
      <c r="HH14" s="683"/>
      <c r="HI14" s="679"/>
      <c r="HJ14" s="691"/>
      <c r="HK14" s="682"/>
      <c r="HL14" s="683"/>
      <c r="HM14" s="684"/>
      <c r="HN14" s="685"/>
      <c r="HO14" s="686"/>
      <c r="HP14" s="687"/>
      <c r="HQ14" s="688"/>
      <c r="HR14" s="689"/>
      <c r="HS14" s="688"/>
      <c r="HT14" s="689"/>
      <c r="HU14" s="690"/>
      <c r="HV14" s="679"/>
      <c r="HW14" s="680"/>
      <c r="HX14" s="681"/>
      <c r="HY14" s="682"/>
      <c r="HZ14" s="683"/>
      <c r="IA14" s="679"/>
      <c r="IB14" s="691"/>
      <c r="IC14" s="682"/>
      <c r="ID14" s="683"/>
      <c r="IE14" s="684"/>
      <c r="IF14" s="685"/>
      <c r="IG14" s="686"/>
      <c r="IH14" s="687"/>
      <c r="II14" s="688"/>
      <c r="IJ14" s="689"/>
      <c r="IK14" s="688"/>
      <c r="IL14" s="689"/>
      <c r="IM14" s="690"/>
      <c r="IN14" s="346"/>
    </row>
    <row r="15" spans="1:248" x14ac:dyDescent="0.25">
      <c r="A15" s="692">
        <v>1</v>
      </c>
      <c r="B15" s="693" t="s">
        <v>192</v>
      </c>
      <c r="C15" s="694"/>
      <c r="D15" s="695">
        <v>0.8</v>
      </c>
      <c r="E15" s="696">
        <v>10.19</v>
      </c>
      <c r="F15" s="697">
        <v>4.0759999999999996</v>
      </c>
      <c r="G15" s="698"/>
      <c r="H15" s="699">
        <v>0</v>
      </c>
      <c r="I15" s="700">
        <v>1.4592525036169861</v>
      </c>
      <c r="J15" s="701">
        <v>5.8</v>
      </c>
      <c r="K15" s="700">
        <v>0</v>
      </c>
      <c r="L15" s="701">
        <v>1.8120467539768537E-2</v>
      </c>
      <c r="M15" s="700">
        <v>7.9901745257927592E-3</v>
      </c>
      <c r="N15" s="701">
        <v>0</v>
      </c>
      <c r="O15" s="702">
        <v>0</v>
      </c>
      <c r="P15" s="693" t="s">
        <v>192</v>
      </c>
      <c r="Q15" s="694"/>
      <c r="R15" s="695">
        <v>0.99</v>
      </c>
      <c r="S15" s="696">
        <v>10.19</v>
      </c>
      <c r="T15" s="697">
        <v>4.0759999999999996</v>
      </c>
      <c r="U15" s="698"/>
      <c r="V15" s="699">
        <v>0</v>
      </c>
      <c r="W15" s="700">
        <v>1.4592525036169861</v>
      </c>
      <c r="X15" s="701">
        <v>5.8</v>
      </c>
      <c r="Y15" s="700">
        <v>0</v>
      </c>
      <c r="Z15" s="701">
        <v>1.8120467539768537E-2</v>
      </c>
      <c r="AA15" s="700">
        <v>7.9901745257927592E-3</v>
      </c>
      <c r="AB15" s="701">
        <v>0</v>
      </c>
      <c r="AC15" s="702">
        <v>0</v>
      </c>
      <c r="AD15" s="693"/>
      <c r="AE15" s="694"/>
      <c r="AF15" s="695"/>
      <c r="AG15" s="696"/>
      <c r="AH15" s="697"/>
      <c r="AI15" s="698"/>
      <c r="AJ15" s="699"/>
      <c r="AK15" s="700"/>
      <c r="AL15" s="701"/>
      <c r="AM15" s="700"/>
      <c r="AN15" s="701"/>
      <c r="AO15" s="700"/>
      <c r="AP15" s="701"/>
      <c r="AQ15" s="702"/>
      <c r="AR15" s="693"/>
      <c r="AS15" s="694"/>
      <c r="AT15" s="695"/>
      <c r="AU15" s="696"/>
      <c r="AV15" s="697"/>
      <c r="AW15" s="698"/>
      <c r="AX15" s="699"/>
      <c r="AY15" s="700"/>
      <c r="AZ15" s="701"/>
      <c r="BA15" s="700"/>
      <c r="BB15" s="701"/>
      <c r="BC15" s="700"/>
      <c r="BD15" s="701"/>
      <c r="BE15" s="702"/>
      <c r="BF15" s="693"/>
      <c r="BG15" s="694"/>
      <c r="BH15" s="695"/>
      <c r="BI15" s="696"/>
      <c r="BJ15" s="697"/>
      <c r="BK15" s="698"/>
      <c r="BL15" s="699"/>
      <c r="BM15" s="700"/>
      <c r="BN15" s="701"/>
      <c r="BO15" s="700"/>
      <c r="BP15" s="701"/>
      <c r="BQ15" s="700"/>
      <c r="BR15" s="701"/>
      <c r="BS15" s="702"/>
      <c r="BT15" s="693"/>
      <c r="BU15" s="694"/>
      <c r="BV15" s="695"/>
      <c r="BW15" s="696"/>
      <c r="BX15" s="697"/>
      <c r="BY15" s="698"/>
      <c r="BZ15" s="699"/>
      <c r="CA15" s="700"/>
      <c r="CB15" s="701"/>
      <c r="CC15" s="700"/>
      <c r="CD15" s="701"/>
      <c r="CE15" s="700"/>
      <c r="CF15" s="701"/>
      <c r="CG15" s="702"/>
      <c r="CH15" s="693"/>
      <c r="CI15" s="694"/>
      <c r="CJ15" s="695"/>
      <c r="CK15" s="696"/>
      <c r="CL15" s="697"/>
      <c r="CM15" s="698"/>
      <c r="CN15" s="699"/>
      <c r="CO15" s="700"/>
      <c r="CP15" s="701"/>
      <c r="CQ15" s="700"/>
      <c r="CR15" s="701"/>
      <c r="CS15" s="700"/>
      <c r="CT15" s="701"/>
      <c r="CU15" s="702"/>
      <c r="CV15" s="693"/>
      <c r="CW15" s="694"/>
      <c r="CX15" s="695"/>
      <c r="CY15" s="696"/>
      <c r="CZ15" s="697"/>
      <c r="DA15" s="698"/>
      <c r="DB15" s="699"/>
      <c r="DC15" s="700"/>
      <c r="DD15" s="701"/>
      <c r="DE15" s="700"/>
      <c r="DF15" s="701"/>
      <c r="DG15" s="700"/>
      <c r="DH15" s="701"/>
      <c r="DI15" s="702"/>
      <c r="DJ15" s="693"/>
      <c r="DK15" s="694"/>
      <c r="DL15" s="695"/>
      <c r="DM15" s="696"/>
      <c r="DN15" s="697"/>
      <c r="DO15" s="698"/>
      <c r="DP15" s="699"/>
      <c r="DQ15" s="700"/>
      <c r="DR15" s="701"/>
      <c r="DS15" s="700"/>
      <c r="DT15" s="701"/>
      <c r="DU15" s="700"/>
      <c r="DV15" s="701"/>
      <c r="DW15" s="702"/>
      <c r="DX15" s="693"/>
      <c r="DY15" s="694"/>
      <c r="DZ15" s="695"/>
      <c r="EA15" s="696"/>
      <c r="EB15" s="697"/>
      <c r="EC15" s="698"/>
      <c r="ED15" s="699"/>
      <c r="EE15" s="700"/>
      <c r="EF15" s="701"/>
      <c r="EG15" s="700"/>
      <c r="EH15" s="701"/>
      <c r="EI15" s="700"/>
      <c r="EJ15" s="701"/>
      <c r="EK15" s="702"/>
      <c r="EL15" s="693"/>
      <c r="EM15" s="694"/>
      <c r="EN15" s="695"/>
      <c r="EO15" s="696"/>
      <c r="EP15" s="697"/>
      <c r="EQ15" s="698"/>
      <c r="ER15" s="699"/>
      <c r="ES15" s="700"/>
      <c r="ET15" s="701"/>
      <c r="EU15" s="700"/>
      <c r="EV15" s="701"/>
      <c r="EW15" s="700"/>
      <c r="EX15" s="701"/>
      <c r="EY15" s="702"/>
      <c r="EZ15" s="693"/>
      <c r="FA15" s="694"/>
      <c r="FB15" s="695"/>
      <c r="FC15" s="696"/>
      <c r="FD15" s="697"/>
      <c r="FE15" s="698"/>
      <c r="FF15" s="699"/>
      <c r="FG15" s="700"/>
      <c r="FH15" s="701"/>
      <c r="FI15" s="700"/>
      <c r="FJ15" s="701"/>
      <c r="FK15" s="700"/>
      <c r="FL15" s="701"/>
      <c r="FM15" s="702"/>
      <c r="FN15" s="693"/>
      <c r="FO15" s="694"/>
      <c r="FP15" s="695"/>
      <c r="FQ15" s="696"/>
      <c r="FR15" s="697"/>
      <c r="FS15" s="698"/>
      <c r="FT15" s="699"/>
      <c r="FU15" s="700"/>
      <c r="FV15" s="701"/>
      <c r="FW15" s="700"/>
      <c r="FX15" s="701"/>
      <c r="FY15" s="700"/>
      <c r="FZ15" s="701"/>
      <c r="GA15" s="702"/>
      <c r="GB15" s="693"/>
      <c r="GC15" s="694"/>
      <c r="GD15" s="695"/>
      <c r="GE15" s="696"/>
      <c r="GF15" s="697"/>
      <c r="GG15" s="698"/>
      <c r="GH15" s="699"/>
      <c r="GI15" s="700"/>
      <c r="GJ15" s="701"/>
      <c r="GK15" s="700"/>
      <c r="GL15" s="701"/>
      <c r="GM15" s="700"/>
      <c r="GN15" s="701"/>
      <c r="GO15" s="702"/>
      <c r="GP15" s="693"/>
      <c r="GQ15" s="694"/>
      <c r="GR15" s="695"/>
      <c r="GS15" s="696"/>
      <c r="GT15" s="697"/>
      <c r="GU15" s="698"/>
      <c r="GV15" s="699"/>
      <c r="GW15" s="700"/>
      <c r="GX15" s="701"/>
      <c r="GY15" s="700"/>
      <c r="GZ15" s="701"/>
      <c r="HA15" s="700"/>
      <c r="HB15" s="701"/>
      <c r="HC15" s="702"/>
      <c r="HD15" s="693"/>
      <c r="HE15" s="694"/>
      <c r="HF15" s="695"/>
      <c r="HG15" s="696"/>
      <c r="HH15" s="697"/>
      <c r="HI15" s="703"/>
      <c r="HJ15" s="704"/>
      <c r="HK15" s="696"/>
      <c r="HL15" s="697"/>
      <c r="HM15" s="698"/>
      <c r="HN15" s="699"/>
      <c r="HO15" s="700"/>
      <c r="HP15" s="701"/>
      <c r="HQ15" s="700"/>
      <c r="HR15" s="701"/>
      <c r="HS15" s="700"/>
      <c r="HT15" s="701"/>
      <c r="HU15" s="702"/>
      <c r="HV15" s="693"/>
      <c r="HW15" s="694"/>
      <c r="HX15" s="695"/>
      <c r="HY15" s="696"/>
      <c r="HZ15" s="697"/>
      <c r="IA15" s="703"/>
      <c r="IB15" s="704"/>
      <c r="IC15" s="696"/>
      <c r="ID15" s="697"/>
      <c r="IE15" s="698"/>
      <c r="IF15" s="699"/>
      <c r="IG15" s="700"/>
      <c r="IH15" s="701"/>
      <c r="II15" s="700"/>
      <c r="IJ15" s="701"/>
      <c r="IK15" s="700"/>
      <c r="IL15" s="701"/>
      <c r="IM15" s="702"/>
      <c r="IN15" s="346"/>
    </row>
    <row r="16" spans="1:248" x14ac:dyDescent="0.25">
      <c r="A16" s="692">
        <f t="shared" ref="A16:A74" si="0">A15+1</f>
        <v>2</v>
      </c>
      <c r="B16" s="693" t="s">
        <v>192</v>
      </c>
      <c r="C16" s="694"/>
      <c r="D16" s="695">
        <v>0.8</v>
      </c>
      <c r="E16" s="696">
        <v>8.3000000000000007</v>
      </c>
      <c r="F16" s="697">
        <v>3.3200000000000003</v>
      </c>
      <c r="G16" s="698"/>
      <c r="H16" s="699">
        <v>0</v>
      </c>
      <c r="I16" s="700">
        <v>1.8299774974366299</v>
      </c>
      <c r="J16" s="701">
        <v>6.2</v>
      </c>
      <c r="K16" s="700">
        <v>0</v>
      </c>
      <c r="L16" s="701">
        <v>3.5736770732672521E-2</v>
      </c>
      <c r="M16" s="700">
        <v>1.5758039052558771E-2</v>
      </c>
      <c r="N16" s="701">
        <v>0</v>
      </c>
      <c r="O16" s="702">
        <v>0</v>
      </c>
      <c r="P16" s="693" t="s">
        <v>192</v>
      </c>
      <c r="Q16" s="694"/>
      <c r="R16" s="695">
        <v>0.99</v>
      </c>
      <c r="S16" s="696">
        <v>8.3000000000000007</v>
      </c>
      <c r="T16" s="697">
        <v>3.3200000000000003</v>
      </c>
      <c r="U16" s="698"/>
      <c r="V16" s="699">
        <v>0</v>
      </c>
      <c r="W16" s="700">
        <v>1.8299774974366299</v>
      </c>
      <c r="X16" s="701">
        <v>6.2</v>
      </c>
      <c r="Y16" s="700">
        <v>0</v>
      </c>
      <c r="Z16" s="701">
        <v>3.5736770732672521E-2</v>
      </c>
      <c r="AA16" s="700">
        <v>1.5758039052558771E-2</v>
      </c>
      <c r="AB16" s="701">
        <v>0</v>
      </c>
      <c r="AC16" s="702">
        <v>0</v>
      </c>
      <c r="AD16" s="693"/>
      <c r="AE16" s="694"/>
      <c r="AF16" s="695"/>
      <c r="AG16" s="696"/>
      <c r="AH16" s="697"/>
      <c r="AI16" s="698"/>
      <c r="AJ16" s="699"/>
      <c r="AK16" s="700"/>
      <c r="AL16" s="701"/>
      <c r="AM16" s="700"/>
      <c r="AN16" s="701"/>
      <c r="AO16" s="700"/>
      <c r="AP16" s="701"/>
      <c r="AQ16" s="702"/>
      <c r="AR16" s="693"/>
      <c r="AS16" s="694"/>
      <c r="AT16" s="695"/>
      <c r="AU16" s="696"/>
      <c r="AV16" s="697"/>
      <c r="AW16" s="698"/>
      <c r="AX16" s="699"/>
      <c r="AY16" s="700"/>
      <c r="AZ16" s="701"/>
      <c r="BA16" s="700"/>
      <c r="BB16" s="701"/>
      <c r="BC16" s="700"/>
      <c r="BD16" s="701"/>
      <c r="BE16" s="702"/>
      <c r="BF16" s="693"/>
      <c r="BG16" s="694"/>
      <c r="BH16" s="695"/>
      <c r="BI16" s="696"/>
      <c r="BJ16" s="697"/>
      <c r="BK16" s="698"/>
      <c r="BL16" s="699"/>
      <c r="BM16" s="700"/>
      <c r="BN16" s="701"/>
      <c r="BO16" s="700"/>
      <c r="BP16" s="701"/>
      <c r="BQ16" s="700"/>
      <c r="BR16" s="701"/>
      <c r="BS16" s="702"/>
      <c r="BT16" s="693"/>
      <c r="BU16" s="694"/>
      <c r="BV16" s="695"/>
      <c r="BW16" s="696"/>
      <c r="BX16" s="697"/>
      <c r="BY16" s="698"/>
      <c r="BZ16" s="699"/>
      <c r="CA16" s="700"/>
      <c r="CB16" s="701"/>
      <c r="CC16" s="700"/>
      <c r="CD16" s="701"/>
      <c r="CE16" s="700"/>
      <c r="CF16" s="701"/>
      <c r="CG16" s="702"/>
      <c r="CH16" s="693"/>
      <c r="CI16" s="694"/>
      <c r="CJ16" s="695"/>
      <c r="CK16" s="696"/>
      <c r="CL16" s="697"/>
      <c r="CM16" s="698"/>
      <c r="CN16" s="699"/>
      <c r="CO16" s="700"/>
      <c r="CP16" s="701"/>
      <c r="CQ16" s="700"/>
      <c r="CR16" s="701"/>
      <c r="CS16" s="700"/>
      <c r="CT16" s="701"/>
      <c r="CU16" s="702"/>
      <c r="CV16" s="693"/>
      <c r="CW16" s="694"/>
      <c r="CX16" s="695"/>
      <c r="CY16" s="696"/>
      <c r="CZ16" s="697"/>
      <c r="DA16" s="698"/>
      <c r="DB16" s="699"/>
      <c r="DC16" s="700"/>
      <c r="DD16" s="701"/>
      <c r="DE16" s="700"/>
      <c r="DF16" s="701"/>
      <c r="DG16" s="700"/>
      <c r="DH16" s="701"/>
      <c r="DI16" s="702"/>
      <c r="DJ16" s="693"/>
      <c r="DK16" s="694"/>
      <c r="DL16" s="695"/>
      <c r="DM16" s="696"/>
      <c r="DN16" s="697"/>
      <c r="DO16" s="698"/>
      <c r="DP16" s="699"/>
      <c r="DQ16" s="700"/>
      <c r="DR16" s="701"/>
      <c r="DS16" s="700"/>
      <c r="DT16" s="701"/>
      <c r="DU16" s="700"/>
      <c r="DV16" s="701"/>
      <c r="DW16" s="702"/>
      <c r="DX16" s="693"/>
      <c r="DY16" s="694"/>
      <c r="DZ16" s="695"/>
      <c r="EA16" s="696"/>
      <c r="EB16" s="697"/>
      <c r="EC16" s="698"/>
      <c r="ED16" s="699"/>
      <c r="EE16" s="700"/>
      <c r="EF16" s="701"/>
      <c r="EG16" s="700"/>
      <c r="EH16" s="701"/>
      <c r="EI16" s="700"/>
      <c r="EJ16" s="701"/>
      <c r="EK16" s="702"/>
      <c r="EL16" s="693"/>
      <c r="EM16" s="694"/>
      <c r="EN16" s="695"/>
      <c r="EO16" s="696"/>
      <c r="EP16" s="697"/>
      <c r="EQ16" s="698"/>
      <c r="ER16" s="699"/>
      <c r="ES16" s="700"/>
      <c r="ET16" s="701"/>
      <c r="EU16" s="700"/>
      <c r="EV16" s="701"/>
      <c r="EW16" s="700"/>
      <c r="EX16" s="701"/>
      <c r="EY16" s="702"/>
      <c r="EZ16" s="693"/>
      <c r="FA16" s="694"/>
      <c r="FB16" s="695"/>
      <c r="FC16" s="696"/>
      <c r="FD16" s="697"/>
      <c r="FE16" s="698"/>
      <c r="FF16" s="699"/>
      <c r="FG16" s="700"/>
      <c r="FH16" s="701"/>
      <c r="FI16" s="700"/>
      <c r="FJ16" s="701"/>
      <c r="FK16" s="700"/>
      <c r="FL16" s="701"/>
      <c r="FM16" s="702"/>
      <c r="FN16" s="693"/>
      <c r="FO16" s="694"/>
      <c r="FP16" s="695"/>
      <c r="FQ16" s="696"/>
      <c r="FR16" s="697"/>
      <c r="FS16" s="698"/>
      <c r="FT16" s="699"/>
      <c r="FU16" s="700"/>
      <c r="FV16" s="701"/>
      <c r="FW16" s="700"/>
      <c r="FX16" s="701"/>
      <c r="FY16" s="700"/>
      <c r="FZ16" s="701"/>
      <c r="GA16" s="702"/>
      <c r="GB16" s="693"/>
      <c r="GC16" s="694"/>
      <c r="GD16" s="695"/>
      <c r="GE16" s="696"/>
      <c r="GF16" s="697"/>
      <c r="GG16" s="698"/>
      <c r="GH16" s="699"/>
      <c r="GI16" s="700"/>
      <c r="GJ16" s="701"/>
      <c r="GK16" s="700"/>
      <c r="GL16" s="701"/>
      <c r="GM16" s="700"/>
      <c r="GN16" s="701"/>
      <c r="GO16" s="702"/>
      <c r="GP16" s="693"/>
      <c r="GQ16" s="694"/>
      <c r="GR16" s="695"/>
      <c r="GS16" s="696"/>
      <c r="GT16" s="697"/>
      <c r="GU16" s="698"/>
      <c r="GV16" s="699"/>
      <c r="GW16" s="700"/>
      <c r="GX16" s="701"/>
      <c r="GY16" s="700"/>
      <c r="GZ16" s="701"/>
      <c r="HA16" s="700"/>
      <c r="HB16" s="701"/>
      <c r="HC16" s="702"/>
      <c r="HD16" s="693"/>
      <c r="HE16" s="694"/>
      <c r="HF16" s="695"/>
      <c r="HG16" s="696"/>
      <c r="HH16" s="697"/>
      <c r="HI16" s="693"/>
      <c r="HJ16" s="704"/>
      <c r="HK16" s="696"/>
      <c r="HL16" s="697"/>
      <c r="HM16" s="698"/>
      <c r="HN16" s="699"/>
      <c r="HO16" s="700"/>
      <c r="HP16" s="701"/>
      <c r="HQ16" s="700"/>
      <c r="HR16" s="701"/>
      <c r="HS16" s="700"/>
      <c r="HT16" s="701"/>
      <c r="HU16" s="702"/>
      <c r="HV16" s="693"/>
      <c r="HW16" s="694"/>
      <c r="HX16" s="695"/>
      <c r="HY16" s="696"/>
      <c r="HZ16" s="697"/>
      <c r="IA16" s="693"/>
      <c r="IB16" s="704"/>
      <c r="IC16" s="696"/>
      <c r="ID16" s="697"/>
      <c r="IE16" s="698"/>
      <c r="IF16" s="699"/>
      <c r="IG16" s="700"/>
      <c r="IH16" s="701"/>
      <c r="II16" s="700"/>
      <c r="IJ16" s="701"/>
      <c r="IK16" s="700"/>
      <c r="IL16" s="701"/>
      <c r="IM16" s="702"/>
      <c r="IN16" s="346"/>
    </row>
    <row r="17" spans="1:248" x14ac:dyDescent="0.25">
      <c r="A17" s="692">
        <f t="shared" si="0"/>
        <v>3</v>
      </c>
      <c r="B17" s="693" t="s">
        <v>312</v>
      </c>
      <c r="C17" s="694"/>
      <c r="D17" s="695">
        <v>0.8</v>
      </c>
      <c r="E17" s="696">
        <v>7.5</v>
      </c>
      <c r="F17" s="697">
        <v>4.7459999999999996</v>
      </c>
      <c r="G17" s="698"/>
      <c r="H17" s="699">
        <v>0</v>
      </c>
      <c r="I17" s="700">
        <v>2.3400475234040528</v>
      </c>
      <c r="J17" s="701">
        <v>15.4</v>
      </c>
      <c r="K17" s="700">
        <v>1.5</v>
      </c>
      <c r="L17" s="701">
        <v>7.4722619829604042E-2</v>
      </c>
      <c r="M17" s="700">
        <v>3.2948751027128596E-2</v>
      </c>
      <c r="N17" s="701">
        <v>0</v>
      </c>
      <c r="O17" s="702">
        <v>0</v>
      </c>
      <c r="P17" s="693" t="s">
        <v>312</v>
      </c>
      <c r="Q17" s="694"/>
      <c r="R17" s="695">
        <v>0.99</v>
      </c>
      <c r="S17" s="696">
        <v>7.5</v>
      </c>
      <c r="T17" s="697">
        <v>4.7459999999999996</v>
      </c>
      <c r="U17" s="698"/>
      <c r="V17" s="699">
        <v>0</v>
      </c>
      <c r="W17" s="700">
        <v>2.3400475234040528</v>
      </c>
      <c r="X17" s="701">
        <v>15.4</v>
      </c>
      <c r="Y17" s="700">
        <v>1.5</v>
      </c>
      <c r="Z17" s="701">
        <v>7.4722619829604042E-2</v>
      </c>
      <c r="AA17" s="700">
        <v>3.2948751027128596E-2</v>
      </c>
      <c r="AB17" s="701">
        <v>0</v>
      </c>
      <c r="AC17" s="702">
        <v>0</v>
      </c>
      <c r="AD17" s="693"/>
      <c r="AE17" s="694"/>
      <c r="AF17" s="695"/>
      <c r="AG17" s="696"/>
      <c r="AH17" s="697"/>
      <c r="AI17" s="698"/>
      <c r="AJ17" s="699"/>
      <c r="AK17" s="700"/>
      <c r="AL17" s="701"/>
      <c r="AM17" s="700"/>
      <c r="AN17" s="701"/>
      <c r="AO17" s="700"/>
      <c r="AP17" s="701"/>
      <c r="AQ17" s="702"/>
      <c r="AR17" s="693"/>
      <c r="AS17" s="694"/>
      <c r="AT17" s="695"/>
      <c r="AU17" s="696"/>
      <c r="AV17" s="697"/>
      <c r="AW17" s="698"/>
      <c r="AX17" s="699"/>
      <c r="AY17" s="700"/>
      <c r="AZ17" s="701"/>
      <c r="BA17" s="700"/>
      <c r="BB17" s="701"/>
      <c r="BC17" s="700"/>
      <c r="BD17" s="701"/>
      <c r="BE17" s="702"/>
      <c r="BF17" s="693"/>
      <c r="BG17" s="694"/>
      <c r="BH17" s="695"/>
      <c r="BI17" s="696"/>
      <c r="BJ17" s="697"/>
      <c r="BK17" s="698"/>
      <c r="BL17" s="699"/>
      <c r="BM17" s="700"/>
      <c r="BN17" s="701"/>
      <c r="BO17" s="700"/>
      <c r="BP17" s="701"/>
      <c r="BQ17" s="700"/>
      <c r="BR17" s="701"/>
      <c r="BS17" s="702"/>
      <c r="BT17" s="693"/>
      <c r="BU17" s="694"/>
      <c r="BV17" s="695"/>
      <c r="BW17" s="696"/>
      <c r="BX17" s="697"/>
      <c r="BY17" s="698"/>
      <c r="BZ17" s="699"/>
      <c r="CA17" s="700"/>
      <c r="CB17" s="701"/>
      <c r="CC17" s="700"/>
      <c r="CD17" s="701"/>
      <c r="CE17" s="700"/>
      <c r="CF17" s="701"/>
      <c r="CG17" s="702"/>
      <c r="CH17" s="693"/>
      <c r="CI17" s="694"/>
      <c r="CJ17" s="695"/>
      <c r="CK17" s="696"/>
      <c r="CL17" s="697"/>
      <c r="CM17" s="698"/>
      <c r="CN17" s="699"/>
      <c r="CO17" s="700"/>
      <c r="CP17" s="701"/>
      <c r="CQ17" s="700"/>
      <c r="CR17" s="701"/>
      <c r="CS17" s="700"/>
      <c r="CT17" s="701"/>
      <c r="CU17" s="702"/>
      <c r="CV17" s="693"/>
      <c r="CW17" s="694"/>
      <c r="CX17" s="695"/>
      <c r="CY17" s="696"/>
      <c r="CZ17" s="697"/>
      <c r="DA17" s="698"/>
      <c r="DB17" s="699"/>
      <c r="DC17" s="700"/>
      <c r="DD17" s="701"/>
      <c r="DE17" s="700"/>
      <c r="DF17" s="701"/>
      <c r="DG17" s="700"/>
      <c r="DH17" s="701"/>
      <c r="DI17" s="702"/>
      <c r="DJ17" s="693"/>
      <c r="DK17" s="694"/>
      <c r="DL17" s="695"/>
      <c r="DM17" s="696"/>
      <c r="DN17" s="697"/>
      <c r="DO17" s="698"/>
      <c r="DP17" s="699"/>
      <c r="DQ17" s="700"/>
      <c r="DR17" s="701"/>
      <c r="DS17" s="700"/>
      <c r="DT17" s="701"/>
      <c r="DU17" s="700"/>
      <c r="DV17" s="701"/>
      <c r="DW17" s="702"/>
      <c r="DX17" s="693"/>
      <c r="DY17" s="694"/>
      <c r="DZ17" s="695"/>
      <c r="EA17" s="696"/>
      <c r="EB17" s="697"/>
      <c r="EC17" s="698"/>
      <c r="ED17" s="699"/>
      <c r="EE17" s="700"/>
      <c r="EF17" s="701"/>
      <c r="EG17" s="700"/>
      <c r="EH17" s="701"/>
      <c r="EI17" s="700"/>
      <c r="EJ17" s="701"/>
      <c r="EK17" s="702"/>
      <c r="EL17" s="693"/>
      <c r="EM17" s="694"/>
      <c r="EN17" s="695"/>
      <c r="EO17" s="696"/>
      <c r="EP17" s="697"/>
      <c r="EQ17" s="698"/>
      <c r="ER17" s="699"/>
      <c r="ES17" s="700"/>
      <c r="ET17" s="701"/>
      <c r="EU17" s="700"/>
      <c r="EV17" s="701"/>
      <c r="EW17" s="700"/>
      <c r="EX17" s="701"/>
      <c r="EY17" s="702"/>
      <c r="EZ17" s="693"/>
      <c r="FA17" s="694"/>
      <c r="FB17" s="695"/>
      <c r="FC17" s="696"/>
      <c r="FD17" s="697"/>
      <c r="FE17" s="698"/>
      <c r="FF17" s="699"/>
      <c r="FG17" s="700"/>
      <c r="FH17" s="701"/>
      <c r="FI17" s="700"/>
      <c r="FJ17" s="701"/>
      <c r="FK17" s="700"/>
      <c r="FL17" s="701"/>
      <c r="FM17" s="702"/>
      <c r="FN17" s="693"/>
      <c r="FO17" s="694"/>
      <c r="FP17" s="695"/>
      <c r="FQ17" s="696"/>
      <c r="FR17" s="697"/>
      <c r="FS17" s="698"/>
      <c r="FT17" s="699"/>
      <c r="FU17" s="700"/>
      <c r="FV17" s="701"/>
      <c r="FW17" s="700"/>
      <c r="FX17" s="701"/>
      <c r="FY17" s="700"/>
      <c r="FZ17" s="701"/>
      <c r="GA17" s="702"/>
      <c r="GB17" s="693"/>
      <c r="GC17" s="694"/>
      <c r="GD17" s="695"/>
      <c r="GE17" s="696"/>
      <c r="GF17" s="697"/>
      <c r="GG17" s="698"/>
      <c r="GH17" s="699"/>
      <c r="GI17" s="700"/>
      <c r="GJ17" s="701"/>
      <c r="GK17" s="700"/>
      <c r="GL17" s="701"/>
      <c r="GM17" s="700"/>
      <c r="GN17" s="701"/>
      <c r="GO17" s="702"/>
      <c r="GP17" s="693"/>
      <c r="GQ17" s="694"/>
      <c r="GR17" s="695"/>
      <c r="GS17" s="696"/>
      <c r="GT17" s="697"/>
      <c r="GU17" s="698"/>
      <c r="GV17" s="699"/>
      <c r="GW17" s="700"/>
      <c r="GX17" s="701"/>
      <c r="GY17" s="700"/>
      <c r="GZ17" s="701"/>
      <c r="HA17" s="700"/>
      <c r="HB17" s="701"/>
      <c r="HC17" s="702"/>
      <c r="HD17" s="693"/>
      <c r="HE17" s="694"/>
      <c r="HF17" s="695"/>
      <c r="HG17" s="696"/>
      <c r="HH17" s="697"/>
      <c r="HI17" s="693"/>
      <c r="HJ17" s="704"/>
      <c r="HK17" s="696"/>
      <c r="HL17" s="697"/>
      <c r="HM17" s="698"/>
      <c r="HN17" s="699"/>
      <c r="HO17" s="700"/>
      <c r="HP17" s="701"/>
      <c r="HQ17" s="700"/>
      <c r="HR17" s="701"/>
      <c r="HS17" s="700"/>
      <c r="HT17" s="701"/>
      <c r="HU17" s="702"/>
      <c r="HV17" s="693"/>
      <c r="HW17" s="694"/>
      <c r="HX17" s="695"/>
      <c r="HY17" s="696"/>
      <c r="HZ17" s="697"/>
      <c r="IA17" s="693"/>
      <c r="IB17" s="704"/>
      <c r="IC17" s="696"/>
      <c r="ID17" s="697"/>
      <c r="IE17" s="698"/>
      <c r="IF17" s="699"/>
      <c r="IG17" s="700"/>
      <c r="IH17" s="701"/>
      <c r="II17" s="700"/>
      <c r="IJ17" s="701"/>
      <c r="IK17" s="700"/>
      <c r="IL17" s="701"/>
      <c r="IM17" s="702"/>
      <c r="IN17" s="346"/>
    </row>
    <row r="18" spans="1:248" x14ac:dyDescent="0.25">
      <c r="A18" s="692">
        <f t="shared" si="0"/>
        <v>4</v>
      </c>
      <c r="B18" s="693" t="s">
        <v>309</v>
      </c>
      <c r="C18" s="694"/>
      <c r="D18" s="695">
        <v>0.8</v>
      </c>
      <c r="E18" s="696">
        <v>3.35</v>
      </c>
      <c r="F18" s="697">
        <v>1.675</v>
      </c>
      <c r="G18" s="698"/>
      <c r="H18" s="699">
        <v>0</v>
      </c>
      <c r="I18" s="700">
        <v>2.95597248118148</v>
      </c>
      <c r="J18" s="701">
        <v>15.4</v>
      </c>
      <c r="K18" s="700">
        <v>1.5</v>
      </c>
      <c r="L18" s="701">
        <v>0.15061881196731625</v>
      </c>
      <c r="M18" s="700">
        <v>6.6414985807909915E-2</v>
      </c>
      <c r="N18" s="701">
        <v>0</v>
      </c>
      <c r="O18" s="702">
        <v>0</v>
      </c>
      <c r="P18" s="693" t="s">
        <v>309</v>
      </c>
      <c r="Q18" s="694"/>
      <c r="R18" s="695">
        <v>0.99</v>
      </c>
      <c r="S18" s="696">
        <v>3.35</v>
      </c>
      <c r="T18" s="697">
        <v>1.675</v>
      </c>
      <c r="U18" s="698"/>
      <c r="V18" s="699">
        <v>0</v>
      </c>
      <c r="W18" s="700">
        <v>2.95597248118148</v>
      </c>
      <c r="X18" s="701">
        <v>15.4</v>
      </c>
      <c r="Y18" s="700">
        <v>1.5</v>
      </c>
      <c r="Z18" s="701">
        <v>0.15061881196731625</v>
      </c>
      <c r="AA18" s="700">
        <v>6.6414985807909915E-2</v>
      </c>
      <c r="AB18" s="701">
        <v>0</v>
      </c>
      <c r="AC18" s="702">
        <v>0</v>
      </c>
      <c r="AD18" s="693"/>
      <c r="AE18" s="694"/>
      <c r="AF18" s="695"/>
      <c r="AG18" s="696"/>
      <c r="AH18" s="697"/>
      <c r="AI18" s="698"/>
      <c r="AJ18" s="699"/>
      <c r="AK18" s="700"/>
      <c r="AL18" s="701"/>
      <c r="AM18" s="700"/>
      <c r="AN18" s="701"/>
      <c r="AO18" s="700"/>
      <c r="AP18" s="701"/>
      <c r="AQ18" s="702"/>
      <c r="AR18" s="693"/>
      <c r="AS18" s="694"/>
      <c r="AT18" s="695"/>
      <c r="AU18" s="696"/>
      <c r="AV18" s="697"/>
      <c r="AW18" s="698"/>
      <c r="AX18" s="699"/>
      <c r="AY18" s="700"/>
      <c r="AZ18" s="701"/>
      <c r="BA18" s="700"/>
      <c r="BB18" s="701"/>
      <c r="BC18" s="700"/>
      <c r="BD18" s="701"/>
      <c r="BE18" s="702"/>
      <c r="BF18" s="693"/>
      <c r="BG18" s="694"/>
      <c r="BH18" s="695"/>
      <c r="BI18" s="696"/>
      <c r="BJ18" s="697"/>
      <c r="BK18" s="698"/>
      <c r="BL18" s="699"/>
      <c r="BM18" s="700"/>
      <c r="BN18" s="701"/>
      <c r="BO18" s="700"/>
      <c r="BP18" s="701"/>
      <c r="BQ18" s="700"/>
      <c r="BR18" s="701"/>
      <c r="BS18" s="702"/>
      <c r="BT18" s="693"/>
      <c r="BU18" s="694"/>
      <c r="BV18" s="695"/>
      <c r="BW18" s="696"/>
      <c r="BX18" s="697"/>
      <c r="BY18" s="698"/>
      <c r="BZ18" s="699"/>
      <c r="CA18" s="700"/>
      <c r="CB18" s="701"/>
      <c r="CC18" s="700"/>
      <c r="CD18" s="701"/>
      <c r="CE18" s="700"/>
      <c r="CF18" s="701"/>
      <c r="CG18" s="702"/>
      <c r="CH18" s="693"/>
      <c r="CI18" s="694"/>
      <c r="CJ18" s="695"/>
      <c r="CK18" s="696"/>
      <c r="CL18" s="697"/>
      <c r="CM18" s="698"/>
      <c r="CN18" s="699"/>
      <c r="CO18" s="700"/>
      <c r="CP18" s="701"/>
      <c r="CQ18" s="700"/>
      <c r="CR18" s="701"/>
      <c r="CS18" s="700"/>
      <c r="CT18" s="701"/>
      <c r="CU18" s="702"/>
      <c r="CV18" s="693"/>
      <c r="CW18" s="694"/>
      <c r="CX18" s="695"/>
      <c r="CY18" s="696"/>
      <c r="CZ18" s="697"/>
      <c r="DA18" s="698"/>
      <c r="DB18" s="699"/>
      <c r="DC18" s="700"/>
      <c r="DD18" s="701"/>
      <c r="DE18" s="700"/>
      <c r="DF18" s="701"/>
      <c r="DG18" s="700"/>
      <c r="DH18" s="701"/>
      <c r="DI18" s="702"/>
      <c r="DJ18" s="693"/>
      <c r="DK18" s="694"/>
      <c r="DL18" s="695"/>
      <c r="DM18" s="696"/>
      <c r="DN18" s="697"/>
      <c r="DO18" s="698"/>
      <c r="DP18" s="699"/>
      <c r="DQ18" s="700"/>
      <c r="DR18" s="701"/>
      <c r="DS18" s="700"/>
      <c r="DT18" s="701"/>
      <c r="DU18" s="700"/>
      <c r="DV18" s="701"/>
      <c r="DW18" s="702"/>
      <c r="DX18" s="693"/>
      <c r="DY18" s="694"/>
      <c r="DZ18" s="695"/>
      <c r="EA18" s="696"/>
      <c r="EB18" s="697"/>
      <c r="EC18" s="698"/>
      <c r="ED18" s="699"/>
      <c r="EE18" s="700"/>
      <c r="EF18" s="701"/>
      <c r="EG18" s="700"/>
      <c r="EH18" s="701"/>
      <c r="EI18" s="700"/>
      <c r="EJ18" s="701"/>
      <c r="EK18" s="702"/>
      <c r="EL18" s="693"/>
      <c r="EM18" s="694"/>
      <c r="EN18" s="695"/>
      <c r="EO18" s="696"/>
      <c r="EP18" s="697"/>
      <c r="EQ18" s="698"/>
      <c r="ER18" s="699"/>
      <c r="ES18" s="700"/>
      <c r="ET18" s="701"/>
      <c r="EU18" s="700"/>
      <c r="EV18" s="701"/>
      <c r="EW18" s="700"/>
      <c r="EX18" s="701"/>
      <c r="EY18" s="702"/>
      <c r="EZ18" s="693"/>
      <c r="FA18" s="694"/>
      <c r="FB18" s="695"/>
      <c r="FC18" s="696"/>
      <c r="FD18" s="697"/>
      <c r="FE18" s="698"/>
      <c r="FF18" s="699"/>
      <c r="FG18" s="700"/>
      <c r="FH18" s="701"/>
      <c r="FI18" s="700"/>
      <c r="FJ18" s="701"/>
      <c r="FK18" s="700"/>
      <c r="FL18" s="701"/>
      <c r="FM18" s="702"/>
      <c r="FN18" s="693"/>
      <c r="FO18" s="694"/>
      <c r="FP18" s="695"/>
      <c r="FQ18" s="696"/>
      <c r="FR18" s="697"/>
      <c r="FS18" s="698"/>
      <c r="FT18" s="699"/>
      <c r="FU18" s="700"/>
      <c r="FV18" s="701"/>
      <c r="FW18" s="700"/>
      <c r="FX18" s="701"/>
      <c r="FY18" s="700"/>
      <c r="FZ18" s="701"/>
      <c r="GA18" s="702"/>
      <c r="GB18" s="693"/>
      <c r="GC18" s="694"/>
      <c r="GD18" s="695"/>
      <c r="GE18" s="696"/>
      <c r="GF18" s="697"/>
      <c r="GG18" s="698"/>
      <c r="GH18" s="699"/>
      <c r="GI18" s="700"/>
      <c r="GJ18" s="701"/>
      <c r="GK18" s="700"/>
      <c r="GL18" s="701"/>
      <c r="GM18" s="700"/>
      <c r="GN18" s="701"/>
      <c r="GO18" s="702"/>
      <c r="GP18" s="693"/>
      <c r="GQ18" s="694"/>
      <c r="GR18" s="695"/>
      <c r="GS18" s="696"/>
      <c r="GT18" s="697"/>
      <c r="GU18" s="698"/>
      <c r="GV18" s="699"/>
      <c r="GW18" s="700"/>
      <c r="GX18" s="701"/>
      <c r="GY18" s="700"/>
      <c r="GZ18" s="701"/>
      <c r="HA18" s="700"/>
      <c r="HB18" s="701"/>
      <c r="HC18" s="702"/>
      <c r="HD18" s="693"/>
      <c r="HE18" s="694"/>
      <c r="HF18" s="695"/>
      <c r="HG18" s="696"/>
      <c r="HH18" s="697"/>
      <c r="HI18" s="693"/>
      <c r="HJ18" s="704"/>
      <c r="HK18" s="696"/>
      <c r="HL18" s="697"/>
      <c r="HM18" s="698"/>
      <c r="HN18" s="699"/>
      <c r="HO18" s="700"/>
      <c r="HP18" s="701"/>
      <c r="HQ18" s="700"/>
      <c r="HR18" s="701"/>
      <c r="HS18" s="700"/>
      <c r="HT18" s="701"/>
      <c r="HU18" s="702"/>
      <c r="HV18" s="693"/>
      <c r="HW18" s="694"/>
      <c r="HX18" s="695"/>
      <c r="HY18" s="696"/>
      <c r="HZ18" s="697"/>
      <c r="IA18" s="693"/>
      <c r="IB18" s="704"/>
      <c r="IC18" s="696"/>
      <c r="ID18" s="697"/>
      <c r="IE18" s="698"/>
      <c r="IF18" s="699"/>
      <c r="IG18" s="700"/>
      <c r="IH18" s="701"/>
      <c r="II18" s="700"/>
      <c r="IJ18" s="701"/>
      <c r="IK18" s="700"/>
      <c r="IL18" s="701"/>
      <c r="IM18" s="702"/>
      <c r="IN18" s="346"/>
    </row>
    <row r="19" spans="1:248" x14ac:dyDescent="0.25">
      <c r="A19" s="692">
        <f t="shared" si="0"/>
        <v>5</v>
      </c>
      <c r="B19" s="693" t="s">
        <v>192</v>
      </c>
      <c r="C19" s="694"/>
      <c r="D19" s="695">
        <v>0.8</v>
      </c>
      <c r="E19" s="696">
        <v>9.11</v>
      </c>
      <c r="F19" s="697">
        <v>3.6680000000000001</v>
      </c>
      <c r="G19" s="698"/>
      <c r="H19" s="699">
        <v>0</v>
      </c>
      <c r="I19" s="700">
        <v>3.6949194561232286</v>
      </c>
      <c r="J19" s="701">
        <v>32.9</v>
      </c>
      <c r="K19" s="700">
        <v>1.5</v>
      </c>
      <c r="L19" s="701">
        <v>0.2941663455738871</v>
      </c>
      <c r="M19" s="700">
        <v>0.12971190923145715</v>
      </c>
      <c r="N19" s="701">
        <v>0</v>
      </c>
      <c r="O19" s="702">
        <v>0</v>
      </c>
      <c r="P19" s="693" t="s">
        <v>192</v>
      </c>
      <c r="Q19" s="694"/>
      <c r="R19" s="695">
        <v>0.99</v>
      </c>
      <c r="S19" s="696">
        <v>9.11</v>
      </c>
      <c r="T19" s="697">
        <v>3.6680000000000001</v>
      </c>
      <c r="U19" s="698"/>
      <c r="V19" s="699">
        <v>0</v>
      </c>
      <c r="W19" s="700">
        <v>3.6949194561232286</v>
      </c>
      <c r="X19" s="701">
        <v>32.9</v>
      </c>
      <c r="Y19" s="700">
        <v>1.5</v>
      </c>
      <c r="Z19" s="701">
        <v>0.2941663455738871</v>
      </c>
      <c r="AA19" s="700">
        <v>0.12971190923145715</v>
      </c>
      <c r="AB19" s="701">
        <v>0</v>
      </c>
      <c r="AC19" s="702">
        <v>0</v>
      </c>
      <c r="AD19" s="693"/>
      <c r="AE19" s="694"/>
      <c r="AF19" s="695"/>
      <c r="AG19" s="696"/>
      <c r="AH19" s="697"/>
      <c r="AI19" s="698"/>
      <c r="AJ19" s="699"/>
      <c r="AK19" s="700"/>
      <c r="AL19" s="701"/>
      <c r="AM19" s="700"/>
      <c r="AN19" s="701"/>
      <c r="AO19" s="700"/>
      <c r="AP19" s="701"/>
      <c r="AQ19" s="702"/>
      <c r="AR19" s="693"/>
      <c r="AS19" s="694"/>
      <c r="AT19" s="695"/>
      <c r="AU19" s="696"/>
      <c r="AV19" s="697"/>
      <c r="AW19" s="698"/>
      <c r="AX19" s="699"/>
      <c r="AY19" s="700"/>
      <c r="AZ19" s="701"/>
      <c r="BA19" s="700"/>
      <c r="BB19" s="701"/>
      <c r="BC19" s="700"/>
      <c r="BD19" s="701"/>
      <c r="BE19" s="702"/>
      <c r="BF19" s="693"/>
      <c r="BG19" s="694"/>
      <c r="BH19" s="695"/>
      <c r="BI19" s="696"/>
      <c r="BJ19" s="697"/>
      <c r="BK19" s="698"/>
      <c r="BL19" s="699"/>
      <c r="BM19" s="700"/>
      <c r="BN19" s="701"/>
      <c r="BO19" s="700"/>
      <c r="BP19" s="701"/>
      <c r="BQ19" s="700"/>
      <c r="BR19" s="701"/>
      <c r="BS19" s="702"/>
      <c r="BT19" s="693"/>
      <c r="BU19" s="694"/>
      <c r="BV19" s="695"/>
      <c r="BW19" s="696"/>
      <c r="BX19" s="697"/>
      <c r="BY19" s="698"/>
      <c r="BZ19" s="699"/>
      <c r="CA19" s="700"/>
      <c r="CB19" s="701"/>
      <c r="CC19" s="700"/>
      <c r="CD19" s="701"/>
      <c r="CE19" s="700"/>
      <c r="CF19" s="701"/>
      <c r="CG19" s="702"/>
      <c r="CH19" s="693"/>
      <c r="CI19" s="694"/>
      <c r="CJ19" s="695"/>
      <c r="CK19" s="696"/>
      <c r="CL19" s="697"/>
      <c r="CM19" s="698"/>
      <c r="CN19" s="699"/>
      <c r="CO19" s="700"/>
      <c r="CP19" s="701"/>
      <c r="CQ19" s="700"/>
      <c r="CR19" s="701"/>
      <c r="CS19" s="700"/>
      <c r="CT19" s="701"/>
      <c r="CU19" s="702"/>
      <c r="CV19" s="693"/>
      <c r="CW19" s="694"/>
      <c r="CX19" s="695"/>
      <c r="CY19" s="696"/>
      <c r="CZ19" s="697"/>
      <c r="DA19" s="698"/>
      <c r="DB19" s="699"/>
      <c r="DC19" s="700"/>
      <c r="DD19" s="701"/>
      <c r="DE19" s="700"/>
      <c r="DF19" s="701"/>
      <c r="DG19" s="700"/>
      <c r="DH19" s="701"/>
      <c r="DI19" s="702"/>
      <c r="DJ19" s="693"/>
      <c r="DK19" s="694"/>
      <c r="DL19" s="695"/>
      <c r="DM19" s="696"/>
      <c r="DN19" s="697"/>
      <c r="DO19" s="698"/>
      <c r="DP19" s="699"/>
      <c r="DQ19" s="700"/>
      <c r="DR19" s="701"/>
      <c r="DS19" s="700"/>
      <c r="DT19" s="701"/>
      <c r="DU19" s="700"/>
      <c r="DV19" s="701"/>
      <c r="DW19" s="702"/>
      <c r="DX19" s="693"/>
      <c r="DY19" s="694"/>
      <c r="DZ19" s="695"/>
      <c r="EA19" s="696"/>
      <c r="EB19" s="697"/>
      <c r="EC19" s="698"/>
      <c r="ED19" s="699"/>
      <c r="EE19" s="700"/>
      <c r="EF19" s="701"/>
      <c r="EG19" s="700"/>
      <c r="EH19" s="701"/>
      <c r="EI19" s="700"/>
      <c r="EJ19" s="701"/>
      <c r="EK19" s="702"/>
      <c r="EL19" s="693"/>
      <c r="EM19" s="694"/>
      <c r="EN19" s="695"/>
      <c r="EO19" s="696"/>
      <c r="EP19" s="697"/>
      <c r="EQ19" s="698"/>
      <c r="ER19" s="699"/>
      <c r="ES19" s="700"/>
      <c r="ET19" s="701"/>
      <c r="EU19" s="700"/>
      <c r="EV19" s="701"/>
      <c r="EW19" s="700"/>
      <c r="EX19" s="701"/>
      <c r="EY19" s="702"/>
      <c r="EZ19" s="693"/>
      <c r="FA19" s="694"/>
      <c r="FB19" s="695"/>
      <c r="FC19" s="696"/>
      <c r="FD19" s="697"/>
      <c r="FE19" s="698"/>
      <c r="FF19" s="699"/>
      <c r="FG19" s="700"/>
      <c r="FH19" s="701"/>
      <c r="FI19" s="700"/>
      <c r="FJ19" s="701"/>
      <c r="FK19" s="700"/>
      <c r="FL19" s="701"/>
      <c r="FM19" s="702"/>
      <c r="FN19" s="693"/>
      <c r="FO19" s="694"/>
      <c r="FP19" s="695"/>
      <c r="FQ19" s="696"/>
      <c r="FR19" s="697"/>
      <c r="FS19" s="698"/>
      <c r="FT19" s="699"/>
      <c r="FU19" s="700"/>
      <c r="FV19" s="701"/>
      <c r="FW19" s="700"/>
      <c r="FX19" s="701"/>
      <c r="FY19" s="700"/>
      <c r="FZ19" s="701"/>
      <c r="GA19" s="702"/>
      <c r="GB19" s="693"/>
      <c r="GC19" s="694"/>
      <c r="GD19" s="695"/>
      <c r="GE19" s="696"/>
      <c r="GF19" s="697"/>
      <c r="GG19" s="698"/>
      <c r="GH19" s="699"/>
      <c r="GI19" s="700"/>
      <c r="GJ19" s="701"/>
      <c r="GK19" s="700"/>
      <c r="GL19" s="701"/>
      <c r="GM19" s="700"/>
      <c r="GN19" s="701"/>
      <c r="GO19" s="702"/>
      <c r="GP19" s="693"/>
      <c r="GQ19" s="694"/>
      <c r="GR19" s="695"/>
      <c r="GS19" s="696"/>
      <c r="GT19" s="697"/>
      <c r="GU19" s="698"/>
      <c r="GV19" s="699"/>
      <c r="GW19" s="700"/>
      <c r="GX19" s="701"/>
      <c r="GY19" s="700"/>
      <c r="GZ19" s="701"/>
      <c r="HA19" s="700"/>
      <c r="HB19" s="701"/>
      <c r="HC19" s="702"/>
      <c r="HD19" s="693"/>
      <c r="HE19" s="694"/>
      <c r="HF19" s="695"/>
      <c r="HG19" s="696"/>
      <c r="HH19" s="697"/>
      <c r="HI19" s="693"/>
      <c r="HJ19" s="704"/>
      <c r="HK19" s="696"/>
      <c r="HL19" s="697"/>
      <c r="HM19" s="698"/>
      <c r="HN19" s="699"/>
      <c r="HO19" s="700"/>
      <c r="HP19" s="701"/>
      <c r="HQ19" s="700"/>
      <c r="HR19" s="701"/>
      <c r="HS19" s="700"/>
      <c r="HT19" s="701"/>
      <c r="HU19" s="702"/>
      <c r="HV19" s="693"/>
      <c r="HW19" s="694"/>
      <c r="HX19" s="695"/>
      <c r="HY19" s="696"/>
      <c r="HZ19" s="697"/>
      <c r="IA19" s="693"/>
      <c r="IB19" s="704"/>
      <c r="IC19" s="696"/>
      <c r="ID19" s="697"/>
      <c r="IE19" s="698"/>
      <c r="IF19" s="699"/>
      <c r="IG19" s="700"/>
      <c r="IH19" s="701"/>
      <c r="II19" s="700"/>
      <c r="IJ19" s="701"/>
      <c r="IK19" s="700"/>
      <c r="IL19" s="701"/>
      <c r="IM19" s="702"/>
      <c r="IN19" s="346"/>
    </row>
    <row r="20" spans="1:248" x14ac:dyDescent="0.25">
      <c r="A20" s="692">
        <f t="shared" si="0"/>
        <v>6</v>
      </c>
      <c r="B20" s="693" t="s">
        <v>192</v>
      </c>
      <c r="C20" s="694"/>
      <c r="D20" s="695">
        <v>0.8</v>
      </c>
      <c r="E20" s="696">
        <v>8.07</v>
      </c>
      <c r="F20" s="697">
        <v>3.2240000000000002</v>
      </c>
      <c r="G20" s="698"/>
      <c r="H20" s="699">
        <v>0</v>
      </c>
      <c r="I20" s="700">
        <v>4.7123786070984011</v>
      </c>
      <c r="J20" s="701">
        <v>32.9</v>
      </c>
      <c r="K20" s="700">
        <v>3</v>
      </c>
      <c r="L20" s="701">
        <v>0.61023706838251768</v>
      </c>
      <c r="M20" s="700">
        <v>0.2690824984390402</v>
      </c>
      <c r="N20" s="701">
        <v>0</v>
      </c>
      <c r="O20" s="702">
        <v>0</v>
      </c>
      <c r="P20" s="693" t="s">
        <v>192</v>
      </c>
      <c r="Q20" s="694"/>
      <c r="R20" s="695">
        <v>0.99</v>
      </c>
      <c r="S20" s="696">
        <v>8.07</v>
      </c>
      <c r="T20" s="697">
        <v>3.2240000000000002</v>
      </c>
      <c r="U20" s="698"/>
      <c r="V20" s="699">
        <v>0</v>
      </c>
      <c r="W20" s="700">
        <v>4.7123786070984011</v>
      </c>
      <c r="X20" s="701">
        <v>32.9</v>
      </c>
      <c r="Y20" s="700">
        <v>3</v>
      </c>
      <c r="Z20" s="701">
        <v>0.61023706838251768</v>
      </c>
      <c r="AA20" s="700">
        <v>0.2690824984390402</v>
      </c>
      <c r="AB20" s="701">
        <v>0</v>
      </c>
      <c r="AC20" s="702">
        <v>0</v>
      </c>
      <c r="AD20" s="693"/>
      <c r="AE20" s="694"/>
      <c r="AF20" s="695"/>
      <c r="AG20" s="696"/>
      <c r="AH20" s="697"/>
      <c r="AI20" s="698"/>
      <c r="AJ20" s="699"/>
      <c r="AK20" s="700"/>
      <c r="AL20" s="701"/>
      <c r="AM20" s="700"/>
      <c r="AN20" s="701"/>
      <c r="AO20" s="700"/>
      <c r="AP20" s="701"/>
      <c r="AQ20" s="702"/>
      <c r="AR20" s="693"/>
      <c r="AS20" s="694"/>
      <c r="AT20" s="695"/>
      <c r="AU20" s="696"/>
      <c r="AV20" s="697"/>
      <c r="AW20" s="698"/>
      <c r="AX20" s="699"/>
      <c r="AY20" s="700"/>
      <c r="AZ20" s="701"/>
      <c r="BA20" s="700"/>
      <c r="BB20" s="701"/>
      <c r="BC20" s="700"/>
      <c r="BD20" s="701"/>
      <c r="BE20" s="702"/>
      <c r="BF20" s="693"/>
      <c r="BG20" s="694"/>
      <c r="BH20" s="695"/>
      <c r="BI20" s="696"/>
      <c r="BJ20" s="697"/>
      <c r="BK20" s="698"/>
      <c r="BL20" s="699"/>
      <c r="BM20" s="700"/>
      <c r="BN20" s="701"/>
      <c r="BO20" s="700"/>
      <c r="BP20" s="701"/>
      <c r="BQ20" s="700"/>
      <c r="BR20" s="701"/>
      <c r="BS20" s="702"/>
      <c r="BT20" s="693"/>
      <c r="BU20" s="694"/>
      <c r="BV20" s="695"/>
      <c r="BW20" s="696"/>
      <c r="BX20" s="697"/>
      <c r="BY20" s="698"/>
      <c r="BZ20" s="699"/>
      <c r="CA20" s="700"/>
      <c r="CB20" s="701"/>
      <c r="CC20" s="700"/>
      <c r="CD20" s="701"/>
      <c r="CE20" s="700"/>
      <c r="CF20" s="701"/>
      <c r="CG20" s="702"/>
      <c r="CH20" s="693"/>
      <c r="CI20" s="694"/>
      <c r="CJ20" s="695"/>
      <c r="CK20" s="696"/>
      <c r="CL20" s="697"/>
      <c r="CM20" s="698"/>
      <c r="CN20" s="699"/>
      <c r="CO20" s="700"/>
      <c r="CP20" s="701"/>
      <c r="CQ20" s="700"/>
      <c r="CR20" s="701"/>
      <c r="CS20" s="700"/>
      <c r="CT20" s="701"/>
      <c r="CU20" s="702"/>
      <c r="CV20" s="693"/>
      <c r="CW20" s="694"/>
      <c r="CX20" s="695"/>
      <c r="CY20" s="696"/>
      <c r="CZ20" s="697"/>
      <c r="DA20" s="698"/>
      <c r="DB20" s="699"/>
      <c r="DC20" s="700"/>
      <c r="DD20" s="701"/>
      <c r="DE20" s="700"/>
      <c r="DF20" s="701"/>
      <c r="DG20" s="700"/>
      <c r="DH20" s="701"/>
      <c r="DI20" s="702"/>
      <c r="DJ20" s="693"/>
      <c r="DK20" s="694"/>
      <c r="DL20" s="695"/>
      <c r="DM20" s="696"/>
      <c r="DN20" s="697"/>
      <c r="DO20" s="698"/>
      <c r="DP20" s="699"/>
      <c r="DQ20" s="700"/>
      <c r="DR20" s="701"/>
      <c r="DS20" s="700"/>
      <c r="DT20" s="701"/>
      <c r="DU20" s="700"/>
      <c r="DV20" s="701"/>
      <c r="DW20" s="702"/>
      <c r="DX20" s="693"/>
      <c r="DY20" s="694"/>
      <c r="DZ20" s="695"/>
      <c r="EA20" s="696"/>
      <c r="EB20" s="697"/>
      <c r="EC20" s="698"/>
      <c r="ED20" s="699"/>
      <c r="EE20" s="700"/>
      <c r="EF20" s="701"/>
      <c r="EG20" s="700"/>
      <c r="EH20" s="701"/>
      <c r="EI20" s="700"/>
      <c r="EJ20" s="701"/>
      <c r="EK20" s="702"/>
      <c r="EL20" s="693"/>
      <c r="EM20" s="694"/>
      <c r="EN20" s="695"/>
      <c r="EO20" s="696"/>
      <c r="EP20" s="697"/>
      <c r="EQ20" s="698"/>
      <c r="ER20" s="699"/>
      <c r="ES20" s="700"/>
      <c r="ET20" s="701"/>
      <c r="EU20" s="700"/>
      <c r="EV20" s="701"/>
      <c r="EW20" s="700"/>
      <c r="EX20" s="701"/>
      <c r="EY20" s="702"/>
      <c r="EZ20" s="693"/>
      <c r="FA20" s="694"/>
      <c r="FB20" s="695"/>
      <c r="FC20" s="696"/>
      <c r="FD20" s="697"/>
      <c r="FE20" s="698"/>
      <c r="FF20" s="699"/>
      <c r="FG20" s="700"/>
      <c r="FH20" s="701"/>
      <c r="FI20" s="700"/>
      <c r="FJ20" s="701"/>
      <c r="FK20" s="700"/>
      <c r="FL20" s="701"/>
      <c r="FM20" s="702"/>
      <c r="FN20" s="693"/>
      <c r="FO20" s="694"/>
      <c r="FP20" s="695"/>
      <c r="FQ20" s="696"/>
      <c r="FR20" s="697"/>
      <c r="FS20" s="698"/>
      <c r="FT20" s="699"/>
      <c r="FU20" s="700"/>
      <c r="FV20" s="701"/>
      <c r="FW20" s="700"/>
      <c r="FX20" s="701"/>
      <c r="FY20" s="700"/>
      <c r="FZ20" s="701"/>
      <c r="GA20" s="702"/>
      <c r="GB20" s="693"/>
      <c r="GC20" s="694"/>
      <c r="GD20" s="695"/>
      <c r="GE20" s="696"/>
      <c r="GF20" s="697"/>
      <c r="GG20" s="698"/>
      <c r="GH20" s="699"/>
      <c r="GI20" s="700"/>
      <c r="GJ20" s="701"/>
      <c r="GK20" s="700"/>
      <c r="GL20" s="701"/>
      <c r="GM20" s="700"/>
      <c r="GN20" s="701"/>
      <c r="GO20" s="702"/>
      <c r="GP20" s="693"/>
      <c r="GQ20" s="694"/>
      <c r="GR20" s="695"/>
      <c r="GS20" s="696"/>
      <c r="GT20" s="697"/>
      <c r="GU20" s="698"/>
      <c r="GV20" s="699"/>
      <c r="GW20" s="700"/>
      <c r="GX20" s="701"/>
      <c r="GY20" s="700"/>
      <c r="GZ20" s="701"/>
      <c r="HA20" s="700"/>
      <c r="HB20" s="701"/>
      <c r="HC20" s="702"/>
      <c r="HD20" s="693"/>
      <c r="HE20" s="694"/>
      <c r="HF20" s="695"/>
      <c r="HG20" s="696"/>
      <c r="HH20" s="697"/>
      <c r="HI20" s="693"/>
      <c r="HJ20" s="704"/>
      <c r="HK20" s="696"/>
      <c r="HL20" s="697"/>
      <c r="HM20" s="698"/>
      <c r="HN20" s="699"/>
      <c r="HO20" s="700"/>
      <c r="HP20" s="701"/>
      <c r="HQ20" s="700"/>
      <c r="HR20" s="701"/>
      <c r="HS20" s="700"/>
      <c r="HT20" s="701"/>
      <c r="HU20" s="702"/>
      <c r="HV20" s="693"/>
      <c r="HW20" s="694"/>
      <c r="HX20" s="695"/>
      <c r="HY20" s="696"/>
      <c r="HZ20" s="697"/>
      <c r="IA20" s="693"/>
      <c r="IB20" s="704"/>
      <c r="IC20" s="696"/>
      <c r="ID20" s="697"/>
      <c r="IE20" s="698"/>
      <c r="IF20" s="699"/>
      <c r="IG20" s="700"/>
      <c r="IH20" s="701"/>
      <c r="II20" s="700"/>
      <c r="IJ20" s="701"/>
      <c r="IK20" s="700"/>
      <c r="IL20" s="701"/>
      <c r="IM20" s="702"/>
      <c r="IN20" s="346"/>
    </row>
    <row r="21" spans="1:248" x14ac:dyDescent="0.25">
      <c r="A21" s="692">
        <f t="shared" si="0"/>
        <v>7</v>
      </c>
      <c r="B21" s="693" t="s">
        <v>312</v>
      </c>
      <c r="C21" s="694"/>
      <c r="D21" s="695">
        <v>0.8</v>
      </c>
      <c r="E21" s="696">
        <v>5.34</v>
      </c>
      <c r="F21" s="697">
        <v>3.2039999999999997</v>
      </c>
      <c r="G21" s="698"/>
      <c r="H21" s="699">
        <v>0</v>
      </c>
      <c r="I21" s="700">
        <v>5.8351866940448929</v>
      </c>
      <c r="J21" s="701">
        <v>45.1</v>
      </c>
      <c r="K21" s="700">
        <v>3</v>
      </c>
      <c r="L21" s="701">
        <v>1.1586234781164211</v>
      </c>
      <c r="M21" s="700">
        <v>0.51089210471605095</v>
      </c>
      <c r="N21" s="701">
        <v>0</v>
      </c>
      <c r="O21" s="702">
        <v>0</v>
      </c>
      <c r="P21" s="693" t="s">
        <v>312</v>
      </c>
      <c r="Q21" s="694"/>
      <c r="R21" s="695">
        <v>0.99</v>
      </c>
      <c r="S21" s="696">
        <v>5.34</v>
      </c>
      <c r="T21" s="697">
        <v>3.2039999999999997</v>
      </c>
      <c r="U21" s="698"/>
      <c r="V21" s="699">
        <v>0</v>
      </c>
      <c r="W21" s="700">
        <v>5.8351866940448929</v>
      </c>
      <c r="X21" s="701">
        <v>45.1</v>
      </c>
      <c r="Y21" s="700">
        <v>3</v>
      </c>
      <c r="Z21" s="701">
        <v>1.1586234781164211</v>
      </c>
      <c r="AA21" s="700">
        <v>0.51089210471605095</v>
      </c>
      <c r="AB21" s="701">
        <v>0</v>
      </c>
      <c r="AC21" s="702">
        <v>0</v>
      </c>
      <c r="AD21" s="693"/>
      <c r="AE21" s="694"/>
      <c r="AF21" s="695"/>
      <c r="AG21" s="696"/>
      <c r="AH21" s="697"/>
      <c r="AI21" s="698"/>
      <c r="AJ21" s="699"/>
      <c r="AK21" s="700"/>
      <c r="AL21" s="701"/>
      <c r="AM21" s="700"/>
      <c r="AN21" s="701"/>
      <c r="AO21" s="700"/>
      <c r="AP21" s="701"/>
      <c r="AQ21" s="702"/>
      <c r="AR21" s="693"/>
      <c r="AS21" s="694"/>
      <c r="AT21" s="695"/>
      <c r="AU21" s="696"/>
      <c r="AV21" s="697"/>
      <c r="AW21" s="698"/>
      <c r="AX21" s="699"/>
      <c r="AY21" s="700"/>
      <c r="AZ21" s="701"/>
      <c r="BA21" s="700"/>
      <c r="BB21" s="701"/>
      <c r="BC21" s="700"/>
      <c r="BD21" s="701"/>
      <c r="BE21" s="702"/>
      <c r="BF21" s="693"/>
      <c r="BG21" s="694"/>
      <c r="BH21" s="695"/>
      <c r="BI21" s="696"/>
      <c r="BJ21" s="697"/>
      <c r="BK21" s="698"/>
      <c r="BL21" s="699"/>
      <c r="BM21" s="700"/>
      <c r="BN21" s="701"/>
      <c r="BO21" s="700"/>
      <c r="BP21" s="701"/>
      <c r="BQ21" s="700"/>
      <c r="BR21" s="701"/>
      <c r="BS21" s="702"/>
      <c r="BT21" s="693"/>
      <c r="BU21" s="694"/>
      <c r="BV21" s="695"/>
      <c r="BW21" s="696"/>
      <c r="BX21" s="697"/>
      <c r="BY21" s="698"/>
      <c r="BZ21" s="699"/>
      <c r="CA21" s="700"/>
      <c r="CB21" s="701"/>
      <c r="CC21" s="700"/>
      <c r="CD21" s="701"/>
      <c r="CE21" s="700"/>
      <c r="CF21" s="701"/>
      <c r="CG21" s="702"/>
      <c r="CH21" s="693"/>
      <c r="CI21" s="694"/>
      <c r="CJ21" s="695"/>
      <c r="CK21" s="696"/>
      <c r="CL21" s="697"/>
      <c r="CM21" s="698"/>
      <c r="CN21" s="699"/>
      <c r="CO21" s="700"/>
      <c r="CP21" s="701"/>
      <c r="CQ21" s="700"/>
      <c r="CR21" s="701"/>
      <c r="CS21" s="700"/>
      <c r="CT21" s="701"/>
      <c r="CU21" s="702"/>
      <c r="CV21" s="693"/>
      <c r="CW21" s="694"/>
      <c r="CX21" s="695"/>
      <c r="CY21" s="696"/>
      <c r="CZ21" s="697"/>
      <c r="DA21" s="698"/>
      <c r="DB21" s="699"/>
      <c r="DC21" s="700"/>
      <c r="DD21" s="701"/>
      <c r="DE21" s="700"/>
      <c r="DF21" s="701"/>
      <c r="DG21" s="700"/>
      <c r="DH21" s="701"/>
      <c r="DI21" s="702"/>
      <c r="DJ21" s="693"/>
      <c r="DK21" s="694"/>
      <c r="DL21" s="695"/>
      <c r="DM21" s="696"/>
      <c r="DN21" s="697"/>
      <c r="DO21" s="698"/>
      <c r="DP21" s="699"/>
      <c r="DQ21" s="700"/>
      <c r="DR21" s="701"/>
      <c r="DS21" s="700"/>
      <c r="DT21" s="701"/>
      <c r="DU21" s="700"/>
      <c r="DV21" s="701"/>
      <c r="DW21" s="702"/>
      <c r="DX21" s="693"/>
      <c r="DY21" s="694"/>
      <c r="DZ21" s="695"/>
      <c r="EA21" s="696"/>
      <c r="EB21" s="697"/>
      <c r="EC21" s="698"/>
      <c r="ED21" s="699"/>
      <c r="EE21" s="700"/>
      <c r="EF21" s="701"/>
      <c r="EG21" s="700"/>
      <c r="EH21" s="701"/>
      <c r="EI21" s="700"/>
      <c r="EJ21" s="701"/>
      <c r="EK21" s="702"/>
      <c r="EL21" s="693"/>
      <c r="EM21" s="694"/>
      <c r="EN21" s="695"/>
      <c r="EO21" s="696"/>
      <c r="EP21" s="697"/>
      <c r="EQ21" s="698"/>
      <c r="ER21" s="699"/>
      <c r="ES21" s="700"/>
      <c r="ET21" s="701"/>
      <c r="EU21" s="700"/>
      <c r="EV21" s="701"/>
      <c r="EW21" s="700"/>
      <c r="EX21" s="701"/>
      <c r="EY21" s="702"/>
      <c r="EZ21" s="693"/>
      <c r="FA21" s="694"/>
      <c r="FB21" s="695"/>
      <c r="FC21" s="696"/>
      <c r="FD21" s="697"/>
      <c r="FE21" s="698"/>
      <c r="FF21" s="699"/>
      <c r="FG21" s="700"/>
      <c r="FH21" s="701"/>
      <c r="FI21" s="700"/>
      <c r="FJ21" s="701"/>
      <c r="FK21" s="700"/>
      <c r="FL21" s="701"/>
      <c r="FM21" s="702"/>
      <c r="FN21" s="693"/>
      <c r="FO21" s="694"/>
      <c r="FP21" s="695"/>
      <c r="FQ21" s="696"/>
      <c r="FR21" s="697"/>
      <c r="FS21" s="698"/>
      <c r="FT21" s="699"/>
      <c r="FU21" s="700"/>
      <c r="FV21" s="701"/>
      <c r="FW21" s="700"/>
      <c r="FX21" s="701"/>
      <c r="FY21" s="700"/>
      <c r="FZ21" s="701"/>
      <c r="GA21" s="702"/>
      <c r="GB21" s="693"/>
      <c r="GC21" s="694"/>
      <c r="GD21" s="695"/>
      <c r="GE21" s="696"/>
      <c r="GF21" s="697"/>
      <c r="GG21" s="698"/>
      <c r="GH21" s="699"/>
      <c r="GI21" s="700"/>
      <c r="GJ21" s="701"/>
      <c r="GK21" s="700"/>
      <c r="GL21" s="701"/>
      <c r="GM21" s="700"/>
      <c r="GN21" s="701"/>
      <c r="GO21" s="702"/>
      <c r="GP21" s="693"/>
      <c r="GQ21" s="694"/>
      <c r="GR21" s="695"/>
      <c r="GS21" s="696"/>
      <c r="GT21" s="697"/>
      <c r="GU21" s="698"/>
      <c r="GV21" s="699"/>
      <c r="GW21" s="700"/>
      <c r="GX21" s="701"/>
      <c r="GY21" s="700"/>
      <c r="GZ21" s="701"/>
      <c r="HA21" s="700"/>
      <c r="HB21" s="701"/>
      <c r="HC21" s="702"/>
      <c r="HD21" s="693"/>
      <c r="HE21" s="694"/>
      <c r="HF21" s="695"/>
      <c r="HG21" s="696"/>
      <c r="HH21" s="697"/>
      <c r="HI21" s="693"/>
      <c r="HJ21" s="704"/>
      <c r="HK21" s="696"/>
      <c r="HL21" s="697"/>
      <c r="HM21" s="698"/>
      <c r="HN21" s="699"/>
      <c r="HO21" s="700"/>
      <c r="HP21" s="701"/>
      <c r="HQ21" s="700"/>
      <c r="HR21" s="701"/>
      <c r="HS21" s="700"/>
      <c r="HT21" s="701"/>
      <c r="HU21" s="702"/>
      <c r="HV21" s="693"/>
      <c r="HW21" s="694"/>
      <c r="HX21" s="695"/>
      <c r="HY21" s="696"/>
      <c r="HZ21" s="697"/>
      <c r="IA21" s="693"/>
      <c r="IB21" s="704"/>
      <c r="IC21" s="696"/>
      <c r="ID21" s="697"/>
      <c r="IE21" s="698"/>
      <c r="IF21" s="699"/>
      <c r="IG21" s="700"/>
      <c r="IH21" s="701"/>
      <c r="II21" s="700"/>
      <c r="IJ21" s="701"/>
      <c r="IK21" s="700"/>
      <c r="IL21" s="701"/>
      <c r="IM21" s="702"/>
      <c r="IN21" s="346"/>
    </row>
    <row r="22" spans="1:248" x14ac:dyDescent="0.25">
      <c r="A22" s="692">
        <f t="shared" si="0"/>
        <v>8</v>
      </c>
      <c r="B22" s="693" t="s">
        <v>309</v>
      </c>
      <c r="C22" s="694"/>
      <c r="D22" s="695">
        <v>0.8</v>
      </c>
      <c r="E22" s="696">
        <v>2.92</v>
      </c>
      <c r="F22" s="697">
        <v>1.46</v>
      </c>
      <c r="G22" s="698"/>
      <c r="H22" s="699">
        <v>0</v>
      </c>
      <c r="I22" s="700">
        <v>6.9009972560664954</v>
      </c>
      <c r="J22" s="701">
        <v>45.1</v>
      </c>
      <c r="K22" s="700">
        <v>4.5</v>
      </c>
      <c r="L22" s="701">
        <v>1.9165211747338018</v>
      </c>
      <c r="M22" s="700">
        <v>0.84508518529627519</v>
      </c>
      <c r="N22" s="701">
        <v>0</v>
      </c>
      <c r="O22" s="702">
        <v>0</v>
      </c>
      <c r="P22" s="693" t="s">
        <v>309</v>
      </c>
      <c r="Q22" s="694"/>
      <c r="R22" s="695">
        <v>0.99</v>
      </c>
      <c r="S22" s="696">
        <v>2.92</v>
      </c>
      <c r="T22" s="697">
        <v>1.46</v>
      </c>
      <c r="U22" s="698"/>
      <c r="V22" s="699">
        <v>0</v>
      </c>
      <c r="W22" s="700">
        <v>6.9009972560664954</v>
      </c>
      <c r="X22" s="701">
        <v>45.1</v>
      </c>
      <c r="Y22" s="700">
        <v>4.5</v>
      </c>
      <c r="Z22" s="701">
        <v>1.9165211747338018</v>
      </c>
      <c r="AA22" s="700">
        <v>0.84508518529627519</v>
      </c>
      <c r="AB22" s="701">
        <v>0</v>
      </c>
      <c r="AC22" s="702">
        <v>0</v>
      </c>
      <c r="AD22" s="693"/>
      <c r="AE22" s="694"/>
      <c r="AF22" s="695"/>
      <c r="AG22" s="696"/>
      <c r="AH22" s="697"/>
      <c r="AI22" s="698"/>
      <c r="AJ22" s="699"/>
      <c r="AK22" s="700"/>
      <c r="AL22" s="701"/>
      <c r="AM22" s="700"/>
      <c r="AN22" s="701"/>
      <c r="AO22" s="700"/>
      <c r="AP22" s="701"/>
      <c r="AQ22" s="702"/>
      <c r="AR22" s="693"/>
      <c r="AS22" s="694"/>
      <c r="AT22" s="695"/>
      <c r="AU22" s="696"/>
      <c r="AV22" s="697"/>
      <c r="AW22" s="698"/>
      <c r="AX22" s="699"/>
      <c r="AY22" s="700"/>
      <c r="AZ22" s="701"/>
      <c r="BA22" s="700"/>
      <c r="BB22" s="701"/>
      <c r="BC22" s="700"/>
      <c r="BD22" s="701"/>
      <c r="BE22" s="702"/>
      <c r="BF22" s="693"/>
      <c r="BG22" s="694"/>
      <c r="BH22" s="695"/>
      <c r="BI22" s="696"/>
      <c r="BJ22" s="697"/>
      <c r="BK22" s="698"/>
      <c r="BL22" s="699"/>
      <c r="BM22" s="700"/>
      <c r="BN22" s="701"/>
      <c r="BO22" s="700"/>
      <c r="BP22" s="701"/>
      <c r="BQ22" s="700"/>
      <c r="BR22" s="701"/>
      <c r="BS22" s="702"/>
      <c r="BT22" s="693"/>
      <c r="BU22" s="694"/>
      <c r="BV22" s="695"/>
      <c r="BW22" s="696"/>
      <c r="BX22" s="697"/>
      <c r="BY22" s="698"/>
      <c r="BZ22" s="699"/>
      <c r="CA22" s="700"/>
      <c r="CB22" s="701"/>
      <c r="CC22" s="700"/>
      <c r="CD22" s="701"/>
      <c r="CE22" s="700"/>
      <c r="CF22" s="701"/>
      <c r="CG22" s="702"/>
      <c r="CH22" s="693"/>
      <c r="CI22" s="694"/>
      <c r="CJ22" s="695"/>
      <c r="CK22" s="696"/>
      <c r="CL22" s="697"/>
      <c r="CM22" s="698"/>
      <c r="CN22" s="699"/>
      <c r="CO22" s="700"/>
      <c r="CP22" s="701"/>
      <c r="CQ22" s="700"/>
      <c r="CR22" s="701"/>
      <c r="CS22" s="700"/>
      <c r="CT22" s="701"/>
      <c r="CU22" s="702"/>
      <c r="CV22" s="693"/>
      <c r="CW22" s="694"/>
      <c r="CX22" s="695"/>
      <c r="CY22" s="696"/>
      <c r="CZ22" s="697"/>
      <c r="DA22" s="698"/>
      <c r="DB22" s="699"/>
      <c r="DC22" s="700"/>
      <c r="DD22" s="701"/>
      <c r="DE22" s="700"/>
      <c r="DF22" s="701"/>
      <c r="DG22" s="700"/>
      <c r="DH22" s="701"/>
      <c r="DI22" s="702"/>
      <c r="DJ22" s="693"/>
      <c r="DK22" s="694"/>
      <c r="DL22" s="695"/>
      <c r="DM22" s="696"/>
      <c r="DN22" s="697"/>
      <c r="DO22" s="698"/>
      <c r="DP22" s="699"/>
      <c r="DQ22" s="700"/>
      <c r="DR22" s="701"/>
      <c r="DS22" s="700"/>
      <c r="DT22" s="701"/>
      <c r="DU22" s="700"/>
      <c r="DV22" s="701"/>
      <c r="DW22" s="702"/>
      <c r="DX22" s="693"/>
      <c r="DY22" s="694"/>
      <c r="DZ22" s="695"/>
      <c r="EA22" s="696"/>
      <c r="EB22" s="697"/>
      <c r="EC22" s="698"/>
      <c r="ED22" s="699"/>
      <c r="EE22" s="700"/>
      <c r="EF22" s="701"/>
      <c r="EG22" s="700"/>
      <c r="EH22" s="701"/>
      <c r="EI22" s="700"/>
      <c r="EJ22" s="701"/>
      <c r="EK22" s="702"/>
      <c r="EL22" s="693"/>
      <c r="EM22" s="694"/>
      <c r="EN22" s="695"/>
      <c r="EO22" s="696"/>
      <c r="EP22" s="697"/>
      <c r="EQ22" s="698"/>
      <c r="ER22" s="699"/>
      <c r="ES22" s="700"/>
      <c r="ET22" s="701"/>
      <c r="EU22" s="700"/>
      <c r="EV22" s="701"/>
      <c r="EW22" s="700"/>
      <c r="EX22" s="701"/>
      <c r="EY22" s="702"/>
      <c r="EZ22" s="693"/>
      <c r="FA22" s="694"/>
      <c r="FB22" s="695"/>
      <c r="FC22" s="696"/>
      <c r="FD22" s="697"/>
      <c r="FE22" s="698"/>
      <c r="FF22" s="699"/>
      <c r="FG22" s="700"/>
      <c r="FH22" s="701"/>
      <c r="FI22" s="700"/>
      <c r="FJ22" s="701"/>
      <c r="FK22" s="700"/>
      <c r="FL22" s="701"/>
      <c r="FM22" s="702"/>
      <c r="FN22" s="693"/>
      <c r="FO22" s="694"/>
      <c r="FP22" s="695"/>
      <c r="FQ22" s="696"/>
      <c r="FR22" s="697"/>
      <c r="FS22" s="698"/>
      <c r="FT22" s="699"/>
      <c r="FU22" s="700"/>
      <c r="FV22" s="701"/>
      <c r="FW22" s="700"/>
      <c r="FX22" s="701"/>
      <c r="FY22" s="700"/>
      <c r="FZ22" s="701"/>
      <c r="GA22" s="702"/>
      <c r="GB22" s="693"/>
      <c r="GC22" s="694"/>
      <c r="GD22" s="695"/>
      <c r="GE22" s="696"/>
      <c r="GF22" s="697"/>
      <c r="GG22" s="698"/>
      <c r="GH22" s="699"/>
      <c r="GI22" s="700"/>
      <c r="GJ22" s="701"/>
      <c r="GK22" s="700"/>
      <c r="GL22" s="701"/>
      <c r="GM22" s="700"/>
      <c r="GN22" s="701"/>
      <c r="GO22" s="702"/>
      <c r="GP22" s="693"/>
      <c r="GQ22" s="694"/>
      <c r="GR22" s="695"/>
      <c r="GS22" s="696"/>
      <c r="GT22" s="697"/>
      <c r="GU22" s="698"/>
      <c r="GV22" s="699"/>
      <c r="GW22" s="700"/>
      <c r="GX22" s="701"/>
      <c r="GY22" s="700"/>
      <c r="GZ22" s="701"/>
      <c r="HA22" s="700"/>
      <c r="HB22" s="701"/>
      <c r="HC22" s="702"/>
      <c r="HD22" s="693"/>
      <c r="HE22" s="694"/>
      <c r="HF22" s="695"/>
      <c r="HG22" s="696"/>
      <c r="HH22" s="697"/>
      <c r="HI22" s="693"/>
      <c r="HJ22" s="704"/>
      <c r="HK22" s="696"/>
      <c r="HL22" s="697"/>
      <c r="HM22" s="698"/>
      <c r="HN22" s="699"/>
      <c r="HO22" s="700"/>
      <c r="HP22" s="701"/>
      <c r="HQ22" s="700"/>
      <c r="HR22" s="701"/>
      <c r="HS22" s="700"/>
      <c r="HT22" s="701"/>
      <c r="HU22" s="702"/>
      <c r="HV22" s="693"/>
      <c r="HW22" s="694"/>
      <c r="HX22" s="695"/>
      <c r="HY22" s="696"/>
      <c r="HZ22" s="697"/>
      <c r="IA22" s="693"/>
      <c r="IB22" s="704"/>
      <c r="IC22" s="696"/>
      <c r="ID22" s="697"/>
      <c r="IE22" s="698"/>
      <c r="IF22" s="699"/>
      <c r="IG22" s="700"/>
      <c r="IH22" s="701"/>
      <c r="II22" s="700"/>
      <c r="IJ22" s="701"/>
      <c r="IK22" s="700"/>
      <c r="IL22" s="701"/>
      <c r="IM22" s="702"/>
      <c r="IN22" s="346"/>
    </row>
    <row r="23" spans="1:248" x14ac:dyDescent="0.25">
      <c r="A23" s="692">
        <f t="shared" si="0"/>
        <v>9</v>
      </c>
      <c r="B23" s="693" t="s">
        <v>192</v>
      </c>
      <c r="C23" s="694"/>
      <c r="D23" s="695">
        <v>0.8</v>
      </c>
      <c r="E23" s="696">
        <v>7.64</v>
      </c>
      <c r="F23" s="697">
        <v>3.056</v>
      </c>
      <c r="G23" s="698"/>
      <c r="H23" s="699">
        <v>0</v>
      </c>
      <c r="I23" s="700">
        <v>8.2960052997657101</v>
      </c>
      <c r="J23" s="701">
        <v>65.2</v>
      </c>
      <c r="K23" s="700">
        <v>6</v>
      </c>
      <c r="L23" s="701">
        <v>3.3295467733643926</v>
      </c>
      <c r="M23" s="700">
        <v>1.4681552643487403</v>
      </c>
      <c r="N23" s="701">
        <v>0</v>
      </c>
      <c r="O23" s="702">
        <v>0</v>
      </c>
      <c r="P23" s="693" t="s">
        <v>192</v>
      </c>
      <c r="Q23" s="694"/>
      <c r="R23" s="695">
        <v>0.99</v>
      </c>
      <c r="S23" s="696">
        <v>7.64</v>
      </c>
      <c r="T23" s="697">
        <v>3.056</v>
      </c>
      <c r="U23" s="698"/>
      <c r="V23" s="699">
        <v>0</v>
      </c>
      <c r="W23" s="700">
        <v>8.2960052997657101</v>
      </c>
      <c r="X23" s="701">
        <v>65.2</v>
      </c>
      <c r="Y23" s="700">
        <v>6</v>
      </c>
      <c r="Z23" s="701">
        <v>3.3295467733643926</v>
      </c>
      <c r="AA23" s="700">
        <v>1.4681552643487403</v>
      </c>
      <c r="AB23" s="701">
        <v>0</v>
      </c>
      <c r="AC23" s="702">
        <v>0</v>
      </c>
      <c r="AD23" s="693"/>
      <c r="AE23" s="694"/>
      <c r="AF23" s="695"/>
      <c r="AG23" s="696"/>
      <c r="AH23" s="697"/>
      <c r="AI23" s="698"/>
      <c r="AJ23" s="699"/>
      <c r="AK23" s="700"/>
      <c r="AL23" s="701"/>
      <c r="AM23" s="700"/>
      <c r="AN23" s="701"/>
      <c r="AO23" s="700"/>
      <c r="AP23" s="701"/>
      <c r="AQ23" s="702"/>
      <c r="AR23" s="693"/>
      <c r="AS23" s="694"/>
      <c r="AT23" s="695"/>
      <c r="AU23" s="696"/>
      <c r="AV23" s="697"/>
      <c r="AW23" s="698"/>
      <c r="AX23" s="699"/>
      <c r="AY23" s="700"/>
      <c r="AZ23" s="701"/>
      <c r="BA23" s="700"/>
      <c r="BB23" s="701"/>
      <c r="BC23" s="700"/>
      <c r="BD23" s="701"/>
      <c r="BE23" s="702"/>
      <c r="BF23" s="693"/>
      <c r="BG23" s="694"/>
      <c r="BH23" s="695"/>
      <c r="BI23" s="696"/>
      <c r="BJ23" s="697"/>
      <c r="BK23" s="698"/>
      <c r="BL23" s="699"/>
      <c r="BM23" s="700"/>
      <c r="BN23" s="701"/>
      <c r="BO23" s="700"/>
      <c r="BP23" s="701"/>
      <c r="BQ23" s="700"/>
      <c r="BR23" s="701"/>
      <c r="BS23" s="702"/>
      <c r="BT23" s="693"/>
      <c r="BU23" s="694"/>
      <c r="BV23" s="695"/>
      <c r="BW23" s="696"/>
      <c r="BX23" s="697"/>
      <c r="BY23" s="698"/>
      <c r="BZ23" s="699"/>
      <c r="CA23" s="700"/>
      <c r="CB23" s="701"/>
      <c r="CC23" s="700"/>
      <c r="CD23" s="701"/>
      <c r="CE23" s="700"/>
      <c r="CF23" s="701"/>
      <c r="CG23" s="702"/>
      <c r="CH23" s="693"/>
      <c r="CI23" s="694"/>
      <c r="CJ23" s="695"/>
      <c r="CK23" s="696"/>
      <c r="CL23" s="697"/>
      <c r="CM23" s="698"/>
      <c r="CN23" s="699"/>
      <c r="CO23" s="700"/>
      <c r="CP23" s="701"/>
      <c r="CQ23" s="700"/>
      <c r="CR23" s="701"/>
      <c r="CS23" s="700"/>
      <c r="CT23" s="701"/>
      <c r="CU23" s="702"/>
      <c r="CV23" s="693"/>
      <c r="CW23" s="694"/>
      <c r="CX23" s="695"/>
      <c r="CY23" s="696"/>
      <c r="CZ23" s="697"/>
      <c r="DA23" s="698"/>
      <c r="DB23" s="699"/>
      <c r="DC23" s="700"/>
      <c r="DD23" s="701"/>
      <c r="DE23" s="700"/>
      <c r="DF23" s="701"/>
      <c r="DG23" s="700"/>
      <c r="DH23" s="701"/>
      <c r="DI23" s="702"/>
      <c r="DJ23" s="693"/>
      <c r="DK23" s="694"/>
      <c r="DL23" s="695"/>
      <c r="DM23" s="696"/>
      <c r="DN23" s="697"/>
      <c r="DO23" s="698"/>
      <c r="DP23" s="699"/>
      <c r="DQ23" s="700"/>
      <c r="DR23" s="701"/>
      <c r="DS23" s="700"/>
      <c r="DT23" s="701"/>
      <c r="DU23" s="700"/>
      <c r="DV23" s="701"/>
      <c r="DW23" s="702"/>
      <c r="DX23" s="693"/>
      <c r="DY23" s="694"/>
      <c r="DZ23" s="695"/>
      <c r="EA23" s="696"/>
      <c r="EB23" s="697"/>
      <c r="EC23" s="698"/>
      <c r="ED23" s="699"/>
      <c r="EE23" s="700"/>
      <c r="EF23" s="701"/>
      <c r="EG23" s="700"/>
      <c r="EH23" s="701"/>
      <c r="EI23" s="700"/>
      <c r="EJ23" s="701"/>
      <c r="EK23" s="702"/>
      <c r="EL23" s="693"/>
      <c r="EM23" s="694"/>
      <c r="EN23" s="695"/>
      <c r="EO23" s="696"/>
      <c r="EP23" s="697"/>
      <c r="EQ23" s="698"/>
      <c r="ER23" s="699"/>
      <c r="ES23" s="700"/>
      <c r="ET23" s="701"/>
      <c r="EU23" s="700"/>
      <c r="EV23" s="701"/>
      <c r="EW23" s="700"/>
      <c r="EX23" s="701"/>
      <c r="EY23" s="702"/>
      <c r="EZ23" s="693"/>
      <c r="FA23" s="694"/>
      <c r="FB23" s="695"/>
      <c r="FC23" s="696"/>
      <c r="FD23" s="697"/>
      <c r="FE23" s="698"/>
      <c r="FF23" s="699"/>
      <c r="FG23" s="700"/>
      <c r="FH23" s="701"/>
      <c r="FI23" s="700"/>
      <c r="FJ23" s="701"/>
      <c r="FK23" s="700"/>
      <c r="FL23" s="701"/>
      <c r="FM23" s="702"/>
      <c r="FN23" s="693"/>
      <c r="FO23" s="694"/>
      <c r="FP23" s="695"/>
      <c r="FQ23" s="696"/>
      <c r="FR23" s="697"/>
      <c r="FS23" s="698"/>
      <c r="FT23" s="699"/>
      <c r="FU23" s="700"/>
      <c r="FV23" s="701"/>
      <c r="FW23" s="700"/>
      <c r="FX23" s="701"/>
      <c r="FY23" s="700"/>
      <c r="FZ23" s="701"/>
      <c r="GA23" s="702"/>
      <c r="GB23" s="693"/>
      <c r="GC23" s="694"/>
      <c r="GD23" s="695"/>
      <c r="GE23" s="696"/>
      <c r="GF23" s="697"/>
      <c r="GG23" s="698"/>
      <c r="GH23" s="699"/>
      <c r="GI23" s="700"/>
      <c r="GJ23" s="701"/>
      <c r="GK23" s="700"/>
      <c r="GL23" s="701"/>
      <c r="GM23" s="700"/>
      <c r="GN23" s="701"/>
      <c r="GO23" s="702"/>
      <c r="GP23" s="693"/>
      <c r="GQ23" s="694"/>
      <c r="GR23" s="695"/>
      <c r="GS23" s="696"/>
      <c r="GT23" s="697"/>
      <c r="GU23" s="698"/>
      <c r="GV23" s="699"/>
      <c r="GW23" s="700"/>
      <c r="GX23" s="701"/>
      <c r="GY23" s="700"/>
      <c r="GZ23" s="701"/>
      <c r="HA23" s="700"/>
      <c r="HB23" s="701"/>
      <c r="HC23" s="702"/>
      <c r="HD23" s="693"/>
      <c r="HE23" s="694"/>
      <c r="HF23" s="695"/>
      <c r="HG23" s="696"/>
      <c r="HH23" s="697"/>
      <c r="HI23" s="693"/>
      <c r="HJ23" s="704"/>
      <c r="HK23" s="696"/>
      <c r="HL23" s="697"/>
      <c r="HM23" s="698"/>
      <c r="HN23" s="699"/>
      <c r="HO23" s="700"/>
      <c r="HP23" s="701"/>
      <c r="HQ23" s="700"/>
      <c r="HR23" s="701"/>
      <c r="HS23" s="700"/>
      <c r="HT23" s="701"/>
      <c r="HU23" s="702"/>
      <c r="HV23" s="693"/>
      <c r="HW23" s="694"/>
      <c r="HX23" s="695"/>
      <c r="HY23" s="696"/>
      <c r="HZ23" s="697"/>
      <c r="IA23" s="693"/>
      <c r="IB23" s="704"/>
      <c r="IC23" s="696"/>
      <c r="ID23" s="697"/>
      <c r="IE23" s="698"/>
      <c r="IF23" s="699"/>
      <c r="IG23" s="700"/>
      <c r="IH23" s="701"/>
      <c r="II23" s="700"/>
      <c r="IJ23" s="701"/>
      <c r="IK23" s="700"/>
      <c r="IL23" s="701"/>
      <c r="IM23" s="702"/>
      <c r="IN23" s="346"/>
    </row>
    <row r="24" spans="1:248" x14ac:dyDescent="0.25">
      <c r="A24" s="692">
        <f t="shared" si="0"/>
        <v>10</v>
      </c>
      <c r="B24" s="693" t="s">
        <v>192</v>
      </c>
      <c r="C24" s="694"/>
      <c r="D24" s="695">
        <v>0.8</v>
      </c>
      <c r="E24" s="696">
        <v>6.56</v>
      </c>
      <c r="F24" s="697">
        <v>2.6240000000000001</v>
      </c>
      <c r="G24" s="698"/>
      <c r="H24" s="699">
        <v>0</v>
      </c>
      <c r="I24" s="700">
        <v>9.7233292241840541</v>
      </c>
      <c r="J24" s="701">
        <v>65.2</v>
      </c>
      <c r="K24" s="700">
        <v>6</v>
      </c>
      <c r="L24" s="701">
        <v>5.3607188460803448</v>
      </c>
      <c r="M24" s="700">
        <v>2.3637954743653071</v>
      </c>
      <c r="N24" s="701">
        <v>0</v>
      </c>
      <c r="O24" s="702">
        <v>0</v>
      </c>
      <c r="P24" s="693" t="s">
        <v>192</v>
      </c>
      <c r="Q24" s="694"/>
      <c r="R24" s="695">
        <v>0.99</v>
      </c>
      <c r="S24" s="696">
        <v>6.56</v>
      </c>
      <c r="T24" s="697">
        <v>2.6240000000000001</v>
      </c>
      <c r="U24" s="698"/>
      <c r="V24" s="699">
        <v>0</v>
      </c>
      <c r="W24" s="700">
        <v>9.7233292241840541</v>
      </c>
      <c r="X24" s="701">
        <v>65.2</v>
      </c>
      <c r="Y24" s="700">
        <v>6</v>
      </c>
      <c r="Z24" s="701">
        <v>5.3607188460803448</v>
      </c>
      <c r="AA24" s="700">
        <v>2.3637954743653071</v>
      </c>
      <c r="AB24" s="701">
        <v>0</v>
      </c>
      <c r="AC24" s="702">
        <v>0</v>
      </c>
      <c r="AD24" s="693"/>
      <c r="AE24" s="694"/>
      <c r="AF24" s="695"/>
      <c r="AG24" s="696"/>
      <c r="AH24" s="697"/>
      <c r="AI24" s="698"/>
      <c r="AJ24" s="699"/>
      <c r="AK24" s="700"/>
      <c r="AL24" s="701"/>
      <c r="AM24" s="700"/>
      <c r="AN24" s="701"/>
      <c r="AO24" s="700"/>
      <c r="AP24" s="701"/>
      <c r="AQ24" s="702"/>
      <c r="AR24" s="693"/>
      <c r="AS24" s="694"/>
      <c r="AT24" s="695"/>
      <c r="AU24" s="696"/>
      <c r="AV24" s="697"/>
      <c r="AW24" s="698"/>
      <c r="AX24" s="699"/>
      <c r="AY24" s="700"/>
      <c r="AZ24" s="701"/>
      <c r="BA24" s="700"/>
      <c r="BB24" s="701"/>
      <c r="BC24" s="700"/>
      <c r="BD24" s="701"/>
      <c r="BE24" s="702"/>
      <c r="BF24" s="693"/>
      <c r="BG24" s="694"/>
      <c r="BH24" s="695"/>
      <c r="BI24" s="696"/>
      <c r="BJ24" s="697"/>
      <c r="BK24" s="698"/>
      <c r="BL24" s="699"/>
      <c r="BM24" s="700"/>
      <c r="BN24" s="701"/>
      <c r="BO24" s="700"/>
      <c r="BP24" s="701"/>
      <c r="BQ24" s="700"/>
      <c r="BR24" s="701"/>
      <c r="BS24" s="702"/>
      <c r="BT24" s="693"/>
      <c r="BU24" s="694"/>
      <c r="BV24" s="695"/>
      <c r="BW24" s="696"/>
      <c r="BX24" s="697"/>
      <c r="BY24" s="698"/>
      <c r="BZ24" s="699"/>
      <c r="CA24" s="700"/>
      <c r="CB24" s="701"/>
      <c r="CC24" s="700"/>
      <c r="CD24" s="701"/>
      <c r="CE24" s="700"/>
      <c r="CF24" s="701"/>
      <c r="CG24" s="702"/>
      <c r="CH24" s="693"/>
      <c r="CI24" s="694"/>
      <c r="CJ24" s="695"/>
      <c r="CK24" s="696"/>
      <c r="CL24" s="697"/>
      <c r="CM24" s="698"/>
      <c r="CN24" s="699"/>
      <c r="CO24" s="700"/>
      <c r="CP24" s="701"/>
      <c r="CQ24" s="700"/>
      <c r="CR24" s="701"/>
      <c r="CS24" s="700"/>
      <c r="CT24" s="701"/>
      <c r="CU24" s="702"/>
      <c r="CV24" s="693"/>
      <c r="CW24" s="694"/>
      <c r="CX24" s="695"/>
      <c r="CY24" s="696"/>
      <c r="CZ24" s="697"/>
      <c r="DA24" s="698"/>
      <c r="DB24" s="699"/>
      <c r="DC24" s="700"/>
      <c r="DD24" s="701"/>
      <c r="DE24" s="700"/>
      <c r="DF24" s="701"/>
      <c r="DG24" s="700"/>
      <c r="DH24" s="701"/>
      <c r="DI24" s="702"/>
      <c r="DJ24" s="693"/>
      <c r="DK24" s="694"/>
      <c r="DL24" s="695"/>
      <c r="DM24" s="696"/>
      <c r="DN24" s="697"/>
      <c r="DO24" s="698"/>
      <c r="DP24" s="699"/>
      <c r="DQ24" s="700"/>
      <c r="DR24" s="701"/>
      <c r="DS24" s="700"/>
      <c r="DT24" s="701"/>
      <c r="DU24" s="700"/>
      <c r="DV24" s="701"/>
      <c r="DW24" s="702"/>
      <c r="DX24" s="693"/>
      <c r="DY24" s="694"/>
      <c r="DZ24" s="695"/>
      <c r="EA24" s="696"/>
      <c r="EB24" s="697"/>
      <c r="EC24" s="698"/>
      <c r="ED24" s="699"/>
      <c r="EE24" s="700"/>
      <c r="EF24" s="701"/>
      <c r="EG24" s="700"/>
      <c r="EH24" s="701"/>
      <c r="EI24" s="700"/>
      <c r="EJ24" s="701"/>
      <c r="EK24" s="702"/>
      <c r="EL24" s="693"/>
      <c r="EM24" s="694"/>
      <c r="EN24" s="695"/>
      <c r="EO24" s="696"/>
      <c r="EP24" s="697"/>
      <c r="EQ24" s="698"/>
      <c r="ER24" s="699"/>
      <c r="ES24" s="700"/>
      <c r="ET24" s="701"/>
      <c r="EU24" s="700"/>
      <c r="EV24" s="701"/>
      <c r="EW24" s="700"/>
      <c r="EX24" s="701"/>
      <c r="EY24" s="702"/>
      <c r="EZ24" s="693"/>
      <c r="FA24" s="694"/>
      <c r="FB24" s="695"/>
      <c r="FC24" s="696"/>
      <c r="FD24" s="697"/>
      <c r="FE24" s="698"/>
      <c r="FF24" s="699"/>
      <c r="FG24" s="700"/>
      <c r="FH24" s="701"/>
      <c r="FI24" s="700"/>
      <c r="FJ24" s="701"/>
      <c r="FK24" s="700"/>
      <c r="FL24" s="701"/>
      <c r="FM24" s="702"/>
      <c r="FN24" s="693"/>
      <c r="FO24" s="694"/>
      <c r="FP24" s="695"/>
      <c r="FQ24" s="696"/>
      <c r="FR24" s="697"/>
      <c r="FS24" s="698"/>
      <c r="FT24" s="699"/>
      <c r="FU24" s="700"/>
      <c r="FV24" s="701"/>
      <c r="FW24" s="700"/>
      <c r="FX24" s="701"/>
      <c r="FY24" s="700"/>
      <c r="FZ24" s="701"/>
      <c r="GA24" s="702"/>
      <c r="GB24" s="693"/>
      <c r="GC24" s="694"/>
      <c r="GD24" s="695"/>
      <c r="GE24" s="696"/>
      <c r="GF24" s="697"/>
      <c r="GG24" s="698"/>
      <c r="GH24" s="699"/>
      <c r="GI24" s="700"/>
      <c r="GJ24" s="701"/>
      <c r="GK24" s="700"/>
      <c r="GL24" s="701"/>
      <c r="GM24" s="700"/>
      <c r="GN24" s="701"/>
      <c r="GO24" s="702"/>
      <c r="GP24" s="693"/>
      <c r="GQ24" s="694"/>
      <c r="GR24" s="695"/>
      <c r="GS24" s="696"/>
      <c r="GT24" s="697"/>
      <c r="GU24" s="698"/>
      <c r="GV24" s="699"/>
      <c r="GW24" s="700"/>
      <c r="GX24" s="701"/>
      <c r="GY24" s="700"/>
      <c r="GZ24" s="701"/>
      <c r="HA24" s="700"/>
      <c r="HB24" s="701"/>
      <c r="HC24" s="702"/>
      <c r="HD24" s="693"/>
      <c r="HE24" s="694"/>
      <c r="HF24" s="695"/>
      <c r="HG24" s="696"/>
      <c r="HH24" s="697"/>
      <c r="HI24" s="693"/>
      <c r="HJ24" s="704"/>
      <c r="HK24" s="696"/>
      <c r="HL24" s="697"/>
      <c r="HM24" s="698"/>
      <c r="HN24" s="699"/>
      <c r="HO24" s="700"/>
      <c r="HP24" s="701"/>
      <c r="HQ24" s="700"/>
      <c r="HR24" s="701"/>
      <c r="HS24" s="700"/>
      <c r="HT24" s="701"/>
      <c r="HU24" s="702"/>
      <c r="HV24" s="693"/>
      <c r="HW24" s="694"/>
      <c r="HX24" s="695"/>
      <c r="HY24" s="696"/>
      <c r="HZ24" s="697"/>
      <c r="IA24" s="693"/>
      <c r="IB24" s="704"/>
      <c r="IC24" s="696"/>
      <c r="ID24" s="697"/>
      <c r="IE24" s="698"/>
      <c r="IF24" s="699"/>
      <c r="IG24" s="700"/>
      <c r="IH24" s="701"/>
      <c r="II24" s="700"/>
      <c r="IJ24" s="701"/>
      <c r="IK24" s="700"/>
      <c r="IL24" s="701"/>
      <c r="IM24" s="702"/>
      <c r="IN24" s="346"/>
    </row>
    <row r="25" spans="1:248" x14ac:dyDescent="0.25">
      <c r="A25" s="692">
        <f t="shared" si="0"/>
        <v>11</v>
      </c>
      <c r="B25" s="693" t="s">
        <v>312</v>
      </c>
      <c r="C25" s="694"/>
      <c r="D25" s="695">
        <v>0.8</v>
      </c>
      <c r="E25" s="696">
        <v>5.13</v>
      </c>
      <c r="F25" s="697">
        <v>3.0779999999999998</v>
      </c>
      <c r="G25" s="698"/>
      <c r="H25" s="699">
        <v>0</v>
      </c>
      <c r="I25" s="700">
        <v>11.193071661185297</v>
      </c>
      <c r="J25" s="701">
        <v>68.8</v>
      </c>
      <c r="K25" s="700">
        <v>6</v>
      </c>
      <c r="L25" s="701">
        <v>8.1776008827282425</v>
      </c>
      <c r="M25" s="700">
        <v>3.6058925141900731</v>
      </c>
      <c r="N25" s="701">
        <v>0</v>
      </c>
      <c r="O25" s="702">
        <v>0</v>
      </c>
      <c r="P25" s="693" t="s">
        <v>312</v>
      </c>
      <c r="Q25" s="694"/>
      <c r="R25" s="695">
        <v>0.99</v>
      </c>
      <c r="S25" s="696">
        <v>5.13</v>
      </c>
      <c r="T25" s="697">
        <v>3.0779999999999998</v>
      </c>
      <c r="U25" s="698"/>
      <c r="V25" s="699">
        <v>0</v>
      </c>
      <c r="W25" s="700">
        <v>11.193071661185297</v>
      </c>
      <c r="X25" s="701">
        <v>68.8</v>
      </c>
      <c r="Y25" s="700">
        <v>6</v>
      </c>
      <c r="Z25" s="701">
        <v>8.1776008827282425</v>
      </c>
      <c r="AA25" s="700">
        <v>3.6058925141900731</v>
      </c>
      <c r="AB25" s="701">
        <v>0</v>
      </c>
      <c r="AC25" s="702">
        <v>0</v>
      </c>
      <c r="AD25" s="693"/>
      <c r="AE25" s="694"/>
      <c r="AF25" s="695"/>
      <c r="AG25" s="696"/>
      <c r="AH25" s="697"/>
      <c r="AI25" s="698"/>
      <c r="AJ25" s="699"/>
      <c r="AK25" s="700"/>
      <c r="AL25" s="701"/>
      <c r="AM25" s="700"/>
      <c r="AN25" s="701"/>
      <c r="AO25" s="700"/>
      <c r="AP25" s="701"/>
      <c r="AQ25" s="702"/>
      <c r="AR25" s="693"/>
      <c r="AS25" s="694"/>
      <c r="AT25" s="695"/>
      <c r="AU25" s="696"/>
      <c r="AV25" s="697"/>
      <c r="AW25" s="698"/>
      <c r="AX25" s="699"/>
      <c r="AY25" s="700"/>
      <c r="AZ25" s="701"/>
      <c r="BA25" s="700"/>
      <c r="BB25" s="701"/>
      <c r="BC25" s="700"/>
      <c r="BD25" s="701"/>
      <c r="BE25" s="702"/>
      <c r="BF25" s="693"/>
      <c r="BG25" s="694"/>
      <c r="BH25" s="695"/>
      <c r="BI25" s="696"/>
      <c r="BJ25" s="697"/>
      <c r="BK25" s="698"/>
      <c r="BL25" s="699"/>
      <c r="BM25" s="700"/>
      <c r="BN25" s="701"/>
      <c r="BO25" s="700"/>
      <c r="BP25" s="701"/>
      <c r="BQ25" s="700"/>
      <c r="BR25" s="701"/>
      <c r="BS25" s="702"/>
      <c r="BT25" s="693"/>
      <c r="BU25" s="694"/>
      <c r="BV25" s="695"/>
      <c r="BW25" s="696"/>
      <c r="BX25" s="697"/>
      <c r="BY25" s="698"/>
      <c r="BZ25" s="699"/>
      <c r="CA25" s="700"/>
      <c r="CB25" s="701"/>
      <c r="CC25" s="700"/>
      <c r="CD25" s="701"/>
      <c r="CE25" s="700"/>
      <c r="CF25" s="701"/>
      <c r="CG25" s="702"/>
      <c r="CH25" s="693"/>
      <c r="CI25" s="694"/>
      <c r="CJ25" s="695"/>
      <c r="CK25" s="696"/>
      <c r="CL25" s="697"/>
      <c r="CM25" s="698"/>
      <c r="CN25" s="699"/>
      <c r="CO25" s="700"/>
      <c r="CP25" s="701"/>
      <c r="CQ25" s="700"/>
      <c r="CR25" s="701"/>
      <c r="CS25" s="700"/>
      <c r="CT25" s="701"/>
      <c r="CU25" s="702"/>
      <c r="CV25" s="693"/>
      <c r="CW25" s="694"/>
      <c r="CX25" s="695"/>
      <c r="CY25" s="696"/>
      <c r="CZ25" s="697"/>
      <c r="DA25" s="698"/>
      <c r="DB25" s="699"/>
      <c r="DC25" s="700"/>
      <c r="DD25" s="701"/>
      <c r="DE25" s="700"/>
      <c r="DF25" s="701"/>
      <c r="DG25" s="700"/>
      <c r="DH25" s="701"/>
      <c r="DI25" s="702"/>
      <c r="DJ25" s="693"/>
      <c r="DK25" s="694"/>
      <c r="DL25" s="695"/>
      <c r="DM25" s="696"/>
      <c r="DN25" s="697"/>
      <c r="DO25" s="698"/>
      <c r="DP25" s="699"/>
      <c r="DQ25" s="700"/>
      <c r="DR25" s="701"/>
      <c r="DS25" s="700"/>
      <c r="DT25" s="701"/>
      <c r="DU25" s="700"/>
      <c r="DV25" s="701"/>
      <c r="DW25" s="702"/>
      <c r="DX25" s="693"/>
      <c r="DY25" s="694"/>
      <c r="DZ25" s="695"/>
      <c r="EA25" s="696"/>
      <c r="EB25" s="697"/>
      <c r="EC25" s="698"/>
      <c r="ED25" s="699"/>
      <c r="EE25" s="700"/>
      <c r="EF25" s="701"/>
      <c r="EG25" s="700"/>
      <c r="EH25" s="701"/>
      <c r="EI25" s="700"/>
      <c r="EJ25" s="701"/>
      <c r="EK25" s="702"/>
      <c r="EL25" s="693"/>
      <c r="EM25" s="694"/>
      <c r="EN25" s="695"/>
      <c r="EO25" s="696"/>
      <c r="EP25" s="697"/>
      <c r="EQ25" s="698"/>
      <c r="ER25" s="699"/>
      <c r="ES25" s="700"/>
      <c r="ET25" s="701"/>
      <c r="EU25" s="700"/>
      <c r="EV25" s="701"/>
      <c r="EW25" s="700"/>
      <c r="EX25" s="701"/>
      <c r="EY25" s="702"/>
      <c r="EZ25" s="693"/>
      <c r="FA25" s="694"/>
      <c r="FB25" s="695"/>
      <c r="FC25" s="696"/>
      <c r="FD25" s="697"/>
      <c r="FE25" s="698"/>
      <c r="FF25" s="699"/>
      <c r="FG25" s="700"/>
      <c r="FH25" s="701"/>
      <c r="FI25" s="700"/>
      <c r="FJ25" s="701"/>
      <c r="FK25" s="700"/>
      <c r="FL25" s="701"/>
      <c r="FM25" s="702"/>
      <c r="FN25" s="693"/>
      <c r="FO25" s="694"/>
      <c r="FP25" s="695"/>
      <c r="FQ25" s="696"/>
      <c r="FR25" s="697"/>
      <c r="FS25" s="698"/>
      <c r="FT25" s="699"/>
      <c r="FU25" s="700"/>
      <c r="FV25" s="701"/>
      <c r="FW25" s="700"/>
      <c r="FX25" s="701"/>
      <c r="FY25" s="700"/>
      <c r="FZ25" s="701"/>
      <c r="GA25" s="702"/>
      <c r="GB25" s="693"/>
      <c r="GC25" s="694"/>
      <c r="GD25" s="695"/>
      <c r="GE25" s="696"/>
      <c r="GF25" s="697"/>
      <c r="GG25" s="698"/>
      <c r="GH25" s="699"/>
      <c r="GI25" s="700"/>
      <c r="GJ25" s="701"/>
      <c r="GK25" s="700"/>
      <c r="GL25" s="701"/>
      <c r="GM25" s="700"/>
      <c r="GN25" s="701"/>
      <c r="GO25" s="702"/>
      <c r="GP25" s="693"/>
      <c r="GQ25" s="694"/>
      <c r="GR25" s="695"/>
      <c r="GS25" s="696"/>
      <c r="GT25" s="697"/>
      <c r="GU25" s="698"/>
      <c r="GV25" s="699"/>
      <c r="GW25" s="700"/>
      <c r="GX25" s="701"/>
      <c r="GY25" s="700"/>
      <c r="GZ25" s="701"/>
      <c r="HA25" s="700"/>
      <c r="HB25" s="701"/>
      <c r="HC25" s="702"/>
      <c r="HD25" s="693"/>
      <c r="HE25" s="694"/>
      <c r="HF25" s="695"/>
      <c r="HG25" s="696"/>
      <c r="HH25" s="697"/>
      <c r="HI25" s="693"/>
      <c r="HJ25" s="704"/>
      <c r="HK25" s="696"/>
      <c r="HL25" s="697"/>
      <c r="HM25" s="698"/>
      <c r="HN25" s="699"/>
      <c r="HO25" s="700"/>
      <c r="HP25" s="701"/>
      <c r="HQ25" s="700"/>
      <c r="HR25" s="701"/>
      <c r="HS25" s="700"/>
      <c r="HT25" s="701"/>
      <c r="HU25" s="702"/>
      <c r="HV25" s="693"/>
      <c r="HW25" s="694"/>
      <c r="HX25" s="695"/>
      <c r="HY25" s="696"/>
      <c r="HZ25" s="697"/>
      <c r="IA25" s="693"/>
      <c r="IB25" s="704"/>
      <c r="IC25" s="696"/>
      <c r="ID25" s="697"/>
      <c r="IE25" s="698"/>
      <c r="IF25" s="699"/>
      <c r="IG25" s="700"/>
      <c r="IH25" s="701"/>
      <c r="II25" s="700"/>
      <c r="IJ25" s="701"/>
      <c r="IK25" s="700"/>
      <c r="IL25" s="701"/>
      <c r="IM25" s="702"/>
      <c r="IN25" s="346"/>
    </row>
    <row r="26" spans="1:248" x14ac:dyDescent="0.25">
      <c r="A26" s="692">
        <f t="shared" si="0"/>
        <v>12</v>
      </c>
      <c r="B26" s="693" t="s">
        <v>309</v>
      </c>
      <c r="C26" s="694"/>
      <c r="D26" s="695">
        <v>0.8</v>
      </c>
      <c r="E26" s="696">
        <v>3.22</v>
      </c>
      <c r="F26" s="697">
        <v>1.61</v>
      </c>
      <c r="G26" s="698"/>
      <c r="H26" s="699">
        <v>0</v>
      </c>
      <c r="I26" s="700">
        <v>12.615289678822272</v>
      </c>
      <c r="J26" s="701">
        <v>83.9</v>
      </c>
      <c r="K26" s="700">
        <v>7.5</v>
      </c>
      <c r="L26" s="701">
        <v>11.707650253869144</v>
      </c>
      <c r="M26" s="700">
        <v>5.1624588940684291</v>
      </c>
      <c r="N26" s="701">
        <v>0</v>
      </c>
      <c r="O26" s="702">
        <v>0</v>
      </c>
      <c r="P26" s="693" t="s">
        <v>309</v>
      </c>
      <c r="Q26" s="694"/>
      <c r="R26" s="695">
        <v>0.99</v>
      </c>
      <c r="S26" s="696">
        <v>3.22</v>
      </c>
      <c r="T26" s="697">
        <v>1.61</v>
      </c>
      <c r="U26" s="698"/>
      <c r="V26" s="699">
        <v>0</v>
      </c>
      <c r="W26" s="700">
        <v>12.615289678822272</v>
      </c>
      <c r="X26" s="701">
        <v>83.9</v>
      </c>
      <c r="Y26" s="700">
        <v>7.5</v>
      </c>
      <c r="Z26" s="701">
        <v>11.707650253869144</v>
      </c>
      <c r="AA26" s="700">
        <v>5.1624588940684291</v>
      </c>
      <c r="AB26" s="701">
        <v>0</v>
      </c>
      <c r="AC26" s="702">
        <v>0</v>
      </c>
      <c r="AD26" s="693"/>
      <c r="AE26" s="694"/>
      <c r="AF26" s="695"/>
      <c r="AG26" s="696"/>
      <c r="AH26" s="697"/>
      <c r="AI26" s="698"/>
      <c r="AJ26" s="699"/>
      <c r="AK26" s="700"/>
      <c r="AL26" s="701"/>
      <c r="AM26" s="700"/>
      <c r="AN26" s="701"/>
      <c r="AO26" s="700"/>
      <c r="AP26" s="701"/>
      <c r="AQ26" s="702"/>
      <c r="AR26" s="693"/>
      <c r="AS26" s="694"/>
      <c r="AT26" s="695"/>
      <c r="AU26" s="696"/>
      <c r="AV26" s="697"/>
      <c r="AW26" s="698"/>
      <c r="AX26" s="699"/>
      <c r="AY26" s="700"/>
      <c r="AZ26" s="701"/>
      <c r="BA26" s="700"/>
      <c r="BB26" s="701"/>
      <c r="BC26" s="700"/>
      <c r="BD26" s="701"/>
      <c r="BE26" s="702"/>
      <c r="BF26" s="693"/>
      <c r="BG26" s="694"/>
      <c r="BH26" s="695"/>
      <c r="BI26" s="696"/>
      <c r="BJ26" s="697"/>
      <c r="BK26" s="698"/>
      <c r="BL26" s="699"/>
      <c r="BM26" s="700"/>
      <c r="BN26" s="701"/>
      <c r="BO26" s="700"/>
      <c r="BP26" s="701"/>
      <c r="BQ26" s="700"/>
      <c r="BR26" s="701"/>
      <c r="BS26" s="702"/>
      <c r="BT26" s="693"/>
      <c r="BU26" s="694"/>
      <c r="BV26" s="695"/>
      <c r="BW26" s="696"/>
      <c r="BX26" s="697"/>
      <c r="BY26" s="698"/>
      <c r="BZ26" s="699"/>
      <c r="CA26" s="700"/>
      <c r="CB26" s="701"/>
      <c r="CC26" s="700"/>
      <c r="CD26" s="701"/>
      <c r="CE26" s="700"/>
      <c r="CF26" s="701"/>
      <c r="CG26" s="702"/>
      <c r="CH26" s="693"/>
      <c r="CI26" s="694"/>
      <c r="CJ26" s="695"/>
      <c r="CK26" s="696"/>
      <c r="CL26" s="697"/>
      <c r="CM26" s="698"/>
      <c r="CN26" s="699"/>
      <c r="CO26" s="700"/>
      <c r="CP26" s="701"/>
      <c r="CQ26" s="700"/>
      <c r="CR26" s="701"/>
      <c r="CS26" s="700"/>
      <c r="CT26" s="701"/>
      <c r="CU26" s="702"/>
      <c r="CV26" s="693"/>
      <c r="CW26" s="694"/>
      <c r="CX26" s="695"/>
      <c r="CY26" s="696"/>
      <c r="CZ26" s="697"/>
      <c r="DA26" s="698"/>
      <c r="DB26" s="699"/>
      <c r="DC26" s="700"/>
      <c r="DD26" s="701"/>
      <c r="DE26" s="700"/>
      <c r="DF26" s="701"/>
      <c r="DG26" s="700"/>
      <c r="DH26" s="701"/>
      <c r="DI26" s="702"/>
      <c r="DJ26" s="693"/>
      <c r="DK26" s="694"/>
      <c r="DL26" s="695"/>
      <c r="DM26" s="696"/>
      <c r="DN26" s="697"/>
      <c r="DO26" s="698"/>
      <c r="DP26" s="699"/>
      <c r="DQ26" s="700"/>
      <c r="DR26" s="701"/>
      <c r="DS26" s="700"/>
      <c r="DT26" s="701"/>
      <c r="DU26" s="700"/>
      <c r="DV26" s="701"/>
      <c r="DW26" s="702"/>
      <c r="DX26" s="693"/>
      <c r="DY26" s="694"/>
      <c r="DZ26" s="695"/>
      <c r="EA26" s="696"/>
      <c r="EB26" s="697"/>
      <c r="EC26" s="698"/>
      <c r="ED26" s="699"/>
      <c r="EE26" s="700"/>
      <c r="EF26" s="701"/>
      <c r="EG26" s="700"/>
      <c r="EH26" s="701"/>
      <c r="EI26" s="700"/>
      <c r="EJ26" s="701"/>
      <c r="EK26" s="702"/>
      <c r="EL26" s="693"/>
      <c r="EM26" s="694"/>
      <c r="EN26" s="695"/>
      <c r="EO26" s="696"/>
      <c r="EP26" s="697"/>
      <c r="EQ26" s="698"/>
      <c r="ER26" s="699"/>
      <c r="ES26" s="700"/>
      <c r="ET26" s="701"/>
      <c r="EU26" s="700"/>
      <c r="EV26" s="701"/>
      <c r="EW26" s="700"/>
      <c r="EX26" s="701"/>
      <c r="EY26" s="702"/>
      <c r="EZ26" s="693"/>
      <c r="FA26" s="694"/>
      <c r="FB26" s="695"/>
      <c r="FC26" s="696"/>
      <c r="FD26" s="697"/>
      <c r="FE26" s="698"/>
      <c r="FF26" s="699"/>
      <c r="FG26" s="700"/>
      <c r="FH26" s="701"/>
      <c r="FI26" s="700"/>
      <c r="FJ26" s="701"/>
      <c r="FK26" s="700"/>
      <c r="FL26" s="701"/>
      <c r="FM26" s="702"/>
      <c r="FN26" s="693"/>
      <c r="FO26" s="694"/>
      <c r="FP26" s="695"/>
      <c r="FQ26" s="696"/>
      <c r="FR26" s="697"/>
      <c r="FS26" s="698"/>
      <c r="FT26" s="699"/>
      <c r="FU26" s="700"/>
      <c r="FV26" s="701"/>
      <c r="FW26" s="700"/>
      <c r="FX26" s="701"/>
      <c r="FY26" s="700"/>
      <c r="FZ26" s="701"/>
      <c r="GA26" s="702"/>
      <c r="GB26" s="693"/>
      <c r="GC26" s="694"/>
      <c r="GD26" s="695"/>
      <c r="GE26" s="696"/>
      <c r="GF26" s="697"/>
      <c r="GG26" s="698"/>
      <c r="GH26" s="699"/>
      <c r="GI26" s="700"/>
      <c r="GJ26" s="701"/>
      <c r="GK26" s="700"/>
      <c r="GL26" s="701"/>
      <c r="GM26" s="700"/>
      <c r="GN26" s="701"/>
      <c r="GO26" s="702"/>
      <c r="GP26" s="693"/>
      <c r="GQ26" s="694"/>
      <c r="GR26" s="695"/>
      <c r="GS26" s="696"/>
      <c r="GT26" s="697"/>
      <c r="GU26" s="698"/>
      <c r="GV26" s="699"/>
      <c r="GW26" s="700"/>
      <c r="GX26" s="701"/>
      <c r="GY26" s="700"/>
      <c r="GZ26" s="701"/>
      <c r="HA26" s="700"/>
      <c r="HB26" s="701"/>
      <c r="HC26" s="702"/>
      <c r="HD26" s="693"/>
      <c r="HE26" s="694"/>
      <c r="HF26" s="695"/>
      <c r="HG26" s="696"/>
      <c r="HH26" s="697"/>
      <c r="HI26" s="693"/>
      <c r="HJ26" s="704"/>
      <c r="HK26" s="696"/>
      <c r="HL26" s="697"/>
      <c r="HM26" s="698"/>
      <c r="HN26" s="699"/>
      <c r="HO26" s="700"/>
      <c r="HP26" s="701"/>
      <c r="HQ26" s="700"/>
      <c r="HR26" s="701"/>
      <c r="HS26" s="700"/>
      <c r="HT26" s="701"/>
      <c r="HU26" s="702"/>
      <c r="HV26" s="693"/>
      <c r="HW26" s="694"/>
      <c r="HX26" s="695"/>
      <c r="HY26" s="696"/>
      <c r="HZ26" s="697"/>
      <c r="IA26" s="693"/>
      <c r="IB26" s="704"/>
      <c r="IC26" s="696"/>
      <c r="ID26" s="697"/>
      <c r="IE26" s="698"/>
      <c r="IF26" s="699"/>
      <c r="IG26" s="700"/>
      <c r="IH26" s="701"/>
      <c r="II26" s="700"/>
      <c r="IJ26" s="701"/>
      <c r="IK26" s="700"/>
      <c r="IL26" s="701"/>
      <c r="IM26" s="702"/>
      <c r="IN26" s="346"/>
    </row>
    <row r="27" spans="1:248" x14ac:dyDescent="0.25">
      <c r="A27" s="692">
        <f t="shared" si="0"/>
        <v>13</v>
      </c>
      <c r="B27" s="693" t="s">
        <v>192</v>
      </c>
      <c r="C27" s="694"/>
      <c r="D27" s="695">
        <v>0.8</v>
      </c>
      <c r="E27" s="696">
        <v>5.99</v>
      </c>
      <c r="F27" s="697">
        <v>2.3960000000000004</v>
      </c>
      <c r="G27" s="698"/>
      <c r="H27" s="699">
        <v>0</v>
      </c>
      <c r="I27" s="700">
        <v>14.210891258682691</v>
      </c>
      <c r="J27" s="701">
        <v>100</v>
      </c>
      <c r="K27" s="700">
        <v>7.5</v>
      </c>
      <c r="L27" s="701">
        <v>16.735627719780698</v>
      </c>
      <c r="M27" s="700">
        <v>7.3795328948477552</v>
      </c>
      <c r="N27" s="701">
        <v>0</v>
      </c>
      <c r="O27" s="702">
        <v>0</v>
      </c>
      <c r="P27" s="693" t="s">
        <v>192</v>
      </c>
      <c r="Q27" s="694"/>
      <c r="R27" s="695">
        <v>0.99</v>
      </c>
      <c r="S27" s="696">
        <v>5.99</v>
      </c>
      <c r="T27" s="697">
        <v>2.3960000000000004</v>
      </c>
      <c r="U27" s="698"/>
      <c r="V27" s="699">
        <v>0</v>
      </c>
      <c r="W27" s="700">
        <v>14.210891258682691</v>
      </c>
      <c r="X27" s="701">
        <v>100</v>
      </c>
      <c r="Y27" s="700">
        <v>7.5</v>
      </c>
      <c r="Z27" s="701">
        <v>16.735627719780698</v>
      </c>
      <c r="AA27" s="700">
        <v>7.3795328948477552</v>
      </c>
      <c r="AB27" s="701">
        <v>0</v>
      </c>
      <c r="AC27" s="702">
        <v>0</v>
      </c>
      <c r="AD27" s="693"/>
      <c r="AE27" s="694"/>
      <c r="AF27" s="695"/>
      <c r="AG27" s="696"/>
      <c r="AH27" s="697"/>
      <c r="AI27" s="698"/>
      <c r="AJ27" s="699"/>
      <c r="AK27" s="700"/>
      <c r="AL27" s="701"/>
      <c r="AM27" s="700"/>
      <c r="AN27" s="701"/>
      <c r="AO27" s="700"/>
      <c r="AP27" s="701"/>
      <c r="AQ27" s="702"/>
      <c r="AR27" s="693"/>
      <c r="AS27" s="694"/>
      <c r="AT27" s="695"/>
      <c r="AU27" s="696"/>
      <c r="AV27" s="697"/>
      <c r="AW27" s="698"/>
      <c r="AX27" s="699"/>
      <c r="AY27" s="700"/>
      <c r="AZ27" s="701"/>
      <c r="BA27" s="700"/>
      <c r="BB27" s="701"/>
      <c r="BC27" s="700"/>
      <c r="BD27" s="701"/>
      <c r="BE27" s="702"/>
      <c r="BF27" s="693"/>
      <c r="BG27" s="694"/>
      <c r="BH27" s="695"/>
      <c r="BI27" s="696"/>
      <c r="BJ27" s="697"/>
      <c r="BK27" s="698"/>
      <c r="BL27" s="699"/>
      <c r="BM27" s="700"/>
      <c r="BN27" s="701"/>
      <c r="BO27" s="700"/>
      <c r="BP27" s="701"/>
      <c r="BQ27" s="700"/>
      <c r="BR27" s="701"/>
      <c r="BS27" s="702"/>
      <c r="BT27" s="693"/>
      <c r="BU27" s="694"/>
      <c r="BV27" s="695"/>
      <c r="BW27" s="696"/>
      <c r="BX27" s="697"/>
      <c r="BY27" s="698"/>
      <c r="BZ27" s="699"/>
      <c r="CA27" s="700"/>
      <c r="CB27" s="701"/>
      <c r="CC27" s="700"/>
      <c r="CD27" s="701"/>
      <c r="CE27" s="700"/>
      <c r="CF27" s="701"/>
      <c r="CG27" s="702"/>
      <c r="CH27" s="693"/>
      <c r="CI27" s="694"/>
      <c r="CJ27" s="695"/>
      <c r="CK27" s="696"/>
      <c r="CL27" s="697"/>
      <c r="CM27" s="698"/>
      <c r="CN27" s="699"/>
      <c r="CO27" s="700"/>
      <c r="CP27" s="701"/>
      <c r="CQ27" s="700"/>
      <c r="CR27" s="701"/>
      <c r="CS27" s="700"/>
      <c r="CT27" s="701"/>
      <c r="CU27" s="702"/>
      <c r="CV27" s="693"/>
      <c r="CW27" s="694"/>
      <c r="CX27" s="695"/>
      <c r="CY27" s="696"/>
      <c r="CZ27" s="697"/>
      <c r="DA27" s="698"/>
      <c r="DB27" s="699"/>
      <c r="DC27" s="700"/>
      <c r="DD27" s="701"/>
      <c r="DE27" s="700"/>
      <c r="DF27" s="701"/>
      <c r="DG27" s="700"/>
      <c r="DH27" s="701"/>
      <c r="DI27" s="702"/>
      <c r="DJ27" s="693"/>
      <c r="DK27" s="694"/>
      <c r="DL27" s="695"/>
      <c r="DM27" s="696"/>
      <c r="DN27" s="697"/>
      <c r="DO27" s="698"/>
      <c r="DP27" s="699"/>
      <c r="DQ27" s="700"/>
      <c r="DR27" s="701"/>
      <c r="DS27" s="700"/>
      <c r="DT27" s="701"/>
      <c r="DU27" s="700"/>
      <c r="DV27" s="701"/>
      <c r="DW27" s="702"/>
      <c r="DX27" s="693"/>
      <c r="DY27" s="694"/>
      <c r="DZ27" s="695"/>
      <c r="EA27" s="696"/>
      <c r="EB27" s="697"/>
      <c r="EC27" s="698"/>
      <c r="ED27" s="699"/>
      <c r="EE27" s="700"/>
      <c r="EF27" s="701"/>
      <c r="EG27" s="700"/>
      <c r="EH27" s="701"/>
      <c r="EI27" s="700"/>
      <c r="EJ27" s="701"/>
      <c r="EK27" s="702"/>
      <c r="EL27" s="693"/>
      <c r="EM27" s="694"/>
      <c r="EN27" s="695"/>
      <c r="EO27" s="696"/>
      <c r="EP27" s="697"/>
      <c r="EQ27" s="698"/>
      <c r="ER27" s="699"/>
      <c r="ES27" s="700"/>
      <c r="ET27" s="701"/>
      <c r="EU27" s="700"/>
      <c r="EV27" s="701"/>
      <c r="EW27" s="700"/>
      <c r="EX27" s="701"/>
      <c r="EY27" s="702"/>
      <c r="EZ27" s="693"/>
      <c r="FA27" s="694"/>
      <c r="FB27" s="695"/>
      <c r="FC27" s="696"/>
      <c r="FD27" s="697"/>
      <c r="FE27" s="698"/>
      <c r="FF27" s="699"/>
      <c r="FG27" s="700"/>
      <c r="FH27" s="701"/>
      <c r="FI27" s="700"/>
      <c r="FJ27" s="701"/>
      <c r="FK27" s="700"/>
      <c r="FL27" s="701"/>
      <c r="FM27" s="702"/>
      <c r="FN27" s="693"/>
      <c r="FO27" s="694"/>
      <c r="FP27" s="695"/>
      <c r="FQ27" s="696"/>
      <c r="FR27" s="697"/>
      <c r="FS27" s="698"/>
      <c r="FT27" s="699"/>
      <c r="FU27" s="700"/>
      <c r="FV27" s="701"/>
      <c r="FW27" s="700"/>
      <c r="FX27" s="701"/>
      <c r="FY27" s="700"/>
      <c r="FZ27" s="701"/>
      <c r="GA27" s="702"/>
      <c r="GB27" s="693"/>
      <c r="GC27" s="694"/>
      <c r="GD27" s="695"/>
      <c r="GE27" s="696"/>
      <c r="GF27" s="697"/>
      <c r="GG27" s="698"/>
      <c r="GH27" s="699"/>
      <c r="GI27" s="700"/>
      <c r="GJ27" s="701"/>
      <c r="GK27" s="700"/>
      <c r="GL27" s="701"/>
      <c r="GM27" s="700"/>
      <c r="GN27" s="701"/>
      <c r="GO27" s="702"/>
      <c r="GP27" s="693"/>
      <c r="GQ27" s="694"/>
      <c r="GR27" s="695"/>
      <c r="GS27" s="696"/>
      <c r="GT27" s="697"/>
      <c r="GU27" s="698"/>
      <c r="GV27" s="699"/>
      <c r="GW27" s="700"/>
      <c r="GX27" s="701"/>
      <c r="GY27" s="700"/>
      <c r="GZ27" s="701"/>
      <c r="HA27" s="700"/>
      <c r="HB27" s="701"/>
      <c r="HC27" s="702"/>
      <c r="HD27" s="693"/>
      <c r="HE27" s="694"/>
      <c r="HF27" s="695"/>
      <c r="HG27" s="696"/>
      <c r="HH27" s="697"/>
      <c r="HI27" s="693"/>
      <c r="HJ27" s="704"/>
      <c r="HK27" s="696"/>
      <c r="HL27" s="697"/>
      <c r="HM27" s="698"/>
      <c r="HN27" s="699"/>
      <c r="HO27" s="700"/>
      <c r="HP27" s="701"/>
      <c r="HQ27" s="700"/>
      <c r="HR27" s="701"/>
      <c r="HS27" s="700"/>
      <c r="HT27" s="701"/>
      <c r="HU27" s="702"/>
      <c r="HV27" s="693"/>
      <c r="HW27" s="694"/>
      <c r="HX27" s="695"/>
      <c r="HY27" s="696"/>
      <c r="HZ27" s="697"/>
      <c r="IA27" s="693"/>
      <c r="IB27" s="704"/>
      <c r="IC27" s="696"/>
      <c r="ID27" s="697"/>
      <c r="IE27" s="698"/>
      <c r="IF27" s="699"/>
      <c r="IG27" s="700"/>
      <c r="IH27" s="701"/>
      <c r="II27" s="700"/>
      <c r="IJ27" s="701"/>
      <c r="IK27" s="700"/>
      <c r="IL27" s="701"/>
      <c r="IM27" s="702"/>
      <c r="IN27" s="346"/>
    </row>
    <row r="28" spans="1:248" x14ac:dyDescent="0.25">
      <c r="A28" s="692">
        <f t="shared" si="0"/>
        <v>14</v>
      </c>
      <c r="B28" s="693" t="s">
        <v>192</v>
      </c>
      <c r="C28" s="694"/>
      <c r="D28" s="695">
        <v>0.8</v>
      </c>
      <c r="E28" s="696">
        <v>6.17</v>
      </c>
      <c r="F28" s="697">
        <v>2.468</v>
      </c>
      <c r="G28" s="698"/>
      <c r="H28" s="699">
        <v>0</v>
      </c>
      <c r="I28" s="700">
        <v>15.494389937521738</v>
      </c>
      <c r="J28" s="701">
        <v>100</v>
      </c>
      <c r="K28" s="700">
        <v>7.5</v>
      </c>
      <c r="L28" s="701">
        <v>21.692095207628785</v>
      </c>
      <c r="M28" s="700">
        <v>9.5650747508957856</v>
      </c>
      <c r="N28" s="701">
        <v>0</v>
      </c>
      <c r="O28" s="702">
        <v>0</v>
      </c>
      <c r="P28" s="693" t="s">
        <v>192</v>
      </c>
      <c r="Q28" s="694"/>
      <c r="R28" s="695">
        <v>0.99</v>
      </c>
      <c r="S28" s="696">
        <v>6.17</v>
      </c>
      <c r="T28" s="697">
        <v>2.468</v>
      </c>
      <c r="U28" s="698"/>
      <c r="V28" s="699">
        <v>0</v>
      </c>
      <c r="W28" s="700">
        <v>15.494389937521738</v>
      </c>
      <c r="X28" s="701">
        <v>100</v>
      </c>
      <c r="Y28" s="700">
        <v>7.5</v>
      </c>
      <c r="Z28" s="701">
        <v>21.692095207628785</v>
      </c>
      <c r="AA28" s="700">
        <v>9.5650747508957856</v>
      </c>
      <c r="AB28" s="701">
        <v>0</v>
      </c>
      <c r="AC28" s="702">
        <v>0</v>
      </c>
      <c r="AD28" s="693"/>
      <c r="AE28" s="694"/>
      <c r="AF28" s="695"/>
      <c r="AG28" s="696"/>
      <c r="AH28" s="697"/>
      <c r="AI28" s="698"/>
      <c r="AJ28" s="699"/>
      <c r="AK28" s="700"/>
      <c r="AL28" s="701"/>
      <c r="AM28" s="700"/>
      <c r="AN28" s="701"/>
      <c r="AO28" s="700"/>
      <c r="AP28" s="701"/>
      <c r="AQ28" s="702"/>
      <c r="AR28" s="693"/>
      <c r="AS28" s="694"/>
      <c r="AT28" s="695"/>
      <c r="AU28" s="696"/>
      <c r="AV28" s="697"/>
      <c r="AW28" s="698"/>
      <c r="AX28" s="699"/>
      <c r="AY28" s="700"/>
      <c r="AZ28" s="701"/>
      <c r="BA28" s="700"/>
      <c r="BB28" s="701"/>
      <c r="BC28" s="700"/>
      <c r="BD28" s="701"/>
      <c r="BE28" s="702"/>
      <c r="BF28" s="693"/>
      <c r="BG28" s="694"/>
      <c r="BH28" s="695"/>
      <c r="BI28" s="696"/>
      <c r="BJ28" s="697"/>
      <c r="BK28" s="698"/>
      <c r="BL28" s="699"/>
      <c r="BM28" s="700"/>
      <c r="BN28" s="701"/>
      <c r="BO28" s="700"/>
      <c r="BP28" s="701"/>
      <c r="BQ28" s="700"/>
      <c r="BR28" s="701"/>
      <c r="BS28" s="702"/>
      <c r="BT28" s="693"/>
      <c r="BU28" s="694"/>
      <c r="BV28" s="695"/>
      <c r="BW28" s="696"/>
      <c r="BX28" s="697"/>
      <c r="BY28" s="698"/>
      <c r="BZ28" s="699"/>
      <c r="CA28" s="700"/>
      <c r="CB28" s="701"/>
      <c r="CC28" s="700"/>
      <c r="CD28" s="701"/>
      <c r="CE28" s="700"/>
      <c r="CF28" s="701"/>
      <c r="CG28" s="702"/>
      <c r="CH28" s="693"/>
      <c r="CI28" s="694"/>
      <c r="CJ28" s="695"/>
      <c r="CK28" s="696"/>
      <c r="CL28" s="697"/>
      <c r="CM28" s="698"/>
      <c r="CN28" s="699"/>
      <c r="CO28" s="700"/>
      <c r="CP28" s="701"/>
      <c r="CQ28" s="700"/>
      <c r="CR28" s="701"/>
      <c r="CS28" s="700"/>
      <c r="CT28" s="701"/>
      <c r="CU28" s="702"/>
      <c r="CV28" s="693"/>
      <c r="CW28" s="694"/>
      <c r="CX28" s="695"/>
      <c r="CY28" s="696"/>
      <c r="CZ28" s="697"/>
      <c r="DA28" s="698"/>
      <c r="DB28" s="699"/>
      <c r="DC28" s="700"/>
      <c r="DD28" s="701"/>
      <c r="DE28" s="700"/>
      <c r="DF28" s="701"/>
      <c r="DG28" s="700"/>
      <c r="DH28" s="701"/>
      <c r="DI28" s="702"/>
      <c r="DJ28" s="693"/>
      <c r="DK28" s="694"/>
      <c r="DL28" s="695"/>
      <c r="DM28" s="696"/>
      <c r="DN28" s="697"/>
      <c r="DO28" s="698"/>
      <c r="DP28" s="699"/>
      <c r="DQ28" s="700"/>
      <c r="DR28" s="701"/>
      <c r="DS28" s="700"/>
      <c r="DT28" s="701"/>
      <c r="DU28" s="700"/>
      <c r="DV28" s="701"/>
      <c r="DW28" s="702"/>
      <c r="DX28" s="693"/>
      <c r="DY28" s="694"/>
      <c r="DZ28" s="695"/>
      <c r="EA28" s="696"/>
      <c r="EB28" s="697"/>
      <c r="EC28" s="698"/>
      <c r="ED28" s="699"/>
      <c r="EE28" s="700"/>
      <c r="EF28" s="701"/>
      <c r="EG28" s="700"/>
      <c r="EH28" s="701"/>
      <c r="EI28" s="700"/>
      <c r="EJ28" s="701"/>
      <c r="EK28" s="702"/>
      <c r="EL28" s="693"/>
      <c r="EM28" s="694"/>
      <c r="EN28" s="695"/>
      <c r="EO28" s="696"/>
      <c r="EP28" s="697"/>
      <c r="EQ28" s="698"/>
      <c r="ER28" s="699"/>
      <c r="ES28" s="700"/>
      <c r="ET28" s="701"/>
      <c r="EU28" s="700"/>
      <c r="EV28" s="701"/>
      <c r="EW28" s="700"/>
      <c r="EX28" s="701"/>
      <c r="EY28" s="702"/>
      <c r="EZ28" s="693"/>
      <c r="FA28" s="694"/>
      <c r="FB28" s="695"/>
      <c r="FC28" s="696"/>
      <c r="FD28" s="697"/>
      <c r="FE28" s="698"/>
      <c r="FF28" s="699"/>
      <c r="FG28" s="700"/>
      <c r="FH28" s="701"/>
      <c r="FI28" s="700"/>
      <c r="FJ28" s="701"/>
      <c r="FK28" s="700"/>
      <c r="FL28" s="701"/>
      <c r="FM28" s="702"/>
      <c r="FN28" s="693"/>
      <c r="FO28" s="694"/>
      <c r="FP28" s="695"/>
      <c r="FQ28" s="696"/>
      <c r="FR28" s="697"/>
      <c r="FS28" s="698"/>
      <c r="FT28" s="699"/>
      <c r="FU28" s="700"/>
      <c r="FV28" s="701"/>
      <c r="FW28" s="700"/>
      <c r="FX28" s="701"/>
      <c r="FY28" s="700"/>
      <c r="FZ28" s="701"/>
      <c r="GA28" s="702"/>
      <c r="GB28" s="693"/>
      <c r="GC28" s="694"/>
      <c r="GD28" s="695"/>
      <c r="GE28" s="696"/>
      <c r="GF28" s="697"/>
      <c r="GG28" s="698"/>
      <c r="GH28" s="699"/>
      <c r="GI28" s="700"/>
      <c r="GJ28" s="701"/>
      <c r="GK28" s="700"/>
      <c r="GL28" s="701"/>
      <c r="GM28" s="700"/>
      <c r="GN28" s="701"/>
      <c r="GO28" s="702"/>
      <c r="GP28" s="693"/>
      <c r="GQ28" s="694"/>
      <c r="GR28" s="695"/>
      <c r="GS28" s="696"/>
      <c r="GT28" s="697"/>
      <c r="GU28" s="698"/>
      <c r="GV28" s="699"/>
      <c r="GW28" s="700"/>
      <c r="GX28" s="701"/>
      <c r="GY28" s="700"/>
      <c r="GZ28" s="701"/>
      <c r="HA28" s="700"/>
      <c r="HB28" s="701"/>
      <c r="HC28" s="702"/>
      <c r="HD28" s="693"/>
      <c r="HE28" s="694"/>
      <c r="HF28" s="695"/>
      <c r="HG28" s="696"/>
      <c r="HH28" s="697"/>
      <c r="HI28" s="693"/>
      <c r="HJ28" s="704"/>
      <c r="HK28" s="696"/>
      <c r="HL28" s="697"/>
      <c r="HM28" s="698"/>
      <c r="HN28" s="699"/>
      <c r="HO28" s="700"/>
      <c r="HP28" s="701"/>
      <c r="HQ28" s="700"/>
      <c r="HR28" s="701"/>
      <c r="HS28" s="700"/>
      <c r="HT28" s="701"/>
      <c r="HU28" s="702"/>
      <c r="HV28" s="693"/>
      <c r="HW28" s="694"/>
      <c r="HX28" s="695"/>
      <c r="HY28" s="696"/>
      <c r="HZ28" s="697"/>
      <c r="IA28" s="693"/>
      <c r="IB28" s="704"/>
      <c r="IC28" s="696"/>
      <c r="ID28" s="697"/>
      <c r="IE28" s="698"/>
      <c r="IF28" s="699"/>
      <c r="IG28" s="700"/>
      <c r="IH28" s="701"/>
      <c r="II28" s="700"/>
      <c r="IJ28" s="701"/>
      <c r="IK28" s="700"/>
      <c r="IL28" s="701"/>
      <c r="IM28" s="702"/>
      <c r="IN28" s="346"/>
    </row>
    <row r="29" spans="1:248" x14ac:dyDescent="0.25">
      <c r="A29" s="692">
        <f t="shared" si="0"/>
        <v>15</v>
      </c>
      <c r="B29" s="693" t="s">
        <v>312</v>
      </c>
      <c r="C29" s="694"/>
      <c r="D29" s="695">
        <v>0.8</v>
      </c>
      <c r="E29" s="696">
        <v>3.12</v>
      </c>
      <c r="F29" s="697">
        <v>1.8719999999999999</v>
      </c>
      <c r="G29" s="698"/>
      <c r="H29" s="699">
        <v>0</v>
      </c>
      <c r="I29" s="700">
        <v>17.307500536000951</v>
      </c>
      <c r="J29" s="701">
        <v>100</v>
      </c>
      <c r="K29" s="700">
        <v>7.5</v>
      </c>
      <c r="L29" s="701">
        <v>30.232991290963536</v>
      </c>
      <c r="M29" s="700">
        <v>13.331161368844947</v>
      </c>
      <c r="N29" s="701">
        <v>0</v>
      </c>
      <c r="O29" s="702">
        <v>0</v>
      </c>
      <c r="P29" s="693" t="s">
        <v>551</v>
      </c>
      <c r="Q29" s="694"/>
      <c r="R29" s="695">
        <v>0.99</v>
      </c>
      <c r="S29" s="696">
        <v>0</v>
      </c>
      <c r="T29" s="697">
        <v>0</v>
      </c>
      <c r="U29" s="698"/>
      <c r="V29" s="699">
        <v>0</v>
      </c>
      <c r="W29" s="700">
        <v>17.307500536000951</v>
      </c>
      <c r="X29" s="701">
        <v>100</v>
      </c>
      <c r="Y29" s="700">
        <v>7.5</v>
      </c>
      <c r="Z29" s="701">
        <v>30.232991290963536</v>
      </c>
      <c r="AA29" s="700">
        <v>13.331161368844947</v>
      </c>
      <c r="AB29" s="701">
        <v>0</v>
      </c>
      <c r="AC29" s="702">
        <v>0</v>
      </c>
      <c r="AD29" s="693"/>
      <c r="AE29" s="694"/>
      <c r="AF29" s="695"/>
      <c r="AG29" s="696"/>
      <c r="AH29" s="697"/>
      <c r="AI29" s="698"/>
      <c r="AJ29" s="699"/>
      <c r="AK29" s="700"/>
      <c r="AL29" s="701"/>
      <c r="AM29" s="700"/>
      <c r="AN29" s="701"/>
      <c r="AO29" s="700"/>
      <c r="AP29" s="701"/>
      <c r="AQ29" s="702"/>
      <c r="AR29" s="693"/>
      <c r="AS29" s="694"/>
      <c r="AT29" s="695"/>
      <c r="AU29" s="696"/>
      <c r="AV29" s="697"/>
      <c r="AW29" s="698"/>
      <c r="AX29" s="699"/>
      <c r="AY29" s="700"/>
      <c r="AZ29" s="701"/>
      <c r="BA29" s="700"/>
      <c r="BB29" s="701"/>
      <c r="BC29" s="700"/>
      <c r="BD29" s="701"/>
      <c r="BE29" s="702"/>
      <c r="BF29" s="693"/>
      <c r="BG29" s="694"/>
      <c r="BH29" s="695"/>
      <c r="BI29" s="696"/>
      <c r="BJ29" s="697"/>
      <c r="BK29" s="698"/>
      <c r="BL29" s="699"/>
      <c r="BM29" s="700"/>
      <c r="BN29" s="701"/>
      <c r="BO29" s="700"/>
      <c r="BP29" s="701"/>
      <c r="BQ29" s="700"/>
      <c r="BR29" s="701"/>
      <c r="BS29" s="702"/>
      <c r="BT29" s="693"/>
      <c r="BU29" s="694"/>
      <c r="BV29" s="695"/>
      <c r="BW29" s="696"/>
      <c r="BX29" s="697"/>
      <c r="BY29" s="698"/>
      <c r="BZ29" s="699"/>
      <c r="CA29" s="700"/>
      <c r="CB29" s="701"/>
      <c r="CC29" s="700"/>
      <c r="CD29" s="701"/>
      <c r="CE29" s="700"/>
      <c r="CF29" s="701"/>
      <c r="CG29" s="702"/>
      <c r="CH29" s="693"/>
      <c r="CI29" s="694"/>
      <c r="CJ29" s="695"/>
      <c r="CK29" s="696"/>
      <c r="CL29" s="697"/>
      <c r="CM29" s="698"/>
      <c r="CN29" s="699"/>
      <c r="CO29" s="700"/>
      <c r="CP29" s="701"/>
      <c r="CQ29" s="700"/>
      <c r="CR29" s="701"/>
      <c r="CS29" s="700"/>
      <c r="CT29" s="701"/>
      <c r="CU29" s="702"/>
      <c r="CV29" s="693"/>
      <c r="CW29" s="694"/>
      <c r="CX29" s="695"/>
      <c r="CY29" s="696"/>
      <c r="CZ29" s="697"/>
      <c r="DA29" s="698"/>
      <c r="DB29" s="699"/>
      <c r="DC29" s="700"/>
      <c r="DD29" s="701"/>
      <c r="DE29" s="700"/>
      <c r="DF29" s="701"/>
      <c r="DG29" s="700"/>
      <c r="DH29" s="701"/>
      <c r="DI29" s="702"/>
      <c r="DJ29" s="693"/>
      <c r="DK29" s="694"/>
      <c r="DL29" s="695"/>
      <c r="DM29" s="696"/>
      <c r="DN29" s="697"/>
      <c r="DO29" s="698"/>
      <c r="DP29" s="699"/>
      <c r="DQ29" s="700"/>
      <c r="DR29" s="701"/>
      <c r="DS29" s="700"/>
      <c r="DT29" s="701"/>
      <c r="DU29" s="700"/>
      <c r="DV29" s="701"/>
      <c r="DW29" s="702"/>
      <c r="DX29" s="693"/>
      <c r="DY29" s="694"/>
      <c r="DZ29" s="695"/>
      <c r="EA29" s="696"/>
      <c r="EB29" s="697"/>
      <c r="EC29" s="698"/>
      <c r="ED29" s="699"/>
      <c r="EE29" s="700"/>
      <c r="EF29" s="701"/>
      <c r="EG29" s="700"/>
      <c r="EH29" s="701"/>
      <c r="EI29" s="700"/>
      <c r="EJ29" s="701"/>
      <c r="EK29" s="702"/>
      <c r="EL29" s="693"/>
      <c r="EM29" s="694"/>
      <c r="EN29" s="695"/>
      <c r="EO29" s="696"/>
      <c r="EP29" s="697"/>
      <c r="EQ29" s="698"/>
      <c r="ER29" s="699"/>
      <c r="ES29" s="700"/>
      <c r="ET29" s="701"/>
      <c r="EU29" s="700"/>
      <c r="EV29" s="701"/>
      <c r="EW29" s="700"/>
      <c r="EX29" s="701"/>
      <c r="EY29" s="702"/>
      <c r="EZ29" s="693"/>
      <c r="FA29" s="694"/>
      <c r="FB29" s="695"/>
      <c r="FC29" s="696"/>
      <c r="FD29" s="697"/>
      <c r="FE29" s="698"/>
      <c r="FF29" s="699"/>
      <c r="FG29" s="700"/>
      <c r="FH29" s="701"/>
      <c r="FI29" s="700"/>
      <c r="FJ29" s="701"/>
      <c r="FK29" s="700"/>
      <c r="FL29" s="701"/>
      <c r="FM29" s="702"/>
      <c r="FN29" s="693"/>
      <c r="FO29" s="694"/>
      <c r="FP29" s="695"/>
      <c r="FQ29" s="696"/>
      <c r="FR29" s="697"/>
      <c r="FS29" s="698"/>
      <c r="FT29" s="699"/>
      <c r="FU29" s="700"/>
      <c r="FV29" s="701"/>
      <c r="FW29" s="700"/>
      <c r="FX29" s="701"/>
      <c r="FY29" s="700"/>
      <c r="FZ29" s="701"/>
      <c r="GA29" s="702"/>
      <c r="GB29" s="693"/>
      <c r="GC29" s="694"/>
      <c r="GD29" s="695"/>
      <c r="GE29" s="696"/>
      <c r="GF29" s="697"/>
      <c r="GG29" s="698"/>
      <c r="GH29" s="699"/>
      <c r="GI29" s="700"/>
      <c r="GJ29" s="701"/>
      <c r="GK29" s="700"/>
      <c r="GL29" s="701"/>
      <c r="GM29" s="700"/>
      <c r="GN29" s="701"/>
      <c r="GO29" s="702"/>
      <c r="GP29" s="693"/>
      <c r="GQ29" s="694"/>
      <c r="GR29" s="695"/>
      <c r="GS29" s="696"/>
      <c r="GT29" s="697"/>
      <c r="GU29" s="698"/>
      <c r="GV29" s="699"/>
      <c r="GW29" s="700"/>
      <c r="GX29" s="701"/>
      <c r="GY29" s="700"/>
      <c r="GZ29" s="701"/>
      <c r="HA29" s="700"/>
      <c r="HB29" s="701"/>
      <c r="HC29" s="702"/>
      <c r="HD29" s="693"/>
      <c r="HE29" s="694"/>
      <c r="HF29" s="695"/>
      <c r="HG29" s="696"/>
      <c r="HH29" s="697"/>
      <c r="HI29" s="693"/>
      <c r="HJ29" s="704"/>
      <c r="HK29" s="696"/>
      <c r="HL29" s="697"/>
      <c r="HM29" s="698"/>
      <c r="HN29" s="699"/>
      <c r="HO29" s="700"/>
      <c r="HP29" s="701"/>
      <c r="HQ29" s="700"/>
      <c r="HR29" s="701"/>
      <c r="HS29" s="700"/>
      <c r="HT29" s="701"/>
      <c r="HU29" s="702"/>
      <c r="HV29" s="693"/>
      <c r="HW29" s="694"/>
      <c r="HX29" s="695"/>
      <c r="HY29" s="696"/>
      <c r="HZ29" s="697"/>
      <c r="IA29" s="693"/>
      <c r="IB29" s="704"/>
      <c r="IC29" s="696"/>
      <c r="ID29" s="697"/>
      <c r="IE29" s="698"/>
      <c r="IF29" s="699"/>
      <c r="IG29" s="700"/>
      <c r="IH29" s="701"/>
      <c r="II29" s="700"/>
      <c r="IJ29" s="701"/>
      <c r="IK29" s="700"/>
      <c r="IL29" s="701"/>
      <c r="IM29" s="702"/>
      <c r="IN29" s="346"/>
    </row>
    <row r="30" spans="1:248" x14ac:dyDescent="0.25">
      <c r="A30" s="692">
        <f t="shared" si="0"/>
        <v>16</v>
      </c>
      <c r="B30" s="693" t="s">
        <v>309</v>
      </c>
      <c r="C30" s="694"/>
      <c r="D30" s="695">
        <v>0.8</v>
      </c>
      <c r="E30" s="696">
        <v>3.34</v>
      </c>
      <c r="F30" s="697">
        <v>1.67</v>
      </c>
      <c r="G30" s="698"/>
      <c r="H30" s="699">
        <v>0</v>
      </c>
      <c r="I30" s="700">
        <v>19.09945159140986</v>
      </c>
      <c r="J30" s="701">
        <v>100</v>
      </c>
      <c r="K30" s="700">
        <v>7.5</v>
      </c>
      <c r="L30" s="701">
        <v>40.629431907125252</v>
      </c>
      <c r="M30" s="700">
        <v>17.915445675409455</v>
      </c>
      <c r="N30" s="701">
        <v>0</v>
      </c>
      <c r="O30" s="702">
        <v>0</v>
      </c>
      <c r="P30" s="693" t="s">
        <v>551</v>
      </c>
      <c r="Q30" s="694"/>
      <c r="R30" s="695">
        <v>0.99</v>
      </c>
      <c r="S30" s="696">
        <v>0</v>
      </c>
      <c r="T30" s="697">
        <v>0</v>
      </c>
      <c r="U30" s="698"/>
      <c r="V30" s="699">
        <v>0</v>
      </c>
      <c r="W30" s="700">
        <v>19.09945159140986</v>
      </c>
      <c r="X30" s="701">
        <v>100</v>
      </c>
      <c r="Y30" s="700">
        <v>7.5</v>
      </c>
      <c r="Z30" s="701">
        <v>40.629431907125252</v>
      </c>
      <c r="AA30" s="700">
        <v>17.915445675409455</v>
      </c>
      <c r="AB30" s="701">
        <v>0</v>
      </c>
      <c r="AC30" s="702">
        <v>0</v>
      </c>
      <c r="AD30" s="693"/>
      <c r="AE30" s="694"/>
      <c r="AF30" s="695"/>
      <c r="AG30" s="696"/>
      <c r="AH30" s="697"/>
      <c r="AI30" s="698"/>
      <c r="AJ30" s="699"/>
      <c r="AK30" s="700"/>
      <c r="AL30" s="701"/>
      <c r="AM30" s="700"/>
      <c r="AN30" s="701"/>
      <c r="AO30" s="700"/>
      <c r="AP30" s="701"/>
      <c r="AQ30" s="702"/>
      <c r="AR30" s="693"/>
      <c r="AS30" s="694"/>
      <c r="AT30" s="695"/>
      <c r="AU30" s="696"/>
      <c r="AV30" s="697"/>
      <c r="AW30" s="698"/>
      <c r="AX30" s="699"/>
      <c r="AY30" s="700"/>
      <c r="AZ30" s="701"/>
      <c r="BA30" s="700"/>
      <c r="BB30" s="701"/>
      <c r="BC30" s="700"/>
      <c r="BD30" s="701"/>
      <c r="BE30" s="702"/>
      <c r="BF30" s="693"/>
      <c r="BG30" s="694"/>
      <c r="BH30" s="695"/>
      <c r="BI30" s="696"/>
      <c r="BJ30" s="697"/>
      <c r="BK30" s="698"/>
      <c r="BL30" s="699"/>
      <c r="BM30" s="700"/>
      <c r="BN30" s="701"/>
      <c r="BO30" s="700"/>
      <c r="BP30" s="701"/>
      <c r="BQ30" s="700"/>
      <c r="BR30" s="701"/>
      <c r="BS30" s="702"/>
      <c r="BT30" s="693"/>
      <c r="BU30" s="694"/>
      <c r="BV30" s="695"/>
      <c r="BW30" s="696"/>
      <c r="BX30" s="697"/>
      <c r="BY30" s="698"/>
      <c r="BZ30" s="699"/>
      <c r="CA30" s="700"/>
      <c r="CB30" s="701"/>
      <c r="CC30" s="700"/>
      <c r="CD30" s="701"/>
      <c r="CE30" s="700"/>
      <c r="CF30" s="701"/>
      <c r="CG30" s="702"/>
      <c r="CH30" s="693"/>
      <c r="CI30" s="694"/>
      <c r="CJ30" s="695"/>
      <c r="CK30" s="696"/>
      <c r="CL30" s="697"/>
      <c r="CM30" s="698"/>
      <c r="CN30" s="699"/>
      <c r="CO30" s="700"/>
      <c r="CP30" s="701"/>
      <c r="CQ30" s="700"/>
      <c r="CR30" s="701"/>
      <c r="CS30" s="700"/>
      <c r="CT30" s="701"/>
      <c r="CU30" s="702"/>
      <c r="CV30" s="693"/>
      <c r="CW30" s="694"/>
      <c r="CX30" s="695"/>
      <c r="CY30" s="696"/>
      <c r="CZ30" s="697"/>
      <c r="DA30" s="698"/>
      <c r="DB30" s="699"/>
      <c r="DC30" s="700"/>
      <c r="DD30" s="701"/>
      <c r="DE30" s="700"/>
      <c r="DF30" s="701"/>
      <c r="DG30" s="700"/>
      <c r="DH30" s="701"/>
      <c r="DI30" s="702"/>
      <c r="DJ30" s="693"/>
      <c r="DK30" s="694"/>
      <c r="DL30" s="695"/>
      <c r="DM30" s="696"/>
      <c r="DN30" s="697"/>
      <c r="DO30" s="698"/>
      <c r="DP30" s="699"/>
      <c r="DQ30" s="700"/>
      <c r="DR30" s="701"/>
      <c r="DS30" s="700"/>
      <c r="DT30" s="701"/>
      <c r="DU30" s="700"/>
      <c r="DV30" s="701"/>
      <c r="DW30" s="702"/>
      <c r="DX30" s="693"/>
      <c r="DY30" s="694"/>
      <c r="DZ30" s="695"/>
      <c r="EA30" s="696"/>
      <c r="EB30" s="697"/>
      <c r="EC30" s="698"/>
      <c r="ED30" s="699"/>
      <c r="EE30" s="700"/>
      <c r="EF30" s="701"/>
      <c r="EG30" s="700"/>
      <c r="EH30" s="701"/>
      <c r="EI30" s="700"/>
      <c r="EJ30" s="701"/>
      <c r="EK30" s="702"/>
      <c r="EL30" s="693"/>
      <c r="EM30" s="694"/>
      <c r="EN30" s="695"/>
      <c r="EO30" s="696"/>
      <c r="EP30" s="697"/>
      <c r="EQ30" s="698"/>
      <c r="ER30" s="699"/>
      <c r="ES30" s="700"/>
      <c r="ET30" s="701"/>
      <c r="EU30" s="700"/>
      <c r="EV30" s="701"/>
      <c r="EW30" s="700"/>
      <c r="EX30" s="701"/>
      <c r="EY30" s="702"/>
      <c r="EZ30" s="693"/>
      <c r="FA30" s="694"/>
      <c r="FB30" s="695"/>
      <c r="FC30" s="696"/>
      <c r="FD30" s="697"/>
      <c r="FE30" s="698"/>
      <c r="FF30" s="699"/>
      <c r="FG30" s="700"/>
      <c r="FH30" s="701"/>
      <c r="FI30" s="700"/>
      <c r="FJ30" s="701"/>
      <c r="FK30" s="700"/>
      <c r="FL30" s="701"/>
      <c r="FM30" s="702"/>
      <c r="FN30" s="693"/>
      <c r="FO30" s="694"/>
      <c r="FP30" s="695"/>
      <c r="FQ30" s="696"/>
      <c r="FR30" s="697"/>
      <c r="FS30" s="698"/>
      <c r="FT30" s="699"/>
      <c r="FU30" s="700"/>
      <c r="FV30" s="701"/>
      <c r="FW30" s="700"/>
      <c r="FX30" s="701"/>
      <c r="FY30" s="700"/>
      <c r="FZ30" s="701"/>
      <c r="GA30" s="702"/>
      <c r="GB30" s="693"/>
      <c r="GC30" s="694"/>
      <c r="GD30" s="695"/>
      <c r="GE30" s="696"/>
      <c r="GF30" s="697"/>
      <c r="GG30" s="698"/>
      <c r="GH30" s="699"/>
      <c r="GI30" s="700"/>
      <c r="GJ30" s="701"/>
      <c r="GK30" s="700"/>
      <c r="GL30" s="701"/>
      <c r="GM30" s="700"/>
      <c r="GN30" s="701"/>
      <c r="GO30" s="702"/>
      <c r="GP30" s="693"/>
      <c r="GQ30" s="694"/>
      <c r="GR30" s="695"/>
      <c r="GS30" s="696"/>
      <c r="GT30" s="697"/>
      <c r="GU30" s="698"/>
      <c r="GV30" s="699"/>
      <c r="GW30" s="700"/>
      <c r="GX30" s="701"/>
      <c r="GY30" s="700"/>
      <c r="GZ30" s="701"/>
      <c r="HA30" s="700"/>
      <c r="HB30" s="701"/>
      <c r="HC30" s="702"/>
      <c r="HD30" s="693"/>
      <c r="HE30" s="694"/>
      <c r="HF30" s="695"/>
      <c r="HG30" s="696"/>
      <c r="HH30" s="697"/>
      <c r="HI30" s="693"/>
      <c r="HJ30" s="704"/>
      <c r="HK30" s="696"/>
      <c r="HL30" s="697"/>
      <c r="HM30" s="698"/>
      <c r="HN30" s="699"/>
      <c r="HO30" s="700"/>
      <c r="HP30" s="701"/>
      <c r="HQ30" s="700"/>
      <c r="HR30" s="701"/>
      <c r="HS30" s="700"/>
      <c r="HT30" s="701"/>
      <c r="HU30" s="702"/>
      <c r="HV30" s="693"/>
      <c r="HW30" s="694"/>
      <c r="HX30" s="695"/>
      <c r="HY30" s="696"/>
      <c r="HZ30" s="697"/>
      <c r="IA30" s="693"/>
      <c r="IB30" s="704"/>
      <c r="IC30" s="696"/>
      <c r="ID30" s="697"/>
      <c r="IE30" s="698"/>
      <c r="IF30" s="699"/>
      <c r="IG30" s="700"/>
      <c r="IH30" s="701"/>
      <c r="II30" s="700"/>
      <c r="IJ30" s="701"/>
      <c r="IK30" s="700"/>
      <c r="IL30" s="701"/>
      <c r="IM30" s="702"/>
      <c r="IN30" s="346"/>
    </row>
    <row r="31" spans="1:248" x14ac:dyDescent="0.25">
      <c r="A31" s="692">
        <f t="shared" si="0"/>
        <v>17</v>
      </c>
      <c r="B31" s="693" t="s">
        <v>192</v>
      </c>
      <c r="C31" s="694"/>
      <c r="D31" s="695">
        <v>0.8</v>
      </c>
      <c r="E31" s="696">
        <v>6.82</v>
      </c>
      <c r="F31" s="697">
        <v>2.7280000000000002</v>
      </c>
      <c r="G31" s="698"/>
      <c r="H31" s="699">
        <v>0</v>
      </c>
      <c r="I31" s="700">
        <v>20.894585316533927</v>
      </c>
      <c r="J31" s="701">
        <v>100</v>
      </c>
      <c r="K31" s="700">
        <v>7.5</v>
      </c>
      <c r="L31" s="701">
        <v>53.196042808101986</v>
      </c>
      <c r="M31" s="700">
        <v>23.45666110355268</v>
      </c>
      <c r="N31" s="701">
        <v>0</v>
      </c>
      <c r="O31" s="702">
        <v>0</v>
      </c>
      <c r="P31" s="693" t="s">
        <v>551</v>
      </c>
      <c r="Q31" s="694"/>
      <c r="R31" s="695">
        <v>0.99</v>
      </c>
      <c r="S31" s="696">
        <v>0</v>
      </c>
      <c r="T31" s="697">
        <v>0</v>
      </c>
      <c r="U31" s="698"/>
      <c r="V31" s="699">
        <v>0</v>
      </c>
      <c r="W31" s="700">
        <v>20.894585316533927</v>
      </c>
      <c r="X31" s="701">
        <v>100</v>
      </c>
      <c r="Y31" s="700">
        <v>7.5</v>
      </c>
      <c r="Z31" s="701">
        <v>53.196042808101986</v>
      </c>
      <c r="AA31" s="700">
        <v>23.45666110355268</v>
      </c>
      <c r="AB31" s="701">
        <v>0</v>
      </c>
      <c r="AC31" s="702">
        <v>0</v>
      </c>
      <c r="AD31" s="693"/>
      <c r="AE31" s="694"/>
      <c r="AF31" s="695"/>
      <c r="AG31" s="696"/>
      <c r="AH31" s="697"/>
      <c r="AI31" s="698"/>
      <c r="AJ31" s="699"/>
      <c r="AK31" s="700"/>
      <c r="AL31" s="701"/>
      <c r="AM31" s="700"/>
      <c r="AN31" s="701"/>
      <c r="AO31" s="700"/>
      <c r="AP31" s="701"/>
      <c r="AQ31" s="702"/>
      <c r="AR31" s="693"/>
      <c r="AS31" s="694"/>
      <c r="AT31" s="695"/>
      <c r="AU31" s="696"/>
      <c r="AV31" s="697"/>
      <c r="AW31" s="698"/>
      <c r="AX31" s="699"/>
      <c r="AY31" s="700"/>
      <c r="AZ31" s="701"/>
      <c r="BA31" s="700"/>
      <c r="BB31" s="701"/>
      <c r="BC31" s="700"/>
      <c r="BD31" s="701"/>
      <c r="BE31" s="702"/>
      <c r="BF31" s="693"/>
      <c r="BG31" s="694"/>
      <c r="BH31" s="695"/>
      <c r="BI31" s="696"/>
      <c r="BJ31" s="697"/>
      <c r="BK31" s="698"/>
      <c r="BL31" s="699"/>
      <c r="BM31" s="700"/>
      <c r="BN31" s="701"/>
      <c r="BO31" s="700"/>
      <c r="BP31" s="701"/>
      <c r="BQ31" s="700"/>
      <c r="BR31" s="701"/>
      <c r="BS31" s="702"/>
      <c r="BT31" s="693"/>
      <c r="BU31" s="694"/>
      <c r="BV31" s="695"/>
      <c r="BW31" s="696"/>
      <c r="BX31" s="697"/>
      <c r="BY31" s="698"/>
      <c r="BZ31" s="699"/>
      <c r="CA31" s="700"/>
      <c r="CB31" s="701"/>
      <c r="CC31" s="700"/>
      <c r="CD31" s="701"/>
      <c r="CE31" s="700"/>
      <c r="CF31" s="701"/>
      <c r="CG31" s="702"/>
      <c r="CH31" s="693"/>
      <c r="CI31" s="694"/>
      <c r="CJ31" s="695"/>
      <c r="CK31" s="696"/>
      <c r="CL31" s="697"/>
      <c r="CM31" s="698"/>
      <c r="CN31" s="699"/>
      <c r="CO31" s="700"/>
      <c r="CP31" s="701"/>
      <c r="CQ31" s="700"/>
      <c r="CR31" s="701"/>
      <c r="CS31" s="700"/>
      <c r="CT31" s="701"/>
      <c r="CU31" s="702"/>
      <c r="CV31" s="693"/>
      <c r="CW31" s="694"/>
      <c r="CX31" s="695"/>
      <c r="CY31" s="696"/>
      <c r="CZ31" s="697"/>
      <c r="DA31" s="698"/>
      <c r="DB31" s="699"/>
      <c r="DC31" s="700"/>
      <c r="DD31" s="701"/>
      <c r="DE31" s="700"/>
      <c r="DF31" s="701"/>
      <c r="DG31" s="700"/>
      <c r="DH31" s="701"/>
      <c r="DI31" s="702"/>
      <c r="DJ31" s="693"/>
      <c r="DK31" s="694"/>
      <c r="DL31" s="695"/>
      <c r="DM31" s="696"/>
      <c r="DN31" s="697"/>
      <c r="DO31" s="698"/>
      <c r="DP31" s="699"/>
      <c r="DQ31" s="700"/>
      <c r="DR31" s="701"/>
      <c r="DS31" s="700"/>
      <c r="DT31" s="701"/>
      <c r="DU31" s="700"/>
      <c r="DV31" s="701"/>
      <c r="DW31" s="702"/>
      <c r="DX31" s="693"/>
      <c r="DY31" s="694"/>
      <c r="DZ31" s="695"/>
      <c r="EA31" s="696"/>
      <c r="EB31" s="697"/>
      <c r="EC31" s="698"/>
      <c r="ED31" s="699"/>
      <c r="EE31" s="700"/>
      <c r="EF31" s="701"/>
      <c r="EG31" s="700"/>
      <c r="EH31" s="701"/>
      <c r="EI31" s="700"/>
      <c r="EJ31" s="701"/>
      <c r="EK31" s="702"/>
      <c r="EL31" s="693"/>
      <c r="EM31" s="694"/>
      <c r="EN31" s="695"/>
      <c r="EO31" s="696"/>
      <c r="EP31" s="697"/>
      <c r="EQ31" s="698"/>
      <c r="ER31" s="699"/>
      <c r="ES31" s="700"/>
      <c r="ET31" s="701"/>
      <c r="EU31" s="700"/>
      <c r="EV31" s="701"/>
      <c r="EW31" s="700"/>
      <c r="EX31" s="701"/>
      <c r="EY31" s="702"/>
      <c r="EZ31" s="693"/>
      <c r="FA31" s="694"/>
      <c r="FB31" s="695"/>
      <c r="FC31" s="696"/>
      <c r="FD31" s="697"/>
      <c r="FE31" s="698"/>
      <c r="FF31" s="699"/>
      <c r="FG31" s="700"/>
      <c r="FH31" s="701"/>
      <c r="FI31" s="700"/>
      <c r="FJ31" s="701"/>
      <c r="FK31" s="700"/>
      <c r="FL31" s="701"/>
      <c r="FM31" s="702"/>
      <c r="FN31" s="693"/>
      <c r="FO31" s="694"/>
      <c r="FP31" s="695"/>
      <c r="FQ31" s="696"/>
      <c r="FR31" s="697"/>
      <c r="FS31" s="698"/>
      <c r="FT31" s="699"/>
      <c r="FU31" s="700"/>
      <c r="FV31" s="701"/>
      <c r="FW31" s="700"/>
      <c r="FX31" s="701"/>
      <c r="FY31" s="700"/>
      <c r="FZ31" s="701"/>
      <c r="GA31" s="702"/>
      <c r="GB31" s="693"/>
      <c r="GC31" s="694"/>
      <c r="GD31" s="695"/>
      <c r="GE31" s="696"/>
      <c r="GF31" s="697"/>
      <c r="GG31" s="698"/>
      <c r="GH31" s="699"/>
      <c r="GI31" s="700"/>
      <c r="GJ31" s="701"/>
      <c r="GK31" s="700"/>
      <c r="GL31" s="701"/>
      <c r="GM31" s="700"/>
      <c r="GN31" s="701"/>
      <c r="GO31" s="702"/>
      <c r="GP31" s="693"/>
      <c r="GQ31" s="694"/>
      <c r="GR31" s="695"/>
      <c r="GS31" s="696"/>
      <c r="GT31" s="697"/>
      <c r="GU31" s="698"/>
      <c r="GV31" s="699"/>
      <c r="GW31" s="700"/>
      <c r="GX31" s="701"/>
      <c r="GY31" s="700"/>
      <c r="GZ31" s="701"/>
      <c r="HA31" s="700"/>
      <c r="HB31" s="701"/>
      <c r="HC31" s="702"/>
      <c r="HD31" s="693"/>
      <c r="HE31" s="694"/>
      <c r="HF31" s="695"/>
      <c r="HG31" s="696"/>
      <c r="HH31" s="697"/>
      <c r="HI31" s="693"/>
      <c r="HJ31" s="704"/>
      <c r="HK31" s="696"/>
      <c r="HL31" s="697"/>
      <c r="HM31" s="698"/>
      <c r="HN31" s="699"/>
      <c r="HO31" s="700"/>
      <c r="HP31" s="701"/>
      <c r="HQ31" s="700"/>
      <c r="HR31" s="701"/>
      <c r="HS31" s="700"/>
      <c r="HT31" s="701"/>
      <c r="HU31" s="702"/>
      <c r="HV31" s="693"/>
      <c r="HW31" s="694"/>
      <c r="HX31" s="695"/>
      <c r="HY31" s="696"/>
      <c r="HZ31" s="697"/>
      <c r="IA31" s="693"/>
      <c r="IB31" s="704"/>
      <c r="IC31" s="696"/>
      <c r="ID31" s="697"/>
      <c r="IE31" s="698"/>
      <c r="IF31" s="699"/>
      <c r="IG31" s="700"/>
      <c r="IH31" s="701"/>
      <c r="II31" s="700"/>
      <c r="IJ31" s="701"/>
      <c r="IK31" s="700"/>
      <c r="IL31" s="701"/>
      <c r="IM31" s="702"/>
      <c r="IN31" s="346"/>
    </row>
    <row r="32" spans="1:248" x14ac:dyDescent="0.25">
      <c r="A32" s="692">
        <f t="shared" si="0"/>
        <v>18</v>
      </c>
      <c r="B32" s="693" t="s">
        <v>192</v>
      </c>
      <c r="C32" s="694"/>
      <c r="D32" s="695">
        <v>0.8</v>
      </c>
      <c r="E32" s="696">
        <v>4.4800000000000004</v>
      </c>
      <c r="F32" s="697">
        <v>1.7920000000000003</v>
      </c>
      <c r="G32" s="698"/>
      <c r="H32" s="699">
        <v>0</v>
      </c>
      <c r="I32" s="700">
        <v>22.326452250793562</v>
      </c>
      <c r="J32" s="701">
        <v>100</v>
      </c>
      <c r="K32" s="700">
        <v>7.5</v>
      </c>
      <c r="L32" s="701">
        <v>64.898881319576986</v>
      </c>
      <c r="M32" s="700">
        <v>28.616998271930647</v>
      </c>
      <c r="N32" s="701">
        <v>0</v>
      </c>
      <c r="O32" s="702">
        <v>0</v>
      </c>
      <c r="P32" s="693" t="s">
        <v>551</v>
      </c>
      <c r="Q32" s="694"/>
      <c r="R32" s="695">
        <v>0.99</v>
      </c>
      <c r="S32" s="696">
        <v>0</v>
      </c>
      <c r="T32" s="697">
        <v>0</v>
      </c>
      <c r="U32" s="698"/>
      <c r="V32" s="699">
        <v>0</v>
      </c>
      <c r="W32" s="700">
        <v>22.326452250793562</v>
      </c>
      <c r="X32" s="701">
        <v>100</v>
      </c>
      <c r="Y32" s="700">
        <v>7.5</v>
      </c>
      <c r="Z32" s="701">
        <v>64.898881319576986</v>
      </c>
      <c r="AA32" s="700">
        <v>28.616998271930647</v>
      </c>
      <c r="AB32" s="701">
        <v>0</v>
      </c>
      <c r="AC32" s="702">
        <v>0</v>
      </c>
      <c r="AD32" s="693"/>
      <c r="AE32" s="694"/>
      <c r="AF32" s="695"/>
      <c r="AG32" s="696"/>
      <c r="AH32" s="697"/>
      <c r="AI32" s="698"/>
      <c r="AJ32" s="699"/>
      <c r="AK32" s="700"/>
      <c r="AL32" s="701"/>
      <c r="AM32" s="700"/>
      <c r="AN32" s="701"/>
      <c r="AO32" s="700"/>
      <c r="AP32" s="701"/>
      <c r="AQ32" s="702"/>
      <c r="AR32" s="693"/>
      <c r="AS32" s="694"/>
      <c r="AT32" s="695"/>
      <c r="AU32" s="696"/>
      <c r="AV32" s="697"/>
      <c r="AW32" s="698"/>
      <c r="AX32" s="699"/>
      <c r="AY32" s="700"/>
      <c r="AZ32" s="701"/>
      <c r="BA32" s="700"/>
      <c r="BB32" s="701"/>
      <c r="BC32" s="700"/>
      <c r="BD32" s="701"/>
      <c r="BE32" s="702"/>
      <c r="BF32" s="693"/>
      <c r="BG32" s="694"/>
      <c r="BH32" s="695"/>
      <c r="BI32" s="696"/>
      <c r="BJ32" s="697"/>
      <c r="BK32" s="698"/>
      <c r="BL32" s="699"/>
      <c r="BM32" s="700"/>
      <c r="BN32" s="701"/>
      <c r="BO32" s="700"/>
      <c r="BP32" s="701"/>
      <c r="BQ32" s="700"/>
      <c r="BR32" s="701"/>
      <c r="BS32" s="702"/>
      <c r="BT32" s="693"/>
      <c r="BU32" s="694"/>
      <c r="BV32" s="695"/>
      <c r="BW32" s="696"/>
      <c r="BX32" s="697"/>
      <c r="BY32" s="698"/>
      <c r="BZ32" s="699"/>
      <c r="CA32" s="700"/>
      <c r="CB32" s="701"/>
      <c r="CC32" s="700"/>
      <c r="CD32" s="701"/>
      <c r="CE32" s="700"/>
      <c r="CF32" s="701"/>
      <c r="CG32" s="702"/>
      <c r="CH32" s="693"/>
      <c r="CI32" s="694"/>
      <c r="CJ32" s="695"/>
      <c r="CK32" s="696"/>
      <c r="CL32" s="697"/>
      <c r="CM32" s="698"/>
      <c r="CN32" s="699"/>
      <c r="CO32" s="700"/>
      <c r="CP32" s="701"/>
      <c r="CQ32" s="700"/>
      <c r="CR32" s="701"/>
      <c r="CS32" s="700"/>
      <c r="CT32" s="701"/>
      <c r="CU32" s="702"/>
      <c r="CV32" s="693"/>
      <c r="CW32" s="694"/>
      <c r="CX32" s="695"/>
      <c r="CY32" s="696"/>
      <c r="CZ32" s="697"/>
      <c r="DA32" s="698"/>
      <c r="DB32" s="699"/>
      <c r="DC32" s="700"/>
      <c r="DD32" s="701"/>
      <c r="DE32" s="700"/>
      <c r="DF32" s="701"/>
      <c r="DG32" s="700"/>
      <c r="DH32" s="701"/>
      <c r="DI32" s="702"/>
      <c r="DJ32" s="693"/>
      <c r="DK32" s="694"/>
      <c r="DL32" s="695"/>
      <c r="DM32" s="696"/>
      <c r="DN32" s="697"/>
      <c r="DO32" s="698"/>
      <c r="DP32" s="699"/>
      <c r="DQ32" s="700"/>
      <c r="DR32" s="701"/>
      <c r="DS32" s="700"/>
      <c r="DT32" s="701"/>
      <c r="DU32" s="700"/>
      <c r="DV32" s="701"/>
      <c r="DW32" s="702"/>
      <c r="DX32" s="693"/>
      <c r="DY32" s="694"/>
      <c r="DZ32" s="695"/>
      <c r="EA32" s="696"/>
      <c r="EB32" s="697"/>
      <c r="EC32" s="698"/>
      <c r="ED32" s="699"/>
      <c r="EE32" s="700"/>
      <c r="EF32" s="701"/>
      <c r="EG32" s="700"/>
      <c r="EH32" s="701"/>
      <c r="EI32" s="700"/>
      <c r="EJ32" s="701"/>
      <c r="EK32" s="702"/>
      <c r="EL32" s="693"/>
      <c r="EM32" s="694"/>
      <c r="EN32" s="695"/>
      <c r="EO32" s="696"/>
      <c r="EP32" s="697"/>
      <c r="EQ32" s="698"/>
      <c r="ER32" s="699"/>
      <c r="ES32" s="700"/>
      <c r="ET32" s="701"/>
      <c r="EU32" s="700"/>
      <c r="EV32" s="701"/>
      <c r="EW32" s="700"/>
      <c r="EX32" s="701"/>
      <c r="EY32" s="702"/>
      <c r="EZ32" s="693"/>
      <c r="FA32" s="694"/>
      <c r="FB32" s="695"/>
      <c r="FC32" s="696"/>
      <c r="FD32" s="697"/>
      <c r="FE32" s="698"/>
      <c r="FF32" s="699"/>
      <c r="FG32" s="700"/>
      <c r="FH32" s="701"/>
      <c r="FI32" s="700"/>
      <c r="FJ32" s="701"/>
      <c r="FK32" s="700"/>
      <c r="FL32" s="701"/>
      <c r="FM32" s="702"/>
      <c r="FN32" s="693"/>
      <c r="FO32" s="694"/>
      <c r="FP32" s="695"/>
      <c r="FQ32" s="696"/>
      <c r="FR32" s="697"/>
      <c r="FS32" s="698"/>
      <c r="FT32" s="699"/>
      <c r="FU32" s="700"/>
      <c r="FV32" s="701"/>
      <c r="FW32" s="700"/>
      <c r="FX32" s="701"/>
      <c r="FY32" s="700"/>
      <c r="FZ32" s="701"/>
      <c r="GA32" s="702"/>
      <c r="GB32" s="693"/>
      <c r="GC32" s="694"/>
      <c r="GD32" s="695"/>
      <c r="GE32" s="696"/>
      <c r="GF32" s="697"/>
      <c r="GG32" s="698"/>
      <c r="GH32" s="699"/>
      <c r="GI32" s="700"/>
      <c r="GJ32" s="701"/>
      <c r="GK32" s="700"/>
      <c r="GL32" s="701"/>
      <c r="GM32" s="700"/>
      <c r="GN32" s="701"/>
      <c r="GO32" s="702"/>
      <c r="GP32" s="693"/>
      <c r="GQ32" s="694"/>
      <c r="GR32" s="695"/>
      <c r="GS32" s="696"/>
      <c r="GT32" s="697"/>
      <c r="GU32" s="698"/>
      <c r="GV32" s="699"/>
      <c r="GW32" s="700"/>
      <c r="GX32" s="701"/>
      <c r="GY32" s="700"/>
      <c r="GZ32" s="701"/>
      <c r="HA32" s="700"/>
      <c r="HB32" s="701"/>
      <c r="HC32" s="702"/>
      <c r="HD32" s="693"/>
      <c r="HE32" s="694"/>
      <c r="HF32" s="695"/>
      <c r="HG32" s="696"/>
      <c r="HH32" s="697"/>
      <c r="HI32" s="693"/>
      <c r="HJ32" s="704"/>
      <c r="HK32" s="696"/>
      <c r="HL32" s="697"/>
      <c r="HM32" s="698"/>
      <c r="HN32" s="699"/>
      <c r="HO32" s="700"/>
      <c r="HP32" s="701"/>
      <c r="HQ32" s="700"/>
      <c r="HR32" s="701"/>
      <c r="HS32" s="700"/>
      <c r="HT32" s="701"/>
      <c r="HU32" s="702"/>
      <c r="HV32" s="693"/>
      <c r="HW32" s="694"/>
      <c r="HX32" s="695"/>
      <c r="HY32" s="696"/>
      <c r="HZ32" s="697"/>
      <c r="IA32" s="693"/>
      <c r="IB32" s="704"/>
      <c r="IC32" s="696"/>
      <c r="ID32" s="697"/>
      <c r="IE32" s="698"/>
      <c r="IF32" s="699"/>
      <c r="IG32" s="700"/>
      <c r="IH32" s="701"/>
      <c r="II32" s="700"/>
      <c r="IJ32" s="701"/>
      <c r="IK32" s="700"/>
      <c r="IL32" s="701"/>
      <c r="IM32" s="702"/>
      <c r="IN32" s="346"/>
    </row>
    <row r="33" spans="1:248" x14ac:dyDescent="0.25">
      <c r="A33" s="692">
        <f t="shared" si="0"/>
        <v>19</v>
      </c>
      <c r="B33" s="693" t="s">
        <v>312</v>
      </c>
      <c r="C33" s="694"/>
      <c r="D33" s="695">
        <v>0.8</v>
      </c>
      <c r="E33" s="696">
        <v>6.31</v>
      </c>
      <c r="F33" s="697">
        <v>3.7859999999999996</v>
      </c>
      <c r="G33" s="698"/>
      <c r="H33" s="699">
        <v>0</v>
      </c>
      <c r="I33" s="700">
        <v>23.614133271957773</v>
      </c>
      <c r="J33" s="701">
        <v>100</v>
      </c>
      <c r="K33" s="700">
        <v>7.5</v>
      </c>
      <c r="L33" s="701">
        <v>76.788129320326519</v>
      </c>
      <c r="M33" s="700">
        <v>33.859532235137358</v>
      </c>
      <c r="N33" s="701">
        <v>0</v>
      </c>
      <c r="O33" s="702">
        <v>0</v>
      </c>
      <c r="P33" s="693" t="s">
        <v>551</v>
      </c>
      <c r="Q33" s="694"/>
      <c r="R33" s="695">
        <v>0.99</v>
      </c>
      <c r="S33" s="696">
        <v>0</v>
      </c>
      <c r="T33" s="697">
        <v>0</v>
      </c>
      <c r="U33" s="698"/>
      <c r="V33" s="699">
        <v>0</v>
      </c>
      <c r="W33" s="700">
        <v>23.614133271957773</v>
      </c>
      <c r="X33" s="701">
        <v>100</v>
      </c>
      <c r="Y33" s="700">
        <v>7.5</v>
      </c>
      <c r="Z33" s="701">
        <v>76.788129320326519</v>
      </c>
      <c r="AA33" s="700">
        <v>33.859532235137358</v>
      </c>
      <c r="AB33" s="701">
        <v>0</v>
      </c>
      <c r="AC33" s="702">
        <v>0</v>
      </c>
      <c r="AD33" s="693"/>
      <c r="AE33" s="694"/>
      <c r="AF33" s="695"/>
      <c r="AG33" s="696"/>
      <c r="AH33" s="697"/>
      <c r="AI33" s="698"/>
      <c r="AJ33" s="699"/>
      <c r="AK33" s="700"/>
      <c r="AL33" s="701"/>
      <c r="AM33" s="700"/>
      <c r="AN33" s="701"/>
      <c r="AO33" s="700"/>
      <c r="AP33" s="701"/>
      <c r="AQ33" s="702"/>
      <c r="AR33" s="693"/>
      <c r="AS33" s="694"/>
      <c r="AT33" s="695"/>
      <c r="AU33" s="696"/>
      <c r="AV33" s="697"/>
      <c r="AW33" s="698"/>
      <c r="AX33" s="699"/>
      <c r="AY33" s="700"/>
      <c r="AZ33" s="701"/>
      <c r="BA33" s="700"/>
      <c r="BB33" s="701"/>
      <c r="BC33" s="700"/>
      <c r="BD33" s="701"/>
      <c r="BE33" s="702"/>
      <c r="BF33" s="693"/>
      <c r="BG33" s="694"/>
      <c r="BH33" s="695"/>
      <c r="BI33" s="696"/>
      <c r="BJ33" s="697"/>
      <c r="BK33" s="698"/>
      <c r="BL33" s="699"/>
      <c r="BM33" s="700"/>
      <c r="BN33" s="701"/>
      <c r="BO33" s="700"/>
      <c r="BP33" s="701"/>
      <c r="BQ33" s="700"/>
      <c r="BR33" s="701"/>
      <c r="BS33" s="702"/>
      <c r="BT33" s="693"/>
      <c r="BU33" s="694"/>
      <c r="BV33" s="695"/>
      <c r="BW33" s="696"/>
      <c r="BX33" s="697"/>
      <c r="BY33" s="698"/>
      <c r="BZ33" s="699"/>
      <c r="CA33" s="700"/>
      <c r="CB33" s="701"/>
      <c r="CC33" s="700"/>
      <c r="CD33" s="701"/>
      <c r="CE33" s="700"/>
      <c r="CF33" s="701"/>
      <c r="CG33" s="702"/>
      <c r="CH33" s="693"/>
      <c r="CI33" s="694"/>
      <c r="CJ33" s="695"/>
      <c r="CK33" s="696"/>
      <c r="CL33" s="697"/>
      <c r="CM33" s="698"/>
      <c r="CN33" s="699"/>
      <c r="CO33" s="700"/>
      <c r="CP33" s="701"/>
      <c r="CQ33" s="700"/>
      <c r="CR33" s="701"/>
      <c r="CS33" s="700"/>
      <c r="CT33" s="701"/>
      <c r="CU33" s="702"/>
      <c r="CV33" s="693"/>
      <c r="CW33" s="694"/>
      <c r="CX33" s="695"/>
      <c r="CY33" s="696"/>
      <c r="CZ33" s="697"/>
      <c r="DA33" s="698"/>
      <c r="DB33" s="699"/>
      <c r="DC33" s="700"/>
      <c r="DD33" s="701"/>
      <c r="DE33" s="700"/>
      <c r="DF33" s="701"/>
      <c r="DG33" s="700"/>
      <c r="DH33" s="701"/>
      <c r="DI33" s="702"/>
      <c r="DJ33" s="693"/>
      <c r="DK33" s="694"/>
      <c r="DL33" s="695"/>
      <c r="DM33" s="696"/>
      <c r="DN33" s="697"/>
      <c r="DO33" s="698"/>
      <c r="DP33" s="699"/>
      <c r="DQ33" s="700"/>
      <c r="DR33" s="701"/>
      <c r="DS33" s="700"/>
      <c r="DT33" s="701"/>
      <c r="DU33" s="700"/>
      <c r="DV33" s="701"/>
      <c r="DW33" s="702"/>
      <c r="DX33" s="693"/>
      <c r="DY33" s="694"/>
      <c r="DZ33" s="695"/>
      <c r="EA33" s="696"/>
      <c r="EB33" s="697"/>
      <c r="EC33" s="698"/>
      <c r="ED33" s="699"/>
      <c r="EE33" s="700"/>
      <c r="EF33" s="701"/>
      <c r="EG33" s="700"/>
      <c r="EH33" s="701"/>
      <c r="EI33" s="700"/>
      <c r="EJ33" s="701"/>
      <c r="EK33" s="702"/>
      <c r="EL33" s="693"/>
      <c r="EM33" s="694"/>
      <c r="EN33" s="695"/>
      <c r="EO33" s="696"/>
      <c r="EP33" s="697"/>
      <c r="EQ33" s="698"/>
      <c r="ER33" s="699"/>
      <c r="ES33" s="700"/>
      <c r="ET33" s="701"/>
      <c r="EU33" s="700"/>
      <c r="EV33" s="701"/>
      <c r="EW33" s="700"/>
      <c r="EX33" s="701"/>
      <c r="EY33" s="702"/>
      <c r="EZ33" s="693"/>
      <c r="FA33" s="694"/>
      <c r="FB33" s="695"/>
      <c r="FC33" s="696"/>
      <c r="FD33" s="697"/>
      <c r="FE33" s="698"/>
      <c r="FF33" s="699"/>
      <c r="FG33" s="700"/>
      <c r="FH33" s="701"/>
      <c r="FI33" s="700"/>
      <c r="FJ33" s="701"/>
      <c r="FK33" s="700"/>
      <c r="FL33" s="701"/>
      <c r="FM33" s="702"/>
      <c r="FN33" s="693"/>
      <c r="FO33" s="694"/>
      <c r="FP33" s="695"/>
      <c r="FQ33" s="696"/>
      <c r="FR33" s="697"/>
      <c r="FS33" s="698"/>
      <c r="FT33" s="699"/>
      <c r="FU33" s="700"/>
      <c r="FV33" s="701"/>
      <c r="FW33" s="700"/>
      <c r="FX33" s="701"/>
      <c r="FY33" s="700"/>
      <c r="FZ33" s="701"/>
      <c r="GA33" s="702"/>
      <c r="GB33" s="693"/>
      <c r="GC33" s="694"/>
      <c r="GD33" s="695"/>
      <c r="GE33" s="696"/>
      <c r="GF33" s="697"/>
      <c r="GG33" s="698"/>
      <c r="GH33" s="699"/>
      <c r="GI33" s="700"/>
      <c r="GJ33" s="701"/>
      <c r="GK33" s="700"/>
      <c r="GL33" s="701"/>
      <c r="GM33" s="700"/>
      <c r="GN33" s="701"/>
      <c r="GO33" s="702"/>
      <c r="GP33" s="693"/>
      <c r="GQ33" s="694"/>
      <c r="GR33" s="695"/>
      <c r="GS33" s="696"/>
      <c r="GT33" s="697"/>
      <c r="GU33" s="698"/>
      <c r="GV33" s="699"/>
      <c r="GW33" s="700"/>
      <c r="GX33" s="701"/>
      <c r="GY33" s="700"/>
      <c r="GZ33" s="701"/>
      <c r="HA33" s="700"/>
      <c r="HB33" s="701"/>
      <c r="HC33" s="702"/>
      <c r="HD33" s="693"/>
      <c r="HE33" s="694"/>
      <c r="HF33" s="695"/>
      <c r="HG33" s="696"/>
      <c r="HH33" s="697"/>
      <c r="HI33" s="693"/>
      <c r="HJ33" s="704"/>
      <c r="HK33" s="696"/>
      <c r="HL33" s="697"/>
      <c r="HM33" s="698"/>
      <c r="HN33" s="699"/>
      <c r="HO33" s="700"/>
      <c r="HP33" s="701"/>
      <c r="HQ33" s="700"/>
      <c r="HR33" s="701"/>
      <c r="HS33" s="700"/>
      <c r="HT33" s="701"/>
      <c r="HU33" s="702"/>
      <c r="HV33" s="693"/>
      <c r="HW33" s="694"/>
      <c r="HX33" s="695"/>
      <c r="HY33" s="696"/>
      <c r="HZ33" s="697"/>
      <c r="IA33" s="693"/>
      <c r="IB33" s="704"/>
      <c r="IC33" s="696"/>
      <c r="ID33" s="697"/>
      <c r="IE33" s="698"/>
      <c r="IF33" s="699"/>
      <c r="IG33" s="700"/>
      <c r="IH33" s="701"/>
      <c r="II33" s="700"/>
      <c r="IJ33" s="701"/>
      <c r="IK33" s="700"/>
      <c r="IL33" s="701"/>
      <c r="IM33" s="702"/>
      <c r="IN33" s="346"/>
    </row>
    <row r="34" spans="1:248" x14ac:dyDescent="0.25">
      <c r="A34" s="692">
        <f t="shared" si="0"/>
        <v>20</v>
      </c>
      <c r="B34" s="693" t="s">
        <v>309</v>
      </c>
      <c r="C34" s="694"/>
      <c r="D34" s="695">
        <v>0.8</v>
      </c>
      <c r="E34" s="696">
        <v>3.26</v>
      </c>
      <c r="F34" s="697">
        <v>1.63</v>
      </c>
      <c r="G34" s="698"/>
      <c r="H34" s="699">
        <v>0</v>
      </c>
      <c r="I34" s="700">
        <v>24.889538456459135</v>
      </c>
      <c r="J34" s="701">
        <v>100</v>
      </c>
      <c r="K34" s="700">
        <v>7.5</v>
      </c>
      <c r="L34" s="701">
        <v>89.914262732444683</v>
      </c>
      <c r="M34" s="700">
        <v>39.647467705427296</v>
      </c>
      <c r="N34" s="701">
        <v>0</v>
      </c>
      <c r="O34" s="702">
        <v>0</v>
      </c>
      <c r="P34" s="693" t="s">
        <v>551</v>
      </c>
      <c r="Q34" s="694"/>
      <c r="R34" s="695">
        <v>0.99</v>
      </c>
      <c r="S34" s="696">
        <v>0</v>
      </c>
      <c r="T34" s="697">
        <v>0</v>
      </c>
      <c r="U34" s="698"/>
      <c r="V34" s="699">
        <v>0</v>
      </c>
      <c r="W34" s="700">
        <v>24.889538456459135</v>
      </c>
      <c r="X34" s="701">
        <v>100</v>
      </c>
      <c r="Y34" s="700">
        <v>7.5</v>
      </c>
      <c r="Z34" s="701">
        <v>89.914262732444683</v>
      </c>
      <c r="AA34" s="700">
        <v>39.647467705427296</v>
      </c>
      <c r="AB34" s="701">
        <v>0</v>
      </c>
      <c r="AC34" s="702">
        <v>0</v>
      </c>
      <c r="AD34" s="693"/>
      <c r="AE34" s="694"/>
      <c r="AF34" s="695"/>
      <c r="AG34" s="696"/>
      <c r="AH34" s="697"/>
      <c r="AI34" s="698"/>
      <c r="AJ34" s="699"/>
      <c r="AK34" s="700"/>
      <c r="AL34" s="701"/>
      <c r="AM34" s="700"/>
      <c r="AN34" s="701"/>
      <c r="AO34" s="700"/>
      <c r="AP34" s="701"/>
      <c r="AQ34" s="702"/>
      <c r="AR34" s="693"/>
      <c r="AS34" s="694"/>
      <c r="AT34" s="695"/>
      <c r="AU34" s="696"/>
      <c r="AV34" s="697"/>
      <c r="AW34" s="698"/>
      <c r="AX34" s="699"/>
      <c r="AY34" s="700"/>
      <c r="AZ34" s="701"/>
      <c r="BA34" s="700"/>
      <c r="BB34" s="701"/>
      <c r="BC34" s="700"/>
      <c r="BD34" s="701"/>
      <c r="BE34" s="702"/>
      <c r="BF34" s="693"/>
      <c r="BG34" s="694"/>
      <c r="BH34" s="695"/>
      <c r="BI34" s="696"/>
      <c r="BJ34" s="697"/>
      <c r="BK34" s="698"/>
      <c r="BL34" s="699"/>
      <c r="BM34" s="700"/>
      <c r="BN34" s="701"/>
      <c r="BO34" s="700"/>
      <c r="BP34" s="701"/>
      <c r="BQ34" s="700"/>
      <c r="BR34" s="701"/>
      <c r="BS34" s="702"/>
      <c r="BT34" s="693"/>
      <c r="BU34" s="694"/>
      <c r="BV34" s="695"/>
      <c r="BW34" s="696"/>
      <c r="BX34" s="697"/>
      <c r="BY34" s="698"/>
      <c r="BZ34" s="699"/>
      <c r="CA34" s="700"/>
      <c r="CB34" s="701"/>
      <c r="CC34" s="700"/>
      <c r="CD34" s="701"/>
      <c r="CE34" s="700"/>
      <c r="CF34" s="701"/>
      <c r="CG34" s="702"/>
      <c r="CH34" s="693"/>
      <c r="CI34" s="694"/>
      <c r="CJ34" s="695"/>
      <c r="CK34" s="696"/>
      <c r="CL34" s="697"/>
      <c r="CM34" s="698"/>
      <c r="CN34" s="699"/>
      <c r="CO34" s="700"/>
      <c r="CP34" s="701"/>
      <c r="CQ34" s="700"/>
      <c r="CR34" s="701"/>
      <c r="CS34" s="700"/>
      <c r="CT34" s="701"/>
      <c r="CU34" s="702"/>
      <c r="CV34" s="693"/>
      <c r="CW34" s="694"/>
      <c r="CX34" s="695"/>
      <c r="CY34" s="696"/>
      <c r="CZ34" s="697"/>
      <c r="DA34" s="698"/>
      <c r="DB34" s="699"/>
      <c r="DC34" s="700"/>
      <c r="DD34" s="701"/>
      <c r="DE34" s="700"/>
      <c r="DF34" s="701"/>
      <c r="DG34" s="700"/>
      <c r="DH34" s="701"/>
      <c r="DI34" s="702"/>
      <c r="DJ34" s="693"/>
      <c r="DK34" s="694"/>
      <c r="DL34" s="695"/>
      <c r="DM34" s="696"/>
      <c r="DN34" s="697"/>
      <c r="DO34" s="698"/>
      <c r="DP34" s="699"/>
      <c r="DQ34" s="700"/>
      <c r="DR34" s="701"/>
      <c r="DS34" s="700"/>
      <c r="DT34" s="701"/>
      <c r="DU34" s="700"/>
      <c r="DV34" s="701"/>
      <c r="DW34" s="702"/>
      <c r="DX34" s="693"/>
      <c r="DY34" s="694"/>
      <c r="DZ34" s="695"/>
      <c r="EA34" s="696"/>
      <c r="EB34" s="697"/>
      <c r="EC34" s="698"/>
      <c r="ED34" s="699"/>
      <c r="EE34" s="700"/>
      <c r="EF34" s="701"/>
      <c r="EG34" s="700"/>
      <c r="EH34" s="701"/>
      <c r="EI34" s="700"/>
      <c r="EJ34" s="701"/>
      <c r="EK34" s="702"/>
      <c r="EL34" s="693"/>
      <c r="EM34" s="694"/>
      <c r="EN34" s="695"/>
      <c r="EO34" s="696"/>
      <c r="EP34" s="697"/>
      <c r="EQ34" s="698"/>
      <c r="ER34" s="699"/>
      <c r="ES34" s="700"/>
      <c r="ET34" s="701"/>
      <c r="EU34" s="700"/>
      <c r="EV34" s="701"/>
      <c r="EW34" s="700"/>
      <c r="EX34" s="701"/>
      <c r="EY34" s="702"/>
      <c r="EZ34" s="693"/>
      <c r="FA34" s="694"/>
      <c r="FB34" s="695"/>
      <c r="FC34" s="696"/>
      <c r="FD34" s="697"/>
      <c r="FE34" s="698"/>
      <c r="FF34" s="699"/>
      <c r="FG34" s="700"/>
      <c r="FH34" s="701"/>
      <c r="FI34" s="700"/>
      <c r="FJ34" s="701"/>
      <c r="FK34" s="700"/>
      <c r="FL34" s="701"/>
      <c r="FM34" s="702"/>
      <c r="FN34" s="693"/>
      <c r="FO34" s="694"/>
      <c r="FP34" s="695"/>
      <c r="FQ34" s="696"/>
      <c r="FR34" s="697"/>
      <c r="FS34" s="698"/>
      <c r="FT34" s="699"/>
      <c r="FU34" s="700"/>
      <c r="FV34" s="701"/>
      <c r="FW34" s="700"/>
      <c r="FX34" s="701"/>
      <c r="FY34" s="700"/>
      <c r="FZ34" s="701"/>
      <c r="GA34" s="702"/>
      <c r="GB34" s="693"/>
      <c r="GC34" s="694"/>
      <c r="GD34" s="695"/>
      <c r="GE34" s="696"/>
      <c r="GF34" s="697"/>
      <c r="GG34" s="698"/>
      <c r="GH34" s="699"/>
      <c r="GI34" s="700"/>
      <c r="GJ34" s="701"/>
      <c r="GK34" s="700"/>
      <c r="GL34" s="701"/>
      <c r="GM34" s="700"/>
      <c r="GN34" s="701"/>
      <c r="GO34" s="702"/>
      <c r="GP34" s="693"/>
      <c r="GQ34" s="694"/>
      <c r="GR34" s="695"/>
      <c r="GS34" s="696"/>
      <c r="GT34" s="697"/>
      <c r="GU34" s="698"/>
      <c r="GV34" s="699"/>
      <c r="GW34" s="700"/>
      <c r="GX34" s="701"/>
      <c r="GY34" s="700"/>
      <c r="GZ34" s="701"/>
      <c r="HA34" s="700"/>
      <c r="HB34" s="701"/>
      <c r="HC34" s="702"/>
      <c r="HD34" s="693"/>
      <c r="HE34" s="694"/>
      <c r="HF34" s="695"/>
      <c r="HG34" s="696"/>
      <c r="HH34" s="697"/>
      <c r="HI34" s="693"/>
      <c r="HJ34" s="704"/>
      <c r="HK34" s="696"/>
      <c r="HL34" s="697"/>
      <c r="HM34" s="698"/>
      <c r="HN34" s="699"/>
      <c r="HO34" s="700"/>
      <c r="HP34" s="701"/>
      <c r="HQ34" s="700"/>
      <c r="HR34" s="701"/>
      <c r="HS34" s="700"/>
      <c r="HT34" s="701"/>
      <c r="HU34" s="702"/>
      <c r="HV34" s="693"/>
      <c r="HW34" s="694"/>
      <c r="HX34" s="695"/>
      <c r="HY34" s="696"/>
      <c r="HZ34" s="697"/>
      <c r="IA34" s="693"/>
      <c r="IB34" s="704"/>
      <c r="IC34" s="696"/>
      <c r="ID34" s="697"/>
      <c r="IE34" s="698"/>
      <c r="IF34" s="699"/>
      <c r="IG34" s="700"/>
      <c r="IH34" s="701"/>
      <c r="II34" s="700"/>
      <c r="IJ34" s="701"/>
      <c r="IK34" s="700"/>
      <c r="IL34" s="701"/>
      <c r="IM34" s="702"/>
      <c r="IN34" s="346"/>
    </row>
    <row r="35" spans="1:248" x14ac:dyDescent="0.25">
      <c r="A35" s="692">
        <f t="shared" si="0"/>
        <v>21</v>
      </c>
      <c r="B35" s="693" t="s">
        <v>192</v>
      </c>
      <c r="C35" s="694"/>
      <c r="D35" s="695">
        <v>0.8</v>
      </c>
      <c r="E35" s="696">
        <v>5.26</v>
      </c>
      <c r="F35" s="697">
        <v>2.1040000000000001</v>
      </c>
      <c r="G35" s="698"/>
      <c r="H35" s="699">
        <v>0</v>
      </c>
      <c r="I35" s="700">
        <v>25.999911879858779</v>
      </c>
      <c r="J35" s="701">
        <v>100</v>
      </c>
      <c r="K35" s="700">
        <v>7.5</v>
      </c>
      <c r="L35" s="701">
        <v>102.49287743146732</v>
      </c>
      <c r="M35" s="700">
        <v>45.193976178087645</v>
      </c>
      <c r="N35" s="701">
        <v>0</v>
      </c>
      <c r="O35" s="702">
        <v>0</v>
      </c>
      <c r="P35" s="693" t="s">
        <v>551</v>
      </c>
      <c r="Q35" s="694"/>
      <c r="R35" s="695">
        <v>0.99</v>
      </c>
      <c r="S35" s="696">
        <v>0</v>
      </c>
      <c r="T35" s="697">
        <v>0</v>
      </c>
      <c r="U35" s="698"/>
      <c r="V35" s="699">
        <v>0</v>
      </c>
      <c r="W35" s="700">
        <v>25.999911879858779</v>
      </c>
      <c r="X35" s="701">
        <v>100</v>
      </c>
      <c r="Y35" s="700">
        <v>7.5</v>
      </c>
      <c r="Z35" s="701">
        <v>102.49287743146732</v>
      </c>
      <c r="AA35" s="700">
        <v>45.193976178087645</v>
      </c>
      <c r="AB35" s="701">
        <v>0</v>
      </c>
      <c r="AC35" s="702">
        <v>0</v>
      </c>
      <c r="AD35" s="693"/>
      <c r="AE35" s="694"/>
      <c r="AF35" s="695"/>
      <c r="AG35" s="696"/>
      <c r="AH35" s="697"/>
      <c r="AI35" s="698"/>
      <c r="AJ35" s="699"/>
      <c r="AK35" s="700"/>
      <c r="AL35" s="701"/>
      <c r="AM35" s="700"/>
      <c r="AN35" s="701"/>
      <c r="AO35" s="700"/>
      <c r="AP35" s="701"/>
      <c r="AQ35" s="702"/>
      <c r="AR35" s="693"/>
      <c r="AS35" s="694"/>
      <c r="AT35" s="695"/>
      <c r="AU35" s="696"/>
      <c r="AV35" s="697"/>
      <c r="AW35" s="698"/>
      <c r="AX35" s="699"/>
      <c r="AY35" s="700"/>
      <c r="AZ35" s="701"/>
      <c r="BA35" s="700"/>
      <c r="BB35" s="701"/>
      <c r="BC35" s="700"/>
      <c r="BD35" s="701"/>
      <c r="BE35" s="702"/>
      <c r="BF35" s="693"/>
      <c r="BG35" s="694"/>
      <c r="BH35" s="695"/>
      <c r="BI35" s="696"/>
      <c r="BJ35" s="697"/>
      <c r="BK35" s="698"/>
      <c r="BL35" s="699"/>
      <c r="BM35" s="700"/>
      <c r="BN35" s="701"/>
      <c r="BO35" s="700"/>
      <c r="BP35" s="701"/>
      <c r="BQ35" s="700"/>
      <c r="BR35" s="701"/>
      <c r="BS35" s="702"/>
      <c r="BT35" s="693"/>
      <c r="BU35" s="694"/>
      <c r="BV35" s="695"/>
      <c r="BW35" s="696"/>
      <c r="BX35" s="697"/>
      <c r="BY35" s="698"/>
      <c r="BZ35" s="699"/>
      <c r="CA35" s="700"/>
      <c r="CB35" s="701"/>
      <c r="CC35" s="700"/>
      <c r="CD35" s="701"/>
      <c r="CE35" s="700"/>
      <c r="CF35" s="701"/>
      <c r="CG35" s="702"/>
      <c r="CH35" s="693"/>
      <c r="CI35" s="694"/>
      <c r="CJ35" s="695"/>
      <c r="CK35" s="696"/>
      <c r="CL35" s="697"/>
      <c r="CM35" s="698"/>
      <c r="CN35" s="699"/>
      <c r="CO35" s="700"/>
      <c r="CP35" s="701"/>
      <c r="CQ35" s="700"/>
      <c r="CR35" s="701"/>
      <c r="CS35" s="700"/>
      <c r="CT35" s="701"/>
      <c r="CU35" s="702"/>
      <c r="CV35" s="693"/>
      <c r="CW35" s="694"/>
      <c r="CX35" s="695"/>
      <c r="CY35" s="696"/>
      <c r="CZ35" s="697"/>
      <c r="DA35" s="698"/>
      <c r="DB35" s="699"/>
      <c r="DC35" s="700"/>
      <c r="DD35" s="701"/>
      <c r="DE35" s="700"/>
      <c r="DF35" s="701"/>
      <c r="DG35" s="700"/>
      <c r="DH35" s="701"/>
      <c r="DI35" s="702"/>
      <c r="DJ35" s="693"/>
      <c r="DK35" s="694"/>
      <c r="DL35" s="695"/>
      <c r="DM35" s="696"/>
      <c r="DN35" s="697"/>
      <c r="DO35" s="698"/>
      <c r="DP35" s="699"/>
      <c r="DQ35" s="700"/>
      <c r="DR35" s="701"/>
      <c r="DS35" s="700"/>
      <c r="DT35" s="701"/>
      <c r="DU35" s="700"/>
      <c r="DV35" s="701"/>
      <c r="DW35" s="702"/>
      <c r="DX35" s="693"/>
      <c r="DY35" s="694"/>
      <c r="DZ35" s="695"/>
      <c r="EA35" s="696"/>
      <c r="EB35" s="697"/>
      <c r="EC35" s="698"/>
      <c r="ED35" s="699"/>
      <c r="EE35" s="700"/>
      <c r="EF35" s="701"/>
      <c r="EG35" s="700"/>
      <c r="EH35" s="701"/>
      <c r="EI35" s="700"/>
      <c r="EJ35" s="701"/>
      <c r="EK35" s="702"/>
      <c r="EL35" s="693"/>
      <c r="EM35" s="694"/>
      <c r="EN35" s="695"/>
      <c r="EO35" s="696"/>
      <c r="EP35" s="697"/>
      <c r="EQ35" s="698"/>
      <c r="ER35" s="699"/>
      <c r="ES35" s="700"/>
      <c r="ET35" s="701"/>
      <c r="EU35" s="700"/>
      <c r="EV35" s="701"/>
      <c r="EW35" s="700"/>
      <c r="EX35" s="701"/>
      <c r="EY35" s="702"/>
      <c r="EZ35" s="693"/>
      <c r="FA35" s="694"/>
      <c r="FB35" s="695"/>
      <c r="FC35" s="696"/>
      <c r="FD35" s="697"/>
      <c r="FE35" s="698"/>
      <c r="FF35" s="699"/>
      <c r="FG35" s="700"/>
      <c r="FH35" s="701"/>
      <c r="FI35" s="700"/>
      <c r="FJ35" s="701"/>
      <c r="FK35" s="700"/>
      <c r="FL35" s="701"/>
      <c r="FM35" s="702"/>
      <c r="FN35" s="693"/>
      <c r="FO35" s="694"/>
      <c r="FP35" s="695"/>
      <c r="FQ35" s="696"/>
      <c r="FR35" s="697"/>
      <c r="FS35" s="698"/>
      <c r="FT35" s="699"/>
      <c r="FU35" s="700"/>
      <c r="FV35" s="701"/>
      <c r="FW35" s="700"/>
      <c r="FX35" s="701"/>
      <c r="FY35" s="700"/>
      <c r="FZ35" s="701"/>
      <c r="GA35" s="702"/>
      <c r="GB35" s="693"/>
      <c r="GC35" s="694"/>
      <c r="GD35" s="695"/>
      <c r="GE35" s="696"/>
      <c r="GF35" s="697"/>
      <c r="GG35" s="698"/>
      <c r="GH35" s="699"/>
      <c r="GI35" s="700"/>
      <c r="GJ35" s="701"/>
      <c r="GK35" s="700"/>
      <c r="GL35" s="701"/>
      <c r="GM35" s="700"/>
      <c r="GN35" s="701"/>
      <c r="GO35" s="702"/>
      <c r="GP35" s="693"/>
      <c r="GQ35" s="694"/>
      <c r="GR35" s="695"/>
      <c r="GS35" s="696"/>
      <c r="GT35" s="697"/>
      <c r="GU35" s="698"/>
      <c r="GV35" s="699"/>
      <c r="GW35" s="700"/>
      <c r="GX35" s="701"/>
      <c r="GY35" s="700"/>
      <c r="GZ35" s="701"/>
      <c r="HA35" s="700"/>
      <c r="HB35" s="701"/>
      <c r="HC35" s="702"/>
      <c r="HD35" s="693"/>
      <c r="HE35" s="694"/>
      <c r="HF35" s="695"/>
      <c r="HG35" s="696"/>
      <c r="HH35" s="697"/>
      <c r="HI35" s="693"/>
      <c r="HJ35" s="704"/>
      <c r="HK35" s="696"/>
      <c r="HL35" s="697"/>
      <c r="HM35" s="698"/>
      <c r="HN35" s="699"/>
      <c r="HO35" s="700"/>
      <c r="HP35" s="701"/>
      <c r="HQ35" s="700"/>
      <c r="HR35" s="701"/>
      <c r="HS35" s="700"/>
      <c r="HT35" s="701"/>
      <c r="HU35" s="702"/>
      <c r="HV35" s="693"/>
      <c r="HW35" s="694"/>
      <c r="HX35" s="695"/>
      <c r="HY35" s="696"/>
      <c r="HZ35" s="697"/>
      <c r="IA35" s="693"/>
      <c r="IB35" s="704"/>
      <c r="IC35" s="696"/>
      <c r="ID35" s="697"/>
      <c r="IE35" s="698"/>
      <c r="IF35" s="699"/>
      <c r="IG35" s="700"/>
      <c r="IH35" s="701"/>
      <c r="II35" s="700"/>
      <c r="IJ35" s="701"/>
      <c r="IK35" s="700"/>
      <c r="IL35" s="701"/>
      <c r="IM35" s="702"/>
      <c r="IN35" s="346"/>
    </row>
    <row r="36" spans="1:248" x14ac:dyDescent="0.25">
      <c r="A36" s="692">
        <f t="shared" si="0"/>
        <v>22</v>
      </c>
      <c r="B36" s="693" t="s">
        <v>192</v>
      </c>
      <c r="C36" s="694"/>
      <c r="D36" s="695">
        <v>0.8</v>
      </c>
      <c r="E36" s="696">
        <v>5.43</v>
      </c>
      <c r="F36" s="697">
        <v>2.1720000000000002</v>
      </c>
      <c r="G36" s="698"/>
      <c r="H36" s="699">
        <v>0</v>
      </c>
      <c r="I36" s="700">
        <v>27.010276587145121</v>
      </c>
      <c r="J36" s="701">
        <v>100</v>
      </c>
      <c r="K36" s="700">
        <v>7.5</v>
      </c>
      <c r="L36" s="701">
        <v>114.91193876244324</v>
      </c>
      <c r="M36" s="700">
        <v>50.670129994938293</v>
      </c>
      <c r="N36" s="701">
        <v>0</v>
      </c>
      <c r="O36" s="702">
        <v>0</v>
      </c>
      <c r="P36" s="693" t="s">
        <v>551</v>
      </c>
      <c r="Q36" s="694"/>
      <c r="R36" s="695">
        <v>0.99</v>
      </c>
      <c r="S36" s="696">
        <v>0</v>
      </c>
      <c r="T36" s="697">
        <v>0</v>
      </c>
      <c r="U36" s="698"/>
      <c r="V36" s="699">
        <v>0</v>
      </c>
      <c r="W36" s="700">
        <v>27.010276587145121</v>
      </c>
      <c r="X36" s="701">
        <v>100</v>
      </c>
      <c r="Y36" s="700">
        <v>7.5</v>
      </c>
      <c r="Z36" s="701">
        <v>114.91193876244324</v>
      </c>
      <c r="AA36" s="700">
        <v>50.670129994938293</v>
      </c>
      <c r="AB36" s="701">
        <v>0</v>
      </c>
      <c r="AC36" s="702">
        <v>0</v>
      </c>
      <c r="AD36" s="693"/>
      <c r="AE36" s="694"/>
      <c r="AF36" s="695"/>
      <c r="AG36" s="696"/>
      <c r="AH36" s="697"/>
      <c r="AI36" s="698"/>
      <c r="AJ36" s="699"/>
      <c r="AK36" s="700"/>
      <c r="AL36" s="701"/>
      <c r="AM36" s="700"/>
      <c r="AN36" s="701"/>
      <c r="AO36" s="700"/>
      <c r="AP36" s="701"/>
      <c r="AQ36" s="702"/>
      <c r="AR36" s="693"/>
      <c r="AS36" s="694"/>
      <c r="AT36" s="695"/>
      <c r="AU36" s="696"/>
      <c r="AV36" s="697"/>
      <c r="AW36" s="698"/>
      <c r="AX36" s="699"/>
      <c r="AY36" s="700"/>
      <c r="AZ36" s="701"/>
      <c r="BA36" s="700"/>
      <c r="BB36" s="701"/>
      <c r="BC36" s="700"/>
      <c r="BD36" s="701"/>
      <c r="BE36" s="702"/>
      <c r="BF36" s="693"/>
      <c r="BG36" s="694"/>
      <c r="BH36" s="695"/>
      <c r="BI36" s="696"/>
      <c r="BJ36" s="697"/>
      <c r="BK36" s="698"/>
      <c r="BL36" s="699"/>
      <c r="BM36" s="700"/>
      <c r="BN36" s="701"/>
      <c r="BO36" s="700"/>
      <c r="BP36" s="701"/>
      <c r="BQ36" s="700"/>
      <c r="BR36" s="701"/>
      <c r="BS36" s="702"/>
      <c r="BT36" s="693"/>
      <c r="BU36" s="694"/>
      <c r="BV36" s="695"/>
      <c r="BW36" s="696"/>
      <c r="BX36" s="697"/>
      <c r="BY36" s="698"/>
      <c r="BZ36" s="699"/>
      <c r="CA36" s="700"/>
      <c r="CB36" s="701"/>
      <c r="CC36" s="700"/>
      <c r="CD36" s="701"/>
      <c r="CE36" s="700"/>
      <c r="CF36" s="701"/>
      <c r="CG36" s="702"/>
      <c r="CH36" s="693"/>
      <c r="CI36" s="694"/>
      <c r="CJ36" s="695"/>
      <c r="CK36" s="696"/>
      <c r="CL36" s="697"/>
      <c r="CM36" s="698"/>
      <c r="CN36" s="699"/>
      <c r="CO36" s="700"/>
      <c r="CP36" s="701"/>
      <c r="CQ36" s="700"/>
      <c r="CR36" s="701"/>
      <c r="CS36" s="700"/>
      <c r="CT36" s="701"/>
      <c r="CU36" s="702"/>
      <c r="CV36" s="693"/>
      <c r="CW36" s="694"/>
      <c r="CX36" s="695"/>
      <c r="CY36" s="696"/>
      <c r="CZ36" s="697"/>
      <c r="DA36" s="698"/>
      <c r="DB36" s="699"/>
      <c r="DC36" s="700"/>
      <c r="DD36" s="701"/>
      <c r="DE36" s="700"/>
      <c r="DF36" s="701"/>
      <c r="DG36" s="700"/>
      <c r="DH36" s="701"/>
      <c r="DI36" s="702"/>
      <c r="DJ36" s="693"/>
      <c r="DK36" s="694"/>
      <c r="DL36" s="695"/>
      <c r="DM36" s="696"/>
      <c r="DN36" s="697"/>
      <c r="DO36" s="698"/>
      <c r="DP36" s="699"/>
      <c r="DQ36" s="700"/>
      <c r="DR36" s="701"/>
      <c r="DS36" s="700"/>
      <c r="DT36" s="701"/>
      <c r="DU36" s="700"/>
      <c r="DV36" s="701"/>
      <c r="DW36" s="702"/>
      <c r="DX36" s="693"/>
      <c r="DY36" s="694"/>
      <c r="DZ36" s="695"/>
      <c r="EA36" s="696"/>
      <c r="EB36" s="697"/>
      <c r="EC36" s="698"/>
      <c r="ED36" s="699"/>
      <c r="EE36" s="700"/>
      <c r="EF36" s="701"/>
      <c r="EG36" s="700"/>
      <c r="EH36" s="701"/>
      <c r="EI36" s="700"/>
      <c r="EJ36" s="701"/>
      <c r="EK36" s="702"/>
      <c r="EL36" s="693"/>
      <c r="EM36" s="694"/>
      <c r="EN36" s="695"/>
      <c r="EO36" s="696"/>
      <c r="EP36" s="697"/>
      <c r="EQ36" s="698"/>
      <c r="ER36" s="699"/>
      <c r="ES36" s="700"/>
      <c r="ET36" s="701"/>
      <c r="EU36" s="700"/>
      <c r="EV36" s="701"/>
      <c r="EW36" s="700"/>
      <c r="EX36" s="701"/>
      <c r="EY36" s="702"/>
      <c r="EZ36" s="693"/>
      <c r="FA36" s="694"/>
      <c r="FB36" s="695"/>
      <c r="FC36" s="696"/>
      <c r="FD36" s="697"/>
      <c r="FE36" s="698"/>
      <c r="FF36" s="699"/>
      <c r="FG36" s="700"/>
      <c r="FH36" s="701"/>
      <c r="FI36" s="700"/>
      <c r="FJ36" s="701"/>
      <c r="FK36" s="700"/>
      <c r="FL36" s="701"/>
      <c r="FM36" s="702"/>
      <c r="FN36" s="693"/>
      <c r="FO36" s="694"/>
      <c r="FP36" s="695"/>
      <c r="FQ36" s="696"/>
      <c r="FR36" s="697"/>
      <c r="FS36" s="698"/>
      <c r="FT36" s="699"/>
      <c r="FU36" s="700"/>
      <c r="FV36" s="701"/>
      <c r="FW36" s="700"/>
      <c r="FX36" s="701"/>
      <c r="FY36" s="700"/>
      <c r="FZ36" s="701"/>
      <c r="GA36" s="702"/>
      <c r="GB36" s="693"/>
      <c r="GC36" s="694"/>
      <c r="GD36" s="695"/>
      <c r="GE36" s="696"/>
      <c r="GF36" s="697"/>
      <c r="GG36" s="698"/>
      <c r="GH36" s="699"/>
      <c r="GI36" s="700"/>
      <c r="GJ36" s="701"/>
      <c r="GK36" s="700"/>
      <c r="GL36" s="701"/>
      <c r="GM36" s="700"/>
      <c r="GN36" s="701"/>
      <c r="GO36" s="702"/>
      <c r="GP36" s="693"/>
      <c r="GQ36" s="694"/>
      <c r="GR36" s="695"/>
      <c r="GS36" s="696"/>
      <c r="GT36" s="697"/>
      <c r="GU36" s="698"/>
      <c r="GV36" s="699"/>
      <c r="GW36" s="700"/>
      <c r="GX36" s="701"/>
      <c r="GY36" s="700"/>
      <c r="GZ36" s="701"/>
      <c r="HA36" s="700"/>
      <c r="HB36" s="701"/>
      <c r="HC36" s="702"/>
      <c r="HD36" s="693"/>
      <c r="HE36" s="694"/>
      <c r="HF36" s="695"/>
      <c r="HG36" s="696"/>
      <c r="HH36" s="697"/>
      <c r="HI36" s="693"/>
      <c r="HJ36" s="704"/>
      <c r="HK36" s="696"/>
      <c r="HL36" s="697"/>
      <c r="HM36" s="698"/>
      <c r="HN36" s="699"/>
      <c r="HO36" s="700"/>
      <c r="HP36" s="701"/>
      <c r="HQ36" s="700"/>
      <c r="HR36" s="701"/>
      <c r="HS36" s="700"/>
      <c r="HT36" s="701"/>
      <c r="HU36" s="702"/>
      <c r="HV36" s="693"/>
      <c r="HW36" s="694"/>
      <c r="HX36" s="695"/>
      <c r="HY36" s="696"/>
      <c r="HZ36" s="697"/>
      <c r="IA36" s="693"/>
      <c r="IB36" s="704"/>
      <c r="IC36" s="696"/>
      <c r="ID36" s="697"/>
      <c r="IE36" s="698"/>
      <c r="IF36" s="699"/>
      <c r="IG36" s="700"/>
      <c r="IH36" s="701"/>
      <c r="II36" s="700"/>
      <c r="IJ36" s="701"/>
      <c r="IK36" s="700"/>
      <c r="IL36" s="701"/>
      <c r="IM36" s="702"/>
      <c r="IN36" s="346"/>
    </row>
    <row r="37" spans="1:248" x14ac:dyDescent="0.25">
      <c r="A37" s="692">
        <f t="shared" si="0"/>
        <v>23</v>
      </c>
      <c r="B37" s="693" t="s">
        <v>312</v>
      </c>
      <c r="C37" s="694"/>
      <c r="D37" s="695">
        <v>0.8</v>
      </c>
      <c r="E37" s="696">
        <v>1.48</v>
      </c>
      <c r="F37" s="697">
        <v>0.88800000000000001</v>
      </c>
      <c r="G37" s="698"/>
      <c r="H37" s="699">
        <v>0</v>
      </c>
      <c r="I37" s="700">
        <v>27.968130289986959</v>
      </c>
      <c r="J37" s="701">
        <v>100</v>
      </c>
      <c r="K37" s="700">
        <v>7.5</v>
      </c>
      <c r="L37" s="701">
        <v>127.57581755454304</v>
      </c>
      <c r="M37" s="700">
        <v>56.254235454705892</v>
      </c>
      <c r="N37" s="701">
        <v>0</v>
      </c>
      <c r="O37" s="702">
        <v>0</v>
      </c>
      <c r="P37" s="693" t="s">
        <v>551</v>
      </c>
      <c r="Q37" s="694"/>
      <c r="R37" s="695">
        <v>0.99</v>
      </c>
      <c r="S37" s="696">
        <v>0</v>
      </c>
      <c r="T37" s="697">
        <v>0</v>
      </c>
      <c r="U37" s="698"/>
      <c r="V37" s="699">
        <v>0</v>
      </c>
      <c r="W37" s="700">
        <v>27.968130289986959</v>
      </c>
      <c r="X37" s="701">
        <v>100</v>
      </c>
      <c r="Y37" s="700">
        <v>7.5</v>
      </c>
      <c r="Z37" s="701">
        <v>127.57581755454304</v>
      </c>
      <c r="AA37" s="700">
        <v>56.254235454705892</v>
      </c>
      <c r="AB37" s="701">
        <v>0</v>
      </c>
      <c r="AC37" s="702">
        <v>0</v>
      </c>
      <c r="AD37" s="693"/>
      <c r="AE37" s="694"/>
      <c r="AF37" s="695"/>
      <c r="AG37" s="696"/>
      <c r="AH37" s="697"/>
      <c r="AI37" s="698"/>
      <c r="AJ37" s="699"/>
      <c r="AK37" s="700"/>
      <c r="AL37" s="701"/>
      <c r="AM37" s="700"/>
      <c r="AN37" s="701"/>
      <c r="AO37" s="700"/>
      <c r="AP37" s="701"/>
      <c r="AQ37" s="702"/>
      <c r="AR37" s="693"/>
      <c r="AS37" s="694"/>
      <c r="AT37" s="695"/>
      <c r="AU37" s="696"/>
      <c r="AV37" s="697"/>
      <c r="AW37" s="698"/>
      <c r="AX37" s="699"/>
      <c r="AY37" s="700"/>
      <c r="AZ37" s="701"/>
      <c r="BA37" s="700"/>
      <c r="BB37" s="701"/>
      <c r="BC37" s="700"/>
      <c r="BD37" s="701"/>
      <c r="BE37" s="702"/>
      <c r="BF37" s="693"/>
      <c r="BG37" s="694"/>
      <c r="BH37" s="695"/>
      <c r="BI37" s="696"/>
      <c r="BJ37" s="697"/>
      <c r="BK37" s="698"/>
      <c r="BL37" s="699"/>
      <c r="BM37" s="700"/>
      <c r="BN37" s="701"/>
      <c r="BO37" s="700"/>
      <c r="BP37" s="701"/>
      <c r="BQ37" s="700"/>
      <c r="BR37" s="701"/>
      <c r="BS37" s="702"/>
      <c r="BT37" s="693"/>
      <c r="BU37" s="694"/>
      <c r="BV37" s="695"/>
      <c r="BW37" s="696"/>
      <c r="BX37" s="697"/>
      <c r="BY37" s="698"/>
      <c r="BZ37" s="699"/>
      <c r="CA37" s="700"/>
      <c r="CB37" s="701"/>
      <c r="CC37" s="700"/>
      <c r="CD37" s="701"/>
      <c r="CE37" s="700"/>
      <c r="CF37" s="701"/>
      <c r="CG37" s="702"/>
      <c r="CH37" s="693"/>
      <c r="CI37" s="694"/>
      <c r="CJ37" s="695"/>
      <c r="CK37" s="696"/>
      <c r="CL37" s="697"/>
      <c r="CM37" s="698"/>
      <c r="CN37" s="699"/>
      <c r="CO37" s="700"/>
      <c r="CP37" s="701"/>
      <c r="CQ37" s="700"/>
      <c r="CR37" s="701"/>
      <c r="CS37" s="700"/>
      <c r="CT37" s="701"/>
      <c r="CU37" s="702"/>
      <c r="CV37" s="693"/>
      <c r="CW37" s="694"/>
      <c r="CX37" s="695"/>
      <c r="CY37" s="696"/>
      <c r="CZ37" s="697"/>
      <c r="DA37" s="698"/>
      <c r="DB37" s="699"/>
      <c r="DC37" s="700"/>
      <c r="DD37" s="701"/>
      <c r="DE37" s="700"/>
      <c r="DF37" s="701"/>
      <c r="DG37" s="700"/>
      <c r="DH37" s="701"/>
      <c r="DI37" s="702"/>
      <c r="DJ37" s="693"/>
      <c r="DK37" s="694"/>
      <c r="DL37" s="695"/>
      <c r="DM37" s="696"/>
      <c r="DN37" s="697"/>
      <c r="DO37" s="698"/>
      <c r="DP37" s="699"/>
      <c r="DQ37" s="700"/>
      <c r="DR37" s="701"/>
      <c r="DS37" s="700"/>
      <c r="DT37" s="701"/>
      <c r="DU37" s="700"/>
      <c r="DV37" s="701"/>
      <c r="DW37" s="702"/>
      <c r="DX37" s="693"/>
      <c r="DY37" s="694"/>
      <c r="DZ37" s="695"/>
      <c r="EA37" s="696"/>
      <c r="EB37" s="697"/>
      <c r="EC37" s="698"/>
      <c r="ED37" s="699"/>
      <c r="EE37" s="700"/>
      <c r="EF37" s="701"/>
      <c r="EG37" s="700"/>
      <c r="EH37" s="701"/>
      <c r="EI37" s="700"/>
      <c r="EJ37" s="701"/>
      <c r="EK37" s="702"/>
      <c r="EL37" s="693"/>
      <c r="EM37" s="694"/>
      <c r="EN37" s="695"/>
      <c r="EO37" s="696"/>
      <c r="EP37" s="697"/>
      <c r="EQ37" s="698"/>
      <c r="ER37" s="699"/>
      <c r="ES37" s="700"/>
      <c r="ET37" s="701"/>
      <c r="EU37" s="700"/>
      <c r="EV37" s="701"/>
      <c r="EW37" s="700"/>
      <c r="EX37" s="701"/>
      <c r="EY37" s="702"/>
      <c r="EZ37" s="693"/>
      <c r="FA37" s="694"/>
      <c r="FB37" s="695"/>
      <c r="FC37" s="696"/>
      <c r="FD37" s="697"/>
      <c r="FE37" s="698"/>
      <c r="FF37" s="699"/>
      <c r="FG37" s="700"/>
      <c r="FH37" s="701"/>
      <c r="FI37" s="700"/>
      <c r="FJ37" s="701"/>
      <c r="FK37" s="700"/>
      <c r="FL37" s="701"/>
      <c r="FM37" s="702"/>
      <c r="FN37" s="693"/>
      <c r="FO37" s="694"/>
      <c r="FP37" s="695"/>
      <c r="FQ37" s="696"/>
      <c r="FR37" s="697"/>
      <c r="FS37" s="698"/>
      <c r="FT37" s="699"/>
      <c r="FU37" s="700"/>
      <c r="FV37" s="701"/>
      <c r="FW37" s="700"/>
      <c r="FX37" s="701"/>
      <c r="FY37" s="700"/>
      <c r="FZ37" s="701"/>
      <c r="GA37" s="702"/>
      <c r="GB37" s="693"/>
      <c r="GC37" s="694"/>
      <c r="GD37" s="695"/>
      <c r="GE37" s="696"/>
      <c r="GF37" s="697"/>
      <c r="GG37" s="698"/>
      <c r="GH37" s="699"/>
      <c r="GI37" s="700"/>
      <c r="GJ37" s="701"/>
      <c r="GK37" s="700"/>
      <c r="GL37" s="701"/>
      <c r="GM37" s="700"/>
      <c r="GN37" s="701"/>
      <c r="GO37" s="702"/>
      <c r="GP37" s="693"/>
      <c r="GQ37" s="694"/>
      <c r="GR37" s="695"/>
      <c r="GS37" s="696"/>
      <c r="GT37" s="697"/>
      <c r="GU37" s="698"/>
      <c r="GV37" s="699"/>
      <c r="GW37" s="700"/>
      <c r="GX37" s="701"/>
      <c r="GY37" s="700"/>
      <c r="GZ37" s="701"/>
      <c r="HA37" s="700"/>
      <c r="HB37" s="701"/>
      <c r="HC37" s="702"/>
      <c r="HD37" s="693"/>
      <c r="HE37" s="694"/>
      <c r="HF37" s="695"/>
      <c r="HG37" s="696"/>
      <c r="HH37" s="697"/>
      <c r="HI37" s="693"/>
      <c r="HJ37" s="704"/>
      <c r="HK37" s="696"/>
      <c r="HL37" s="697"/>
      <c r="HM37" s="698"/>
      <c r="HN37" s="699"/>
      <c r="HO37" s="700"/>
      <c r="HP37" s="701"/>
      <c r="HQ37" s="700"/>
      <c r="HR37" s="701"/>
      <c r="HS37" s="700"/>
      <c r="HT37" s="701"/>
      <c r="HU37" s="702"/>
      <c r="HV37" s="693"/>
      <c r="HW37" s="694"/>
      <c r="HX37" s="695"/>
      <c r="HY37" s="696"/>
      <c r="HZ37" s="697"/>
      <c r="IA37" s="693"/>
      <c r="IB37" s="704"/>
      <c r="IC37" s="696"/>
      <c r="ID37" s="697"/>
      <c r="IE37" s="698"/>
      <c r="IF37" s="699"/>
      <c r="IG37" s="700"/>
      <c r="IH37" s="701"/>
      <c r="II37" s="700"/>
      <c r="IJ37" s="701"/>
      <c r="IK37" s="700"/>
      <c r="IL37" s="701"/>
      <c r="IM37" s="702"/>
      <c r="IN37" s="346"/>
    </row>
    <row r="38" spans="1:248" x14ac:dyDescent="0.25">
      <c r="A38" s="692">
        <f t="shared" si="0"/>
        <v>24</v>
      </c>
      <c r="B38" s="693" t="s">
        <v>309</v>
      </c>
      <c r="C38" s="694"/>
      <c r="D38" s="695">
        <v>0.8</v>
      </c>
      <c r="E38" s="696">
        <v>2.93</v>
      </c>
      <c r="F38" s="697">
        <v>1.4650000000000001</v>
      </c>
      <c r="G38" s="698"/>
      <c r="H38" s="699">
        <v>0</v>
      </c>
      <c r="I38" s="700">
        <v>28.969086452927897</v>
      </c>
      <c r="J38" s="701">
        <v>100</v>
      </c>
      <c r="K38" s="700">
        <v>7.5</v>
      </c>
      <c r="L38" s="701">
        <v>141.76938561836587</v>
      </c>
      <c r="M38" s="700">
        <v>62.512853546362003</v>
      </c>
      <c r="N38" s="701">
        <v>0</v>
      </c>
      <c r="O38" s="702">
        <v>0</v>
      </c>
      <c r="P38" s="693" t="s">
        <v>551</v>
      </c>
      <c r="Q38" s="694"/>
      <c r="R38" s="695">
        <v>0.99</v>
      </c>
      <c r="S38" s="696">
        <v>0</v>
      </c>
      <c r="T38" s="697">
        <v>0</v>
      </c>
      <c r="U38" s="698"/>
      <c r="V38" s="699">
        <v>0</v>
      </c>
      <c r="W38" s="700">
        <v>28.969086452927897</v>
      </c>
      <c r="X38" s="701">
        <v>100</v>
      </c>
      <c r="Y38" s="700">
        <v>7.5</v>
      </c>
      <c r="Z38" s="701">
        <v>141.76938561836587</v>
      </c>
      <c r="AA38" s="700">
        <v>62.512853546362003</v>
      </c>
      <c r="AB38" s="701">
        <v>0</v>
      </c>
      <c r="AC38" s="702">
        <v>0</v>
      </c>
      <c r="AD38" s="693"/>
      <c r="AE38" s="694"/>
      <c r="AF38" s="695"/>
      <c r="AG38" s="696"/>
      <c r="AH38" s="697"/>
      <c r="AI38" s="698"/>
      <c r="AJ38" s="699"/>
      <c r="AK38" s="700"/>
      <c r="AL38" s="701"/>
      <c r="AM38" s="700"/>
      <c r="AN38" s="701"/>
      <c r="AO38" s="700"/>
      <c r="AP38" s="701"/>
      <c r="AQ38" s="702"/>
      <c r="AR38" s="693"/>
      <c r="AS38" s="694"/>
      <c r="AT38" s="695"/>
      <c r="AU38" s="696"/>
      <c r="AV38" s="697"/>
      <c r="AW38" s="698"/>
      <c r="AX38" s="699"/>
      <c r="AY38" s="700"/>
      <c r="AZ38" s="701"/>
      <c r="BA38" s="700"/>
      <c r="BB38" s="701"/>
      <c r="BC38" s="700"/>
      <c r="BD38" s="701"/>
      <c r="BE38" s="702"/>
      <c r="BF38" s="693"/>
      <c r="BG38" s="694"/>
      <c r="BH38" s="695"/>
      <c r="BI38" s="696"/>
      <c r="BJ38" s="697"/>
      <c r="BK38" s="698"/>
      <c r="BL38" s="699"/>
      <c r="BM38" s="700"/>
      <c r="BN38" s="701"/>
      <c r="BO38" s="700"/>
      <c r="BP38" s="701"/>
      <c r="BQ38" s="700"/>
      <c r="BR38" s="701"/>
      <c r="BS38" s="702"/>
      <c r="BT38" s="693"/>
      <c r="BU38" s="694"/>
      <c r="BV38" s="695"/>
      <c r="BW38" s="696"/>
      <c r="BX38" s="697"/>
      <c r="BY38" s="698"/>
      <c r="BZ38" s="699"/>
      <c r="CA38" s="700"/>
      <c r="CB38" s="701"/>
      <c r="CC38" s="700"/>
      <c r="CD38" s="701"/>
      <c r="CE38" s="700"/>
      <c r="CF38" s="701"/>
      <c r="CG38" s="702"/>
      <c r="CH38" s="693"/>
      <c r="CI38" s="694"/>
      <c r="CJ38" s="695"/>
      <c r="CK38" s="696"/>
      <c r="CL38" s="697"/>
      <c r="CM38" s="698"/>
      <c r="CN38" s="699"/>
      <c r="CO38" s="700"/>
      <c r="CP38" s="701"/>
      <c r="CQ38" s="700"/>
      <c r="CR38" s="701"/>
      <c r="CS38" s="700"/>
      <c r="CT38" s="701"/>
      <c r="CU38" s="702"/>
      <c r="CV38" s="693"/>
      <c r="CW38" s="694"/>
      <c r="CX38" s="695"/>
      <c r="CY38" s="696"/>
      <c r="CZ38" s="697"/>
      <c r="DA38" s="698"/>
      <c r="DB38" s="699"/>
      <c r="DC38" s="700"/>
      <c r="DD38" s="701"/>
      <c r="DE38" s="700"/>
      <c r="DF38" s="701"/>
      <c r="DG38" s="700"/>
      <c r="DH38" s="701"/>
      <c r="DI38" s="702"/>
      <c r="DJ38" s="693"/>
      <c r="DK38" s="694"/>
      <c r="DL38" s="695"/>
      <c r="DM38" s="696"/>
      <c r="DN38" s="697"/>
      <c r="DO38" s="698"/>
      <c r="DP38" s="699"/>
      <c r="DQ38" s="700"/>
      <c r="DR38" s="701"/>
      <c r="DS38" s="700"/>
      <c r="DT38" s="701"/>
      <c r="DU38" s="700"/>
      <c r="DV38" s="701"/>
      <c r="DW38" s="702"/>
      <c r="DX38" s="693"/>
      <c r="DY38" s="694"/>
      <c r="DZ38" s="695"/>
      <c r="EA38" s="696"/>
      <c r="EB38" s="697"/>
      <c r="EC38" s="698"/>
      <c r="ED38" s="699"/>
      <c r="EE38" s="700"/>
      <c r="EF38" s="701"/>
      <c r="EG38" s="700"/>
      <c r="EH38" s="701"/>
      <c r="EI38" s="700"/>
      <c r="EJ38" s="701"/>
      <c r="EK38" s="702"/>
      <c r="EL38" s="693"/>
      <c r="EM38" s="694"/>
      <c r="EN38" s="695"/>
      <c r="EO38" s="696"/>
      <c r="EP38" s="697"/>
      <c r="EQ38" s="698"/>
      <c r="ER38" s="699"/>
      <c r="ES38" s="700"/>
      <c r="ET38" s="701"/>
      <c r="EU38" s="700"/>
      <c r="EV38" s="701"/>
      <c r="EW38" s="700"/>
      <c r="EX38" s="701"/>
      <c r="EY38" s="702"/>
      <c r="EZ38" s="693"/>
      <c r="FA38" s="694"/>
      <c r="FB38" s="695"/>
      <c r="FC38" s="696"/>
      <c r="FD38" s="697"/>
      <c r="FE38" s="698"/>
      <c r="FF38" s="699"/>
      <c r="FG38" s="700"/>
      <c r="FH38" s="701"/>
      <c r="FI38" s="700"/>
      <c r="FJ38" s="701"/>
      <c r="FK38" s="700"/>
      <c r="FL38" s="701"/>
      <c r="FM38" s="702"/>
      <c r="FN38" s="693"/>
      <c r="FO38" s="694"/>
      <c r="FP38" s="695"/>
      <c r="FQ38" s="696"/>
      <c r="FR38" s="697"/>
      <c r="FS38" s="698"/>
      <c r="FT38" s="699"/>
      <c r="FU38" s="700"/>
      <c r="FV38" s="701"/>
      <c r="FW38" s="700"/>
      <c r="FX38" s="701"/>
      <c r="FY38" s="700"/>
      <c r="FZ38" s="701"/>
      <c r="GA38" s="702"/>
      <c r="GB38" s="693"/>
      <c r="GC38" s="694"/>
      <c r="GD38" s="695"/>
      <c r="GE38" s="696"/>
      <c r="GF38" s="697"/>
      <c r="GG38" s="698"/>
      <c r="GH38" s="699"/>
      <c r="GI38" s="700"/>
      <c r="GJ38" s="701"/>
      <c r="GK38" s="700"/>
      <c r="GL38" s="701"/>
      <c r="GM38" s="700"/>
      <c r="GN38" s="701"/>
      <c r="GO38" s="702"/>
      <c r="GP38" s="693"/>
      <c r="GQ38" s="694"/>
      <c r="GR38" s="695"/>
      <c r="GS38" s="696"/>
      <c r="GT38" s="697"/>
      <c r="GU38" s="698"/>
      <c r="GV38" s="699"/>
      <c r="GW38" s="700"/>
      <c r="GX38" s="701"/>
      <c r="GY38" s="700"/>
      <c r="GZ38" s="701"/>
      <c r="HA38" s="700"/>
      <c r="HB38" s="701"/>
      <c r="HC38" s="702"/>
      <c r="HD38" s="693"/>
      <c r="HE38" s="694"/>
      <c r="HF38" s="695"/>
      <c r="HG38" s="696"/>
      <c r="HH38" s="697"/>
      <c r="HI38" s="693"/>
      <c r="HJ38" s="704"/>
      <c r="HK38" s="696"/>
      <c r="HL38" s="697"/>
      <c r="HM38" s="698"/>
      <c r="HN38" s="699"/>
      <c r="HO38" s="700"/>
      <c r="HP38" s="701"/>
      <c r="HQ38" s="700"/>
      <c r="HR38" s="701"/>
      <c r="HS38" s="700"/>
      <c r="HT38" s="701"/>
      <c r="HU38" s="702"/>
      <c r="HV38" s="693"/>
      <c r="HW38" s="694"/>
      <c r="HX38" s="695"/>
      <c r="HY38" s="696"/>
      <c r="HZ38" s="697"/>
      <c r="IA38" s="693"/>
      <c r="IB38" s="704"/>
      <c r="IC38" s="696"/>
      <c r="ID38" s="697"/>
      <c r="IE38" s="698"/>
      <c r="IF38" s="699"/>
      <c r="IG38" s="700"/>
      <c r="IH38" s="701"/>
      <c r="II38" s="700"/>
      <c r="IJ38" s="701"/>
      <c r="IK38" s="700"/>
      <c r="IL38" s="701"/>
      <c r="IM38" s="702"/>
      <c r="IN38" s="346"/>
    </row>
    <row r="39" spans="1:248" x14ac:dyDescent="0.25">
      <c r="A39" s="692">
        <f t="shared" si="0"/>
        <v>25</v>
      </c>
      <c r="B39" s="693" t="s">
        <v>192</v>
      </c>
      <c r="C39" s="694"/>
      <c r="D39" s="695">
        <v>0.8</v>
      </c>
      <c r="E39" s="696">
        <v>6.17</v>
      </c>
      <c r="F39" s="697">
        <v>2.468</v>
      </c>
      <c r="G39" s="698"/>
      <c r="H39" s="699">
        <v>0</v>
      </c>
      <c r="I39" s="700">
        <v>29.87023370886768</v>
      </c>
      <c r="J39" s="701">
        <v>100</v>
      </c>
      <c r="K39" s="700">
        <v>7.5</v>
      </c>
      <c r="L39" s="701">
        <v>155.41535313027694</v>
      </c>
      <c r="M39" s="700">
        <v>68.530008553768624</v>
      </c>
      <c r="N39" s="701">
        <v>0</v>
      </c>
      <c r="O39" s="702">
        <v>0</v>
      </c>
      <c r="P39" s="693" t="s">
        <v>551</v>
      </c>
      <c r="Q39" s="694"/>
      <c r="R39" s="695">
        <v>0.99</v>
      </c>
      <c r="S39" s="696">
        <v>0</v>
      </c>
      <c r="T39" s="697">
        <v>0</v>
      </c>
      <c r="U39" s="698"/>
      <c r="V39" s="699">
        <v>0</v>
      </c>
      <c r="W39" s="700">
        <v>29.87023370886768</v>
      </c>
      <c r="X39" s="701">
        <v>100</v>
      </c>
      <c r="Y39" s="700">
        <v>7.5</v>
      </c>
      <c r="Z39" s="701">
        <v>155.41535313027694</v>
      </c>
      <c r="AA39" s="700">
        <v>68.530008553768624</v>
      </c>
      <c r="AB39" s="701">
        <v>0</v>
      </c>
      <c r="AC39" s="702">
        <v>0</v>
      </c>
      <c r="AD39" s="693"/>
      <c r="AE39" s="694"/>
      <c r="AF39" s="695"/>
      <c r="AG39" s="696"/>
      <c r="AH39" s="697"/>
      <c r="AI39" s="698"/>
      <c r="AJ39" s="699"/>
      <c r="AK39" s="700"/>
      <c r="AL39" s="701"/>
      <c r="AM39" s="700"/>
      <c r="AN39" s="701"/>
      <c r="AO39" s="700"/>
      <c r="AP39" s="701"/>
      <c r="AQ39" s="702"/>
      <c r="AR39" s="693"/>
      <c r="AS39" s="694"/>
      <c r="AT39" s="695"/>
      <c r="AU39" s="696"/>
      <c r="AV39" s="697"/>
      <c r="AW39" s="698"/>
      <c r="AX39" s="699"/>
      <c r="AY39" s="700"/>
      <c r="AZ39" s="701"/>
      <c r="BA39" s="700"/>
      <c r="BB39" s="701"/>
      <c r="BC39" s="700"/>
      <c r="BD39" s="701"/>
      <c r="BE39" s="702"/>
      <c r="BF39" s="693"/>
      <c r="BG39" s="694"/>
      <c r="BH39" s="695"/>
      <c r="BI39" s="696"/>
      <c r="BJ39" s="697"/>
      <c r="BK39" s="698"/>
      <c r="BL39" s="699"/>
      <c r="BM39" s="700"/>
      <c r="BN39" s="701"/>
      <c r="BO39" s="700"/>
      <c r="BP39" s="701"/>
      <c r="BQ39" s="700"/>
      <c r="BR39" s="701"/>
      <c r="BS39" s="702"/>
      <c r="BT39" s="693"/>
      <c r="BU39" s="694"/>
      <c r="BV39" s="695"/>
      <c r="BW39" s="696"/>
      <c r="BX39" s="697"/>
      <c r="BY39" s="698"/>
      <c r="BZ39" s="699"/>
      <c r="CA39" s="700"/>
      <c r="CB39" s="701"/>
      <c r="CC39" s="700"/>
      <c r="CD39" s="701"/>
      <c r="CE39" s="700"/>
      <c r="CF39" s="701"/>
      <c r="CG39" s="702"/>
      <c r="CH39" s="693"/>
      <c r="CI39" s="694"/>
      <c r="CJ39" s="695"/>
      <c r="CK39" s="696"/>
      <c r="CL39" s="697"/>
      <c r="CM39" s="698"/>
      <c r="CN39" s="699"/>
      <c r="CO39" s="700"/>
      <c r="CP39" s="701"/>
      <c r="CQ39" s="700"/>
      <c r="CR39" s="701"/>
      <c r="CS39" s="700"/>
      <c r="CT39" s="701"/>
      <c r="CU39" s="702"/>
      <c r="CV39" s="693"/>
      <c r="CW39" s="694"/>
      <c r="CX39" s="695"/>
      <c r="CY39" s="696"/>
      <c r="CZ39" s="697"/>
      <c r="DA39" s="698"/>
      <c r="DB39" s="699"/>
      <c r="DC39" s="700"/>
      <c r="DD39" s="701"/>
      <c r="DE39" s="700"/>
      <c r="DF39" s="701"/>
      <c r="DG39" s="700"/>
      <c r="DH39" s="701"/>
      <c r="DI39" s="702"/>
      <c r="DJ39" s="693"/>
      <c r="DK39" s="694"/>
      <c r="DL39" s="695"/>
      <c r="DM39" s="696"/>
      <c r="DN39" s="697"/>
      <c r="DO39" s="698"/>
      <c r="DP39" s="699"/>
      <c r="DQ39" s="700"/>
      <c r="DR39" s="701"/>
      <c r="DS39" s="700"/>
      <c r="DT39" s="701"/>
      <c r="DU39" s="700"/>
      <c r="DV39" s="701"/>
      <c r="DW39" s="702"/>
      <c r="DX39" s="693"/>
      <c r="DY39" s="694"/>
      <c r="DZ39" s="695"/>
      <c r="EA39" s="696"/>
      <c r="EB39" s="697"/>
      <c r="EC39" s="698"/>
      <c r="ED39" s="699"/>
      <c r="EE39" s="700"/>
      <c r="EF39" s="701"/>
      <c r="EG39" s="700"/>
      <c r="EH39" s="701"/>
      <c r="EI39" s="700"/>
      <c r="EJ39" s="701"/>
      <c r="EK39" s="702"/>
      <c r="EL39" s="693"/>
      <c r="EM39" s="694"/>
      <c r="EN39" s="695"/>
      <c r="EO39" s="696"/>
      <c r="EP39" s="697"/>
      <c r="EQ39" s="698"/>
      <c r="ER39" s="699"/>
      <c r="ES39" s="700"/>
      <c r="ET39" s="701"/>
      <c r="EU39" s="700"/>
      <c r="EV39" s="701"/>
      <c r="EW39" s="700"/>
      <c r="EX39" s="701"/>
      <c r="EY39" s="702"/>
      <c r="EZ39" s="693"/>
      <c r="FA39" s="694"/>
      <c r="FB39" s="695"/>
      <c r="FC39" s="696"/>
      <c r="FD39" s="697"/>
      <c r="FE39" s="698"/>
      <c r="FF39" s="699"/>
      <c r="FG39" s="700"/>
      <c r="FH39" s="701"/>
      <c r="FI39" s="700"/>
      <c r="FJ39" s="701"/>
      <c r="FK39" s="700"/>
      <c r="FL39" s="701"/>
      <c r="FM39" s="702"/>
      <c r="FN39" s="693"/>
      <c r="FO39" s="694"/>
      <c r="FP39" s="695"/>
      <c r="FQ39" s="696"/>
      <c r="FR39" s="697"/>
      <c r="FS39" s="698"/>
      <c r="FT39" s="699"/>
      <c r="FU39" s="700"/>
      <c r="FV39" s="701"/>
      <c r="FW39" s="700"/>
      <c r="FX39" s="701"/>
      <c r="FY39" s="700"/>
      <c r="FZ39" s="701"/>
      <c r="GA39" s="702"/>
      <c r="GB39" s="693"/>
      <c r="GC39" s="694"/>
      <c r="GD39" s="695"/>
      <c r="GE39" s="696"/>
      <c r="GF39" s="697"/>
      <c r="GG39" s="698"/>
      <c r="GH39" s="699"/>
      <c r="GI39" s="700"/>
      <c r="GJ39" s="701"/>
      <c r="GK39" s="700"/>
      <c r="GL39" s="701"/>
      <c r="GM39" s="700"/>
      <c r="GN39" s="701"/>
      <c r="GO39" s="702"/>
      <c r="GP39" s="693"/>
      <c r="GQ39" s="694"/>
      <c r="GR39" s="695"/>
      <c r="GS39" s="696"/>
      <c r="GT39" s="697"/>
      <c r="GU39" s="698"/>
      <c r="GV39" s="699"/>
      <c r="GW39" s="700"/>
      <c r="GX39" s="701"/>
      <c r="GY39" s="700"/>
      <c r="GZ39" s="701"/>
      <c r="HA39" s="700"/>
      <c r="HB39" s="701"/>
      <c r="HC39" s="702"/>
      <c r="HD39" s="693"/>
      <c r="HE39" s="694"/>
      <c r="HF39" s="695"/>
      <c r="HG39" s="696"/>
      <c r="HH39" s="697"/>
      <c r="HI39" s="693"/>
      <c r="HJ39" s="704"/>
      <c r="HK39" s="696"/>
      <c r="HL39" s="697"/>
      <c r="HM39" s="698"/>
      <c r="HN39" s="699"/>
      <c r="HO39" s="700"/>
      <c r="HP39" s="701"/>
      <c r="HQ39" s="700"/>
      <c r="HR39" s="701"/>
      <c r="HS39" s="700"/>
      <c r="HT39" s="701"/>
      <c r="HU39" s="702"/>
      <c r="HV39" s="693"/>
      <c r="HW39" s="694"/>
      <c r="HX39" s="695"/>
      <c r="HY39" s="696"/>
      <c r="HZ39" s="697"/>
      <c r="IA39" s="693"/>
      <c r="IB39" s="704"/>
      <c r="IC39" s="696"/>
      <c r="ID39" s="697"/>
      <c r="IE39" s="698"/>
      <c r="IF39" s="699"/>
      <c r="IG39" s="700"/>
      <c r="IH39" s="701"/>
      <c r="II39" s="700"/>
      <c r="IJ39" s="701"/>
      <c r="IK39" s="700"/>
      <c r="IL39" s="701"/>
      <c r="IM39" s="702"/>
      <c r="IN39" s="346"/>
    </row>
    <row r="40" spans="1:248" x14ac:dyDescent="0.25">
      <c r="A40" s="692">
        <f t="shared" si="0"/>
        <v>26</v>
      </c>
      <c r="B40" s="693" t="s">
        <v>192</v>
      </c>
      <c r="C40" s="694"/>
      <c r="D40" s="695">
        <v>0.8</v>
      </c>
      <c r="E40" s="696">
        <v>4.96</v>
      </c>
      <c r="F40" s="697">
        <v>1.984</v>
      </c>
      <c r="G40" s="698"/>
      <c r="H40" s="699">
        <v>0</v>
      </c>
      <c r="I40" s="700">
        <v>30.702299397450968</v>
      </c>
      <c r="J40" s="701">
        <v>100</v>
      </c>
      <c r="K40" s="700">
        <v>7.5</v>
      </c>
      <c r="L40" s="701">
        <v>168.76825700103655</v>
      </c>
      <c r="M40" s="700">
        <v>74.417937886681727</v>
      </c>
      <c r="N40" s="701">
        <v>0</v>
      </c>
      <c r="O40" s="702">
        <v>0</v>
      </c>
      <c r="P40" s="693" t="s">
        <v>551</v>
      </c>
      <c r="Q40" s="694"/>
      <c r="R40" s="695">
        <v>0.99</v>
      </c>
      <c r="S40" s="696">
        <v>0</v>
      </c>
      <c r="T40" s="697">
        <v>0</v>
      </c>
      <c r="U40" s="698"/>
      <c r="V40" s="699">
        <v>0</v>
      </c>
      <c r="W40" s="700">
        <v>30.702299397450968</v>
      </c>
      <c r="X40" s="701">
        <v>100</v>
      </c>
      <c r="Y40" s="700">
        <v>7.5</v>
      </c>
      <c r="Z40" s="701">
        <v>168.76825700103655</v>
      </c>
      <c r="AA40" s="700">
        <v>74.417937886681727</v>
      </c>
      <c r="AB40" s="701">
        <v>0</v>
      </c>
      <c r="AC40" s="702">
        <v>0</v>
      </c>
      <c r="AD40" s="693"/>
      <c r="AE40" s="694"/>
      <c r="AF40" s="695"/>
      <c r="AG40" s="696"/>
      <c r="AH40" s="697"/>
      <c r="AI40" s="698"/>
      <c r="AJ40" s="699"/>
      <c r="AK40" s="700"/>
      <c r="AL40" s="701"/>
      <c r="AM40" s="700"/>
      <c r="AN40" s="701"/>
      <c r="AO40" s="700"/>
      <c r="AP40" s="701"/>
      <c r="AQ40" s="702"/>
      <c r="AR40" s="693"/>
      <c r="AS40" s="694"/>
      <c r="AT40" s="695"/>
      <c r="AU40" s="696"/>
      <c r="AV40" s="697"/>
      <c r="AW40" s="698"/>
      <c r="AX40" s="699"/>
      <c r="AY40" s="700"/>
      <c r="AZ40" s="701"/>
      <c r="BA40" s="700"/>
      <c r="BB40" s="701"/>
      <c r="BC40" s="700"/>
      <c r="BD40" s="701"/>
      <c r="BE40" s="702"/>
      <c r="BF40" s="693"/>
      <c r="BG40" s="694"/>
      <c r="BH40" s="695"/>
      <c r="BI40" s="696"/>
      <c r="BJ40" s="697"/>
      <c r="BK40" s="698"/>
      <c r="BL40" s="699"/>
      <c r="BM40" s="700"/>
      <c r="BN40" s="701"/>
      <c r="BO40" s="700"/>
      <c r="BP40" s="701"/>
      <c r="BQ40" s="700"/>
      <c r="BR40" s="701"/>
      <c r="BS40" s="702"/>
      <c r="BT40" s="693"/>
      <c r="BU40" s="694"/>
      <c r="BV40" s="695"/>
      <c r="BW40" s="696"/>
      <c r="BX40" s="697"/>
      <c r="BY40" s="698"/>
      <c r="BZ40" s="699"/>
      <c r="CA40" s="700"/>
      <c r="CB40" s="701"/>
      <c r="CC40" s="700"/>
      <c r="CD40" s="701"/>
      <c r="CE40" s="700"/>
      <c r="CF40" s="701"/>
      <c r="CG40" s="702"/>
      <c r="CH40" s="693"/>
      <c r="CI40" s="694"/>
      <c r="CJ40" s="695"/>
      <c r="CK40" s="696"/>
      <c r="CL40" s="697"/>
      <c r="CM40" s="698"/>
      <c r="CN40" s="699"/>
      <c r="CO40" s="700"/>
      <c r="CP40" s="701"/>
      <c r="CQ40" s="700"/>
      <c r="CR40" s="701"/>
      <c r="CS40" s="700"/>
      <c r="CT40" s="701"/>
      <c r="CU40" s="702"/>
      <c r="CV40" s="693"/>
      <c r="CW40" s="694"/>
      <c r="CX40" s="695"/>
      <c r="CY40" s="696"/>
      <c r="CZ40" s="697"/>
      <c r="DA40" s="698"/>
      <c r="DB40" s="699"/>
      <c r="DC40" s="700"/>
      <c r="DD40" s="701"/>
      <c r="DE40" s="700"/>
      <c r="DF40" s="701"/>
      <c r="DG40" s="700"/>
      <c r="DH40" s="701"/>
      <c r="DI40" s="702"/>
      <c r="DJ40" s="693"/>
      <c r="DK40" s="694"/>
      <c r="DL40" s="695"/>
      <c r="DM40" s="696"/>
      <c r="DN40" s="697"/>
      <c r="DO40" s="698"/>
      <c r="DP40" s="699"/>
      <c r="DQ40" s="700"/>
      <c r="DR40" s="701"/>
      <c r="DS40" s="700"/>
      <c r="DT40" s="701"/>
      <c r="DU40" s="700"/>
      <c r="DV40" s="701"/>
      <c r="DW40" s="702"/>
      <c r="DX40" s="693"/>
      <c r="DY40" s="694"/>
      <c r="DZ40" s="695"/>
      <c r="EA40" s="696"/>
      <c r="EB40" s="697"/>
      <c r="EC40" s="698"/>
      <c r="ED40" s="699"/>
      <c r="EE40" s="700"/>
      <c r="EF40" s="701"/>
      <c r="EG40" s="700"/>
      <c r="EH40" s="701"/>
      <c r="EI40" s="700"/>
      <c r="EJ40" s="701"/>
      <c r="EK40" s="702"/>
      <c r="EL40" s="693"/>
      <c r="EM40" s="694"/>
      <c r="EN40" s="695"/>
      <c r="EO40" s="696"/>
      <c r="EP40" s="697"/>
      <c r="EQ40" s="698"/>
      <c r="ER40" s="699"/>
      <c r="ES40" s="700"/>
      <c r="ET40" s="701"/>
      <c r="EU40" s="700"/>
      <c r="EV40" s="701"/>
      <c r="EW40" s="700"/>
      <c r="EX40" s="701"/>
      <c r="EY40" s="702"/>
      <c r="EZ40" s="693"/>
      <c r="FA40" s="694"/>
      <c r="FB40" s="695"/>
      <c r="FC40" s="696"/>
      <c r="FD40" s="697"/>
      <c r="FE40" s="698"/>
      <c r="FF40" s="699"/>
      <c r="FG40" s="700"/>
      <c r="FH40" s="701"/>
      <c r="FI40" s="700"/>
      <c r="FJ40" s="701"/>
      <c r="FK40" s="700"/>
      <c r="FL40" s="701"/>
      <c r="FM40" s="702"/>
      <c r="FN40" s="693"/>
      <c r="FO40" s="694"/>
      <c r="FP40" s="695"/>
      <c r="FQ40" s="696"/>
      <c r="FR40" s="697"/>
      <c r="FS40" s="698"/>
      <c r="FT40" s="699"/>
      <c r="FU40" s="700"/>
      <c r="FV40" s="701"/>
      <c r="FW40" s="700"/>
      <c r="FX40" s="701"/>
      <c r="FY40" s="700"/>
      <c r="FZ40" s="701"/>
      <c r="GA40" s="702"/>
      <c r="GB40" s="693"/>
      <c r="GC40" s="694"/>
      <c r="GD40" s="695"/>
      <c r="GE40" s="696"/>
      <c r="GF40" s="697"/>
      <c r="GG40" s="698"/>
      <c r="GH40" s="699"/>
      <c r="GI40" s="700"/>
      <c r="GJ40" s="701"/>
      <c r="GK40" s="700"/>
      <c r="GL40" s="701"/>
      <c r="GM40" s="700"/>
      <c r="GN40" s="701"/>
      <c r="GO40" s="702"/>
      <c r="GP40" s="693"/>
      <c r="GQ40" s="694"/>
      <c r="GR40" s="695"/>
      <c r="GS40" s="696"/>
      <c r="GT40" s="697"/>
      <c r="GU40" s="698"/>
      <c r="GV40" s="699"/>
      <c r="GW40" s="700"/>
      <c r="GX40" s="701"/>
      <c r="GY40" s="700"/>
      <c r="GZ40" s="701"/>
      <c r="HA40" s="700"/>
      <c r="HB40" s="701"/>
      <c r="HC40" s="702"/>
      <c r="HD40" s="693"/>
      <c r="HE40" s="694"/>
      <c r="HF40" s="695"/>
      <c r="HG40" s="696"/>
      <c r="HH40" s="697"/>
      <c r="HI40" s="693"/>
      <c r="HJ40" s="704"/>
      <c r="HK40" s="696"/>
      <c r="HL40" s="697"/>
      <c r="HM40" s="698"/>
      <c r="HN40" s="699"/>
      <c r="HO40" s="700"/>
      <c r="HP40" s="701"/>
      <c r="HQ40" s="700"/>
      <c r="HR40" s="701"/>
      <c r="HS40" s="700"/>
      <c r="HT40" s="701"/>
      <c r="HU40" s="702"/>
      <c r="HV40" s="693"/>
      <c r="HW40" s="694"/>
      <c r="HX40" s="695"/>
      <c r="HY40" s="696"/>
      <c r="HZ40" s="697"/>
      <c r="IA40" s="693"/>
      <c r="IB40" s="704"/>
      <c r="IC40" s="696"/>
      <c r="ID40" s="697"/>
      <c r="IE40" s="698"/>
      <c r="IF40" s="699"/>
      <c r="IG40" s="700"/>
      <c r="IH40" s="701"/>
      <c r="II40" s="700"/>
      <c r="IJ40" s="701"/>
      <c r="IK40" s="700"/>
      <c r="IL40" s="701"/>
      <c r="IM40" s="702"/>
      <c r="IN40" s="346"/>
    </row>
    <row r="41" spans="1:248" x14ac:dyDescent="0.25">
      <c r="A41" s="692">
        <f t="shared" si="0"/>
        <v>27</v>
      </c>
      <c r="B41" s="693" t="s">
        <v>312</v>
      </c>
      <c r="C41" s="694"/>
      <c r="D41" s="695">
        <v>0.8</v>
      </c>
      <c r="E41" s="696">
        <v>1.28</v>
      </c>
      <c r="F41" s="697">
        <v>0.76800000000000002</v>
      </c>
      <c r="G41" s="698"/>
      <c r="H41" s="699">
        <v>0</v>
      </c>
      <c r="I41" s="700">
        <v>31.552991880035002</v>
      </c>
      <c r="J41" s="701">
        <v>100</v>
      </c>
      <c r="K41" s="700">
        <v>7.5</v>
      </c>
      <c r="L41" s="701">
        <v>183.18912776364732</v>
      </c>
      <c r="M41" s="700">
        <v>80.77678453091319</v>
      </c>
      <c r="N41" s="701">
        <v>0</v>
      </c>
      <c r="O41" s="702">
        <v>0</v>
      </c>
      <c r="P41" s="693" t="s">
        <v>551</v>
      </c>
      <c r="Q41" s="694"/>
      <c r="R41" s="695">
        <v>0.99</v>
      </c>
      <c r="S41" s="696">
        <v>0</v>
      </c>
      <c r="T41" s="697">
        <v>0</v>
      </c>
      <c r="U41" s="698"/>
      <c r="V41" s="699">
        <v>0</v>
      </c>
      <c r="W41" s="700">
        <v>31.552991880035002</v>
      </c>
      <c r="X41" s="701">
        <v>100</v>
      </c>
      <c r="Y41" s="700">
        <v>7.5</v>
      </c>
      <c r="Z41" s="701">
        <v>183.18912776364732</v>
      </c>
      <c r="AA41" s="700">
        <v>80.77678453091319</v>
      </c>
      <c r="AB41" s="701">
        <v>0</v>
      </c>
      <c r="AC41" s="702">
        <v>0</v>
      </c>
      <c r="AD41" s="693"/>
      <c r="AE41" s="694"/>
      <c r="AF41" s="695"/>
      <c r="AG41" s="696"/>
      <c r="AH41" s="697"/>
      <c r="AI41" s="698"/>
      <c r="AJ41" s="699"/>
      <c r="AK41" s="700"/>
      <c r="AL41" s="701"/>
      <c r="AM41" s="700"/>
      <c r="AN41" s="701"/>
      <c r="AO41" s="700"/>
      <c r="AP41" s="701"/>
      <c r="AQ41" s="702"/>
      <c r="AR41" s="693"/>
      <c r="AS41" s="694"/>
      <c r="AT41" s="695"/>
      <c r="AU41" s="696"/>
      <c r="AV41" s="697"/>
      <c r="AW41" s="698"/>
      <c r="AX41" s="699"/>
      <c r="AY41" s="700"/>
      <c r="AZ41" s="701"/>
      <c r="BA41" s="700"/>
      <c r="BB41" s="701"/>
      <c r="BC41" s="700"/>
      <c r="BD41" s="701"/>
      <c r="BE41" s="702"/>
      <c r="BF41" s="693"/>
      <c r="BG41" s="694"/>
      <c r="BH41" s="695"/>
      <c r="BI41" s="696"/>
      <c r="BJ41" s="697"/>
      <c r="BK41" s="698"/>
      <c r="BL41" s="699"/>
      <c r="BM41" s="700"/>
      <c r="BN41" s="701"/>
      <c r="BO41" s="700"/>
      <c r="BP41" s="701"/>
      <c r="BQ41" s="700"/>
      <c r="BR41" s="701"/>
      <c r="BS41" s="702"/>
      <c r="BT41" s="693"/>
      <c r="BU41" s="694"/>
      <c r="BV41" s="695"/>
      <c r="BW41" s="696"/>
      <c r="BX41" s="697"/>
      <c r="BY41" s="698"/>
      <c r="BZ41" s="699"/>
      <c r="CA41" s="700"/>
      <c r="CB41" s="701"/>
      <c r="CC41" s="700"/>
      <c r="CD41" s="701"/>
      <c r="CE41" s="700"/>
      <c r="CF41" s="701"/>
      <c r="CG41" s="702"/>
      <c r="CH41" s="693"/>
      <c r="CI41" s="694"/>
      <c r="CJ41" s="695"/>
      <c r="CK41" s="696"/>
      <c r="CL41" s="697"/>
      <c r="CM41" s="698"/>
      <c r="CN41" s="699"/>
      <c r="CO41" s="700"/>
      <c r="CP41" s="701"/>
      <c r="CQ41" s="700"/>
      <c r="CR41" s="701"/>
      <c r="CS41" s="700"/>
      <c r="CT41" s="701"/>
      <c r="CU41" s="702"/>
      <c r="CV41" s="693"/>
      <c r="CW41" s="694"/>
      <c r="CX41" s="695"/>
      <c r="CY41" s="696"/>
      <c r="CZ41" s="697"/>
      <c r="DA41" s="698"/>
      <c r="DB41" s="699"/>
      <c r="DC41" s="700"/>
      <c r="DD41" s="701"/>
      <c r="DE41" s="700"/>
      <c r="DF41" s="701"/>
      <c r="DG41" s="700"/>
      <c r="DH41" s="701"/>
      <c r="DI41" s="702"/>
      <c r="DJ41" s="693"/>
      <c r="DK41" s="694"/>
      <c r="DL41" s="695"/>
      <c r="DM41" s="696"/>
      <c r="DN41" s="697"/>
      <c r="DO41" s="698"/>
      <c r="DP41" s="699"/>
      <c r="DQ41" s="700"/>
      <c r="DR41" s="701"/>
      <c r="DS41" s="700"/>
      <c r="DT41" s="701"/>
      <c r="DU41" s="700"/>
      <c r="DV41" s="701"/>
      <c r="DW41" s="702"/>
      <c r="DX41" s="693"/>
      <c r="DY41" s="694"/>
      <c r="DZ41" s="695"/>
      <c r="EA41" s="696"/>
      <c r="EB41" s="697"/>
      <c r="EC41" s="698"/>
      <c r="ED41" s="699"/>
      <c r="EE41" s="700"/>
      <c r="EF41" s="701"/>
      <c r="EG41" s="700"/>
      <c r="EH41" s="701"/>
      <c r="EI41" s="700"/>
      <c r="EJ41" s="701"/>
      <c r="EK41" s="702"/>
      <c r="EL41" s="693"/>
      <c r="EM41" s="694"/>
      <c r="EN41" s="695"/>
      <c r="EO41" s="696"/>
      <c r="EP41" s="697"/>
      <c r="EQ41" s="698"/>
      <c r="ER41" s="699"/>
      <c r="ES41" s="700"/>
      <c r="ET41" s="701"/>
      <c r="EU41" s="700"/>
      <c r="EV41" s="701"/>
      <c r="EW41" s="700"/>
      <c r="EX41" s="701"/>
      <c r="EY41" s="702"/>
      <c r="EZ41" s="693"/>
      <c r="FA41" s="694"/>
      <c r="FB41" s="695"/>
      <c r="FC41" s="696"/>
      <c r="FD41" s="697"/>
      <c r="FE41" s="698"/>
      <c r="FF41" s="699"/>
      <c r="FG41" s="700"/>
      <c r="FH41" s="701"/>
      <c r="FI41" s="700"/>
      <c r="FJ41" s="701"/>
      <c r="FK41" s="700"/>
      <c r="FL41" s="701"/>
      <c r="FM41" s="702"/>
      <c r="FN41" s="693"/>
      <c r="FO41" s="694"/>
      <c r="FP41" s="695"/>
      <c r="FQ41" s="696"/>
      <c r="FR41" s="697"/>
      <c r="FS41" s="698"/>
      <c r="FT41" s="699"/>
      <c r="FU41" s="700"/>
      <c r="FV41" s="701"/>
      <c r="FW41" s="700"/>
      <c r="FX41" s="701"/>
      <c r="FY41" s="700"/>
      <c r="FZ41" s="701"/>
      <c r="GA41" s="702"/>
      <c r="GB41" s="693"/>
      <c r="GC41" s="694"/>
      <c r="GD41" s="695"/>
      <c r="GE41" s="696"/>
      <c r="GF41" s="697"/>
      <c r="GG41" s="698"/>
      <c r="GH41" s="699"/>
      <c r="GI41" s="700"/>
      <c r="GJ41" s="701"/>
      <c r="GK41" s="700"/>
      <c r="GL41" s="701"/>
      <c r="GM41" s="700"/>
      <c r="GN41" s="701"/>
      <c r="GO41" s="702"/>
      <c r="GP41" s="693"/>
      <c r="GQ41" s="694"/>
      <c r="GR41" s="695"/>
      <c r="GS41" s="696"/>
      <c r="GT41" s="697"/>
      <c r="GU41" s="698"/>
      <c r="GV41" s="699"/>
      <c r="GW41" s="700"/>
      <c r="GX41" s="701"/>
      <c r="GY41" s="700"/>
      <c r="GZ41" s="701"/>
      <c r="HA41" s="700"/>
      <c r="HB41" s="701"/>
      <c r="HC41" s="702"/>
      <c r="HD41" s="693"/>
      <c r="HE41" s="694"/>
      <c r="HF41" s="695"/>
      <c r="HG41" s="696"/>
      <c r="HH41" s="697"/>
      <c r="HI41" s="693"/>
      <c r="HJ41" s="704"/>
      <c r="HK41" s="696"/>
      <c r="HL41" s="697"/>
      <c r="HM41" s="698"/>
      <c r="HN41" s="699"/>
      <c r="HO41" s="700"/>
      <c r="HP41" s="701"/>
      <c r="HQ41" s="700"/>
      <c r="HR41" s="701"/>
      <c r="HS41" s="700"/>
      <c r="HT41" s="701"/>
      <c r="HU41" s="702"/>
      <c r="HV41" s="693"/>
      <c r="HW41" s="694"/>
      <c r="HX41" s="695"/>
      <c r="HY41" s="696"/>
      <c r="HZ41" s="697"/>
      <c r="IA41" s="693"/>
      <c r="IB41" s="704"/>
      <c r="IC41" s="696"/>
      <c r="ID41" s="697"/>
      <c r="IE41" s="698"/>
      <c r="IF41" s="699"/>
      <c r="IG41" s="700"/>
      <c r="IH41" s="701"/>
      <c r="II41" s="700"/>
      <c r="IJ41" s="701"/>
      <c r="IK41" s="700"/>
      <c r="IL41" s="701"/>
      <c r="IM41" s="702"/>
      <c r="IN41" s="346"/>
    </row>
    <row r="42" spans="1:248" x14ac:dyDescent="0.25">
      <c r="A42" s="692">
        <f t="shared" si="0"/>
        <v>28</v>
      </c>
      <c r="B42" s="693" t="s">
        <v>309</v>
      </c>
      <c r="C42" s="694"/>
      <c r="D42" s="695">
        <v>0.8</v>
      </c>
      <c r="E42" s="696">
        <v>3.12</v>
      </c>
      <c r="F42" s="697">
        <v>1.56</v>
      </c>
      <c r="G42" s="698"/>
      <c r="H42" s="699">
        <v>0</v>
      </c>
      <c r="I42" s="700">
        <v>32.197641135652972</v>
      </c>
      <c r="J42" s="701">
        <v>100</v>
      </c>
      <c r="K42" s="700">
        <v>7.5</v>
      </c>
      <c r="L42" s="701">
        <v>194.64812493120189</v>
      </c>
      <c r="M42" s="700">
        <v>85.829600472796741</v>
      </c>
      <c r="N42" s="701">
        <v>0</v>
      </c>
      <c r="O42" s="702">
        <v>0</v>
      </c>
      <c r="P42" s="693" t="s">
        <v>551</v>
      </c>
      <c r="Q42" s="694"/>
      <c r="R42" s="695">
        <v>0.99</v>
      </c>
      <c r="S42" s="696">
        <v>0</v>
      </c>
      <c r="T42" s="697">
        <v>0</v>
      </c>
      <c r="U42" s="698"/>
      <c r="V42" s="699">
        <v>0</v>
      </c>
      <c r="W42" s="700">
        <v>32.197641135652972</v>
      </c>
      <c r="X42" s="701">
        <v>100</v>
      </c>
      <c r="Y42" s="700">
        <v>7.5</v>
      </c>
      <c r="Z42" s="701">
        <v>194.64812493120189</v>
      </c>
      <c r="AA42" s="700">
        <v>85.829600472796741</v>
      </c>
      <c r="AB42" s="701">
        <v>0</v>
      </c>
      <c r="AC42" s="702">
        <v>0</v>
      </c>
      <c r="AD42" s="693"/>
      <c r="AE42" s="694"/>
      <c r="AF42" s="695"/>
      <c r="AG42" s="696"/>
      <c r="AH42" s="697"/>
      <c r="AI42" s="698"/>
      <c r="AJ42" s="699"/>
      <c r="AK42" s="700"/>
      <c r="AL42" s="701"/>
      <c r="AM42" s="700"/>
      <c r="AN42" s="701"/>
      <c r="AO42" s="700"/>
      <c r="AP42" s="701"/>
      <c r="AQ42" s="702"/>
      <c r="AR42" s="693"/>
      <c r="AS42" s="694"/>
      <c r="AT42" s="695"/>
      <c r="AU42" s="696"/>
      <c r="AV42" s="697"/>
      <c r="AW42" s="698"/>
      <c r="AX42" s="699"/>
      <c r="AY42" s="700"/>
      <c r="AZ42" s="701"/>
      <c r="BA42" s="700"/>
      <c r="BB42" s="701"/>
      <c r="BC42" s="700"/>
      <c r="BD42" s="701"/>
      <c r="BE42" s="702"/>
      <c r="BF42" s="693"/>
      <c r="BG42" s="694"/>
      <c r="BH42" s="695"/>
      <c r="BI42" s="696"/>
      <c r="BJ42" s="697"/>
      <c r="BK42" s="698"/>
      <c r="BL42" s="699"/>
      <c r="BM42" s="700"/>
      <c r="BN42" s="701"/>
      <c r="BO42" s="700"/>
      <c r="BP42" s="701"/>
      <c r="BQ42" s="700"/>
      <c r="BR42" s="701"/>
      <c r="BS42" s="702"/>
      <c r="BT42" s="693"/>
      <c r="BU42" s="694"/>
      <c r="BV42" s="695"/>
      <c r="BW42" s="696"/>
      <c r="BX42" s="697"/>
      <c r="BY42" s="698"/>
      <c r="BZ42" s="699"/>
      <c r="CA42" s="700"/>
      <c r="CB42" s="701"/>
      <c r="CC42" s="700"/>
      <c r="CD42" s="701"/>
      <c r="CE42" s="700"/>
      <c r="CF42" s="701"/>
      <c r="CG42" s="702"/>
      <c r="CH42" s="693"/>
      <c r="CI42" s="694"/>
      <c r="CJ42" s="695"/>
      <c r="CK42" s="696"/>
      <c r="CL42" s="697"/>
      <c r="CM42" s="698"/>
      <c r="CN42" s="699"/>
      <c r="CO42" s="700"/>
      <c r="CP42" s="701"/>
      <c r="CQ42" s="700"/>
      <c r="CR42" s="701"/>
      <c r="CS42" s="700"/>
      <c r="CT42" s="701"/>
      <c r="CU42" s="702"/>
      <c r="CV42" s="693"/>
      <c r="CW42" s="694"/>
      <c r="CX42" s="695"/>
      <c r="CY42" s="696"/>
      <c r="CZ42" s="697"/>
      <c r="DA42" s="698"/>
      <c r="DB42" s="699"/>
      <c r="DC42" s="700"/>
      <c r="DD42" s="701"/>
      <c r="DE42" s="700"/>
      <c r="DF42" s="701"/>
      <c r="DG42" s="700"/>
      <c r="DH42" s="701"/>
      <c r="DI42" s="702"/>
      <c r="DJ42" s="693"/>
      <c r="DK42" s="694"/>
      <c r="DL42" s="695"/>
      <c r="DM42" s="696"/>
      <c r="DN42" s="697"/>
      <c r="DO42" s="698"/>
      <c r="DP42" s="699"/>
      <c r="DQ42" s="700"/>
      <c r="DR42" s="701"/>
      <c r="DS42" s="700"/>
      <c r="DT42" s="701"/>
      <c r="DU42" s="700"/>
      <c r="DV42" s="701"/>
      <c r="DW42" s="702"/>
      <c r="DX42" s="693"/>
      <c r="DY42" s="694"/>
      <c r="DZ42" s="695"/>
      <c r="EA42" s="696"/>
      <c r="EB42" s="697"/>
      <c r="EC42" s="698"/>
      <c r="ED42" s="699"/>
      <c r="EE42" s="700"/>
      <c r="EF42" s="701"/>
      <c r="EG42" s="700"/>
      <c r="EH42" s="701"/>
      <c r="EI42" s="700"/>
      <c r="EJ42" s="701"/>
      <c r="EK42" s="702"/>
      <c r="EL42" s="693"/>
      <c r="EM42" s="694"/>
      <c r="EN42" s="695"/>
      <c r="EO42" s="696"/>
      <c r="EP42" s="697"/>
      <c r="EQ42" s="698"/>
      <c r="ER42" s="699"/>
      <c r="ES42" s="700"/>
      <c r="ET42" s="701"/>
      <c r="EU42" s="700"/>
      <c r="EV42" s="701"/>
      <c r="EW42" s="700"/>
      <c r="EX42" s="701"/>
      <c r="EY42" s="702"/>
      <c r="EZ42" s="693"/>
      <c r="FA42" s="694"/>
      <c r="FB42" s="695"/>
      <c r="FC42" s="696"/>
      <c r="FD42" s="697"/>
      <c r="FE42" s="698"/>
      <c r="FF42" s="699"/>
      <c r="FG42" s="700"/>
      <c r="FH42" s="701"/>
      <c r="FI42" s="700"/>
      <c r="FJ42" s="701"/>
      <c r="FK42" s="700"/>
      <c r="FL42" s="701"/>
      <c r="FM42" s="702"/>
      <c r="FN42" s="693"/>
      <c r="FO42" s="694"/>
      <c r="FP42" s="695"/>
      <c r="FQ42" s="696"/>
      <c r="FR42" s="697"/>
      <c r="FS42" s="698"/>
      <c r="FT42" s="699"/>
      <c r="FU42" s="700"/>
      <c r="FV42" s="701"/>
      <c r="FW42" s="700"/>
      <c r="FX42" s="701"/>
      <c r="FY42" s="700"/>
      <c r="FZ42" s="701"/>
      <c r="GA42" s="702"/>
      <c r="GB42" s="693"/>
      <c r="GC42" s="694"/>
      <c r="GD42" s="695"/>
      <c r="GE42" s="696"/>
      <c r="GF42" s="697"/>
      <c r="GG42" s="698"/>
      <c r="GH42" s="699"/>
      <c r="GI42" s="700"/>
      <c r="GJ42" s="701"/>
      <c r="GK42" s="700"/>
      <c r="GL42" s="701"/>
      <c r="GM42" s="700"/>
      <c r="GN42" s="701"/>
      <c r="GO42" s="702"/>
      <c r="GP42" s="693"/>
      <c r="GQ42" s="694"/>
      <c r="GR42" s="695"/>
      <c r="GS42" s="696"/>
      <c r="GT42" s="697"/>
      <c r="GU42" s="698"/>
      <c r="GV42" s="699"/>
      <c r="GW42" s="700"/>
      <c r="GX42" s="701"/>
      <c r="GY42" s="700"/>
      <c r="GZ42" s="701"/>
      <c r="HA42" s="700"/>
      <c r="HB42" s="701"/>
      <c r="HC42" s="702"/>
      <c r="HD42" s="693"/>
      <c r="HE42" s="694"/>
      <c r="HF42" s="695"/>
      <c r="HG42" s="696"/>
      <c r="HH42" s="697"/>
      <c r="HI42" s="693"/>
      <c r="HJ42" s="704"/>
      <c r="HK42" s="696"/>
      <c r="HL42" s="697"/>
      <c r="HM42" s="698"/>
      <c r="HN42" s="699"/>
      <c r="HO42" s="700"/>
      <c r="HP42" s="701"/>
      <c r="HQ42" s="700"/>
      <c r="HR42" s="701"/>
      <c r="HS42" s="700"/>
      <c r="HT42" s="701"/>
      <c r="HU42" s="702"/>
      <c r="HV42" s="693"/>
      <c r="HW42" s="694"/>
      <c r="HX42" s="695"/>
      <c r="HY42" s="696"/>
      <c r="HZ42" s="697"/>
      <c r="IA42" s="693"/>
      <c r="IB42" s="704"/>
      <c r="IC42" s="696"/>
      <c r="ID42" s="697"/>
      <c r="IE42" s="698"/>
      <c r="IF42" s="699"/>
      <c r="IG42" s="700"/>
      <c r="IH42" s="701"/>
      <c r="II42" s="700"/>
      <c r="IJ42" s="701"/>
      <c r="IK42" s="700"/>
      <c r="IL42" s="701"/>
      <c r="IM42" s="702"/>
      <c r="IN42" s="346"/>
    </row>
    <row r="43" spans="1:248" x14ac:dyDescent="0.25">
      <c r="A43" s="692">
        <f t="shared" si="0"/>
        <v>29</v>
      </c>
      <c r="B43" s="693" t="s">
        <v>192</v>
      </c>
      <c r="C43" s="694"/>
      <c r="D43" s="695">
        <v>0.8</v>
      </c>
      <c r="E43" s="696">
        <v>4.93</v>
      </c>
      <c r="F43" s="697">
        <v>1.972</v>
      </c>
      <c r="G43" s="698"/>
      <c r="H43" s="699">
        <v>0</v>
      </c>
      <c r="I43" s="700">
        <v>32.761133090868427</v>
      </c>
      <c r="J43" s="701">
        <v>100</v>
      </c>
      <c r="K43" s="700">
        <v>7.5</v>
      </c>
      <c r="L43" s="701">
        <v>205.04765169351325</v>
      </c>
      <c r="M43" s="700">
        <v>90.415245607733567</v>
      </c>
      <c r="N43" s="701">
        <v>0</v>
      </c>
      <c r="O43" s="702">
        <v>0</v>
      </c>
      <c r="P43" s="693" t="s">
        <v>551</v>
      </c>
      <c r="Q43" s="694"/>
      <c r="R43" s="695">
        <v>0.99</v>
      </c>
      <c r="S43" s="696">
        <v>0</v>
      </c>
      <c r="T43" s="697">
        <v>0</v>
      </c>
      <c r="U43" s="698"/>
      <c r="V43" s="699">
        <v>0</v>
      </c>
      <c r="W43" s="700">
        <v>32.761133090868427</v>
      </c>
      <c r="X43" s="701">
        <v>100</v>
      </c>
      <c r="Y43" s="700">
        <v>7.5</v>
      </c>
      <c r="Z43" s="701">
        <v>205.04765169351325</v>
      </c>
      <c r="AA43" s="700">
        <v>90.415245607733567</v>
      </c>
      <c r="AB43" s="701">
        <v>0</v>
      </c>
      <c r="AC43" s="702">
        <v>0</v>
      </c>
      <c r="AD43" s="693"/>
      <c r="AE43" s="694"/>
      <c r="AF43" s="695"/>
      <c r="AG43" s="696"/>
      <c r="AH43" s="697"/>
      <c r="AI43" s="698"/>
      <c r="AJ43" s="699"/>
      <c r="AK43" s="700"/>
      <c r="AL43" s="701"/>
      <c r="AM43" s="700"/>
      <c r="AN43" s="701"/>
      <c r="AO43" s="700"/>
      <c r="AP43" s="701"/>
      <c r="AQ43" s="702"/>
      <c r="AR43" s="693"/>
      <c r="AS43" s="694"/>
      <c r="AT43" s="695"/>
      <c r="AU43" s="696"/>
      <c r="AV43" s="697"/>
      <c r="AW43" s="698"/>
      <c r="AX43" s="699"/>
      <c r="AY43" s="700"/>
      <c r="AZ43" s="701"/>
      <c r="BA43" s="700"/>
      <c r="BB43" s="701"/>
      <c r="BC43" s="700"/>
      <c r="BD43" s="701"/>
      <c r="BE43" s="702"/>
      <c r="BF43" s="693"/>
      <c r="BG43" s="694"/>
      <c r="BH43" s="695"/>
      <c r="BI43" s="696"/>
      <c r="BJ43" s="697"/>
      <c r="BK43" s="698"/>
      <c r="BL43" s="699"/>
      <c r="BM43" s="700"/>
      <c r="BN43" s="701"/>
      <c r="BO43" s="700"/>
      <c r="BP43" s="701"/>
      <c r="BQ43" s="700"/>
      <c r="BR43" s="701"/>
      <c r="BS43" s="702"/>
      <c r="BT43" s="693"/>
      <c r="BU43" s="694"/>
      <c r="BV43" s="695"/>
      <c r="BW43" s="696"/>
      <c r="BX43" s="697"/>
      <c r="BY43" s="698"/>
      <c r="BZ43" s="699"/>
      <c r="CA43" s="700"/>
      <c r="CB43" s="701"/>
      <c r="CC43" s="700"/>
      <c r="CD43" s="701"/>
      <c r="CE43" s="700"/>
      <c r="CF43" s="701"/>
      <c r="CG43" s="702"/>
      <c r="CH43" s="693"/>
      <c r="CI43" s="694"/>
      <c r="CJ43" s="695"/>
      <c r="CK43" s="696"/>
      <c r="CL43" s="697"/>
      <c r="CM43" s="698"/>
      <c r="CN43" s="699"/>
      <c r="CO43" s="700"/>
      <c r="CP43" s="701"/>
      <c r="CQ43" s="700"/>
      <c r="CR43" s="701"/>
      <c r="CS43" s="700"/>
      <c r="CT43" s="701"/>
      <c r="CU43" s="702"/>
      <c r="CV43" s="693"/>
      <c r="CW43" s="694"/>
      <c r="CX43" s="695"/>
      <c r="CY43" s="696"/>
      <c r="CZ43" s="697"/>
      <c r="DA43" s="698"/>
      <c r="DB43" s="699"/>
      <c r="DC43" s="700"/>
      <c r="DD43" s="701"/>
      <c r="DE43" s="700"/>
      <c r="DF43" s="701"/>
      <c r="DG43" s="700"/>
      <c r="DH43" s="701"/>
      <c r="DI43" s="702"/>
      <c r="DJ43" s="693"/>
      <c r="DK43" s="694"/>
      <c r="DL43" s="695"/>
      <c r="DM43" s="696"/>
      <c r="DN43" s="697"/>
      <c r="DO43" s="698"/>
      <c r="DP43" s="699"/>
      <c r="DQ43" s="700"/>
      <c r="DR43" s="701"/>
      <c r="DS43" s="700"/>
      <c r="DT43" s="701"/>
      <c r="DU43" s="700"/>
      <c r="DV43" s="701"/>
      <c r="DW43" s="702"/>
      <c r="DX43" s="693"/>
      <c r="DY43" s="694"/>
      <c r="DZ43" s="695"/>
      <c r="EA43" s="696"/>
      <c r="EB43" s="697"/>
      <c r="EC43" s="698"/>
      <c r="ED43" s="699"/>
      <c r="EE43" s="700"/>
      <c r="EF43" s="701"/>
      <c r="EG43" s="700"/>
      <c r="EH43" s="701"/>
      <c r="EI43" s="700"/>
      <c r="EJ43" s="701"/>
      <c r="EK43" s="702"/>
      <c r="EL43" s="693"/>
      <c r="EM43" s="694"/>
      <c r="EN43" s="695"/>
      <c r="EO43" s="696"/>
      <c r="EP43" s="697"/>
      <c r="EQ43" s="698"/>
      <c r="ER43" s="699"/>
      <c r="ES43" s="700"/>
      <c r="ET43" s="701"/>
      <c r="EU43" s="700"/>
      <c r="EV43" s="701"/>
      <c r="EW43" s="700"/>
      <c r="EX43" s="701"/>
      <c r="EY43" s="702"/>
      <c r="EZ43" s="693"/>
      <c r="FA43" s="694"/>
      <c r="FB43" s="695"/>
      <c r="FC43" s="696"/>
      <c r="FD43" s="697"/>
      <c r="FE43" s="698"/>
      <c r="FF43" s="699"/>
      <c r="FG43" s="700"/>
      <c r="FH43" s="701"/>
      <c r="FI43" s="700"/>
      <c r="FJ43" s="701"/>
      <c r="FK43" s="700"/>
      <c r="FL43" s="701"/>
      <c r="FM43" s="702"/>
      <c r="FN43" s="693"/>
      <c r="FO43" s="694"/>
      <c r="FP43" s="695"/>
      <c r="FQ43" s="696"/>
      <c r="FR43" s="697"/>
      <c r="FS43" s="698"/>
      <c r="FT43" s="699"/>
      <c r="FU43" s="700"/>
      <c r="FV43" s="701"/>
      <c r="FW43" s="700"/>
      <c r="FX43" s="701"/>
      <c r="FY43" s="700"/>
      <c r="FZ43" s="701"/>
      <c r="GA43" s="702"/>
      <c r="GB43" s="693"/>
      <c r="GC43" s="694"/>
      <c r="GD43" s="695"/>
      <c r="GE43" s="696"/>
      <c r="GF43" s="697"/>
      <c r="GG43" s="698"/>
      <c r="GH43" s="699"/>
      <c r="GI43" s="700"/>
      <c r="GJ43" s="701"/>
      <c r="GK43" s="700"/>
      <c r="GL43" s="701"/>
      <c r="GM43" s="700"/>
      <c r="GN43" s="701"/>
      <c r="GO43" s="702"/>
      <c r="GP43" s="693"/>
      <c r="GQ43" s="694"/>
      <c r="GR43" s="695"/>
      <c r="GS43" s="696"/>
      <c r="GT43" s="697"/>
      <c r="GU43" s="698"/>
      <c r="GV43" s="699"/>
      <c r="GW43" s="700"/>
      <c r="GX43" s="701"/>
      <c r="GY43" s="700"/>
      <c r="GZ43" s="701"/>
      <c r="HA43" s="700"/>
      <c r="HB43" s="701"/>
      <c r="HC43" s="702"/>
      <c r="HD43" s="693"/>
      <c r="HE43" s="694"/>
      <c r="HF43" s="695"/>
      <c r="HG43" s="696"/>
      <c r="HH43" s="697"/>
      <c r="HI43" s="693"/>
      <c r="HJ43" s="704"/>
      <c r="HK43" s="696"/>
      <c r="HL43" s="697"/>
      <c r="HM43" s="698"/>
      <c r="HN43" s="699"/>
      <c r="HO43" s="700"/>
      <c r="HP43" s="701"/>
      <c r="HQ43" s="700"/>
      <c r="HR43" s="701"/>
      <c r="HS43" s="700"/>
      <c r="HT43" s="701"/>
      <c r="HU43" s="702"/>
      <c r="HV43" s="693"/>
      <c r="HW43" s="694"/>
      <c r="HX43" s="695"/>
      <c r="HY43" s="696"/>
      <c r="HZ43" s="697"/>
      <c r="IA43" s="693"/>
      <c r="IB43" s="704"/>
      <c r="IC43" s="696"/>
      <c r="ID43" s="697"/>
      <c r="IE43" s="698"/>
      <c r="IF43" s="699"/>
      <c r="IG43" s="700"/>
      <c r="IH43" s="701"/>
      <c r="II43" s="700"/>
      <c r="IJ43" s="701"/>
      <c r="IK43" s="700"/>
      <c r="IL43" s="701"/>
      <c r="IM43" s="702"/>
      <c r="IN43" s="346"/>
    </row>
    <row r="44" spans="1:248" x14ac:dyDescent="0.25">
      <c r="A44" s="692">
        <f t="shared" si="0"/>
        <v>30</v>
      </c>
      <c r="B44" s="693" t="s">
        <v>192</v>
      </c>
      <c r="C44" s="694"/>
      <c r="D44" s="695">
        <v>0.8</v>
      </c>
      <c r="E44" s="696">
        <v>6.13</v>
      </c>
      <c r="F44" s="697">
        <v>2.452</v>
      </c>
      <c r="G44" s="698"/>
      <c r="H44" s="699">
        <v>100</v>
      </c>
      <c r="I44" s="700">
        <v>33.3639734650965</v>
      </c>
      <c r="J44" s="701">
        <v>100</v>
      </c>
      <c r="K44" s="700">
        <v>7.5</v>
      </c>
      <c r="L44" s="701">
        <v>216.57651403057335</v>
      </c>
      <c r="M44" s="700">
        <v>102.68</v>
      </c>
      <c r="N44" s="701">
        <v>102.68</v>
      </c>
      <c r="O44" s="702">
        <v>0</v>
      </c>
      <c r="P44" s="693" t="s">
        <v>551</v>
      </c>
      <c r="Q44" s="694"/>
      <c r="R44" s="695">
        <v>0.99</v>
      </c>
      <c r="S44" s="696">
        <v>0</v>
      </c>
      <c r="T44" s="697">
        <v>0</v>
      </c>
      <c r="U44" s="698"/>
      <c r="V44" s="699">
        <v>100</v>
      </c>
      <c r="W44" s="700">
        <v>33.3639734650965</v>
      </c>
      <c r="X44" s="701">
        <v>100</v>
      </c>
      <c r="Y44" s="700">
        <v>7.5</v>
      </c>
      <c r="Z44" s="701">
        <v>216.57651403057335</v>
      </c>
      <c r="AA44" s="700">
        <v>102.68</v>
      </c>
      <c r="AB44" s="701">
        <v>102.68</v>
      </c>
      <c r="AC44" s="702">
        <v>0</v>
      </c>
      <c r="AD44" s="693"/>
      <c r="AE44" s="694"/>
      <c r="AF44" s="695"/>
      <c r="AG44" s="696"/>
      <c r="AH44" s="697"/>
      <c r="AI44" s="698"/>
      <c r="AJ44" s="699"/>
      <c r="AK44" s="700"/>
      <c r="AL44" s="701"/>
      <c r="AM44" s="700"/>
      <c r="AN44" s="701"/>
      <c r="AO44" s="700"/>
      <c r="AP44" s="701"/>
      <c r="AQ44" s="702"/>
      <c r="AR44" s="693"/>
      <c r="AS44" s="694"/>
      <c r="AT44" s="695"/>
      <c r="AU44" s="696"/>
      <c r="AV44" s="697"/>
      <c r="AW44" s="698"/>
      <c r="AX44" s="699"/>
      <c r="AY44" s="700"/>
      <c r="AZ44" s="701"/>
      <c r="BA44" s="700"/>
      <c r="BB44" s="701"/>
      <c r="BC44" s="700"/>
      <c r="BD44" s="701"/>
      <c r="BE44" s="702"/>
      <c r="BF44" s="693"/>
      <c r="BG44" s="694"/>
      <c r="BH44" s="695"/>
      <c r="BI44" s="696"/>
      <c r="BJ44" s="697"/>
      <c r="BK44" s="698"/>
      <c r="BL44" s="699"/>
      <c r="BM44" s="700"/>
      <c r="BN44" s="701"/>
      <c r="BO44" s="700"/>
      <c r="BP44" s="701"/>
      <c r="BQ44" s="700"/>
      <c r="BR44" s="701"/>
      <c r="BS44" s="702"/>
      <c r="BT44" s="693"/>
      <c r="BU44" s="694"/>
      <c r="BV44" s="695"/>
      <c r="BW44" s="696"/>
      <c r="BX44" s="697"/>
      <c r="BY44" s="698"/>
      <c r="BZ44" s="699"/>
      <c r="CA44" s="700"/>
      <c r="CB44" s="701"/>
      <c r="CC44" s="700"/>
      <c r="CD44" s="701"/>
      <c r="CE44" s="700"/>
      <c r="CF44" s="701"/>
      <c r="CG44" s="702"/>
      <c r="CH44" s="693"/>
      <c r="CI44" s="694"/>
      <c r="CJ44" s="695"/>
      <c r="CK44" s="696"/>
      <c r="CL44" s="697"/>
      <c r="CM44" s="698"/>
      <c r="CN44" s="699"/>
      <c r="CO44" s="700"/>
      <c r="CP44" s="701"/>
      <c r="CQ44" s="700"/>
      <c r="CR44" s="701"/>
      <c r="CS44" s="700"/>
      <c r="CT44" s="701"/>
      <c r="CU44" s="702"/>
      <c r="CV44" s="693"/>
      <c r="CW44" s="694"/>
      <c r="CX44" s="695"/>
      <c r="CY44" s="696"/>
      <c r="CZ44" s="697"/>
      <c r="DA44" s="698"/>
      <c r="DB44" s="699"/>
      <c r="DC44" s="700"/>
      <c r="DD44" s="701"/>
      <c r="DE44" s="700"/>
      <c r="DF44" s="701"/>
      <c r="DG44" s="700"/>
      <c r="DH44" s="701"/>
      <c r="DI44" s="702"/>
      <c r="DJ44" s="693"/>
      <c r="DK44" s="694"/>
      <c r="DL44" s="695"/>
      <c r="DM44" s="696"/>
      <c r="DN44" s="697"/>
      <c r="DO44" s="698"/>
      <c r="DP44" s="699"/>
      <c r="DQ44" s="700"/>
      <c r="DR44" s="701"/>
      <c r="DS44" s="700"/>
      <c r="DT44" s="701"/>
      <c r="DU44" s="700"/>
      <c r="DV44" s="701"/>
      <c r="DW44" s="702"/>
      <c r="DX44" s="693"/>
      <c r="DY44" s="694"/>
      <c r="DZ44" s="695"/>
      <c r="EA44" s="696"/>
      <c r="EB44" s="697"/>
      <c r="EC44" s="698"/>
      <c r="ED44" s="699"/>
      <c r="EE44" s="700"/>
      <c r="EF44" s="701"/>
      <c r="EG44" s="700"/>
      <c r="EH44" s="701"/>
      <c r="EI44" s="700"/>
      <c r="EJ44" s="701"/>
      <c r="EK44" s="702"/>
      <c r="EL44" s="693"/>
      <c r="EM44" s="694"/>
      <c r="EN44" s="695"/>
      <c r="EO44" s="696"/>
      <c r="EP44" s="697"/>
      <c r="EQ44" s="698"/>
      <c r="ER44" s="699"/>
      <c r="ES44" s="700"/>
      <c r="ET44" s="701"/>
      <c r="EU44" s="700"/>
      <c r="EV44" s="701"/>
      <c r="EW44" s="700"/>
      <c r="EX44" s="701"/>
      <c r="EY44" s="702"/>
      <c r="EZ44" s="693"/>
      <c r="FA44" s="694"/>
      <c r="FB44" s="695"/>
      <c r="FC44" s="696"/>
      <c r="FD44" s="697"/>
      <c r="FE44" s="698"/>
      <c r="FF44" s="699"/>
      <c r="FG44" s="700"/>
      <c r="FH44" s="701"/>
      <c r="FI44" s="700"/>
      <c r="FJ44" s="701"/>
      <c r="FK44" s="700"/>
      <c r="FL44" s="701"/>
      <c r="FM44" s="702"/>
      <c r="FN44" s="693"/>
      <c r="FO44" s="694"/>
      <c r="FP44" s="695"/>
      <c r="FQ44" s="696"/>
      <c r="FR44" s="697"/>
      <c r="FS44" s="698"/>
      <c r="FT44" s="699"/>
      <c r="FU44" s="700"/>
      <c r="FV44" s="701"/>
      <c r="FW44" s="700"/>
      <c r="FX44" s="701"/>
      <c r="FY44" s="700"/>
      <c r="FZ44" s="701"/>
      <c r="GA44" s="702"/>
      <c r="GB44" s="693"/>
      <c r="GC44" s="694"/>
      <c r="GD44" s="695"/>
      <c r="GE44" s="696"/>
      <c r="GF44" s="697"/>
      <c r="GG44" s="698"/>
      <c r="GH44" s="699"/>
      <c r="GI44" s="700"/>
      <c r="GJ44" s="701"/>
      <c r="GK44" s="700"/>
      <c r="GL44" s="701"/>
      <c r="GM44" s="700"/>
      <c r="GN44" s="701"/>
      <c r="GO44" s="702"/>
      <c r="GP44" s="693"/>
      <c r="GQ44" s="694"/>
      <c r="GR44" s="695"/>
      <c r="GS44" s="696"/>
      <c r="GT44" s="697"/>
      <c r="GU44" s="698"/>
      <c r="GV44" s="699"/>
      <c r="GW44" s="700"/>
      <c r="GX44" s="701"/>
      <c r="GY44" s="700"/>
      <c r="GZ44" s="701"/>
      <c r="HA44" s="700"/>
      <c r="HB44" s="701"/>
      <c r="HC44" s="702"/>
      <c r="HD44" s="693"/>
      <c r="HE44" s="694"/>
      <c r="HF44" s="695"/>
      <c r="HG44" s="696"/>
      <c r="HH44" s="697"/>
      <c r="HI44" s="693"/>
      <c r="HJ44" s="704"/>
      <c r="HK44" s="696"/>
      <c r="HL44" s="697"/>
      <c r="HM44" s="698"/>
      <c r="HN44" s="699"/>
      <c r="HO44" s="700"/>
      <c r="HP44" s="701"/>
      <c r="HQ44" s="700"/>
      <c r="HR44" s="701"/>
      <c r="HS44" s="700"/>
      <c r="HT44" s="701"/>
      <c r="HU44" s="702"/>
      <c r="HV44" s="693"/>
      <c r="HW44" s="694"/>
      <c r="HX44" s="695"/>
      <c r="HY44" s="696"/>
      <c r="HZ44" s="697"/>
      <c r="IA44" s="693"/>
      <c r="IB44" s="704"/>
      <c r="IC44" s="696"/>
      <c r="ID44" s="697"/>
      <c r="IE44" s="698"/>
      <c r="IF44" s="699"/>
      <c r="IG44" s="700"/>
      <c r="IH44" s="701"/>
      <c r="II44" s="700"/>
      <c r="IJ44" s="701"/>
      <c r="IK44" s="700"/>
      <c r="IL44" s="701"/>
      <c r="IM44" s="702"/>
      <c r="IN44" s="346"/>
    </row>
    <row r="45" spans="1:248" x14ac:dyDescent="0.25">
      <c r="A45" s="692">
        <f t="shared" si="0"/>
        <v>31</v>
      </c>
      <c r="B45" s="693"/>
      <c r="C45" s="694"/>
      <c r="D45" s="695"/>
      <c r="E45" s="696"/>
      <c r="F45" s="697"/>
      <c r="G45" s="698"/>
      <c r="H45" s="699"/>
      <c r="I45" s="700"/>
      <c r="J45" s="701"/>
      <c r="K45" s="700"/>
      <c r="L45" s="701"/>
      <c r="M45" s="700"/>
      <c r="N45" s="701"/>
      <c r="O45" s="702"/>
      <c r="P45" s="693"/>
      <c r="Q45" s="694"/>
      <c r="R45" s="695"/>
      <c r="S45" s="696"/>
      <c r="T45" s="697"/>
      <c r="U45" s="698"/>
      <c r="V45" s="699"/>
      <c r="W45" s="700"/>
      <c r="X45" s="701"/>
      <c r="Y45" s="700"/>
      <c r="Z45" s="701"/>
      <c r="AA45" s="700"/>
      <c r="AB45" s="701"/>
      <c r="AC45" s="702"/>
      <c r="AD45" s="693"/>
      <c r="AE45" s="694"/>
      <c r="AF45" s="695"/>
      <c r="AG45" s="696"/>
      <c r="AH45" s="697"/>
      <c r="AI45" s="698"/>
      <c r="AJ45" s="699"/>
      <c r="AK45" s="700"/>
      <c r="AL45" s="701"/>
      <c r="AM45" s="700"/>
      <c r="AN45" s="701"/>
      <c r="AO45" s="700"/>
      <c r="AP45" s="701"/>
      <c r="AQ45" s="702"/>
      <c r="AR45" s="693"/>
      <c r="AS45" s="694"/>
      <c r="AT45" s="695"/>
      <c r="AU45" s="696"/>
      <c r="AV45" s="697"/>
      <c r="AW45" s="698"/>
      <c r="AX45" s="699"/>
      <c r="AY45" s="700"/>
      <c r="AZ45" s="701"/>
      <c r="BA45" s="700"/>
      <c r="BB45" s="701"/>
      <c r="BC45" s="700"/>
      <c r="BD45" s="701"/>
      <c r="BE45" s="702"/>
      <c r="BF45" s="693"/>
      <c r="BG45" s="694"/>
      <c r="BH45" s="695"/>
      <c r="BI45" s="696"/>
      <c r="BJ45" s="697"/>
      <c r="BK45" s="698"/>
      <c r="BL45" s="699"/>
      <c r="BM45" s="700"/>
      <c r="BN45" s="701"/>
      <c r="BO45" s="700"/>
      <c r="BP45" s="701"/>
      <c r="BQ45" s="700"/>
      <c r="BR45" s="701"/>
      <c r="BS45" s="702"/>
      <c r="BT45" s="693"/>
      <c r="BU45" s="694"/>
      <c r="BV45" s="695"/>
      <c r="BW45" s="696"/>
      <c r="BX45" s="697"/>
      <c r="BY45" s="698"/>
      <c r="BZ45" s="699"/>
      <c r="CA45" s="700"/>
      <c r="CB45" s="701"/>
      <c r="CC45" s="700"/>
      <c r="CD45" s="701"/>
      <c r="CE45" s="700"/>
      <c r="CF45" s="701"/>
      <c r="CG45" s="702"/>
      <c r="CH45" s="693"/>
      <c r="CI45" s="694"/>
      <c r="CJ45" s="695"/>
      <c r="CK45" s="696"/>
      <c r="CL45" s="697"/>
      <c r="CM45" s="698"/>
      <c r="CN45" s="699"/>
      <c r="CO45" s="700"/>
      <c r="CP45" s="701"/>
      <c r="CQ45" s="700"/>
      <c r="CR45" s="701"/>
      <c r="CS45" s="700"/>
      <c r="CT45" s="701"/>
      <c r="CU45" s="702"/>
      <c r="CV45" s="693"/>
      <c r="CW45" s="694"/>
      <c r="CX45" s="695"/>
      <c r="CY45" s="696"/>
      <c r="CZ45" s="697"/>
      <c r="DA45" s="698"/>
      <c r="DB45" s="699"/>
      <c r="DC45" s="700"/>
      <c r="DD45" s="701"/>
      <c r="DE45" s="700"/>
      <c r="DF45" s="701"/>
      <c r="DG45" s="700"/>
      <c r="DH45" s="701"/>
      <c r="DI45" s="702"/>
      <c r="DJ45" s="693"/>
      <c r="DK45" s="694"/>
      <c r="DL45" s="695"/>
      <c r="DM45" s="696"/>
      <c r="DN45" s="697"/>
      <c r="DO45" s="698"/>
      <c r="DP45" s="699"/>
      <c r="DQ45" s="700"/>
      <c r="DR45" s="701"/>
      <c r="DS45" s="700"/>
      <c r="DT45" s="701"/>
      <c r="DU45" s="700"/>
      <c r="DV45" s="701"/>
      <c r="DW45" s="702"/>
      <c r="DX45" s="693"/>
      <c r="DY45" s="694"/>
      <c r="DZ45" s="695"/>
      <c r="EA45" s="696"/>
      <c r="EB45" s="697"/>
      <c r="EC45" s="698"/>
      <c r="ED45" s="699"/>
      <c r="EE45" s="700"/>
      <c r="EF45" s="701"/>
      <c r="EG45" s="700"/>
      <c r="EH45" s="701"/>
      <c r="EI45" s="700"/>
      <c r="EJ45" s="701"/>
      <c r="EK45" s="702"/>
      <c r="EL45" s="693"/>
      <c r="EM45" s="694"/>
      <c r="EN45" s="695"/>
      <c r="EO45" s="696"/>
      <c r="EP45" s="697"/>
      <c r="EQ45" s="698"/>
      <c r="ER45" s="699"/>
      <c r="ES45" s="700"/>
      <c r="ET45" s="701"/>
      <c r="EU45" s="700"/>
      <c r="EV45" s="701"/>
      <c r="EW45" s="700"/>
      <c r="EX45" s="701"/>
      <c r="EY45" s="702"/>
      <c r="EZ45" s="693"/>
      <c r="FA45" s="694"/>
      <c r="FB45" s="695"/>
      <c r="FC45" s="696"/>
      <c r="FD45" s="697"/>
      <c r="FE45" s="698"/>
      <c r="FF45" s="699"/>
      <c r="FG45" s="700"/>
      <c r="FH45" s="701"/>
      <c r="FI45" s="700"/>
      <c r="FJ45" s="701"/>
      <c r="FK45" s="700"/>
      <c r="FL45" s="701"/>
      <c r="FM45" s="702"/>
      <c r="FN45" s="693"/>
      <c r="FO45" s="694"/>
      <c r="FP45" s="695"/>
      <c r="FQ45" s="696"/>
      <c r="FR45" s="697"/>
      <c r="FS45" s="698"/>
      <c r="FT45" s="699"/>
      <c r="FU45" s="700"/>
      <c r="FV45" s="701"/>
      <c r="FW45" s="700"/>
      <c r="FX45" s="701"/>
      <c r="FY45" s="700"/>
      <c r="FZ45" s="701"/>
      <c r="GA45" s="702"/>
      <c r="GB45" s="693"/>
      <c r="GC45" s="694"/>
      <c r="GD45" s="695"/>
      <c r="GE45" s="696"/>
      <c r="GF45" s="697"/>
      <c r="GG45" s="698"/>
      <c r="GH45" s="699"/>
      <c r="GI45" s="700"/>
      <c r="GJ45" s="701"/>
      <c r="GK45" s="700"/>
      <c r="GL45" s="701"/>
      <c r="GM45" s="700"/>
      <c r="GN45" s="701"/>
      <c r="GO45" s="702"/>
      <c r="GP45" s="693"/>
      <c r="GQ45" s="694"/>
      <c r="GR45" s="695"/>
      <c r="GS45" s="696"/>
      <c r="GT45" s="697"/>
      <c r="GU45" s="698"/>
      <c r="GV45" s="699"/>
      <c r="GW45" s="700"/>
      <c r="GX45" s="701"/>
      <c r="GY45" s="700"/>
      <c r="GZ45" s="701"/>
      <c r="HA45" s="700"/>
      <c r="HB45" s="701"/>
      <c r="HC45" s="702"/>
      <c r="HD45" s="693"/>
      <c r="HE45" s="694"/>
      <c r="HF45" s="695"/>
      <c r="HG45" s="696"/>
      <c r="HH45" s="697"/>
      <c r="HI45" s="693"/>
      <c r="HJ45" s="704"/>
      <c r="HK45" s="696"/>
      <c r="HL45" s="697"/>
      <c r="HM45" s="698"/>
      <c r="HN45" s="699"/>
      <c r="HO45" s="700"/>
      <c r="HP45" s="701"/>
      <c r="HQ45" s="700"/>
      <c r="HR45" s="701"/>
      <c r="HS45" s="700"/>
      <c r="HT45" s="701"/>
      <c r="HU45" s="702"/>
      <c r="HV45" s="693"/>
      <c r="HW45" s="694"/>
      <c r="HX45" s="695"/>
      <c r="HY45" s="696"/>
      <c r="HZ45" s="697"/>
      <c r="IA45" s="693"/>
      <c r="IB45" s="704"/>
      <c r="IC45" s="696"/>
      <c r="ID45" s="697"/>
      <c r="IE45" s="698"/>
      <c r="IF45" s="699"/>
      <c r="IG45" s="700"/>
      <c r="IH45" s="701"/>
      <c r="II45" s="700"/>
      <c r="IJ45" s="701"/>
      <c r="IK45" s="700"/>
      <c r="IL45" s="701"/>
      <c r="IM45" s="702"/>
      <c r="IN45" s="346"/>
    </row>
    <row r="46" spans="1:248" x14ac:dyDescent="0.25">
      <c r="A46" s="692">
        <f t="shared" si="0"/>
        <v>32</v>
      </c>
      <c r="B46" s="693"/>
      <c r="C46" s="694"/>
      <c r="D46" s="695"/>
      <c r="E46" s="696"/>
      <c r="F46" s="697"/>
      <c r="G46" s="698"/>
      <c r="H46" s="699"/>
      <c r="I46" s="700"/>
      <c r="J46" s="701"/>
      <c r="K46" s="700"/>
      <c r="L46" s="701"/>
      <c r="M46" s="700"/>
      <c r="N46" s="701"/>
      <c r="O46" s="702"/>
      <c r="P46" s="693"/>
      <c r="Q46" s="694"/>
      <c r="R46" s="695"/>
      <c r="S46" s="696"/>
      <c r="T46" s="697"/>
      <c r="U46" s="698"/>
      <c r="V46" s="699"/>
      <c r="W46" s="700"/>
      <c r="X46" s="701"/>
      <c r="Y46" s="700"/>
      <c r="Z46" s="701"/>
      <c r="AA46" s="700"/>
      <c r="AB46" s="701"/>
      <c r="AC46" s="702"/>
      <c r="AD46" s="693"/>
      <c r="AE46" s="694"/>
      <c r="AF46" s="695"/>
      <c r="AG46" s="696"/>
      <c r="AH46" s="697"/>
      <c r="AI46" s="698"/>
      <c r="AJ46" s="699"/>
      <c r="AK46" s="700"/>
      <c r="AL46" s="701"/>
      <c r="AM46" s="700"/>
      <c r="AN46" s="701"/>
      <c r="AO46" s="700"/>
      <c r="AP46" s="701"/>
      <c r="AQ46" s="702"/>
      <c r="AR46" s="693"/>
      <c r="AS46" s="694"/>
      <c r="AT46" s="695"/>
      <c r="AU46" s="696"/>
      <c r="AV46" s="697"/>
      <c r="AW46" s="698"/>
      <c r="AX46" s="699"/>
      <c r="AY46" s="700"/>
      <c r="AZ46" s="701"/>
      <c r="BA46" s="700"/>
      <c r="BB46" s="701"/>
      <c r="BC46" s="700"/>
      <c r="BD46" s="701"/>
      <c r="BE46" s="702"/>
      <c r="BF46" s="693"/>
      <c r="BG46" s="694"/>
      <c r="BH46" s="695"/>
      <c r="BI46" s="696"/>
      <c r="BJ46" s="697"/>
      <c r="BK46" s="698"/>
      <c r="BL46" s="699"/>
      <c r="BM46" s="700"/>
      <c r="BN46" s="701"/>
      <c r="BO46" s="700"/>
      <c r="BP46" s="701"/>
      <c r="BQ46" s="700"/>
      <c r="BR46" s="701"/>
      <c r="BS46" s="702"/>
      <c r="BT46" s="693"/>
      <c r="BU46" s="694"/>
      <c r="BV46" s="695"/>
      <c r="BW46" s="696"/>
      <c r="BX46" s="697"/>
      <c r="BY46" s="698"/>
      <c r="BZ46" s="699"/>
      <c r="CA46" s="700"/>
      <c r="CB46" s="701"/>
      <c r="CC46" s="700"/>
      <c r="CD46" s="701"/>
      <c r="CE46" s="700"/>
      <c r="CF46" s="701"/>
      <c r="CG46" s="702"/>
      <c r="CH46" s="693"/>
      <c r="CI46" s="694"/>
      <c r="CJ46" s="695"/>
      <c r="CK46" s="696"/>
      <c r="CL46" s="697"/>
      <c r="CM46" s="698"/>
      <c r="CN46" s="699"/>
      <c r="CO46" s="700"/>
      <c r="CP46" s="701"/>
      <c r="CQ46" s="700"/>
      <c r="CR46" s="701"/>
      <c r="CS46" s="700"/>
      <c r="CT46" s="701"/>
      <c r="CU46" s="702"/>
      <c r="CV46" s="693"/>
      <c r="CW46" s="694"/>
      <c r="CX46" s="695"/>
      <c r="CY46" s="696"/>
      <c r="CZ46" s="697"/>
      <c r="DA46" s="698"/>
      <c r="DB46" s="699"/>
      <c r="DC46" s="700"/>
      <c r="DD46" s="701"/>
      <c r="DE46" s="700"/>
      <c r="DF46" s="701"/>
      <c r="DG46" s="700"/>
      <c r="DH46" s="701"/>
      <c r="DI46" s="702"/>
      <c r="DJ46" s="693"/>
      <c r="DK46" s="694"/>
      <c r="DL46" s="695"/>
      <c r="DM46" s="696"/>
      <c r="DN46" s="697"/>
      <c r="DO46" s="698"/>
      <c r="DP46" s="699"/>
      <c r="DQ46" s="700"/>
      <c r="DR46" s="701"/>
      <c r="DS46" s="700"/>
      <c r="DT46" s="701"/>
      <c r="DU46" s="700"/>
      <c r="DV46" s="701"/>
      <c r="DW46" s="702"/>
      <c r="DX46" s="693"/>
      <c r="DY46" s="694"/>
      <c r="DZ46" s="695"/>
      <c r="EA46" s="696"/>
      <c r="EB46" s="697"/>
      <c r="EC46" s="698"/>
      <c r="ED46" s="699"/>
      <c r="EE46" s="700"/>
      <c r="EF46" s="701"/>
      <c r="EG46" s="700"/>
      <c r="EH46" s="701"/>
      <c r="EI46" s="700"/>
      <c r="EJ46" s="701"/>
      <c r="EK46" s="702"/>
      <c r="EL46" s="693"/>
      <c r="EM46" s="694"/>
      <c r="EN46" s="695"/>
      <c r="EO46" s="696"/>
      <c r="EP46" s="697"/>
      <c r="EQ46" s="698"/>
      <c r="ER46" s="699"/>
      <c r="ES46" s="700"/>
      <c r="ET46" s="701"/>
      <c r="EU46" s="700"/>
      <c r="EV46" s="701"/>
      <c r="EW46" s="700"/>
      <c r="EX46" s="701"/>
      <c r="EY46" s="702"/>
      <c r="EZ46" s="693"/>
      <c r="FA46" s="694"/>
      <c r="FB46" s="695"/>
      <c r="FC46" s="696"/>
      <c r="FD46" s="697"/>
      <c r="FE46" s="698"/>
      <c r="FF46" s="699"/>
      <c r="FG46" s="700"/>
      <c r="FH46" s="701"/>
      <c r="FI46" s="700"/>
      <c r="FJ46" s="701"/>
      <c r="FK46" s="700"/>
      <c r="FL46" s="701"/>
      <c r="FM46" s="702"/>
      <c r="FN46" s="693"/>
      <c r="FO46" s="694"/>
      <c r="FP46" s="695"/>
      <c r="FQ46" s="696"/>
      <c r="FR46" s="697"/>
      <c r="FS46" s="698"/>
      <c r="FT46" s="699"/>
      <c r="FU46" s="700"/>
      <c r="FV46" s="701"/>
      <c r="FW46" s="700"/>
      <c r="FX46" s="701"/>
      <c r="FY46" s="700"/>
      <c r="FZ46" s="701"/>
      <c r="GA46" s="702"/>
      <c r="GB46" s="693"/>
      <c r="GC46" s="694"/>
      <c r="GD46" s="695"/>
      <c r="GE46" s="696"/>
      <c r="GF46" s="697"/>
      <c r="GG46" s="698"/>
      <c r="GH46" s="699"/>
      <c r="GI46" s="700"/>
      <c r="GJ46" s="701"/>
      <c r="GK46" s="700"/>
      <c r="GL46" s="701"/>
      <c r="GM46" s="700"/>
      <c r="GN46" s="701"/>
      <c r="GO46" s="702"/>
      <c r="GP46" s="693"/>
      <c r="GQ46" s="694"/>
      <c r="GR46" s="695"/>
      <c r="GS46" s="696"/>
      <c r="GT46" s="697"/>
      <c r="GU46" s="698"/>
      <c r="GV46" s="699"/>
      <c r="GW46" s="700"/>
      <c r="GX46" s="701"/>
      <c r="GY46" s="700"/>
      <c r="GZ46" s="701"/>
      <c r="HA46" s="700"/>
      <c r="HB46" s="701"/>
      <c r="HC46" s="702"/>
      <c r="HD46" s="693"/>
      <c r="HE46" s="694"/>
      <c r="HF46" s="695"/>
      <c r="HG46" s="696"/>
      <c r="HH46" s="697"/>
      <c r="HI46" s="693"/>
      <c r="HJ46" s="704"/>
      <c r="HK46" s="696"/>
      <c r="HL46" s="697"/>
      <c r="HM46" s="698"/>
      <c r="HN46" s="699"/>
      <c r="HO46" s="700"/>
      <c r="HP46" s="701"/>
      <c r="HQ46" s="700"/>
      <c r="HR46" s="701"/>
      <c r="HS46" s="700"/>
      <c r="HT46" s="701"/>
      <c r="HU46" s="702"/>
      <c r="HV46" s="693"/>
      <c r="HW46" s="694"/>
      <c r="HX46" s="695"/>
      <c r="HY46" s="696"/>
      <c r="HZ46" s="697"/>
      <c r="IA46" s="693"/>
      <c r="IB46" s="704"/>
      <c r="IC46" s="696"/>
      <c r="ID46" s="697"/>
      <c r="IE46" s="698"/>
      <c r="IF46" s="699"/>
      <c r="IG46" s="700"/>
      <c r="IH46" s="701"/>
      <c r="II46" s="700"/>
      <c r="IJ46" s="701"/>
      <c r="IK46" s="700"/>
      <c r="IL46" s="701"/>
      <c r="IM46" s="702"/>
      <c r="IN46" s="346"/>
    </row>
    <row r="47" spans="1:248" x14ac:dyDescent="0.25">
      <c r="A47" s="692">
        <f t="shared" si="0"/>
        <v>33</v>
      </c>
      <c r="B47" s="693"/>
      <c r="C47" s="694"/>
      <c r="D47" s="695"/>
      <c r="E47" s="696"/>
      <c r="F47" s="697"/>
      <c r="G47" s="698"/>
      <c r="H47" s="699"/>
      <c r="I47" s="700"/>
      <c r="J47" s="701"/>
      <c r="K47" s="700"/>
      <c r="L47" s="701"/>
      <c r="M47" s="700"/>
      <c r="N47" s="701"/>
      <c r="O47" s="702"/>
      <c r="P47" s="693"/>
      <c r="Q47" s="694"/>
      <c r="R47" s="695"/>
      <c r="S47" s="696"/>
      <c r="T47" s="697"/>
      <c r="U47" s="698"/>
      <c r="V47" s="699"/>
      <c r="W47" s="700"/>
      <c r="X47" s="701"/>
      <c r="Y47" s="700"/>
      <c r="Z47" s="701"/>
      <c r="AA47" s="700"/>
      <c r="AB47" s="701"/>
      <c r="AC47" s="702"/>
      <c r="AD47" s="693"/>
      <c r="AE47" s="694"/>
      <c r="AF47" s="695"/>
      <c r="AG47" s="696"/>
      <c r="AH47" s="697"/>
      <c r="AI47" s="698"/>
      <c r="AJ47" s="699"/>
      <c r="AK47" s="700"/>
      <c r="AL47" s="701"/>
      <c r="AM47" s="700"/>
      <c r="AN47" s="701"/>
      <c r="AO47" s="700"/>
      <c r="AP47" s="701"/>
      <c r="AQ47" s="702"/>
      <c r="AR47" s="693"/>
      <c r="AS47" s="694"/>
      <c r="AT47" s="695"/>
      <c r="AU47" s="696"/>
      <c r="AV47" s="697"/>
      <c r="AW47" s="698"/>
      <c r="AX47" s="699"/>
      <c r="AY47" s="700"/>
      <c r="AZ47" s="701"/>
      <c r="BA47" s="700"/>
      <c r="BB47" s="701"/>
      <c r="BC47" s="700"/>
      <c r="BD47" s="701"/>
      <c r="BE47" s="702"/>
      <c r="BF47" s="693"/>
      <c r="BG47" s="694"/>
      <c r="BH47" s="695"/>
      <c r="BI47" s="696"/>
      <c r="BJ47" s="697"/>
      <c r="BK47" s="698"/>
      <c r="BL47" s="699"/>
      <c r="BM47" s="700"/>
      <c r="BN47" s="701"/>
      <c r="BO47" s="700"/>
      <c r="BP47" s="701"/>
      <c r="BQ47" s="700"/>
      <c r="BR47" s="701"/>
      <c r="BS47" s="702"/>
      <c r="BT47" s="693"/>
      <c r="BU47" s="694"/>
      <c r="BV47" s="695"/>
      <c r="BW47" s="696"/>
      <c r="BX47" s="697"/>
      <c r="BY47" s="698"/>
      <c r="BZ47" s="699"/>
      <c r="CA47" s="700"/>
      <c r="CB47" s="701"/>
      <c r="CC47" s="700"/>
      <c r="CD47" s="701"/>
      <c r="CE47" s="700"/>
      <c r="CF47" s="701"/>
      <c r="CG47" s="702"/>
      <c r="CH47" s="693"/>
      <c r="CI47" s="694"/>
      <c r="CJ47" s="695"/>
      <c r="CK47" s="696"/>
      <c r="CL47" s="697"/>
      <c r="CM47" s="698"/>
      <c r="CN47" s="699"/>
      <c r="CO47" s="700"/>
      <c r="CP47" s="701"/>
      <c r="CQ47" s="700"/>
      <c r="CR47" s="701"/>
      <c r="CS47" s="700"/>
      <c r="CT47" s="701"/>
      <c r="CU47" s="702"/>
      <c r="CV47" s="693"/>
      <c r="CW47" s="694"/>
      <c r="CX47" s="695"/>
      <c r="CY47" s="696"/>
      <c r="CZ47" s="697"/>
      <c r="DA47" s="698"/>
      <c r="DB47" s="699"/>
      <c r="DC47" s="700"/>
      <c r="DD47" s="701"/>
      <c r="DE47" s="700"/>
      <c r="DF47" s="701"/>
      <c r="DG47" s="700"/>
      <c r="DH47" s="701"/>
      <c r="DI47" s="702"/>
      <c r="DJ47" s="693"/>
      <c r="DK47" s="694"/>
      <c r="DL47" s="695"/>
      <c r="DM47" s="696"/>
      <c r="DN47" s="697"/>
      <c r="DO47" s="698"/>
      <c r="DP47" s="699"/>
      <c r="DQ47" s="700"/>
      <c r="DR47" s="701"/>
      <c r="DS47" s="700"/>
      <c r="DT47" s="701"/>
      <c r="DU47" s="700"/>
      <c r="DV47" s="701"/>
      <c r="DW47" s="702"/>
      <c r="DX47" s="693"/>
      <c r="DY47" s="694"/>
      <c r="DZ47" s="695"/>
      <c r="EA47" s="696"/>
      <c r="EB47" s="697"/>
      <c r="EC47" s="698"/>
      <c r="ED47" s="699"/>
      <c r="EE47" s="700"/>
      <c r="EF47" s="701"/>
      <c r="EG47" s="700"/>
      <c r="EH47" s="701"/>
      <c r="EI47" s="700"/>
      <c r="EJ47" s="701"/>
      <c r="EK47" s="702"/>
      <c r="EL47" s="693"/>
      <c r="EM47" s="694"/>
      <c r="EN47" s="695"/>
      <c r="EO47" s="696"/>
      <c r="EP47" s="697"/>
      <c r="EQ47" s="698"/>
      <c r="ER47" s="699"/>
      <c r="ES47" s="700"/>
      <c r="ET47" s="701"/>
      <c r="EU47" s="700"/>
      <c r="EV47" s="701"/>
      <c r="EW47" s="700"/>
      <c r="EX47" s="701"/>
      <c r="EY47" s="702"/>
      <c r="EZ47" s="693"/>
      <c r="FA47" s="694"/>
      <c r="FB47" s="695"/>
      <c r="FC47" s="696"/>
      <c r="FD47" s="697"/>
      <c r="FE47" s="698"/>
      <c r="FF47" s="699"/>
      <c r="FG47" s="700"/>
      <c r="FH47" s="701"/>
      <c r="FI47" s="700"/>
      <c r="FJ47" s="701"/>
      <c r="FK47" s="700"/>
      <c r="FL47" s="701"/>
      <c r="FM47" s="702"/>
      <c r="FN47" s="693"/>
      <c r="FO47" s="694"/>
      <c r="FP47" s="695"/>
      <c r="FQ47" s="696"/>
      <c r="FR47" s="697"/>
      <c r="FS47" s="698"/>
      <c r="FT47" s="699"/>
      <c r="FU47" s="700"/>
      <c r="FV47" s="701"/>
      <c r="FW47" s="700"/>
      <c r="FX47" s="701"/>
      <c r="FY47" s="700"/>
      <c r="FZ47" s="701"/>
      <c r="GA47" s="702"/>
      <c r="GB47" s="693"/>
      <c r="GC47" s="694"/>
      <c r="GD47" s="695"/>
      <c r="GE47" s="696"/>
      <c r="GF47" s="697"/>
      <c r="GG47" s="698"/>
      <c r="GH47" s="699"/>
      <c r="GI47" s="700"/>
      <c r="GJ47" s="701"/>
      <c r="GK47" s="700"/>
      <c r="GL47" s="701"/>
      <c r="GM47" s="700"/>
      <c r="GN47" s="701"/>
      <c r="GO47" s="702"/>
      <c r="GP47" s="693"/>
      <c r="GQ47" s="694"/>
      <c r="GR47" s="695"/>
      <c r="GS47" s="696"/>
      <c r="GT47" s="697"/>
      <c r="GU47" s="698"/>
      <c r="GV47" s="699"/>
      <c r="GW47" s="700"/>
      <c r="GX47" s="701"/>
      <c r="GY47" s="700"/>
      <c r="GZ47" s="701"/>
      <c r="HA47" s="700"/>
      <c r="HB47" s="701"/>
      <c r="HC47" s="702"/>
      <c r="HD47" s="693"/>
      <c r="HE47" s="694"/>
      <c r="HF47" s="695"/>
      <c r="HG47" s="696"/>
      <c r="HH47" s="697"/>
      <c r="HI47" s="693"/>
      <c r="HJ47" s="704"/>
      <c r="HK47" s="696"/>
      <c r="HL47" s="697"/>
      <c r="HM47" s="698"/>
      <c r="HN47" s="699"/>
      <c r="HO47" s="700"/>
      <c r="HP47" s="701"/>
      <c r="HQ47" s="700"/>
      <c r="HR47" s="701"/>
      <c r="HS47" s="700"/>
      <c r="HT47" s="701"/>
      <c r="HU47" s="702"/>
      <c r="HV47" s="693"/>
      <c r="HW47" s="694"/>
      <c r="HX47" s="695"/>
      <c r="HY47" s="696"/>
      <c r="HZ47" s="697"/>
      <c r="IA47" s="693"/>
      <c r="IB47" s="704"/>
      <c r="IC47" s="696"/>
      <c r="ID47" s="697"/>
      <c r="IE47" s="698"/>
      <c r="IF47" s="699"/>
      <c r="IG47" s="700"/>
      <c r="IH47" s="701"/>
      <c r="II47" s="700"/>
      <c r="IJ47" s="701"/>
      <c r="IK47" s="700"/>
      <c r="IL47" s="701"/>
      <c r="IM47" s="702"/>
      <c r="IN47" s="346"/>
    </row>
    <row r="48" spans="1:248" x14ac:dyDescent="0.25">
      <c r="A48" s="692">
        <f t="shared" si="0"/>
        <v>34</v>
      </c>
      <c r="B48" s="693"/>
      <c r="C48" s="694"/>
      <c r="D48" s="695"/>
      <c r="E48" s="696"/>
      <c r="F48" s="697"/>
      <c r="G48" s="698"/>
      <c r="H48" s="699"/>
      <c r="I48" s="700"/>
      <c r="J48" s="701"/>
      <c r="K48" s="700"/>
      <c r="L48" s="701"/>
      <c r="M48" s="700"/>
      <c r="N48" s="701"/>
      <c r="O48" s="702"/>
      <c r="P48" s="693"/>
      <c r="Q48" s="694"/>
      <c r="R48" s="695"/>
      <c r="S48" s="696"/>
      <c r="T48" s="697"/>
      <c r="U48" s="698"/>
      <c r="V48" s="699"/>
      <c r="W48" s="700"/>
      <c r="X48" s="701"/>
      <c r="Y48" s="700"/>
      <c r="Z48" s="701"/>
      <c r="AA48" s="700"/>
      <c r="AB48" s="701"/>
      <c r="AC48" s="702"/>
      <c r="AD48" s="693"/>
      <c r="AE48" s="694"/>
      <c r="AF48" s="695"/>
      <c r="AG48" s="696"/>
      <c r="AH48" s="697"/>
      <c r="AI48" s="698"/>
      <c r="AJ48" s="699"/>
      <c r="AK48" s="700"/>
      <c r="AL48" s="701"/>
      <c r="AM48" s="700"/>
      <c r="AN48" s="701"/>
      <c r="AO48" s="700"/>
      <c r="AP48" s="701"/>
      <c r="AQ48" s="702"/>
      <c r="AR48" s="693"/>
      <c r="AS48" s="694"/>
      <c r="AT48" s="695"/>
      <c r="AU48" s="696"/>
      <c r="AV48" s="697"/>
      <c r="AW48" s="698"/>
      <c r="AX48" s="699"/>
      <c r="AY48" s="700"/>
      <c r="AZ48" s="701"/>
      <c r="BA48" s="700"/>
      <c r="BB48" s="701"/>
      <c r="BC48" s="700"/>
      <c r="BD48" s="701"/>
      <c r="BE48" s="702"/>
      <c r="BF48" s="693"/>
      <c r="BG48" s="694"/>
      <c r="BH48" s="695"/>
      <c r="BI48" s="696"/>
      <c r="BJ48" s="697"/>
      <c r="BK48" s="698"/>
      <c r="BL48" s="699"/>
      <c r="BM48" s="700"/>
      <c r="BN48" s="701"/>
      <c r="BO48" s="700"/>
      <c r="BP48" s="701"/>
      <c r="BQ48" s="700"/>
      <c r="BR48" s="701"/>
      <c r="BS48" s="702"/>
      <c r="BT48" s="693"/>
      <c r="BU48" s="694"/>
      <c r="BV48" s="695"/>
      <c r="BW48" s="696"/>
      <c r="BX48" s="697"/>
      <c r="BY48" s="698"/>
      <c r="BZ48" s="699"/>
      <c r="CA48" s="700"/>
      <c r="CB48" s="701"/>
      <c r="CC48" s="700"/>
      <c r="CD48" s="701"/>
      <c r="CE48" s="700"/>
      <c r="CF48" s="701"/>
      <c r="CG48" s="702"/>
      <c r="CH48" s="693"/>
      <c r="CI48" s="694"/>
      <c r="CJ48" s="695"/>
      <c r="CK48" s="696"/>
      <c r="CL48" s="697"/>
      <c r="CM48" s="698"/>
      <c r="CN48" s="699"/>
      <c r="CO48" s="700"/>
      <c r="CP48" s="701"/>
      <c r="CQ48" s="700"/>
      <c r="CR48" s="701"/>
      <c r="CS48" s="700"/>
      <c r="CT48" s="701"/>
      <c r="CU48" s="702"/>
      <c r="CV48" s="693"/>
      <c r="CW48" s="694"/>
      <c r="CX48" s="695"/>
      <c r="CY48" s="696"/>
      <c r="CZ48" s="697"/>
      <c r="DA48" s="698"/>
      <c r="DB48" s="699"/>
      <c r="DC48" s="700"/>
      <c r="DD48" s="701"/>
      <c r="DE48" s="700"/>
      <c r="DF48" s="701"/>
      <c r="DG48" s="700"/>
      <c r="DH48" s="701"/>
      <c r="DI48" s="702"/>
      <c r="DJ48" s="693"/>
      <c r="DK48" s="694"/>
      <c r="DL48" s="695"/>
      <c r="DM48" s="696"/>
      <c r="DN48" s="697"/>
      <c r="DO48" s="698"/>
      <c r="DP48" s="699"/>
      <c r="DQ48" s="700"/>
      <c r="DR48" s="701"/>
      <c r="DS48" s="700"/>
      <c r="DT48" s="701"/>
      <c r="DU48" s="700"/>
      <c r="DV48" s="701"/>
      <c r="DW48" s="702"/>
      <c r="DX48" s="693"/>
      <c r="DY48" s="694"/>
      <c r="DZ48" s="695"/>
      <c r="EA48" s="696"/>
      <c r="EB48" s="697"/>
      <c r="EC48" s="698"/>
      <c r="ED48" s="699"/>
      <c r="EE48" s="700"/>
      <c r="EF48" s="701"/>
      <c r="EG48" s="700"/>
      <c r="EH48" s="701"/>
      <c r="EI48" s="700"/>
      <c r="EJ48" s="701"/>
      <c r="EK48" s="702"/>
      <c r="EL48" s="693"/>
      <c r="EM48" s="694"/>
      <c r="EN48" s="695"/>
      <c r="EO48" s="696"/>
      <c r="EP48" s="697"/>
      <c r="EQ48" s="698"/>
      <c r="ER48" s="699"/>
      <c r="ES48" s="700"/>
      <c r="ET48" s="701"/>
      <c r="EU48" s="700"/>
      <c r="EV48" s="701"/>
      <c r="EW48" s="700"/>
      <c r="EX48" s="701"/>
      <c r="EY48" s="702"/>
      <c r="EZ48" s="693"/>
      <c r="FA48" s="694"/>
      <c r="FB48" s="695"/>
      <c r="FC48" s="696"/>
      <c r="FD48" s="697"/>
      <c r="FE48" s="698"/>
      <c r="FF48" s="699"/>
      <c r="FG48" s="700"/>
      <c r="FH48" s="701"/>
      <c r="FI48" s="700"/>
      <c r="FJ48" s="701"/>
      <c r="FK48" s="700"/>
      <c r="FL48" s="701"/>
      <c r="FM48" s="702"/>
      <c r="FN48" s="693"/>
      <c r="FO48" s="694"/>
      <c r="FP48" s="695"/>
      <c r="FQ48" s="696"/>
      <c r="FR48" s="697"/>
      <c r="FS48" s="698"/>
      <c r="FT48" s="699"/>
      <c r="FU48" s="700"/>
      <c r="FV48" s="701"/>
      <c r="FW48" s="700"/>
      <c r="FX48" s="701"/>
      <c r="FY48" s="700"/>
      <c r="FZ48" s="701"/>
      <c r="GA48" s="702"/>
      <c r="GB48" s="693"/>
      <c r="GC48" s="694"/>
      <c r="GD48" s="695"/>
      <c r="GE48" s="696"/>
      <c r="GF48" s="697"/>
      <c r="GG48" s="698"/>
      <c r="GH48" s="699"/>
      <c r="GI48" s="700"/>
      <c r="GJ48" s="701"/>
      <c r="GK48" s="700"/>
      <c r="GL48" s="701"/>
      <c r="GM48" s="700"/>
      <c r="GN48" s="701"/>
      <c r="GO48" s="702"/>
      <c r="GP48" s="693"/>
      <c r="GQ48" s="694"/>
      <c r="GR48" s="695"/>
      <c r="GS48" s="696"/>
      <c r="GT48" s="697"/>
      <c r="GU48" s="698"/>
      <c r="GV48" s="699"/>
      <c r="GW48" s="700"/>
      <c r="GX48" s="701"/>
      <c r="GY48" s="700"/>
      <c r="GZ48" s="701"/>
      <c r="HA48" s="700"/>
      <c r="HB48" s="701"/>
      <c r="HC48" s="702"/>
      <c r="HD48" s="693"/>
      <c r="HE48" s="694"/>
      <c r="HF48" s="695"/>
      <c r="HG48" s="696"/>
      <c r="HH48" s="697"/>
      <c r="HI48" s="693"/>
      <c r="HJ48" s="704"/>
      <c r="HK48" s="696"/>
      <c r="HL48" s="697"/>
      <c r="HM48" s="698"/>
      <c r="HN48" s="699"/>
      <c r="HO48" s="700"/>
      <c r="HP48" s="701"/>
      <c r="HQ48" s="700"/>
      <c r="HR48" s="701"/>
      <c r="HS48" s="700"/>
      <c r="HT48" s="701"/>
      <c r="HU48" s="702"/>
      <c r="HV48" s="693"/>
      <c r="HW48" s="694"/>
      <c r="HX48" s="695"/>
      <c r="HY48" s="696"/>
      <c r="HZ48" s="697"/>
      <c r="IA48" s="693"/>
      <c r="IB48" s="704"/>
      <c r="IC48" s="696"/>
      <c r="ID48" s="697"/>
      <c r="IE48" s="698"/>
      <c r="IF48" s="699"/>
      <c r="IG48" s="700"/>
      <c r="IH48" s="701"/>
      <c r="II48" s="700"/>
      <c r="IJ48" s="701"/>
      <c r="IK48" s="700"/>
      <c r="IL48" s="701"/>
      <c r="IM48" s="702"/>
      <c r="IN48" s="346"/>
    </row>
    <row r="49" spans="1:248" x14ac:dyDescent="0.25">
      <c r="A49" s="692">
        <f t="shared" si="0"/>
        <v>35</v>
      </c>
      <c r="B49" s="693"/>
      <c r="C49" s="694"/>
      <c r="D49" s="695"/>
      <c r="E49" s="696"/>
      <c r="F49" s="697"/>
      <c r="G49" s="698"/>
      <c r="H49" s="699"/>
      <c r="I49" s="700"/>
      <c r="J49" s="701"/>
      <c r="K49" s="700"/>
      <c r="L49" s="701"/>
      <c r="M49" s="700"/>
      <c r="N49" s="701"/>
      <c r="O49" s="702"/>
      <c r="P49" s="693"/>
      <c r="Q49" s="694"/>
      <c r="R49" s="695"/>
      <c r="S49" s="696"/>
      <c r="T49" s="697"/>
      <c r="U49" s="698"/>
      <c r="V49" s="699"/>
      <c r="W49" s="700"/>
      <c r="X49" s="701"/>
      <c r="Y49" s="700"/>
      <c r="Z49" s="701"/>
      <c r="AA49" s="700"/>
      <c r="AB49" s="701"/>
      <c r="AC49" s="702"/>
      <c r="AD49" s="693"/>
      <c r="AE49" s="694"/>
      <c r="AF49" s="695"/>
      <c r="AG49" s="696"/>
      <c r="AH49" s="697"/>
      <c r="AI49" s="698"/>
      <c r="AJ49" s="699"/>
      <c r="AK49" s="700"/>
      <c r="AL49" s="701"/>
      <c r="AM49" s="700"/>
      <c r="AN49" s="701"/>
      <c r="AO49" s="700"/>
      <c r="AP49" s="701"/>
      <c r="AQ49" s="702"/>
      <c r="AR49" s="693"/>
      <c r="AS49" s="694"/>
      <c r="AT49" s="695"/>
      <c r="AU49" s="696"/>
      <c r="AV49" s="697"/>
      <c r="AW49" s="698"/>
      <c r="AX49" s="699"/>
      <c r="AY49" s="700"/>
      <c r="AZ49" s="701"/>
      <c r="BA49" s="700"/>
      <c r="BB49" s="701"/>
      <c r="BC49" s="700"/>
      <c r="BD49" s="701"/>
      <c r="BE49" s="702"/>
      <c r="BF49" s="693"/>
      <c r="BG49" s="694"/>
      <c r="BH49" s="695"/>
      <c r="BI49" s="696"/>
      <c r="BJ49" s="697"/>
      <c r="BK49" s="698"/>
      <c r="BL49" s="699"/>
      <c r="BM49" s="700"/>
      <c r="BN49" s="701"/>
      <c r="BO49" s="700"/>
      <c r="BP49" s="701"/>
      <c r="BQ49" s="700"/>
      <c r="BR49" s="701"/>
      <c r="BS49" s="702"/>
      <c r="BT49" s="693"/>
      <c r="BU49" s="694"/>
      <c r="BV49" s="695"/>
      <c r="BW49" s="696"/>
      <c r="BX49" s="697"/>
      <c r="BY49" s="698"/>
      <c r="BZ49" s="699"/>
      <c r="CA49" s="700"/>
      <c r="CB49" s="701"/>
      <c r="CC49" s="700"/>
      <c r="CD49" s="701"/>
      <c r="CE49" s="700"/>
      <c r="CF49" s="701"/>
      <c r="CG49" s="702"/>
      <c r="CH49" s="693"/>
      <c r="CI49" s="694"/>
      <c r="CJ49" s="695"/>
      <c r="CK49" s="696"/>
      <c r="CL49" s="697"/>
      <c r="CM49" s="698"/>
      <c r="CN49" s="699"/>
      <c r="CO49" s="700"/>
      <c r="CP49" s="701"/>
      <c r="CQ49" s="700"/>
      <c r="CR49" s="701"/>
      <c r="CS49" s="700"/>
      <c r="CT49" s="701"/>
      <c r="CU49" s="702"/>
      <c r="CV49" s="693"/>
      <c r="CW49" s="694"/>
      <c r="CX49" s="695"/>
      <c r="CY49" s="696"/>
      <c r="CZ49" s="697"/>
      <c r="DA49" s="698"/>
      <c r="DB49" s="699"/>
      <c r="DC49" s="700"/>
      <c r="DD49" s="701"/>
      <c r="DE49" s="700"/>
      <c r="DF49" s="701"/>
      <c r="DG49" s="700"/>
      <c r="DH49" s="701"/>
      <c r="DI49" s="702"/>
      <c r="DJ49" s="693"/>
      <c r="DK49" s="694"/>
      <c r="DL49" s="695"/>
      <c r="DM49" s="696"/>
      <c r="DN49" s="697"/>
      <c r="DO49" s="698"/>
      <c r="DP49" s="699"/>
      <c r="DQ49" s="700"/>
      <c r="DR49" s="701"/>
      <c r="DS49" s="700"/>
      <c r="DT49" s="701"/>
      <c r="DU49" s="700"/>
      <c r="DV49" s="701"/>
      <c r="DW49" s="702"/>
      <c r="DX49" s="693"/>
      <c r="DY49" s="694"/>
      <c r="DZ49" s="695"/>
      <c r="EA49" s="696"/>
      <c r="EB49" s="697"/>
      <c r="EC49" s="698"/>
      <c r="ED49" s="699"/>
      <c r="EE49" s="700"/>
      <c r="EF49" s="701"/>
      <c r="EG49" s="700"/>
      <c r="EH49" s="701"/>
      <c r="EI49" s="700"/>
      <c r="EJ49" s="701"/>
      <c r="EK49" s="702"/>
      <c r="EL49" s="693"/>
      <c r="EM49" s="694"/>
      <c r="EN49" s="695"/>
      <c r="EO49" s="696"/>
      <c r="EP49" s="697"/>
      <c r="EQ49" s="698"/>
      <c r="ER49" s="699"/>
      <c r="ES49" s="700"/>
      <c r="ET49" s="701"/>
      <c r="EU49" s="700"/>
      <c r="EV49" s="701"/>
      <c r="EW49" s="700"/>
      <c r="EX49" s="701"/>
      <c r="EY49" s="702"/>
      <c r="EZ49" s="693"/>
      <c r="FA49" s="694"/>
      <c r="FB49" s="695"/>
      <c r="FC49" s="696"/>
      <c r="FD49" s="697"/>
      <c r="FE49" s="698"/>
      <c r="FF49" s="699"/>
      <c r="FG49" s="700"/>
      <c r="FH49" s="701"/>
      <c r="FI49" s="700"/>
      <c r="FJ49" s="701"/>
      <c r="FK49" s="700"/>
      <c r="FL49" s="701"/>
      <c r="FM49" s="702"/>
      <c r="FN49" s="693"/>
      <c r="FO49" s="694"/>
      <c r="FP49" s="695"/>
      <c r="FQ49" s="696"/>
      <c r="FR49" s="697"/>
      <c r="FS49" s="698"/>
      <c r="FT49" s="699"/>
      <c r="FU49" s="700"/>
      <c r="FV49" s="701"/>
      <c r="FW49" s="700"/>
      <c r="FX49" s="701"/>
      <c r="FY49" s="700"/>
      <c r="FZ49" s="701"/>
      <c r="GA49" s="702"/>
      <c r="GB49" s="693"/>
      <c r="GC49" s="694"/>
      <c r="GD49" s="695"/>
      <c r="GE49" s="696"/>
      <c r="GF49" s="697"/>
      <c r="GG49" s="698"/>
      <c r="GH49" s="699"/>
      <c r="GI49" s="700"/>
      <c r="GJ49" s="701"/>
      <c r="GK49" s="700"/>
      <c r="GL49" s="701"/>
      <c r="GM49" s="700"/>
      <c r="GN49" s="701"/>
      <c r="GO49" s="702"/>
      <c r="GP49" s="693"/>
      <c r="GQ49" s="694"/>
      <c r="GR49" s="695"/>
      <c r="GS49" s="696"/>
      <c r="GT49" s="697"/>
      <c r="GU49" s="698"/>
      <c r="GV49" s="699"/>
      <c r="GW49" s="700"/>
      <c r="GX49" s="701"/>
      <c r="GY49" s="700"/>
      <c r="GZ49" s="701"/>
      <c r="HA49" s="700"/>
      <c r="HB49" s="701"/>
      <c r="HC49" s="702"/>
      <c r="HD49" s="693"/>
      <c r="HE49" s="694"/>
      <c r="HF49" s="695"/>
      <c r="HG49" s="696"/>
      <c r="HH49" s="697"/>
      <c r="HI49" s="693"/>
      <c r="HJ49" s="704"/>
      <c r="HK49" s="696"/>
      <c r="HL49" s="697"/>
      <c r="HM49" s="698"/>
      <c r="HN49" s="699"/>
      <c r="HO49" s="700"/>
      <c r="HP49" s="701"/>
      <c r="HQ49" s="700"/>
      <c r="HR49" s="701"/>
      <c r="HS49" s="700"/>
      <c r="HT49" s="701"/>
      <c r="HU49" s="702"/>
      <c r="HV49" s="693"/>
      <c r="HW49" s="694"/>
      <c r="HX49" s="695"/>
      <c r="HY49" s="696"/>
      <c r="HZ49" s="697"/>
      <c r="IA49" s="693"/>
      <c r="IB49" s="704"/>
      <c r="IC49" s="696"/>
      <c r="ID49" s="697"/>
      <c r="IE49" s="698"/>
      <c r="IF49" s="699"/>
      <c r="IG49" s="700"/>
      <c r="IH49" s="701"/>
      <c r="II49" s="700"/>
      <c r="IJ49" s="701"/>
      <c r="IK49" s="700"/>
      <c r="IL49" s="701"/>
      <c r="IM49" s="702"/>
      <c r="IN49" s="346"/>
    </row>
    <row r="50" spans="1:248" x14ac:dyDescent="0.25">
      <c r="A50" s="692">
        <f t="shared" si="0"/>
        <v>36</v>
      </c>
      <c r="B50" s="693"/>
      <c r="C50" s="694"/>
      <c r="D50" s="695"/>
      <c r="E50" s="696"/>
      <c r="F50" s="697"/>
      <c r="G50" s="698"/>
      <c r="H50" s="699"/>
      <c r="I50" s="700"/>
      <c r="J50" s="701"/>
      <c r="K50" s="700"/>
      <c r="L50" s="701"/>
      <c r="M50" s="700"/>
      <c r="N50" s="701"/>
      <c r="O50" s="702"/>
      <c r="P50" s="693"/>
      <c r="Q50" s="694"/>
      <c r="R50" s="695"/>
      <c r="S50" s="696"/>
      <c r="T50" s="697"/>
      <c r="U50" s="698"/>
      <c r="V50" s="699"/>
      <c r="W50" s="700"/>
      <c r="X50" s="701"/>
      <c r="Y50" s="700"/>
      <c r="Z50" s="701"/>
      <c r="AA50" s="700"/>
      <c r="AB50" s="701"/>
      <c r="AC50" s="702"/>
      <c r="AD50" s="693"/>
      <c r="AE50" s="694"/>
      <c r="AF50" s="695"/>
      <c r="AG50" s="696"/>
      <c r="AH50" s="697"/>
      <c r="AI50" s="698"/>
      <c r="AJ50" s="699"/>
      <c r="AK50" s="700"/>
      <c r="AL50" s="701"/>
      <c r="AM50" s="700"/>
      <c r="AN50" s="701"/>
      <c r="AO50" s="700"/>
      <c r="AP50" s="701"/>
      <c r="AQ50" s="702"/>
      <c r="AR50" s="693"/>
      <c r="AS50" s="694"/>
      <c r="AT50" s="695"/>
      <c r="AU50" s="696"/>
      <c r="AV50" s="697"/>
      <c r="AW50" s="698"/>
      <c r="AX50" s="699"/>
      <c r="AY50" s="700"/>
      <c r="AZ50" s="701"/>
      <c r="BA50" s="700"/>
      <c r="BB50" s="701"/>
      <c r="BC50" s="700"/>
      <c r="BD50" s="701"/>
      <c r="BE50" s="702"/>
      <c r="BF50" s="693"/>
      <c r="BG50" s="694"/>
      <c r="BH50" s="695"/>
      <c r="BI50" s="696"/>
      <c r="BJ50" s="697"/>
      <c r="BK50" s="698"/>
      <c r="BL50" s="699"/>
      <c r="BM50" s="700"/>
      <c r="BN50" s="701"/>
      <c r="BO50" s="700"/>
      <c r="BP50" s="701"/>
      <c r="BQ50" s="700"/>
      <c r="BR50" s="701"/>
      <c r="BS50" s="702"/>
      <c r="BT50" s="693"/>
      <c r="BU50" s="694"/>
      <c r="BV50" s="695"/>
      <c r="BW50" s="696"/>
      <c r="BX50" s="697"/>
      <c r="BY50" s="698"/>
      <c r="BZ50" s="699"/>
      <c r="CA50" s="700"/>
      <c r="CB50" s="701"/>
      <c r="CC50" s="700"/>
      <c r="CD50" s="701"/>
      <c r="CE50" s="700"/>
      <c r="CF50" s="701"/>
      <c r="CG50" s="702"/>
      <c r="CH50" s="693"/>
      <c r="CI50" s="694"/>
      <c r="CJ50" s="695"/>
      <c r="CK50" s="696"/>
      <c r="CL50" s="697"/>
      <c r="CM50" s="698"/>
      <c r="CN50" s="699"/>
      <c r="CO50" s="700"/>
      <c r="CP50" s="701"/>
      <c r="CQ50" s="700"/>
      <c r="CR50" s="701"/>
      <c r="CS50" s="700"/>
      <c r="CT50" s="701"/>
      <c r="CU50" s="702"/>
      <c r="CV50" s="693"/>
      <c r="CW50" s="694"/>
      <c r="CX50" s="695"/>
      <c r="CY50" s="696"/>
      <c r="CZ50" s="697"/>
      <c r="DA50" s="698"/>
      <c r="DB50" s="699"/>
      <c r="DC50" s="700"/>
      <c r="DD50" s="701"/>
      <c r="DE50" s="700"/>
      <c r="DF50" s="701"/>
      <c r="DG50" s="700"/>
      <c r="DH50" s="701"/>
      <c r="DI50" s="702"/>
      <c r="DJ50" s="693"/>
      <c r="DK50" s="694"/>
      <c r="DL50" s="695"/>
      <c r="DM50" s="696"/>
      <c r="DN50" s="697"/>
      <c r="DO50" s="698"/>
      <c r="DP50" s="699"/>
      <c r="DQ50" s="700"/>
      <c r="DR50" s="701"/>
      <c r="DS50" s="700"/>
      <c r="DT50" s="701"/>
      <c r="DU50" s="700"/>
      <c r="DV50" s="701"/>
      <c r="DW50" s="702"/>
      <c r="DX50" s="693"/>
      <c r="DY50" s="694"/>
      <c r="DZ50" s="695"/>
      <c r="EA50" s="696"/>
      <c r="EB50" s="697"/>
      <c r="EC50" s="698"/>
      <c r="ED50" s="699"/>
      <c r="EE50" s="700"/>
      <c r="EF50" s="701"/>
      <c r="EG50" s="700"/>
      <c r="EH50" s="701"/>
      <c r="EI50" s="700"/>
      <c r="EJ50" s="701"/>
      <c r="EK50" s="702"/>
      <c r="EL50" s="693"/>
      <c r="EM50" s="694"/>
      <c r="EN50" s="695"/>
      <c r="EO50" s="696"/>
      <c r="EP50" s="697"/>
      <c r="EQ50" s="698"/>
      <c r="ER50" s="699"/>
      <c r="ES50" s="700"/>
      <c r="ET50" s="701"/>
      <c r="EU50" s="700"/>
      <c r="EV50" s="701"/>
      <c r="EW50" s="700"/>
      <c r="EX50" s="701"/>
      <c r="EY50" s="702"/>
      <c r="EZ50" s="693"/>
      <c r="FA50" s="694"/>
      <c r="FB50" s="695"/>
      <c r="FC50" s="696"/>
      <c r="FD50" s="697"/>
      <c r="FE50" s="698"/>
      <c r="FF50" s="699"/>
      <c r="FG50" s="700"/>
      <c r="FH50" s="701"/>
      <c r="FI50" s="700"/>
      <c r="FJ50" s="701"/>
      <c r="FK50" s="700"/>
      <c r="FL50" s="701"/>
      <c r="FM50" s="702"/>
      <c r="FN50" s="693"/>
      <c r="FO50" s="694"/>
      <c r="FP50" s="695"/>
      <c r="FQ50" s="696"/>
      <c r="FR50" s="697"/>
      <c r="FS50" s="698"/>
      <c r="FT50" s="699"/>
      <c r="FU50" s="700"/>
      <c r="FV50" s="701"/>
      <c r="FW50" s="700"/>
      <c r="FX50" s="701"/>
      <c r="FY50" s="700"/>
      <c r="FZ50" s="701"/>
      <c r="GA50" s="702"/>
      <c r="GB50" s="693"/>
      <c r="GC50" s="694"/>
      <c r="GD50" s="695"/>
      <c r="GE50" s="696"/>
      <c r="GF50" s="697"/>
      <c r="GG50" s="698"/>
      <c r="GH50" s="699"/>
      <c r="GI50" s="700"/>
      <c r="GJ50" s="701"/>
      <c r="GK50" s="700"/>
      <c r="GL50" s="701"/>
      <c r="GM50" s="700"/>
      <c r="GN50" s="701"/>
      <c r="GO50" s="702"/>
      <c r="GP50" s="693"/>
      <c r="GQ50" s="694"/>
      <c r="GR50" s="695"/>
      <c r="GS50" s="696"/>
      <c r="GT50" s="697"/>
      <c r="GU50" s="698"/>
      <c r="GV50" s="699"/>
      <c r="GW50" s="700"/>
      <c r="GX50" s="701"/>
      <c r="GY50" s="700"/>
      <c r="GZ50" s="701"/>
      <c r="HA50" s="700"/>
      <c r="HB50" s="701"/>
      <c r="HC50" s="702"/>
      <c r="HD50" s="693"/>
      <c r="HE50" s="694"/>
      <c r="HF50" s="695"/>
      <c r="HG50" s="696"/>
      <c r="HH50" s="697"/>
      <c r="HI50" s="693"/>
      <c r="HJ50" s="704"/>
      <c r="HK50" s="696"/>
      <c r="HL50" s="697"/>
      <c r="HM50" s="698"/>
      <c r="HN50" s="699"/>
      <c r="HO50" s="700"/>
      <c r="HP50" s="701"/>
      <c r="HQ50" s="700"/>
      <c r="HR50" s="701"/>
      <c r="HS50" s="700"/>
      <c r="HT50" s="701"/>
      <c r="HU50" s="702"/>
      <c r="HV50" s="693"/>
      <c r="HW50" s="694"/>
      <c r="HX50" s="695"/>
      <c r="HY50" s="696"/>
      <c r="HZ50" s="697"/>
      <c r="IA50" s="693"/>
      <c r="IB50" s="704"/>
      <c r="IC50" s="696"/>
      <c r="ID50" s="697"/>
      <c r="IE50" s="698"/>
      <c r="IF50" s="699"/>
      <c r="IG50" s="700"/>
      <c r="IH50" s="701"/>
      <c r="II50" s="700"/>
      <c r="IJ50" s="701"/>
      <c r="IK50" s="700"/>
      <c r="IL50" s="701"/>
      <c r="IM50" s="702"/>
      <c r="IN50" s="346"/>
    </row>
    <row r="51" spans="1:248" x14ac:dyDescent="0.25">
      <c r="A51" s="692">
        <f t="shared" si="0"/>
        <v>37</v>
      </c>
      <c r="B51" s="693"/>
      <c r="C51" s="694"/>
      <c r="D51" s="695"/>
      <c r="E51" s="696"/>
      <c r="F51" s="697"/>
      <c r="G51" s="698"/>
      <c r="H51" s="699"/>
      <c r="I51" s="700"/>
      <c r="J51" s="701"/>
      <c r="K51" s="700"/>
      <c r="L51" s="701"/>
      <c r="M51" s="700"/>
      <c r="N51" s="701"/>
      <c r="O51" s="702"/>
      <c r="P51" s="693"/>
      <c r="Q51" s="694"/>
      <c r="R51" s="695"/>
      <c r="S51" s="696"/>
      <c r="T51" s="697"/>
      <c r="U51" s="698"/>
      <c r="V51" s="699"/>
      <c r="W51" s="700"/>
      <c r="X51" s="701"/>
      <c r="Y51" s="700"/>
      <c r="Z51" s="701"/>
      <c r="AA51" s="700"/>
      <c r="AB51" s="701"/>
      <c r="AC51" s="702"/>
      <c r="AD51" s="693"/>
      <c r="AE51" s="694"/>
      <c r="AF51" s="695"/>
      <c r="AG51" s="696"/>
      <c r="AH51" s="697"/>
      <c r="AI51" s="698"/>
      <c r="AJ51" s="699"/>
      <c r="AK51" s="700"/>
      <c r="AL51" s="701"/>
      <c r="AM51" s="700"/>
      <c r="AN51" s="701"/>
      <c r="AO51" s="700"/>
      <c r="AP51" s="701"/>
      <c r="AQ51" s="702"/>
      <c r="AR51" s="693"/>
      <c r="AS51" s="694"/>
      <c r="AT51" s="695"/>
      <c r="AU51" s="696"/>
      <c r="AV51" s="697"/>
      <c r="AW51" s="698"/>
      <c r="AX51" s="699"/>
      <c r="AY51" s="700"/>
      <c r="AZ51" s="701"/>
      <c r="BA51" s="700"/>
      <c r="BB51" s="701"/>
      <c r="BC51" s="700"/>
      <c r="BD51" s="701"/>
      <c r="BE51" s="702"/>
      <c r="BF51" s="693"/>
      <c r="BG51" s="694"/>
      <c r="BH51" s="695"/>
      <c r="BI51" s="696"/>
      <c r="BJ51" s="697"/>
      <c r="BK51" s="698"/>
      <c r="BL51" s="699"/>
      <c r="BM51" s="700"/>
      <c r="BN51" s="701"/>
      <c r="BO51" s="700"/>
      <c r="BP51" s="701"/>
      <c r="BQ51" s="700"/>
      <c r="BR51" s="701"/>
      <c r="BS51" s="702"/>
      <c r="BT51" s="693"/>
      <c r="BU51" s="694"/>
      <c r="BV51" s="695"/>
      <c r="BW51" s="696"/>
      <c r="BX51" s="697"/>
      <c r="BY51" s="698"/>
      <c r="BZ51" s="699"/>
      <c r="CA51" s="700"/>
      <c r="CB51" s="701"/>
      <c r="CC51" s="700"/>
      <c r="CD51" s="701"/>
      <c r="CE51" s="700"/>
      <c r="CF51" s="701"/>
      <c r="CG51" s="702"/>
      <c r="CH51" s="693"/>
      <c r="CI51" s="694"/>
      <c r="CJ51" s="695"/>
      <c r="CK51" s="696"/>
      <c r="CL51" s="697"/>
      <c r="CM51" s="698"/>
      <c r="CN51" s="699"/>
      <c r="CO51" s="700"/>
      <c r="CP51" s="701"/>
      <c r="CQ51" s="700"/>
      <c r="CR51" s="701"/>
      <c r="CS51" s="700"/>
      <c r="CT51" s="701"/>
      <c r="CU51" s="702"/>
      <c r="CV51" s="693"/>
      <c r="CW51" s="694"/>
      <c r="CX51" s="695"/>
      <c r="CY51" s="696"/>
      <c r="CZ51" s="697"/>
      <c r="DA51" s="698"/>
      <c r="DB51" s="699"/>
      <c r="DC51" s="700"/>
      <c r="DD51" s="701"/>
      <c r="DE51" s="700"/>
      <c r="DF51" s="701"/>
      <c r="DG51" s="700"/>
      <c r="DH51" s="701"/>
      <c r="DI51" s="702"/>
      <c r="DJ51" s="693"/>
      <c r="DK51" s="694"/>
      <c r="DL51" s="695"/>
      <c r="DM51" s="696"/>
      <c r="DN51" s="697"/>
      <c r="DO51" s="698"/>
      <c r="DP51" s="699"/>
      <c r="DQ51" s="700"/>
      <c r="DR51" s="701"/>
      <c r="DS51" s="700"/>
      <c r="DT51" s="701"/>
      <c r="DU51" s="700"/>
      <c r="DV51" s="701"/>
      <c r="DW51" s="702"/>
      <c r="DX51" s="693"/>
      <c r="DY51" s="694"/>
      <c r="DZ51" s="695"/>
      <c r="EA51" s="696"/>
      <c r="EB51" s="697"/>
      <c r="EC51" s="698"/>
      <c r="ED51" s="699"/>
      <c r="EE51" s="700"/>
      <c r="EF51" s="701"/>
      <c r="EG51" s="700"/>
      <c r="EH51" s="701"/>
      <c r="EI51" s="700"/>
      <c r="EJ51" s="701"/>
      <c r="EK51" s="702"/>
      <c r="EL51" s="693"/>
      <c r="EM51" s="694"/>
      <c r="EN51" s="695"/>
      <c r="EO51" s="696"/>
      <c r="EP51" s="697"/>
      <c r="EQ51" s="698"/>
      <c r="ER51" s="699"/>
      <c r="ES51" s="700"/>
      <c r="ET51" s="701"/>
      <c r="EU51" s="700"/>
      <c r="EV51" s="701"/>
      <c r="EW51" s="700"/>
      <c r="EX51" s="701"/>
      <c r="EY51" s="702"/>
      <c r="EZ51" s="693"/>
      <c r="FA51" s="694"/>
      <c r="FB51" s="695"/>
      <c r="FC51" s="696"/>
      <c r="FD51" s="697"/>
      <c r="FE51" s="698"/>
      <c r="FF51" s="699"/>
      <c r="FG51" s="700"/>
      <c r="FH51" s="701"/>
      <c r="FI51" s="700"/>
      <c r="FJ51" s="701"/>
      <c r="FK51" s="700"/>
      <c r="FL51" s="701"/>
      <c r="FM51" s="702"/>
      <c r="FN51" s="693"/>
      <c r="FO51" s="694"/>
      <c r="FP51" s="695"/>
      <c r="FQ51" s="696"/>
      <c r="FR51" s="697"/>
      <c r="FS51" s="698"/>
      <c r="FT51" s="699"/>
      <c r="FU51" s="700"/>
      <c r="FV51" s="701"/>
      <c r="FW51" s="700"/>
      <c r="FX51" s="701"/>
      <c r="FY51" s="700"/>
      <c r="FZ51" s="701"/>
      <c r="GA51" s="702"/>
      <c r="GB51" s="693"/>
      <c r="GC51" s="694"/>
      <c r="GD51" s="695"/>
      <c r="GE51" s="696"/>
      <c r="GF51" s="697"/>
      <c r="GG51" s="698"/>
      <c r="GH51" s="699"/>
      <c r="GI51" s="700"/>
      <c r="GJ51" s="701"/>
      <c r="GK51" s="700"/>
      <c r="GL51" s="701"/>
      <c r="GM51" s="700"/>
      <c r="GN51" s="701"/>
      <c r="GO51" s="702"/>
      <c r="GP51" s="693"/>
      <c r="GQ51" s="694"/>
      <c r="GR51" s="695"/>
      <c r="GS51" s="696"/>
      <c r="GT51" s="697"/>
      <c r="GU51" s="698"/>
      <c r="GV51" s="699"/>
      <c r="GW51" s="700"/>
      <c r="GX51" s="701"/>
      <c r="GY51" s="700"/>
      <c r="GZ51" s="701"/>
      <c r="HA51" s="700"/>
      <c r="HB51" s="701"/>
      <c r="HC51" s="702"/>
      <c r="HD51" s="693"/>
      <c r="HE51" s="694"/>
      <c r="HF51" s="695"/>
      <c r="HG51" s="696"/>
      <c r="HH51" s="697"/>
      <c r="HI51" s="693"/>
      <c r="HJ51" s="704"/>
      <c r="HK51" s="696"/>
      <c r="HL51" s="697"/>
      <c r="HM51" s="698"/>
      <c r="HN51" s="699"/>
      <c r="HO51" s="700"/>
      <c r="HP51" s="701"/>
      <c r="HQ51" s="700"/>
      <c r="HR51" s="701"/>
      <c r="HS51" s="700"/>
      <c r="HT51" s="701"/>
      <c r="HU51" s="702"/>
      <c r="HV51" s="693"/>
      <c r="HW51" s="694"/>
      <c r="HX51" s="695"/>
      <c r="HY51" s="696"/>
      <c r="HZ51" s="697"/>
      <c r="IA51" s="693"/>
      <c r="IB51" s="704"/>
      <c r="IC51" s="696"/>
      <c r="ID51" s="697"/>
      <c r="IE51" s="698"/>
      <c r="IF51" s="699"/>
      <c r="IG51" s="700"/>
      <c r="IH51" s="701"/>
      <c r="II51" s="700"/>
      <c r="IJ51" s="701"/>
      <c r="IK51" s="700"/>
      <c r="IL51" s="701"/>
      <c r="IM51" s="702"/>
      <c r="IN51" s="346"/>
    </row>
    <row r="52" spans="1:248" x14ac:dyDescent="0.25">
      <c r="A52" s="692">
        <f t="shared" si="0"/>
        <v>38</v>
      </c>
      <c r="B52" s="693"/>
      <c r="C52" s="694"/>
      <c r="D52" s="695"/>
      <c r="E52" s="696"/>
      <c r="F52" s="697"/>
      <c r="G52" s="698"/>
      <c r="H52" s="699"/>
      <c r="I52" s="700"/>
      <c r="J52" s="701"/>
      <c r="K52" s="700"/>
      <c r="L52" s="701"/>
      <c r="M52" s="700"/>
      <c r="N52" s="701"/>
      <c r="O52" s="702"/>
      <c r="P52" s="693"/>
      <c r="Q52" s="694"/>
      <c r="R52" s="695"/>
      <c r="S52" s="696"/>
      <c r="T52" s="697"/>
      <c r="U52" s="698"/>
      <c r="V52" s="699"/>
      <c r="W52" s="700"/>
      <c r="X52" s="701"/>
      <c r="Y52" s="700"/>
      <c r="Z52" s="701"/>
      <c r="AA52" s="700"/>
      <c r="AB52" s="701"/>
      <c r="AC52" s="702"/>
      <c r="AD52" s="693"/>
      <c r="AE52" s="694"/>
      <c r="AF52" s="695"/>
      <c r="AG52" s="696"/>
      <c r="AH52" s="697"/>
      <c r="AI52" s="698"/>
      <c r="AJ52" s="699"/>
      <c r="AK52" s="700"/>
      <c r="AL52" s="701"/>
      <c r="AM52" s="700"/>
      <c r="AN52" s="701"/>
      <c r="AO52" s="700"/>
      <c r="AP52" s="701"/>
      <c r="AQ52" s="702"/>
      <c r="AR52" s="693"/>
      <c r="AS52" s="694"/>
      <c r="AT52" s="695"/>
      <c r="AU52" s="696"/>
      <c r="AV52" s="697"/>
      <c r="AW52" s="698"/>
      <c r="AX52" s="699"/>
      <c r="AY52" s="700"/>
      <c r="AZ52" s="701"/>
      <c r="BA52" s="700"/>
      <c r="BB52" s="701"/>
      <c r="BC52" s="700"/>
      <c r="BD52" s="701"/>
      <c r="BE52" s="702"/>
      <c r="BF52" s="693"/>
      <c r="BG52" s="694"/>
      <c r="BH52" s="695"/>
      <c r="BI52" s="696"/>
      <c r="BJ52" s="697"/>
      <c r="BK52" s="698"/>
      <c r="BL52" s="699"/>
      <c r="BM52" s="700"/>
      <c r="BN52" s="701"/>
      <c r="BO52" s="700"/>
      <c r="BP52" s="701"/>
      <c r="BQ52" s="700"/>
      <c r="BR52" s="701"/>
      <c r="BS52" s="702"/>
      <c r="BT52" s="693"/>
      <c r="BU52" s="694"/>
      <c r="BV52" s="695"/>
      <c r="BW52" s="696"/>
      <c r="BX52" s="697"/>
      <c r="BY52" s="698"/>
      <c r="BZ52" s="699"/>
      <c r="CA52" s="700"/>
      <c r="CB52" s="701"/>
      <c r="CC52" s="700"/>
      <c r="CD52" s="701"/>
      <c r="CE52" s="700"/>
      <c r="CF52" s="701"/>
      <c r="CG52" s="702"/>
      <c r="CH52" s="693"/>
      <c r="CI52" s="694"/>
      <c r="CJ52" s="695"/>
      <c r="CK52" s="696"/>
      <c r="CL52" s="697"/>
      <c r="CM52" s="698"/>
      <c r="CN52" s="699"/>
      <c r="CO52" s="700"/>
      <c r="CP52" s="701"/>
      <c r="CQ52" s="700"/>
      <c r="CR52" s="701"/>
      <c r="CS52" s="700"/>
      <c r="CT52" s="701"/>
      <c r="CU52" s="702"/>
      <c r="CV52" s="693"/>
      <c r="CW52" s="694"/>
      <c r="CX52" s="695"/>
      <c r="CY52" s="696"/>
      <c r="CZ52" s="697"/>
      <c r="DA52" s="698"/>
      <c r="DB52" s="699"/>
      <c r="DC52" s="700"/>
      <c r="DD52" s="701"/>
      <c r="DE52" s="700"/>
      <c r="DF52" s="701"/>
      <c r="DG52" s="700"/>
      <c r="DH52" s="701"/>
      <c r="DI52" s="702"/>
      <c r="DJ52" s="693"/>
      <c r="DK52" s="694"/>
      <c r="DL52" s="695"/>
      <c r="DM52" s="696"/>
      <c r="DN52" s="697"/>
      <c r="DO52" s="698"/>
      <c r="DP52" s="699"/>
      <c r="DQ52" s="700"/>
      <c r="DR52" s="701"/>
      <c r="DS52" s="700"/>
      <c r="DT52" s="701"/>
      <c r="DU52" s="700"/>
      <c r="DV52" s="701"/>
      <c r="DW52" s="702"/>
      <c r="DX52" s="693"/>
      <c r="DY52" s="694"/>
      <c r="DZ52" s="695"/>
      <c r="EA52" s="696"/>
      <c r="EB52" s="697"/>
      <c r="EC52" s="698"/>
      <c r="ED52" s="699"/>
      <c r="EE52" s="700"/>
      <c r="EF52" s="701"/>
      <c r="EG52" s="700"/>
      <c r="EH52" s="701"/>
      <c r="EI52" s="700"/>
      <c r="EJ52" s="701"/>
      <c r="EK52" s="702"/>
      <c r="EL52" s="693"/>
      <c r="EM52" s="694"/>
      <c r="EN52" s="695"/>
      <c r="EO52" s="696"/>
      <c r="EP52" s="697"/>
      <c r="EQ52" s="698"/>
      <c r="ER52" s="699"/>
      <c r="ES52" s="700"/>
      <c r="ET52" s="701"/>
      <c r="EU52" s="700"/>
      <c r="EV52" s="701"/>
      <c r="EW52" s="700"/>
      <c r="EX52" s="701"/>
      <c r="EY52" s="702"/>
      <c r="EZ52" s="693"/>
      <c r="FA52" s="694"/>
      <c r="FB52" s="695"/>
      <c r="FC52" s="696"/>
      <c r="FD52" s="697"/>
      <c r="FE52" s="698"/>
      <c r="FF52" s="699"/>
      <c r="FG52" s="700"/>
      <c r="FH52" s="701"/>
      <c r="FI52" s="700"/>
      <c r="FJ52" s="701"/>
      <c r="FK52" s="700"/>
      <c r="FL52" s="701"/>
      <c r="FM52" s="702"/>
      <c r="FN52" s="693"/>
      <c r="FO52" s="694"/>
      <c r="FP52" s="695"/>
      <c r="FQ52" s="696"/>
      <c r="FR52" s="697"/>
      <c r="FS52" s="698"/>
      <c r="FT52" s="699"/>
      <c r="FU52" s="700"/>
      <c r="FV52" s="701"/>
      <c r="FW52" s="700"/>
      <c r="FX52" s="701"/>
      <c r="FY52" s="700"/>
      <c r="FZ52" s="701"/>
      <c r="GA52" s="702"/>
      <c r="GB52" s="693"/>
      <c r="GC52" s="694"/>
      <c r="GD52" s="695"/>
      <c r="GE52" s="696"/>
      <c r="GF52" s="697"/>
      <c r="GG52" s="698"/>
      <c r="GH52" s="699"/>
      <c r="GI52" s="700"/>
      <c r="GJ52" s="701"/>
      <c r="GK52" s="700"/>
      <c r="GL52" s="701"/>
      <c r="GM52" s="700"/>
      <c r="GN52" s="701"/>
      <c r="GO52" s="702"/>
      <c r="GP52" s="693"/>
      <c r="GQ52" s="694"/>
      <c r="GR52" s="695"/>
      <c r="GS52" s="696"/>
      <c r="GT52" s="697"/>
      <c r="GU52" s="698"/>
      <c r="GV52" s="699"/>
      <c r="GW52" s="700"/>
      <c r="GX52" s="701"/>
      <c r="GY52" s="700"/>
      <c r="GZ52" s="701"/>
      <c r="HA52" s="700"/>
      <c r="HB52" s="701"/>
      <c r="HC52" s="702"/>
      <c r="HD52" s="693"/>
      <c r="HE52" s="694"/>
      <c r="HF52" s="695"/>
      <c r="HG52" s="696"/>
      <c r="HH52" s="697"/>
      <c r="HI52" s="693"/>
      <c r="HJ52" s="704"/>
      <c r="HK52" s="696"/>
      <c r="HL52" s="697"/>
      <c r="HM52" s="698"/>
      <c r="HN52" s="699"/>
      <c r="HO52" s="700"/>
      <c r="HP52" s="701"/>
      <c r="HQ52" s="700"/>
      <c r="HR52" s="701"/>
      <c r="HS52" s="700"/>
      <c r="HT52" s="701"/>
      <c r="HU52" s="702"/>
      <c r="HV52" s="693"/>
      <c r="HW52" s="694"/>
      <c r="HX52" s="695"/>
      <c r="HY52" s="696"/>
      <c r="HZ52" s="697"/>
      <c r="IA52" s="693"/>
      <c r="IB52" s="704"/>
      <c r="IC52" s="696"/>
      <c r="ID52" s="697"/>
      <c r="IE52" s="698"/>
      <c r="IF52" s="699"/>
      <c r="IG52" s="700"/>
      <c r="IH52" s="701"/>
      <c r="II52" s="700"/>
      <c r="IJ52" s="701"/>
      <c r="IK52" s="700"/>
      <c r="IL52" s="701"/>
      <c r="IM52" s="702"/>
      <c r="IN52" s="346"/>
    </row>
    <row r="53" spans="1:248" x14ac:dyDescent="0.25">
      <c r="A53" s="692">
        <f t="shared" si="0"/>
        <v>39</v>
      </c>
      <c r="B53" s="693"/>
      <c r="C53" s="694"/>
      <c r="D53" s="695"/>
      <c r="E53" s="696"/>
      <c r="F53" s="697"/>
      <c r="G53" s="698"/>
      <c r="H53" s="699"/>
      <c r="I53" s="700"/>
      <c r="J53" s="701"/>
      <c r="K53" s="700"/>
      <c r="L53" s="701"/>
      <c r="M53" s="700"/>
      <c r="N53" s="701"/>
      <c r="O53" s="702"/>
      <c r="P53" s="693"/>
      <c r="Q53" s="694"/>
      <c r="R53" s="695"/>
      <c r="S53" s="696"/>
      <c r="T53" s="697"/>
      <c r="U53" s="698"/>
      <c r="V53" s="699"/>
      <c r="W53" s="700"/>
      <c r="X53" s="701"/>
      <c r="Y53" s="700"/>
      <c r="Z53" s="701"/>
      <c r="AA53" s="700"/>
      <c r="AB53" s="701"/>
      <c r="AC53" s="702"/>
      <c r="AD53" s="693"/>
      <c r="AE53" s="694"/>
      <c r="AF53" s="695"/>
      <c r="AG53" s="696"/>
      <c r="AH53" s="697"/>
      <c r="AI53" s="698"/>
      <c r="AJ53" s="699"/>
      <c r="AK53" s="700"/>
      <c r="AL53" s="701"/>
      <c r="AM53" s="700"/>
      <c r="AN53" s="701"/>
      <c r="AO53" s="700"/>
      <c r="AP53" s="701"/>
      <c r="AQ53" s="702"/>
      <c r="AR53" s="693"/>
      <c r="AS53" s="694"/>
      <c r="AT53" s="695"/>
      <c r="AU53" s="696"/>
      <c r="AV53" s="697"/>
      <c r="AW53" s="698"/>
      <c r="AX53" s="699"/>
      <c r="AY53" s="700"/>
      <c r="AZ53" s="701"/>
      <c r="BA53" s="700"/>
      <c r="BB53" s="701"/>
      <c r="BC53" s="700"/>
      <c r="BD53" s="701"/>
      <c r="BE53" s="702"/>
      <c r="BF53" s="693"/>
      <c r="BG53" s="694"/>
      <c r="BH53" s="695"/>
      <c r="BI53" s="696"/>
      <c r="BJ53" s="697"/>
      <c r="BK53" s="698"/>
      <c r="BL53" s="699"/>
      <c r="BM53" s="700"/>
      <c r="BN53" s="701"/>
      <c r="BO53" s="700"/>
      <c r="BP53" s="701"/>
      <c r="BQ53" s="700"/>
      <c r="BR53" s="701"/>
      <c r="BS53" s="702"/>
      <c r="BT53" s="693"/>
      <c r="BU53" s="694"/>
      <c r="BV53" s="695"/>
      <c r="BW53" s="696"/>
      <c r="BX53" s="697"/>
      <c r="BY53" s="698"/>
      <c r="BZ53" s="699"/>
      <c r="CA53" s="700"/>
      <c r="CB53" s="701"/>
      <c r="CC53" s="700"/>
      <c r="CD53" s="701"/>
      <c r="CE53" s="700"/>
      <c r="CF53" s="701"/>
      <c r="CG53" s="702"/>
      <c r="CH53" s="693"/>
      <c r="CI53" s="694"/>
      <c r="CJ53" s="695"/>
      <c r="CK53" s="696"/>
      <c r="CL53" s="697"/>
      <c r="CM53" s="698"/>
      <c r="CN53" s="699"/>
      <c r="CO53" s="700"/>
      <c r="CP53" s="701"/>
      <c r="CQ53" s="700"/>
      <c r="CR53" s="701"/>
      <c r="CS53" s="700"/>
      <c r="CT53" s="701"/>
      <c r="CU53" s="702"/>
      <c r="CV53" s="693"/>
      <c r="CW53" s="694"/>
      <c r="CX53" s="695"/>
      <c r="CY53" s="696"/>
      <c r="CZ53" s="697"/>
      <c r="DA53" s="698"/>
      <c r="DB53" s="699"/>
      <c r="DC53" s="700"/>
      <c r="DD53" s="701"/>
      <c r="DE53" s="700"/>
      <c r="DF53" s="701"/>
      <c r="DG53" s="700"/>
      <c r="DH53" s="701"/>
      <c r="DI53" s="702"/>
      <c r="DJ53" s="693"/>
      <c r="DK53" s="694"/>
      <c r="DL53" s="695"/>
      <c r="DM53" s="696"/>
      <c r="DN53" s="697"/>
      <c r="DO53" s="698"/>
      <c r="DP53" s="699"/>
      <c r="DQ53" s="700"/>
      <c r="DR53" s="701"/>
      <c r="DS53" s="700"/>
      <c r="DT53" s="701"/>
      <c r="DU53" s="700"/>
      <c r="DV53" s="701"/>
      <c r="DW53" s="702"/>
      <c r="DX53" s="693"/>
      <c r="DY53" s="694"/>
      <c r="DZ53" s="695"/>
      <c r="EA53" s="696"/>
      <c r="EB53" s="697"/>
      <c r="EC53" s="698"/>
      <c r="ED53" s="699"/>
      <c r="EE53" s="700"/>
      <c r="EF53" s="701"/>
      <c r="EG53" s="700"/>
      <c r="EH53" s="701"/>
      <c r="EI53" s="700"/>
      <c r="EJ53" s="701"/>
      <c r="EK53" s="702"/>
      <c r="EL53" s="693"/>
      <c r="EM53" s="694"/>
      <c r="EN53" s="695"/>
      <c r="EO53" s="696"/>
      <c r="EP53" s="697"/>
      <c r="EQ53" s="698"/>
      <c r="ER53" s="699"/>
      <c r="ES53" s="700"/>
      <c r="ET53" s="701"/>
      <c r="EU53" s="700"/>
      <c r="EV53" s="701"/>
      <c r="EW53" s="700"/>
      <c r="EX53" s="701"/>
      <c r="EY53" s="702"/>
      <c r="EZ53" s="693"/>
      <c r="FA53" s="694"/>
      <c r="FB53" s="695"/>
      <c r="FC53" s="696"/>
      <c r="FD53" s="697"/>
      <c r="FE53" s="698"/>
      <c r="FF53" s="699"/>
      <c r="FG53" s="700"/>
      <c r="FH53" s="701"/>
      <c r="FI53" s="700"/>
      <c r="FJ53" s="701"/>
      <c r="FK53" s="700"/>
      <c r="FL53" s="701"/>
      <c r="FM53" s="702"/>
      <c r="FN53" s="693"/>
      <c r="FO53" s="694"/>
      <c r="FP53" s="695"/>
      <c r="FQ53" s="696"/>
      <c r="FR53" s="697"/>
      <c r="FS53" s="698"/>
      <c r="FT53" s="699"/>
      <c r="FU53" s="700"/>
      <c r="FV53" s="701"/>
      <c r="FW53" s="700"/>
      <c r="FX53" s="701"/>
      <c r="FY53" s="700"/>
      <c r="FZ53" s="701"/>
      <c r="GA53" s="702"/>
      <c r="GB53" s="693"/>
      <c r="GC53" s="694"/>
      <c r="GD53" s="695"/>
      <c r="GE53" s="696"/>
      <c r="GF53" s="697"/>
      <c r="GG53" s="698"/>
      <c r="GH53" s="699"/>
      <c r="GI53" s="700"/>
      <c r="GJ53" s="701"/>
      <c r="GK53" s="700"/>
      <c r="GL53" s="701"/>
      <c r="GM53" s="700"/>
      <c r="GN53" s="701"/>
      <c r="GO53" s="702"/>
      <c r="GP53" s="693"/>
      <c r="GQ53" s="694"/>
      <c r="GR53" s="695"/>
      <c r="GS53" s="696"/>
      <c r="GT53" s="697"/>
      <c r="GU53" s="698"/>
      <c r="GV53" s="699"/>
      <c r="GW53" s="700"/>
      <c r="GX53" s="701"/>
      <c r="GY53" s="700"/>
      <c r="GZ53" s="701"/>
      <c r="HA53" s="700"/>
      <c r="HB53" s="701"/>
      <c r="HC53" s="702"/>
      <c r="HD53" s="693"/>
      <c r="HE53" s="694"/>
      <c r="HF53" s="695"/>
      <c r="HG53" s="696"/>
      <c r="HH53" s="697"/>
      <c r="HI53" s="693"/>
      <c r="HJ53" s="704"/>
      <c r="HK53" s="696"/>
      <c r="HL53" s="697"/>
      <c r="HM53" s="698"/>
      <c r="HN53" s="699"/>
      <c r="HO53" s="700"/>
      <c r="HP53" s="701"/>
      <c r="HQ53" s="700"/>
      <c r="HR53" s="701"/>
      <c r="HS53" s="700"/>
      <c r="HT53" s="701"/>
      <c r="HU53" s="702"/>
      <c r="HV53" s="693"/>
      <c r="HW53" s="694"/>
      <c r="HX53" s="695"/>
      <c r="HY53" s="696"/>
      <c r="HZ53" s="697"/>
      <c r="IA53" s="693"/>
      <c r="IB53" s="704"/>
      <c r="IC53" s="696"/>
      <c r="ID53" s="697"/>
      <c r="IE53" s="698"/>
      <c r="IF53" s="699"/>
      <c r="IG53" s="700"/>
      <c r="IH53" s="701"/>
      <c r="II53" s="700"/>
      <c r="IJ53" s="701"/>
      <c r="IK53" s="700"/>
      <c r="IL53" s="701"/>
      <c r="IM53" s="702"/>
      <c r="IN53" s="346"/>
    </row>
    <row r="54" spans="1:248" x14ac:dyDescent="0.25">
      <c r="A54" s="692">
        <f t="shared" si="0"/>
        <v>40</v>
      </c>
      <c r="B54" s="693"/>
      <c r="C54" s="694"/>
      <c r="D54" s="695"/>
      <c r="E54" s="696"/>
      <c r="F54" s="697"/>
      <c r="G54" s="698"/>
      <c r="H54" s="699"/>
      <c r="I54" s="700"/>
      <c r="J54" s="701"/>
      <c r="K54" s="700"/>
      <c r="L54" s="701"/>
      <c r="M54" s="700"/>
      <c r="N54" s="701"/>
      <c r="O54" s="702"/>
      <c r="P54" s="693"/>
      <c r="Q54" s="694"/>
      <c r="R54" s="695"/>
      <c r="S54" s="696"/>
      <c r="T54" s="697"/>
      <c r="U54" s="698"/>
      <c r="V54" s="699"/>
      <c r="W54" s="700"/>
      <c r="X54" s="701"/>
      <c r="Y54" s="700"/>
      <c r="Z54" s="701"/>
      <c r="AA54" s="700"/>
      <c r="AB54" s="701"/>
      <c r="AC54" s="702"/>
      <c r="AD54" s="693"/>
      <c r="AE54" s="694"/>
      <c r="AF54" s="695"/>
      <c r="AG54" s="696"/>
      <c r="AH54" s="697"/>
      <c r="AI54" s="698"/>
      <c r="AJ54" s="699"/>
      <c r="AK54" s="700"/>
      <c r="AL54" s="701"/>
      <c r="AM54" s="700"/>
      <c r="AN54" s="701"/>
      <c r="AO54" s="700"/>
      <c r="AP54" s="701"/>
      <c r="AQ54" s="702"/>
      <c r="AR54" s="693"/>
      <c r="AS54" s="694"/>
      <c r="AT54" s="695"/>
      <c r="AU54" s="696"/>
      <c r="AV54" s="697"/>
      <c r="AW54" s="698"/>
      <c r="AX54" s="699"/>
      <c r="AY54" s="700"/>
      <c r="AZ54" s="701"/>
      <c r="BA54" s="700"/>
      <c r="BB54" s="701"/>
      <c r="BC54" s="700"/>
      <c r="BD54" s="701"/>
      <c r="BE54" s="702"/>
      <c r="BF54" s="693"/>
      <c r="BG54" s="694"/>
      <c r="BH54" s="695"/>
      <c r="BI54" s="696"/>
      <c r="BJ54" s="697"/>
      <c r="BK54" s="698"/>
      <c r="BL54" s="699"/>
      <c r="BM54" s="700"/>
      <c r="BN54" s="701"/>
      <c r="BO54" s="700"/>
      <c r="BP54" s="701"/>
      <c r="BQ54" s="700"/>
      <c r="BR54" s="701"/>
      <c r="BS54" s="702"/>
      <c r="BT54" s="693"/>
      <c r="BU54" s="694"/>
      <c r="BV54" s="695"/>
      <c r="BW54" s="696"/>
      <c r="BX54" s="697"/>
      <c r="BY54" s="698"/>
      <c r="BZ54" s="699"/>
      <c r="CA54" s="700"/>
      <c r="CB54" s="701"/>
      <c r="CC54" s="700"/>
      <c r="CD54" s="701"/>
      <c r="CE54" s="700"/>
      <c r="CF54" s="701"/>
      <c r="CG54" s="702"/>
      <c r="CH54" s="693"/>
      <c r="CI54" s="694"/>
      <c r="CJ54" s="695"/>
      <c r="CK54" s="696"/>
      <c r="CL54" s="697"/>
      <c r="CM54" s="698"/>
      <c r="CN54" s="699"/>
      <c r="CO54" s="700"/>
      <c r="CP54" s="701"/>
      <c r="CQ54" s="700"/>
      <c r="CR54" s="701"/>
      <c r="CS54" s="700"/>
      <c r="CT54" s="701"/>
      <c r="CU54" s="702"/>
      <c r="CV54" s="693"/>
      <c r="CW54" s="694"/>
      <c r="CX54" s="695"/>
      <c r="CY54" s="696"/>
      <c r="CZ54" s="697"/>
      <c r="DA54" s="698"/>
      <c r="DB54" s="699"/>
      <c r="DC54" s="700"/>
      <c r="DD54" s="701"/>
      <c r="DE54" s="700"/>
      <c r="DF54" s="701"/>
      <c r="DG54" s="700"/>
      <c r="DH54" s="701"/>
      <c r="DI54" s="702"/>
      <c r="DJ54" s="693"/>
      <c r="DK54" s="694"/>
      <c r="DL54" s="695"/>
      <c r="DM54" s="696"/>
      <c r="DN54" s="697"/>
      <c r="DO54" s="698"/>
      <c r="DP54" s="699"/>
      <c r="DQ54" s="700"/>
      <c r="DR54" s="701"/>
      <c r="DS54" s="700"/>
      <c r="DT54" s="701"/>
      <c r="DU54" s="700"/>
      <c r="DV54" s="701"/>
      <c r="DW54" s="702"/>
      <c r="DX54" s="693"/>
      <c r="DY54" s="694"/>
      <c r="DZ54" s="695"/>
      <c r="EA54" s="696"/>
      <c r="EB54" s="697"/>
      <c r="EC54" s="698"/>
      <c r="ED54" s="699"/>
      <c r="EE54" s="700"/>
      <c r="EF54" s="701"/>
      <c r="EG54" s="700"/>
      <c r="EH54" s="701"/>
      <c r="EI54" s="700"/>
      <c r="EJ54" s="701"/>
      <c r="EK54" s="702"/>
      <c r="EL54" s="693"/>
      <c r="EM54" s="694"/>
      <c r="EN54" s="695"/>
      <c r="EO54" s="696"/>
      <c r="EP54" s="697"/>
      <c r="EQ54" s="698"/>
      <c r="ER54" s="699"/>
      <c r="ES54" s="700"/>
      <c r="ET54" s="701"/>
      <c r="EU54" s="700"/>
      <c r="EV54" s="701"/>
      <c r="EW54" s="700"/>
      <c r="EX54" s="701"/>
      <c r="EY54" s="702"/>
      <c r="EZ54" s="693"/>
      <c r="FA54" s="694"/>
      <c r="FB54" s="695"/>
      <c r="FC54" s="696"/>
      <c r="FD54" s="697"/>
      <c r="FE54" s="698"/>
      <c r="FF54" s="699"/>
      <c r="FG54" s="700"/>
      <c r="FH54" s="701"/>
      <c r="FI54" s="700"/>
      <c r="FJ54" s="701"/>
      <c r="FK54" s="700"/>
      <c r="FL54" s="701"/>
      <c r="FM54" s="702"/>
      <c r="FN54" s="693"/>
      <c r="FO54" s="694"/>
      <c r="FP54" s="695"/>
      <c r="FQ54" s="696"/>
      <c r="FR54" s="697"/>
      <c r="FS54" s="698"/>
      <c r="FT54" s="699"/>
      <c r="FU54" s="700"/>
      <c r="FV54" s="701"/>
      <c r="FW54" s="700"/>
      <c r="FX54" s="701"/>
      <c r="FY54" s="700"/>
      <c r="FZ54" s="701"/>
      <c r="GA54" s="702"/>
      <c r="GB54" s="693"/>
      <c r="GC54" s="694"/>
      <c r="GD54" s="695"/>
      <c r="GE54" s="696"/>
      <c r="GF54" s="697"/>
      <c r="GG54" s="698"/>
      <c r="GH54" s="699"/>
      <c r="GI54" s="700"/>
      <c r="GJ54" s="701"/>
      <c r="GK54" s="700"/>
      <c r="GL54" s="701"/>
      <c r="GM54" s="700"/>
      <c r="GN54" s="701"/>
      <c r="GO54" s="702"/>
      <c r="GP54" s="693"/>
      <c r="GQ54" s="694"/>
      <c r="GR54" s="695"/>
      <c r="GS54" s="696"/>
      <c r="GT54" s="697"/>
      <c r="GU54" s="698"/>
      <c r="GV54" s="699"/>
      <c r="GW54" s="700"/>
      <c r="GX54" s="701"/>
      <c r="GY54" s="700"/>
      <c r="GZ54" s="701"/>
      <c r="HA54" s="700"/>
      <c r="HB54" s="701"/>
      <c r="HC54" s="702"/>
      <c r="HD54" s="693"/>
      <c r="HE54" s="694"/>
      <c r="HF54" s="695"/>
      <c r="HG54" s="696"/>
      <c r="HH54" s="697"/>
      <c r="HI54" s="693"/>
      <c r="HJ54" s="704"/>
      <c r="HK54" s="696"/>
      <c r="HL54" s="697"/>
      <c r="HM54" s="698"/>
      <c r="HN54" s="699"/>
      <c r="HO54" s="700"/>
      <c r="HP54" s="701"/>
      <c r="HQ54" s="700"/>
      <c r="HR54" s="701"/>
      <c r="HS54" s="700"/>
      <c r="HT54" s="701"/>
      <c r="HU54" s="702"/>
      <c r="HV54" s="693"/>
      <c r="HW54" s="694"/>
      <c r="HX54" s="695"/>
      <c r="HY54" s="696"/>
      <c r="HZ54" s="697"/>
      <c r="IA54" s="693"/>
      <c r="IB54" s="704"/>
      <c r="IC54" s="696"/>
      <c r="ID54" s="697"/>
      <c r="IE54" s="698"/>
      <c r="IF54" s="699"/>
      <c r="IG54" s="700"/>
      <c r="IH54" s="701"/>
      <c r="II54" s="700"/>
      <c r="IJ54" s="701"/>
      <c r="IK54" s="700"/>
      <c r="IL54" s="701"/>
      <c r="IM54" s="702"/>
      <c r="IN54" s="346"/>
    </row>
    <row r="55" spans="1:248" x14ac:dyDescent="0.25">
      <c r="A55" s="692">
        <f t="shared" si="0"/>
        <v>41</v>
      </c>
      <c r="B55" s="693"/>
      <c r="C55" s="694"/>
      <c r="D55" s="695"/>
      <c r="E55" s="696"/>
      <c r="F55" s="697"/>
      <c r="G55" s="698"/>
      <c r="H55" s="699"/>
      <c r="I55" s="700"/>
      <c r="J55" s="701"/>
      <c r="K55" s="700"/>
      <c r="L55" s="701"/>
      <c r="M55" s="700"/>
      <c r="N55" s="701"/>
      <c r="O55" s="702"/>
      <c r="P55" s="693"/>
      <c r="Q55" s="694"/>
      <c r="R55" s="695"/>
      <c r="S55" s="696"/>
      <c r="T55" s="697"/>
      <c r="U55" s="698"/>
      <c r="V55" s="699"/>
      <c r="W55" s="700"/>
      <c r="X55" s="701"/>
      <c r="Y55" s="700"/>
      <c r="Z55" s="701"/>
      <c r="AA55" s="700"/>
      <c r="AB55" s="701"/>
      <c r="AC55" s="702"/>
      <c r="AD55" s="693"/>
      <c r="AE55" s="694"/>
      <c r="AF55" s="695"/>
      <c r="AG55" s="696"/>
      <c r="AH55" s="697"/>
      <c r="AI55" s="698"/>
      <c r="AJ55" s="699"/>
      <c r="AK55" s="700"/>
      <c r="AL55" s="701"/>
      <c r="AM55" s="700"/>
      <c r="AN55" s="701"/>
      <c r="AO55" s="700"/>
      <c r="AP55" s="701"/>
      <c r="AQ55" s="702"/>
      <c r="AR55" s="693"/>
      <c r="AS55" s="694"/>
      <c r="AT55" s="695"/>
      <c r="AU55" s="696"/>
      <c r="AV55" s="697"/>
      <c r="AW55" s="698"/>
      <c r="AX55" s="699"/>
      <c r="AY55" s="700"/>
      <c r="AZ55" s="701"/>
      <c r="BA55" s="700"/>
      <c r="BB55" s="701"/>
      <c r="BC55" s="700"/>
      <c r="BD55" s="701"/>
      <c r="BE55" s="702"/>
      <c r="BF55" s="693"/>
      <c r="BG55" s="694"/>
      <c r="BH55" s="695"/>
      <c r="BI55" s="696"/>
      <c r="BJ55" s="697"/>
      <c r="BK55" s="698"/>
      <c r="BL55" s="699"/>
      <c r="BM55" s="700"/>
      <c r="BN55" s="701"/>
      <c r="BO55" s="700"/>
      <c r="BP55" s="701"/>
      <c r="BQ55" s="700"/>
      <c r="BR55" s="701"/>
      <c r="BS55" s="702"/>
      <c r="BT55" s="693"/>
      <c r="BU55" s="694"/>
      <c r="BV55" s="695"/>
      <c r="BW55" s="696"/>
      <c r="BX55" s="697"/>
      <c r="BY55" s="698"/>
      <c r="BZ55" s="699"/>
      <c r="CA55" s="700"/>
      <c r="CB55" s="701"/>
      <c r="CC55" s="700"/>
      <c r="CD55" s="701"/>
      <c r="CE55" s="700"/>
      <c r="CF55" s="701"/>
      <c r="CG55" s="702"/>
      <c r="CH55" s="693"/>
      <c r="CI55" s="694"/>
      <c r="CJ55" s="695"/>
      <c r="CK55" s="696"/>
      <c r="CL55" s="697"/>
      <c r="CM55" s="698"/>
      <c r="CN55" s="699"/>
      <c r="CO55" s="700"/>
      <c r="CP55" s="701"/>
      <c r="CQ55" s="700"/>
      <c r="CR55" s="701"/>
      <c r="CS55" s="700"/>
      <c r="CT55" s="701"/>
      <c r="CU55" s="702"/>
      <c r="CV55" s="693"/>
      <c r="CW55" s="694"/>
      <c r="CX55" s="695"/>
      <c r="CY55" s="696"/>
      <c r="CZ55" s="697"/>
      <c r="DA55" s="698"/>
      <c r="DB55" s="699"/>
      <c r="DC55" s="700"/>
      <c r="DD55" s="701"/>
      <c r="DE55" s="700"/>
      <c r="DF55" s="701"/>
      <c r="DG55" s="700"/>
      <c r="DH55" s="701"/>
      <c r="DI55" s="702"/>
      <c r="DJ55" s="693"/>
      <c r="DK55" s="694"/>
      <c r="DL55" s="695"/>
      <c r="DM55" s="696"/>
      <c r="DN55" s="697"/>
      <c r="DO55" s="698"/>
      <c r="DP55" s="699"/>
      <c r="DQ55" s="700"/>
      <c r="DR55" s="701"/>
      <c r="DS55" s="700"/>
      <c r="DT55" s="701"/>
      <c r="DU55" s="700"/>
      <c r="DV55" s="701"/>
      <c r="DW55" s="702"/>
      <c r="DX55" s="693"/>
      <c r="DY55" s="694"/>
      <c r="DZ55" s="695"/>
      <c r="EA55" s="696"/>
      <c r="EB55" s="697"/>
      <c r="EC55" s="698"/>
      <c r="ED55" s="699"/>
      <c r="EE55" s="700"/>
      <c r="EF55" s="701"/>
      <c r="EG55" s="700"/>
      <c r="EH55" s="701"/>
      <c r="EI55" s="700"/>
      <c r="EJ55" s="701"/>
      <c r="EK55" s="702"/>
      <c r="EL55" s="693"/>
      <c r="EM55" s="694"/>
      <c r="EN55" s="695"/>
      <c r="EO55" s="696"/>
      <c r="EP55" s="697"/>
      <c r="EQ55" s="698"/>
      <c r="ER55" s="699"/>
      <c r="ES55" s="700"/>
      <c r="ET55" s="701"/>
      <c r="EU55" s="700"/>
      <c r="EV55" s="701"/>
      <c r="EW55" s="700"/>
      <c r="EX55" s="701"/>
      <c r="EY55" s="702"/>
      <c r="EZ55" s="693"/>
      <c r="FA55" s="694"/>
      <c r="FB55" s="695"/>
      <c r="FC55" s="696"/>
      <c r="FD55" s="697"/>
      <c r="FE55" s="698"/>
      <c r="FF55" s="699"/>
      <c r="FG55" s="700"/>
      <c r="FH55" s="701"/>
      <c r="FI55" s="700"/>
      <c r="FJ55" s="701"/>
      <c r="FK55" s="700"/>
      <c r="FL55" s="701"/>
      <c r="FM55" s="702"/>
      <c r="FN55" s="693"/>
      <c r="FO55" s="694"/>
      <c r="FP55" s="695"/>
      <c r="FQ55" s="696"/>
      <c r="FR55" s="697"/>
      <c r="FS55" s="698"/>
      <c r="FT55" s="699"/>
      <c r="FU55" s="700"/>
      <c r="FV55" s="701"/>
      <c r="FW55" s="700"/>
      <c r="FX55" s="701"/>
      <c r="FY55" s="700"/>
      <c r="FZ55" s="701"/>
      <c r="GA55" s="702"/>
      <c r="GB55" s="693"/>
      <c r="GC55" s="694"/>
      <c r="GD55" s="695"/>
      <c r="GE55" s="696"/>
      <c r="GF55" s="697"/>
      <c r="GG55" s="698"/>
      <c r="GH55" s="699"/>
      <c r="GI55" s="700"/>
      <c r="GJ55" s="701"/>
      <c r="GK55" s="700"/>
      <c r="GL55" s="701"/>
      <c r="GM55" s="700"/>
      <c r="GN55" s="701"/>
      <c r="GO55" s="702"/>
      <c r="GP55" s="693"/>
      <c r="GQ55" s="694"/>
      <c r="GR55" s="695"/>
      <c r="GS55" s="696"/>
      <c r="GT55" s="697"/>
      <c r="GU55" s="698"/>
      <c r="GV55" s="699"/>
      <c r="GW55" s="700"/>
      <c r="GX55" s="701"/>
      <c r="GY55" s="700"/>
      <c r="GZ55" s="701"/>
      <c r="HA55" s="700"/>
      <c r="HB55" s="701"/>
      <c r="HC55" s="702"/>
      <c r="HD55" s="693"/>
      <c r="HE55" s="694"/>
      <c r="HF55" s="695"/>
      <c r="HG55" s="696"/>
      <c r="HH55" s="697"/>
      <c r="HI55" s="705"/>
      <c r="HJ55" s="704"/>
      <c r="HK55" s="696"/>
      <c r="HL55" s="697"/>
      <c r="HM55" s="698"/>
      <c r="HN55" s="699"/>
      <c r="HO55" s="700"/>
      <c r="HP55" s="701"/>
      <c r="HQ55" s="700"/>
      <c r="HR55" s="701"/>
      <c r="HS55" s="700"/>
      <c r="HT55" s="701"/>
      <c r="HU55" s="702"/>
      <c r="HV55" s="693"/>
      <c r="HW55" s="694"/>
      <c r="HX55" s="695"/>
      <c r="HY55" s="696"/>
      <c r="HZ55" s="697"/>
      <c r="IA55" s="705"/>
      <c r="IB55" s="704"/>
      <c r="IC55" s="696"/>
      <c r="ID55" s="697"/>
      <c r="IE55" s="698"/>
      <c r="IF55" s="699"/>
      <c r="IG55" s="700"/>
      <c r="IH55" s="701"/>
      <c r="II55" s="700"/>
      <c r="IJ55" s="701"/>
      <c r="IK55" s="700"/>
      <c r="IL55" s="701"/>
      <c r="IM55" s="702"/>
      <c r="IN55" s="346"/>
    </row>
    <row r="56" spans="1:248" x14ac:dyDescent="0.25">
      <c r="A56" s="692">
        <f t="shared" si="0"/>
        <v>42</v>
      </c>
      <c r="B56" s="693"/>
      <c r="C56" s="694"/>
      <c r="D56" s="695"/>
      <c r="E56" s="696"/>
      <c r="F56" s="697"/>
      <c r="G56" s="698"/>
      <c r="H56" s="699"/>
      <c r="I56" s="700"/>
      <c r="J56" s="701"/>
      <c r="K56" s="700"/>
      <c r="L56" s="701"/>
      <c r="M56" s="700"/>
      <c r="N56" s="701"/>
      <c r="O56" s="702"/>
      <c r="P56" s="693"/>
      <c r="Q56" s="694"/>
      <c r="R56" s="695"/>
      <c r="S56" s="696"/>
      <c r="T56" s="697"/>
      <c r="U56" s="698"/>
      <c r="V56" s="699"/>
      <c r="W56" s="700"/>
      <c r="X56" s="701"/>
      <c r="Y56" s="700"/>
      <c r="Z56" s="701"/>
      <c r="AA56" s="700"/>
      <c r="AB56" s="701"/>
      <c r="AC56" s="702"/>
      <c r="AD56" s="693"/>
      <c r="AE56" s="694"/>
      <c r="AF56" s="695"/>
      <c r="AG56" s="696"/>
      <c r="AH56" s="697"/>
      <c r="AI56" s="698"/>
      <c r="AJ56" s="699"/>
      <c r="AK56" s="700"/>
      <c r="AL56" s="701"/>
      <c r="AM56" s="700"/>
      <c r="AN56" s="701"/>
      <c r="AO56" s="700"/>
      <c r="AP56" s="701"/>
      <c r="AQ56" s="702"/>
      <c r="AR56" s="693"/>
      <c r="AS56" s="694"/>
      <c r="AT56" s="695"/>
      <c r="AU56" s="696"/>
      <c r="AV56" s="697"/>
      <c r="AW56" s="698"/>
      <c r="AX56" s="699"/>
      <c r="AY56" s="700"/>
      <c r="AZ56" s="701"/>
      <c r="BA56" s="700"/>
      <c r="BB56" s="701"/>
      <c r="BC56" s="700"/>
      <c r="BD56" s="701"/>
      <c r="BE56" s="702"/>
      <c r="BF56" s="693"/>
      <c r="BG56" s="694"/>
      <c r="BH56" s="695"/>
      <c r="BI56" s="696"/>
      <c r="BJ56" s="697"/>
      <c r="BK56" s="698"/>
      <c r="BL56" s="699"/>
      <c r="BM56" s="700"/>
      <c r="BN56" s="701"/>
      <c r="BO56" s="700"/>
      <c r="BP56" s="701"/>
      <c r="BQ56" s="700"/>
      <c r="BR56" s="701"/>
      <c r="BS56" s="702"/>
      <c r="BT56" s="693"/>
      <c r="BU56" s="694"/>
      <c r="BV56" s="695"/>
      <c r="BW56" s="696"/>
      <c r="BX56" s="697"/>
      <c r="BY56" s="698"/>
      <c r="BZ56" s="699"/>
      <c r="CA56" s="700"/>
      <c r="CB56" s="701"/>
      <c r="CC56" s="700"/>
      <c r="CD56" s="701"/>
      <c r="CE56" s="700"/>
      <c r="CF56" s="701"/>
      <c r="CG56" s="702"/>
      <c r="CH56" s="693"/>
      <c r="CI56" s="694"/>
      <c r="CJ56" s="695"/>
      <c r="CK56" s="696"/>
      <c r="CL56" s="697"/>
      <c r="CM56" s="698"/>
      <c r="CN56" s="699"/>
      <c r="CO56" s="700"/>
      <c r="CP56" s="701"/>
      <c r="CQ56" s="700"/>
      <c r="CR56" s="701"/>
      <c r="CS56" s="700"/>
      <c r="CT56" s="701"/>
      <c r="CU56" s="702"/>
      <c r="CV56" s="693"/>
      <c r="CW56" s="694"/>
      <c r="CX56" s="695"/>
      <c r="CY56" s="696"/>
      <c r="CZ56" s="697"/>
      <c r="DA56" s="698"/>
      <c r="DB56" s="699"/>
      <c r="DC56" s="700"/>
      <c r="DD56" s="701"/>
      <c r="DE56" s="700"/>
      <c r="DF56" s="701"/>
      <c r="DG56" s="700"/>
      <c r="DH56" s="701"/>
      <c r="DI56" s="702"/>
      <c r="DJ56" s="693"/>
      <c r="DK56" s="694"/>
      <c r="DL56" s="695"/>
      <c r="DM56" s="696"/>
      <c r="DN56" s="697"/>
      <c r="DO56" s="698"/>
      <c r="DP56" s="699"/>
      <c r="DQ56" s="700"/>
      <c r="DR56" s="701"/>
      <c r="DS56" s="700"/>
      <c r="DT56" s="701"/>
      <c r="DU56" s="700"/>
      <c r="DV56" s="701"/>
      <c r="DW56" s="702"/>
      <c r="DX56" s="693"/>
      <c r="DY56" s="694"/>
      <c r="DZ56" s="695"/>
      <c r="EA56" s="696"/>
      <c r="EB56" s="697"/>
      <c r="EC56" s="698"/>
      <c r="ED56" s="699"/>
      <c r="EE56" s="700"/>
      <c r="EF56" s="701"/>
      <c r="EG56" s="700"/>
      <c r="EH56" s="701"/>
      <c r="EI56" s="700"/>
      <c r="EJ56" s="701"/>
      <c r="EK56" s="702"/>
      <c r="EL56" s="693"/>
      <c r="EM56" s="694"/>
      <c r="EN56" s="695"/>
      <c r="EO56" s="696"/>
      <c r="EP56" s="697"/>
      <c r="EQ56" s="698"/>
      <c r="ER56" s="699"/>
      <c r="ES56" s="700"/>
      <c r="ET56" s="701"/>
      <c r="EU56" s="700"/>
      <c r="EV56" s="701"/>
      <c r="EW56" s="700"/>
      <c r="EX56" s="701"/>
      <c r="EY56" s="702"/>
      <c r="EZ56" s="693"/>
      <c r="FA56" s="694"/>
      <c r="FB56" s="695"/>
      <c r="FC56" s="696"/>
      <c r="FD56" s="697"/>
      <c r="FE56" s="698"/>
      <c r="FF56" s="699"/>
      <c r="FG56" s="700"/>
      <c r="FH56" s="701"/>
      <c r="FI56" s="700"/>
      <c r="FJ56" s="701"/>
      <c r="FK56" s="700"/>
      <c r="FL56" s="701"/>
      <c r="FM56" s="702"/>
      <c r="FN56" s="693"/>
      <c r="FO56" s="694"/>
      <c r="FP56" s="695"/>
      <c r="FQ56" s="696"/>
      <c r="FR56" s="697"/>
      <c r="FS56" s="698"/>
      <c r="FT56" s="699"/>
      <c r="FU56" s="700"/>
      <c r="FV56" s="701"/>
      <c r="FW56" s="700"/>
      <c r="FX56" s="701"/>
      <c r="FY56" s="700"/>
      <c r="FZ56" s="701"/>
      <c r="GA56" s="702"/>
      <c r="GB56" s="693"/>
      <c r="GC56" s="694"/>
      <c r="GD56" s="695"/>
      <c r="GE56" s="696"/>
      <c r="GF56" s="697"/>
      <c r="GG56" s="698"/>
      <c r="GH56" s="699"/>
      <c r="GI56" s="700"/>
      <c r="GJ56" s="701"/>
      <c r="GK56" s="700"/>
      <c r="GL56" s="701"/>
      <c r="GM56" s="700"/>
      <c r="GN56" s="701"/>
      <c r="GO56" s="702"/>
      <c r="GP56" s="693"/>
      <c r="GQ56" s="694"/>
      <c r="GR56" s="695"/>
      <c r="GS56" s="696"/>
      <c r="GT56" s="697"/>
      <c r="GU56" s="698"/>
      <c r="GV56" s="699"/>
      <c r="GW56" s="700"/>
      <c r="GX56" s="701"/>
      <c r="GY56" s="700"/>
      <c r="GZ56" s="701"/>
      <c r="HA56" s="700"/>
      <c r="HB56" s="701"/>
      <c r="HC56" s="702"/>
      <c r="HD56" s="693"/>
      <c r="HE56" s="694"/>
      <c r="HF56" s="695"/>
      <c r="HG56" s="696"/>
      <c r="HH56" s="697"/>
      <c r="HI56" s="705"/>
      <c r="HJ56" s="704"/>
      <c r="HK56" s="696"/>
      <c r="HL56" s="697"/>
      <c r="HM56" s="698"/>
      <c r="HN56" s="699"/>
      <c r="HO56" s="700"/>
      <c r="HP56" s="701"/>
      <c r="HQ56" s="700"/>
      <c r="HR56" s="701"/>
      <c r="HS56" s="700"/>
      <c r="HT56" s="701"/>
      <c r="HU56" s="702"/>
      <c r="HV56" s="693"/>
      <c r="HW56" s="694"/>
      <c r="HX56" s="695"/>
      <c r="HY56" s="696"/>
      <c r="HZ56" s="697"/>
      <c r="IA56" s="705"/>
      <c r="IB56" s="704"/>
      <c r="IC56" s="696"/>
      <c r="ID56" s="697"/>
      <c r="IE56" s="698"/>
      <c r="IF56" s="699"/>
      <c r="IG56" s="700"/>
      <c r="IH56" s="701"/>
      <c r="II56" s="700"/>
      <c r="IJ56" s="701"/>
      <c r="IK56" s="700"/>
      <c r="IL56" s="701"/>
      <c r="IM56" s="702"/>
      <c r="IN56" s="346"/>
    </row>
    <row r="57" spans="1:248" x14ac:dyDescent="0.25">
      <c r="A57" s="692">
        <f t="shared" si="0"/>
        <v>43</v>
      </c>
      <c r="B57" s="693"/>
      <c r="C57" s="694"/>
      <c r="D57" s="695"/>
      <c r="E57" s="696"/>
      <c r="F57" s="697"/>
      <c r="G57" s="698"/>
      <c r="H57" s="699"/>
      <c r="I57" s="700"/>
      <c r="J57" s="701"/>
      <c r="K57" s="700"/>
      <c r="L57" s="701"/>
      <c r="M57" s="700"/>
      <c r="N57" s="701"/>
      <c r="O57" s="702"/>
      <c r="P57" s="693"/>
      <c r="Q57" s="694"/>
      <c r="R57" s="695"/>
      <c r="S57" s="696"/>
      <c r="T57" s="697"/>
      <c r="U57" s="698"/>
      <c r="V57" s="699"/>
      <c r="W57" s="700"/>
      <c r="X57" s="701"/>
      <c r="Y57" s="700"/>
      <c r="Z57" s="701"/>
      <c r="AA57" s="700"/>
      <c r="AB57" s="701"/>
      <c r="AC57" s="702"/>
      <c r="AD57" s="693"/>
      <c r="AE57" s="694"/>
      <c r="AF57" s="695"/>
      <c r="AG57" s="696"/>
      <c r="AH57" s="697"/>
      <c r="AI57" s="698"/>
      <c r="AJ57" s="699"/>
      <c r="AK57" s="700"/>
      <c r="AL57" s="701"/>
      <c r="AM57" s="700"/>
      <c r="AN57" s="701"/>
      <c r="AO57" s="700"/>
      <c r="AP57" s="701"/>
      <c r="AQ57" s="702"/>
      <c r="AR57" s="693"/>
      <c r="AS57" s="694"/>
      <c r="AT57" s="695"/>
      <c r="AU57" s="696"/>
      <c r="AV57" s="697"/>
      <c r="AW57" s="698"/>
      <c r="AX57" s="699"/>
      <c r="AY57" s="700"/>
      <c r="AZ57" s="701"/>
      <c r="BA57" s="700"/>
      <c r="BB57" s="701"/>
      <c r="BC57" s="700"/>
      <c r="BD57" s="701"/>
      <c r="BE57" s="702"/>
      <c r="BF57" s="693"/>
      <c r="BG57" s="694"/>
      <c r="BH57" s="695"/>
      <c r="BI57" s="696"/>
      <c r="BJ57" s="697"/>
      <c r="BK57" s="698"/>
      <c r="BL57" s="699"/>
      <c r="BM57" s="700"/>
      <c r="BN57" s="701"/>
      <c r="BO57" s="700"/>
      <c r="BP57" s="701"/>
      <c r="BQ57" s="700"/>
      <c r="BR57" s="701"/>
      <c r="BS57" s="702"/>
      <c r="BT57" s="693"/>
      <c r="BU57" s="694"/>
      <c r="BV57" s="695"/>
      <c r="BW57" s="696"/>
      <c r="BX57" s="697"/>
      <c r="BY57" s="698"/>
      <c r="BZ57" s="699"/>
      <c r="CA57" s="700"/>
      <c r="CB57" s="701"/>
      <c r="CC57" s="700"/>
      <c r="CD57" s="701"/>
      <c r="CE57" s="700"/>
      <c r="CF57" s="701"/>
      <c r="CG57" s="702"/>
      <c r="CH57" s="693"/>
      <c r="CI57" s="694"/>
      <c r="CJ57" s="695"/>
      <c r="CK57" s="696"/>
      <c r="CL57" s="697"/>
      <c r="CM57" s="698"/>
      <c r="CN57" s="699"/>
      <c r="CO57" s="700"/>
      <c r="CP57" s="701"/>
      <c r="CQ57" s="700"/>
      <c r="CR57" s="701"/>
      <c r="CS57" s="700"/>
      <c r="CT57" s="701"/>
      <c r="CU57" s="702"/>
      <c r="CV57" s="693"/>
      <c r="CW57" s="694"/>
      <c r="CX57" s="695"/>
      <c r="CY57" s="696"/>
      <c r="CZ57" s="697"/>
      <c r="DA57" s="698"/>
      <c r="DB57" s="699"/>
      <c r="DC57" s="700"/>
      <c r="DD57" s="701"/>
      <c r="DE57" s="700"/>
      <c r="DF57" s="701"/>
      <c r="DG57" s="700"/>
      <c r="DH57" s="701"/>
      <c r="DI57" s="702"/>
      <c r="DJ57" s="693"/>
      <c r="DK57" s="694"/>
      <c r="DL57" s="695"/>
      <c r="DM57" s="696"/>
      <c r="DN57" s="697"/>
      <c r="DO57" s="698"/>
      <c r="DP57" s="699"/>
      <c r="DQ57" s="700"/>
      <c r="DR57" s="701"/>
      <c r="DS57" s="700"/>
      <c r="DT57" s="701"/>
      <c r="DU57" s="700"/>
      <c r="DV57" s="701"/>
      <c r="DW57" s="702"/>
      <c r="DX57" s="693"/>
      <c r="DY57" s="694"/>
      <c r="DZ57" s="695"/>
      <c r="EA57" s="696"/>
      <c r="EB57" s="697"/>
      <c r="EC57" s="698"/>
      <c r="ED57" s="699"/>
      <c r="EE57" s="700"/>
      <c r="EF57" s="701"/>
      <c r="EG57" s="700"/>
      <c r="EH57" s="701"/>
      <c r="EI57" s="700"/>
      <c r="EJ57" s="701"/>
      <c r="EK57" s="702"/>
      <c r="EL57" s="693"/>
      <c r="EM57" s="694"/>
      <c r="EN57" s="695"/>
      <c r="EO57" s="696"/>
      <c r="EP57" s="697"/>
      <c r="EQ57" s="698"/>
      <c r="ER57" s="699"/>
      <c r="ES57" s="700"/>
      <c r="ET57" s="701"/>
      <c r="EU57" s="700"/>
      <c r="EV57" s="701"/>
      <c r="EW57" s="700"/>
      <c r="EX57" s="701"/>
      <c r="EY57" s="702"/>
      <c r="EZ57" s="693"/>
      <c r="FA57" s="694"/>
      <c r="FB57" s="695"/>
      <c r="FC57" s="696"/>
      <c r="FD57" s="697"/>
      <c r="FE57" s="698"/>
      <c r="FF57" s="699"/>
      <c r="FG57" s="700"/>
      <c r="FH57" s="701"/>
      <c r="FI57" s="700"/>
      <c r="FJ57" s="701"/>
      <c r="FK57" s="700"/>
      <c r="FL57" s="701"/>
      <c r="FM57" s="702"/>
      <c r="FN57" s="693"/>
      <c r="FO57" s="694"/>
      <c r="FP57" s="695"/>
      <c r="FQ57" s="696"/>
      <c r="FR57" s="697"/>
      <c r="FS57" s="698"/>
      <c r="FT57" s="699"/>
      <c r="FU57" s="700"/>
      <c r="FV57" s="701"/>
      <c r="FW57" s="700"/>
      <c r="FX57" s="701"/>
      <c r="FY57" s="700"/>
      <c r="FZ57" s="701"/>
      <c r="GA57" s="702"/>
      <c r="GB57" s="693"/>
      <c r="GC57" s="694"/>
      <c r="GD57" s="695"/>
      <c r="GE57" s="696"/>
      <c r="GF57" s="697"/>
      <c r="GG57" s="698"/>
      <c r="GH57" s="699"/>
      <c r="GI57" s="700"/>
      <c r="GJ57" s="701"/>
      <c r="GK57" s="700"/>
      <c r="GL57" s="701"/>
      <c r="GM57" s="700"/>
      <c r="GN57" s="701"/>
      <c r="GO57" s="702"/>
      <c r="GP57" s="693"/>
      <c r="GQ57" s="694"/>
      <c r="GR57" s="695"/>
      <c r="GS57" s="696"/>
      <c r="GT57" s="697"/>
      <c r="GU57" s="698"/>
      <c r="GV57" s="699"/>
      <c r="GW57" s="700"/>
      <c r="GX57" s="701"/>
      <c r="GY57" s="700"/>
      <c r="GZ57" s="701"/>
      <c r="HA57" s="700"/>
      <c r="HB57" s="701"/>
      <c r="HC57" s="702"/>
      <c r="HD57" s="693"/>
      <c r="HE57" s="694"/>
      <c r="HF57" s="695"/>
      <c r="HG57" s="696"/>
      <c r="HH57" s="697"/>
      <c r="HI57" s="693"/>
      <c r="HJ57" s="704"/>
      <c r="HK57" s="696"/>
      <c r="HL57" s="697"/>
      <c r="HM57" s="698"/>
      <c r="HN57" s="699"/>
      <c r="HO57" s="700"/>
      <c r="HP57" s="701"/>
      <c r="HQ57" s="700"/>
      <c r="HR57" s="701"/>
      <c r="HS57" s="700"/>
      <c r="HT57" s="701"/>
      <c r="HU57" s="702"/>
      <c r="HV57" s="693"/>
      <c r="HW57" s="694"/>
      <c r="HX57" s="695"/>
      <c r="HY57" s="696"/>
      <c r="HZ57" s="697"/>
      <c r="IA57" s="693"/>
      <c r="IB57" s="704"/>
      <c r="IC57" s="696"/>
      <c r="ID57" s="697"/>
      <c r="IE57" s="698"/>
      <c r="IF57" s="699"/>
      <c r="IG57" s="700"/>
      <c r="IH57" s="701"/>
      <c r="II57" s="700"/>
      <c r="IJ57" s="701"/>
      <c r="IK57" s="700"/>
      <c r="IL57" s="701"/>
      <c r="IM57" s="702"/>
      <c r="IN57" s="346"/>
    </row>
    <row r="58" spans="1:248" x14ac:dyDescent="0.25">
      <c r="A58" s="692">
        <f t="shared" si="0"/>
        <v>44</v>
      </c>
      <c r="B58" s="693"/>
      <c r="C58" s="694"/>
      <c r="D58" s="695"/>
      <c r="E58" s="696"/>
      <c r="F58" s="697"/>
      <c r="G58" s="698"/>
      <c r="H58" s="699"/>
      <c r="I58" s="700"/>
      <c r="J58" s="701"/>
      <c r="K58" s="700"/>
      <c r="L58" s="701"/>
      <c r="M58" s="700"/>
      <c r="N58" s="701"/>
      <c r="O58" s="702"/>
      <c r="P58" s="693"/>
      <c r="Q58" s="694"/>
      <c r="R58" s="695"/>
      <c r="S58" s="696"/>
      <c r="T58" s="697"/>
      <c r="U58" s="698"/>
      <c r="V58" s="699"/>
      <c r="W58" s="700"/>
      <c r="X58" s="701"/>
      <c r="Y58" s="700"/>
      <c r="Z58" s="701"/>
      <c r="AA58" s="700"/>
      <c r="AB58" s="701"/>
      <c r="AC58" s="702"/>
      <c r="AD58" s="693"/>
      <c r="AE58" s="694"/>
      <c r="AF58" s="695"/>
      <c r="AG58" s="696"/>
      <c r="AH58" s="697"/>
      <c r="AI58" s="698"/>
      <c r="AJ58" s="699"/>
      <c r="AK58" s="700"/>
      <c r="AL58" s="701"/>
      <c r="AM58" s="700"/>
      <c r="AN58" s="701"/>
      <c r="AO58" s="700"/>
      <c r="AP58" s="701"/>
      <c r="AQ58" s="702"/>
      <c r="AR58" s="693"/>
      <c r="AS58" s="694"/>
      <c r="AT58" s="695"/>
      <c r="AU58" s="696"/>
      <c r="AV58" s="697"/>
      <c r="AW58" s="698"/>
      <c r="AX58" s="699"/>
      <c r="AY58" s="700"/>
      <c r="AZ58" s="701"/>
      <c r="BA58" s="700"/>
      <c r="BB58" s="701"/>
      <c r="BC58" s="700"/>
      <c r="BD58" s="701"/>
      <c r="BE58" s="702"/>
      <c r="BF58" s="693"/>
      <c r="BG58" s="694"/>
      <c r="BH58" s="695"/>
      <c r="BI58" s="696"/>
      <c r="BJ58" s="697"/>
      <c r="BK58" s="698"/>
      <c r="BL58" s="699"/>
      <c r="BM58" s="700"/>
      <c r="BN58" s="701"/>
      <c r="BO58" s="700"/>
      <c r="BP58" s="701"/>
      <c r="BQ58" s="700"/>
      <c r="BR58" s="701"/>
      <c r="BS58" s="702"/>
      <c r="BT58" s="693"/>
      <c r="BU58" s="694"/>
      <c r="BV58" s="695"/>
      <c r="BW58" s="696"/>
      <c r="BX58" s="697"/>
      <c r="BY58" s="698"/>
      <c r="BZ58" s="699"/>
      <c r="CA58" s="700"/>
      <c r="CB58" s="701"/>
      <c r="CC58" s="700"/>
      <c r="CD58" s="701"/>
      <c r="CE58" s="700"/>
      <c r="CF58" s="701"/>
      <c r="CG58" s="702"/>
      <c r="CH58" s="693"/>
      <c r="CI58" s="694"/>
      <c r="CJ58" s="695"/>
      <c r="CK58" s="696"/>
      <c r="CL58" s="697"/>
      <c r="CM58" s="698"/>
      <c r="CN58" s="699"/>
      <c r="CO58" s="700"/>
      <c r="CP58" s="701"/>
      <c r="CQ58" s="700"/>
      <c r="CR58" s="701"/>
      <c r="CS58" s="700"/>
      <c r="CT58" s="701"/>
      <c r="CU58" s="702"/>
      <c r="CV58" s="693"/>
      <c r="CW58" s="694"/>
      <c r="CX58" s="695"/>
      <c r="CY58" s="696"/>
      <c r="CZ58" s="697"/>
      <c r="DA58" s="698"/>
      <c r="DB58" s="699"/>
      <c r="DC58" s="700"/>
      <c r="DD58" s="701"/>
      <c r="DE58" s="700"/>
      <c r="DF58" s="701"/>
      <c r="DG58" s="700"/>
      <c r="DH58" s="701"/>
      <c r="DI58" s="702"/>
      <c r="DJ58" s="693"/>
      <c r="DK58" s="694"/>
      <c r="DL58" s="695"/>
      <c r="DM58" s="696"/>
      <c r="DN58" s="697"/>
      <c r="DO58" s="698"/>
      <c r="DP58" s="699"/>
      <c r="DQ58" s="700"/>
      <c r="DR58" s="701"/>
      <c r="DS58" s="700"/>
      <c r="DT58" s="701"/>
      <c r="DU58" s="700"/>
      <c r="DV58" s="701"/>
      <c r="DW58" s="702"/>
      <c r="DX58" s="693"/>
      <c r="DY58" s="694"/>
      <c r="DZ58" s="695"/>
      <c r="EA58" s="696"/>
      <c r="EB58" s="697"/>
      <c r="EC58" s="698"/>
      <c r="ED58" s="699"/>
      <c r="EE58" s="700"/>
      <c r="EF58" s="701"/>
      <c r="EG58" s="700"/>
      <c r="EH58" s="701"/>
      <c r="EI58" s="700"/>
      <c r="EJ58" s="701"/>
      <c r="EK58" s="702"/>
      <c r="EL58" s="693"/>
      <c r="EM58" s="694"/>
      <c r="EN58" s="695"/>
      <c r="EO58" s="696"/>
      <c r="EP58" s="697"/>
      <c r="EQ58" s="698"/>
      <c r="ER58" s="699"/>
      <c r="ES58" s="700"/>
      <c r="ET58" s="701"/>
      <c r="EU58" s="700"/>
      <c r="EV58" s="701"/>
      <c r="EW58" s="700"/>
      <c r="EX58" s="701"/>
      <c r="EY58" s="702"/>
      <c r="EZ58" s="693"/>
      <c r="FA58" s="694"/>
      <c r="FB58" s="695"/>
      <c r="FC58" s="696"/>
      <c r="FD58" s="697"/>
      <c r="FE58" s="698"/>
      <c r="FF58" s="699"/>
      <c r="FG58" s="700"/>
      <c r="FH58" s="701"/>
      <c r="FI58" s="700"/>
      <c r="FJ58" s="701"/>
      <c r="FK58" s="700"/>
      <c r="FL58" s="701"/>
      <c r="FM58" s="702"/>
      <c r="FN58" s="693"/>
      <c r="FO58" s="694"/>
      <c r="FP58" s="695"/>
      <c r="FQ58" s="696"/>
      <c r="FR58" s="697"/>
      <c r="FS58" s="698"/>
      <c r="FT58" s="699"/>
      <c r="FU58" s="700"/>
      <c r="FV58" s="701"/>
      <c r="FW58" s="700"/>
      <c r="FX58" s="701"/>
      <c r="FY58" s="700"/>
      <c r="FZ58" s="701"/>
      <c r="GA58" s="702"/>
      <c r="GB58" s="693"/>
      <c r="GC58" s="694"/>
      <c r="GD58" s="695"/>
      <c r="GE58" s="696"/>
      <c r="GF58" s="697"/>
      <c r="GG58" s="698"/>
      <c r="GH58" s="699"/>
      <c r="GI58" s="700"/>
      <c r="GJ58" s="701"/>
      <c r="GK58" s="700"/>
      <c r="GL58" s="701"/>
      <c r="GM58" s="700"/>
      <c r="GN58" s="701"/>
      <c r="GO58" s="702"/>
      <c r="GP58" s="693"/>
      <c r="GQ58" s="694"/>
      <c r="GR58" s="695"/>
      <c r="GS58" s="696"/>
      <c r="GT58" s="697"/>
      <c r="GU58" s="698"/>
      <c r="GV58" s="699"/>
      <c r="GW58" s="700"/>
      <c r="GX58" s="701"/>
      <c r="GY58" s="700"/>
      <c r="GZ58" s="701"/>
      <c r="HA58" s="700"/>
      <c r="HB58" s="701"/>
      <c r="HC58" s="702"/>
      <c r="HD58" s="693"/>
      <c r="HE58" s="694"/>
      <c r="HF58" s="695"/>
      <c r="HG58" s="696"/>
      <c r="HH58" s="697"/>
      <c r="HI58" s="693"/>
      <c r="HJ58" s="704"/>
      <c r="HK58" s="696"/>
      <c r="HL58" s="697"/>
      <c r="HM58" s="698"/>
      <c r="HN58" s="699"/>
      <c r="HO58" s="700"/>
      <c r="HP58" s="701"/>
      <c r="HQ58" s="700"/>
      <c r="HR58" s="701"/>
      <c r="HS58" s="700"/>
      <c r="HT58" s="701"/>
      <c r="HU58" s="702"/>
      <c r="HV58" s="693"/>
      <c r="HW58" s="694"/>
      <c r="HX58" s="695"/>
      <c r="HY58" s="696"/>
      <c r="HZ58" s="697"/>
      <c r="IA58" s="693"/>
      <c r="IB58" s="704"/>
      <c r="IC58" s="696"/>
      <c r="ID58" s="697"/>
      <c r="IE58" s="698"/>
      <c r="IF58" s="699"/>
      <c r="IG58" s="700"/>
      <c r="IH58" s="701"/>
      <c r="II58" s="700"/>
      <c r="IJ58" s="701"/>
      <c r="IK58" s="700"/>
      <c r="IL58" s="701"/>
      <c r="IM58" s="702"/>
      <c r="IN58" s="346"/>
    </row>
    <row r="59" spans="1:248" x14ac:dyDescent="0.25">
      <c r="A59" s="692">
        <f t="shared" si="0"/>
        <v>45</v>
      </c>
      <c r="B59" s="693"/>
      <c r="C59" s="694"/>
      <c r="D59" s="695"/>
      <c r="E59" s="696"/>
      <c r="F59" s="697"/>
      <c r="G59" s="698"/>
      <c r="H59" s="699"/>
      <c r="I59" s="700"/>
      <c r="J59" s="701"/>
      <c r="K59" s="700"/>
      <c r="L59" s="701"/>
      <c r="M59" s="700"/>
      <c r="N59" s="701"/>
      <c r="O59" s="702"/>
      <c r="P59" s="693"/>
      <c r="Q59" s="694"/>
      <c r="R59" s="695"/>
      <c r="S59" s="696"/>
      <c r="T59" s="697"/>
      <c r="U59" s="698"/>
      <c r="V59" s="699"/>
      <c r="W59" s="700"/>
      <c r="X59" s="701"/>
      <c r="Y59" s="700"/>
      <c r="Z59" s="701"/>
      <c r="AA59" s="700"/>
      <c r="AB59" s="701"/>
      <c r="AC59" s="702"/>
      <c r="AD59" s="693"/>
      <c r="AE59" s="694"/>
      <c r="AF59" s="695"/>
      <c r="AG59" s="696"/>
      <c r="AH59" s="697"/>
      <c r="AI59" s="698"/>
      <c r="AJ59" s="699"/>
      <c r="AK59" s="700"/>
      <c r="AL59" s="701"/>
      <c r="AM59" s="700"/>
      <c r="AN59" s="701"/>
      <c r="AO59" s="700"/>
      <c r="AP59" s="701"/>
      <c r="AQ59" s="702"/>
      <c r="AR59" s="693"/>
      <c r="AS59" s="694"/>
      <c r="AT59" s="695"/>
      <c r="AU59" s="696"/>
      <c r="AV59" s="697"/>
      <c r="AW59" s="698"/>
      <c r="AX59" s="699"/>
      <c r="AY59" s="700"/>
      <c r="AZ59" s="701"/>
      <c r="BA59" s="700"/>
      <c r="BB59" s="701"/>
      <c r="BC59" s="700"/>
      <c r="BD59" s="701"/>
      <c r="BE59" s="702"/>
      <c r="BF59" s="693"/>
      <c r="BG59" s="694"/>
      <c r="BH59" s="695"/>
      <c r="BI59" s="696"/>
      <c r="BJ59" s="697"/>
      <c r="BK59" s="698"/>
      <c r="BL59" s="699"/>
      <c r="BM59" s="700"/>
      <c r="BN59" s="701"/>
      <c r="BO59" s="700"/>
      <c r="BP59" s="701"/>
      <c r="BQ59" s="700"/>
      <c r="BR59" s="701"/>
      <c r="BS59" s="702"/>
      <c r="BT59" s="693"/>
      <c r="BU59" s="694"/>
      <c r="BV59" s="695"/>
      <c r="BW59" s="696"/>
      <c r="BX59" s="697"/>
      <c r="BY59" s="698"/>
      <c r="BZ59" s="699"/>
      <c r="CA59" s="700"/>
      <c r="CB59" s="701"/>
      <c r="CC59" s="700"/>
      <c r="CD59" s="701"/>
      <c r="CE59" s="700"/>
      <c r="CF59" s="701"/>
      <c r="CG59" s="702"/>
      <c r="CH59" s="693"/>
      <c r="CI59" s="694"/>
      <c r="CJ59" s="695"/>
      <c r="CK59" s="696"/>
      <c r="CL59" s="697"/>
      <c r="CM59" s="698"/>
      <c r="CN59" s="699"/>
      <c r="CO59" s="700"/>
      <c r="CP59" s="701"/>
      <c r="CQ59" s="700"/>
      <c r="CR59" s="701"/>
      <c r="CS59" s="700"/>
      <c r="CT59" s="701"/>
      <c r="CU59" s="702"/>
      <c r="CV59" s="693"/>
      <c r="CW59" s="694"/>
      <c r="CX59" s="695"/>
      <c r="CY59" s="696"/>
      <c r="CZ59" s="697"/>
      <c r="DA59" s="698"/>
      <c r="DB59" s="699"/>
      <c r="DC59" s="700"/>
      <c r="DD59" s="701"/>
      <c r="DE59" s="700"/>
      <c r="DF59" s="701"/>
      <c r="DG59" s="700"/>
      <c r="DH59" s="701"/>
      <c r="DI59" s="702"/>
      <c r="DJ59" s="693"/>
      <c r="DK59" s="694"/>
      <c r="DL59" s="695"/>
      <c r="DM59" s="696"/>
      <c r="DN59" s="697"/>
      <c r="DO59" s="698"/>
      <c r="DP59" s="699"/>
      <c r="DQ59" s="700"/>
      <c r="DR59" s="701"/>
      <c r="DS59" s="700"/>
      <c r="DT59" s="701"/>
      <c r="DU59" s="700"/>
      <c r="DV59" s="701"/>
      <c r="DW59" s="702"/>
      <c r="DX59" s="693"/>
      <c r="DY59" s="694"/>
      <c r="DZ59" s="695"/>
      <c r="EA59" s="696"/>
      <c r="EB59" s="697"/>
      <c r="EC59" s="698"/>
      <c r="ED59" s="699"/>
      <c r="EE59" s="700"/>
      <c r="EF59" s="701"/>
      <c r="EG59" s="700"/>
      <c r="EH59" s="701"/>
      <c r="EI59" s="700"/>
      <c r="EJ59" s="701"/>
      <c r="EK59" s="702"/>
      <c r="EL59" s="693"/>
      <c r="EM59" s="694"/>
      <c r="EN59" s="695"/>
      <c r="EO59" s="696"/>
      <c r="EP59" s="697"/>
      <c r="EQ59" s="698"/>
      <c r="ER59" s="699"/>
      <c r="ES59" s="700"/>
      <c r="ET59" s="701"/>
      <c r="EU59" s="700"/>
      <c r="EV59" s="701"/>
      <c r="EW59" s="700"/>
      <c r="EX59" s="701"/>
      <c r="EY59" s="702"/>
      <c r="EZ59" s="693"/>
      <c r="FA59" s="694"/>
      <c r="FB59" s="695"/>
      <c r="FC59" s="696"/>
      <c r="FD59" s="697"/>
      <c r="FE59" s="698"/>
      <c r="FF59" s="699"/>
      <c r="FG59" s="700"/>
      <c r="FH59" s="701"/>
      <c r="FI59" s="700"/>
      <c r="FJ59" s="701"/>
      <c r="FK59" s="700"/>
      <c r="FL59" s="701"/>
      <c r="FM59" s="702"/>
      <c r="FN59" s="693"/>
      <c r="FO59" s="694"/>
      <c r="FP59" s="695"/>
      <c r="FQ59" s="696"/>
      <c r="FR59" s="697"/>
      <c r="FS59" s="698"/>
      <c r="FT59" s="699"/>
      <c r="FU59" s="700"/>
      <c r="FV59" s="701"/>
      <c r="FW59" s="700"/>
      <c r="FX59" s="701"/>
      <c r="FY59" s="700"/>
      <c r="FZ59" s="701"/>
      <c r="GA59" s="702"/>
      <c r="GB59" s="693"/>
      <c r="GC59" s="694"/>
      <c r="GD59" s="695"/>
      <c r="GE59" s="696"/>
      <c r="GF59" s="697"/>
      <c r="GG59" s="698"/>
      <c r="GH59" s="699"/>
      <c r="GI59" s="700"/>
      <c r="GJ59" s="701"/>
      <c r="GK59" s="700"/>
      <c r="GL59" s="701"/>
      <c r="GM59" s="700"/>
      <c r="GN59" s="701"/>
      <c r="GO59" s="702"/>
      <c r="GP59" s="693"/>
      <c r="GQ59" s="694"/>
      <c r="GR59" s="695"/>
      <c r="GS59" s="696"/>
      <c r="GT59" s="697"/>
      <c r="GU59" s="698"/>
      <c r="GV59" s="699"/>
      <c r="GW59" s="700"/>
      <c r="GX59" s="701"/>
      <c r="GY59" s="700"/>
      <c r="GZ59" s="701"/>
      <c r="HA59" s="700"/>
      <c r="HB59" s="701"/>
      <c r="HC59" s="702"/>
      <c r="HD59" s="693"/>
      <c r="HE59" s="694"/>
      <c r="HF59" s="695"/>
      <c r="HG59" s="696"/>
      <c r="HH59" s="697"/>
      <c r="HI59" s="693"/>
      <c r="HJ59" s="704"/>
      <c r="HK59" s="696"/>
      <c r="HL59" s="697"/>
      <c r="HM59" s="698"/>
      <c r="HN59" s="699"/>
      <c r="HO59" s="700"/>
      <c r="HP59" s="701"/>
      <c r="HQ59" s="700"/>
      <c r="HR59" s="701"/>
      <c r="HS59" s="700"/>
      <c r="HT59" s="701"/>
      <c r="HU59" s="702"/>
      <c r="HV59" s="693"/>
      <c r="HW59" s="694"/>
      <c r="HX59" s="695"/>
      <c r="HY59" s="696"/>
      <c r="HZ59" s="697"/>
      <c r="IA59" s="693"/>
      <c r="IB59" s="704"/>
      <c r="IC59" s="696"/>
      <c r="ID59" s="697"/>
      <c r="IE59" s="698"/>
      <c r="IF59" s="699"/>
      <c r="IG59" s="700"/>
      <c r="IH59" s="701"/>
      <c r="II59" s="700"/>
      <c r="IJ59" s="701"/>
      <c r="IK59" s="700"/>
      <c r="IL59" s="701"/>
      <c r="IM59" s="702"/>
      <c r="IN59" s="346"/>
    </row>
    <row r="60" spans="1:248" x14ac:dyDescent="0.25">
      <c r="A60" s="692">
        <f t="shared" si="0"/>
        <v>46</v>
      </c>
      <c r="B60" s="693"/>
      <c r="C60" s="694"/>
      <c r="D60" s="695"/>
      <c r="E60" s="696"/>
      <c r="F60" s="697"/>
      <c r="G60" s="698"/>
      <c r="H60" s="699"/>
      <c r="I60" s="700"/>
      <c r="J60" s="701"/>
      <c r="K60" s="700"/>
      <c r="L60" s="701"/>
      <c r="M60" s="700"/>
      <c r="N60" s="701"/>
      <c r="O60" s="702"/>
      <c r="P60" s="693"/>
      <c r="Q60" s="694"/>
      <c r="R60" s="695"/>
      <c r="S60" s="696"/>
      <c r="T60" s="697"/>
      <c r="U60" s="698"/>
      <c r="V60" s="699"/>
      <c r="W60" s="700"/>
      <c r="X60" s="701"/>
      <c r="Y60" s="700"/>
      <c r="Z60" s="701"/>
      <c r="AA60" s="700"/>
      <c r="AB60" s="701"/>
      <c r="AC60" s="702"/>
      <c r="AD60" s="693"/>
      <c r="AE60" s="694"/>
      <c r="AF60" s="695"/>
      <c r="AG60" s="696"/>
      <c r="AH60" s="697"/>
      <c r="AI60" s="698"/>
      <c r="AJ60" s="699"/>
      <c r="AK60" s="700"/>
      <c r="AL60" s="701"/>
      <c r="AM60" s="700"/>
      <c r="AN60" s="701"/>
      <c r="AO60" s="700"/>
      <c r="AP60" s="701"/>
      <c r="AQ60" s="702"/>
      <c r="AR60" s="693"/>
      <c r="AS60" s="694"/>
      <c r="AT60" s="695"/>
      <c r="AU60" s="696"/>
      <c r="AV60" s="697"/>
      <c r="AW60" s="698"/>
      <c r="AX60" s="699"/>
      <c r="AY60" s="700"/>
      <c r="AZ60" s="701"/>
      <c r="BA60" s="700"/>
      <c r="BB60" s="701"/>
      <c r="BC60" s="700"/>
      <c r="BD60" s="701"/>
      <c r="BE60" s="702"/>
      <c r="BF60" s="693"/>
      <c r="BG60" s="694"/>
      <c r="BH60" s="695"/>
      <c r="BI60" s="696"/>
      <c r="BJ60" s="697"/>
      <c r="BK60" s="698"/>
      <c r="BL60" s="699"/>
      <c r="BM60" s="700"/>
      <c r="BN60" s="701"/>
      <c r="BO60" s="700"/>
      <c r="BP60" s="701"/>
      <c r="BQ60" s="700"/>
      <c r="BR60" s="701"/>
      <c r="BS60" s="702"/>
      <c r="BT60" s="693"/>
      <c r="BU60" s="694"/>
      <c r="BV60" s="695"/>
      <c r="BW60" s="696"/>
      <c r="BX60" s="697"/>
      <c r="BY60" s="698"/>
      <c r="BZ60" s="699"/>
      <c r="CA60" s="700"/>
      <c r="CB60" s="701"/>
      <c r="CC60" s="700"/>
      <c r="CD60" s="701"/>
      <c r="CE60" s="700"/>
      <c r="CF60" s="701"/>
      <c r="CG60" s="702"/>
      <c r="CH60" s="693"/>
      <c r="CI60" s="694"/>
      <c r="CJ60" s="695"/>
      <c r="CK60" s="696"/>
      <c r="CL60" s="697"/>
      <c r="CM60" s="698"/>
      <c r="CN60" s="699"/>
      <c r="CO60" s="700"/>
      <c r="CP60" s="701"/>
      <c r="CQ60" s="700"/>
      <c r="CR60" s="701"/>
      <c r="CS60" s="700"/>
      <c r="CT60" s="701"/>
      <c r="CU60" s="702"/>
      <c r="CV60" s="693"/>
      <c r="CW60" s="694"/>
      <c r="CX60" s="695"/>
      <c r="CY60" s="696"/>
      <c r="CZ60" s="697"/>
      <c r="DA60" s="698"/>
      <c r="DB60" s="699"/>
      <c r="DC60" s="700"/>
      <c r="DD60" s="701"/>
      <c r="DE60" s="700"/>
      <c r="DF60" s="701"/>
      <c r="DG60" s="700"/>
      <c r="DH60" s="701"/>
      <c r="DI60" s="702"/>
      <c r="DJ60" s="693"/>
      <c r="DK60" s="694"/>
      <c r="DL60" s="695"/>
      <c r="DM60" s="696"/>
      <c r="DN60" s="697"/>
      <c r="DO60" s="698"/>
      <c r="DP60" s="699"/>
      <c r="DQ60" s="700"/>
      <c r="DR60" s="701"/>
      <c r="DS60" s="700"/>
      <c r="DT60" s="701"/>
      <c r="DU60" s="700"/>
      <c r="DV60" s="701"/>
      <c r="DW60" s="702"/>
      <c r="DX60" s="693"/>
      <c r="DY60" s="694"/>
      <c r="DZ60" s="695"/>
      <c r="EA60" s="696"/>
      <c r="EB60" s="697"/>
      <c r="EC60" s="698"/>
      <c r="ED60" s="699"/>
      <c r="EE60" s="700"/>
      <c r="EF60" s="701"/>
      <c r="EG60" s="700"/>
      <c r="EH60" s="701"/>
      <c r="EI60" s="700"/>
      <c r="EJ60" s="701"/>
      <c r="EK60" s="702"/>
      <c r="EL60" s="693"/>
      <c r="EM60" s="694"/>
      <c r="EN60" s="695"/>
      <c r="EO60" s="696"/>
      <c r="EP60" s="697"/>
      <c r="EQ60" s="698"/>
      <c r="ER60" s="699"/>
      <c r="ES60" s="700"/>
      <c r="ET60" s="701"/>
      <c r="EU60" s="700"/>
      <c r="EV60" s="701"/>
      <c r="EW60" s="700"/>
      <c r="EX60" s="701"/>
      <c r="EY60" s="702"/>
      <c r="EZ60" s="693"/>
      <c r="FA60" s="694"/>
      <c r="FB60" s="695"/>
      <c r="FC60" s="696"/>
      <c r="FD60" s="697"/>
      <c r="FE60" s="698"/>
      <c r="FF60" s="699"/>
      <c r="FG60" s="700"/>
      <c r="FH60" s="701"/>
      <c r="FI60" s="700"/>
      <c r="FJ60" s="701"/>
      <c r="FK60" s="700"/>
      <c r="FL60" s="701"/>
      <c r="FM60" s="702"/>
      <c r="FN60" s="693"/>
      <c r="FO60" s="694"/>
      <c r="FP60" s="695"/>
      <c r="FQ60" s="696"/>
      <c r="FR60" s="697"/>
      <c r="FS60" s="698"/>
      <c r="FT60" s="699"/>
      <c r="FU60" s="700"/>
      <c r="FV60" s="701"/>
      <c r="FW60" s="700"/>
      <c r="FX60" s="701"/>
      <c r="FY60" s="700"/>
      <c r="FZ60" s="701"/>
      <c r="GA60" s="702"/>
      <c r="GB60" s="693"/>
      <c r="GC60" s="694"/>
      <c r="GD60" s="695"/>
      <c r="GE60" s="696"/>
      <c r="GF60" s="697"/>
      <c r="GG60" s="698"/>
      <c r="GH60" s="699"/>
      <c r="GI60" s="700"/>
      <c r="GJ60" s="701"/>
      <c r="GK60" s="700"/>
      <c r="GL60" s="701"/>
      <c r="GM60" s="700"/>
      <c r="GN60" s="701"/>
      <c r="GO60" s="702"/>
      <c r="GP60" s="693"/>
      <c r="GQ60" s="694"/>
      <c r="GR60" s="695"/>
      <c r="GS60" s="696"/>
      <c r="GT60" s="697"/>
      <c r="GU60" s="698"/>
      <c r="GV60" s="699"/>
      <c r="GW60" s="700"/>
      <c r="GX60" s="701"/>
      <c r="GY60" s="700"/>
      <c r="GZ60" s="701"/>
      <c r="HA60" s="700"/>
      <c r="HB60" s="701"/>
      <c r="HC60" s="702"/>
      <c r="HD60" s="693"/>
      <c r="HE60" s="694"/>
      <c r="HF60" s="695"/>
      <c r="HG60" s="696"/>
      <c r="HH60" s="697"/>
      <c r="HI60" s="693"/>
      <c r="HJ60" s="704"/>
      <c r="HK60" s="696"/>
      <c r="HL60" s="697"/>
      <c r="HM60" s="698"/>
      <c r="HN60" s="699"/>
      <c r="HO60" s="700"/>
      <c r="HP60" s="701"/>
      <c r="HQ60" s="700"/>
      <c r="HR60" s="701"/>
      <c r="HS60" s="700"/>
      <c r="HT60" s="701"/>
      <c r="HU60" s="702"/>
      <c r="HV60" s="693"/>
      <c r="HW60" s="694"/>
      <c r="HX60" s="695"/>
      <c r="HY60" s="696"/>
      <c r="HZ60" s="697"/>
      <c r="IA60" s="693"/>
      <c r="IB60" s="704"/>
      <c r="IC60" s="696"/>
      <c r="ID60" s="697"/>
      <c r="IE60" s="698"/>
      <c r="IF60" s="699"/>
      <c r="IG60" s="700"/>
      <c r="IH60" s="701"/>
      <c r="II60" s="700"/>
      <c r="IJ60" s="701"/>
      <c r="IK60" s="700"/>
      <c r="IL60" s="701"/>
      <c r="IM60" s="702"/>
      <c r="IN60" s="346"/>
    </row>
    <row r="61" spans="1:248" x14ac:dyDescent="0.25">
      <c r="A61" s="692">
        <f t="shared" si="0"/>
        <v>47</v>
      </c>
      <c r="B61" s="693"/>
      <c r="C61" s="694"/>
      <c r="D61" s="695"/>
      <c r="E61" s="696"/>
      <c r="F61" s="697"/>
      <c r="G61" s="698"/>
      <c r="H61" s="699"/>
      <c r="I61" s="700"/>
      <c r="J61" s="701"/>
      <c r="K61" s="700"/>
      <c r="L61" s="701"/>
      <c r="M61" s="700"/>
      <c r="N61" s="701"/>
      <c r="O61" s="702"/>
      <c r="P61" s="693"/>
      <c r="Q61" s="694"/>
      <c r="R61" s="695"/>
      <c r="S61" s="696"/>
      <c r="T61" s="697"/>
      <c r="U61" s="698"/>
      <c r="V61" s="699"/>
      <c r="W61" s="700"/>
      <c r="X61" s="701"/>
      <c r="Y61" s="700"/>
      <c r="Z61" s="701"/>
      <c r="AA61" s="700"/>
      <c r="AB61" s="701"/>
      <c r="AC61" s="702"/>
      <c r="AD61" s="693"/>
      <c r="AE61" s="694"/>
      <c r="AF61" s="695"/>
      <c r="AG61" s="696"/>
      <c r="AH61" s="697"/>
      <c r="AI61" s="698"/>
      <c r="AJ61" s="699"/>
      <c r="AK61" s="700"/>
      <c r="AL61" s="701"/>
      <c r="AM61" s="700"/>
      <c r="AN61" s="701"/>
      <c r="AO61" s="700"/>
      <c r="AP61" s="701"/>
      <c r="AQ61" s="702"/>
      <c r="AR61" s="693"/>
      <c r="AS61" s="694"/>
      <c r="AT61" s="695"/>
      <c r="AU61" s="696"/>
      <c r="AV61" s="697"/>
      <c r="AW61" s="698"/>
      <c r="AX61" s="699"/>
      <c r="AY61" s="700"/>
      <c r="AZ61" s="701"/>
      <c r="BA61" s="700"/>
      <c r="BB61" s="701"/>
      <c r="BC61" s="700"/>
      <c r="BD61" s="701"/>
      <c r="BE61" s="702"/>
      <c r="BF61" s="693"/>
      <c r="BG61" s="694"/>
      <c r="BH61" s="695"/>
      <c r="BI61" s="696"/>
      <c r="BJ61" s="697"/>
      <c r="BK61" s="698"/>
      <c r="BL61" s="699"/>
      <c r="BM61" s="700"/>
      <c r="BN61" s="701"/>
      <c r="BO61" s="700"/>
      <c r="BP61" s="701"/>
      <c r="BQ61" s="700"/>
      <c r="BR61" s="701"/>
      <c r="BS61" s="702"/>
      <c r="BT61" s="693"/>
      <c r="BU61" s="694"/>
      <c r="BV61" s="695"/>
      <c r="BW61" s="696"/>
      <c r="BX61" s="697"/>
      <c r="BY61" s="698"/>
      <c r="BZ61" s="699"/>
      <c r="CA61" s="700"/>
      <c r="CB61" s="701"/>
      <c r="CC61" s="700"/>
      <c r="CD61" s="701"/>
      <c r="CE61" s="700"/>
      <c r="CF61" s="701"/>
      <c r="CG61" s="702"/>
      <c r="CH61" s="693"/>
      <c r="CI61" s="694"/>
      <c r="CJ61" s="695"/>
      <c r="CK61" s="696"/>
      <c r="CL61" s="697"/>
      <c r="CM61" s="698"/>
      <c r="CN61" s="699"/>
      <c r="CO61" s="700"/>
      <c r="CP61" s="701"/>
      <c r="CQ61" s="700"/>
      <c r="CR61" s="701"/>
      <c r="CS61" s="700"/>
      <c r="CT61" s="701"/>
      <c r="CU61" s="702"/>
      <c r="CV61" s="693"/>
      <c r="CW61" s="694"/>
      <c r="CX61" s="695"/>
      <c r="CY61" s="696"/>
      <c r="CZ61" s="697"/>
      <c r="DA61" s="698"/>
      <c r="DB61" s="699"/>
      <c r="DC61" s="700"/>
      <c r="DD61" s="701"/>
      <c r="DE61" s="700"/>
      <c r="DF61" s="701"/>
      <c r="DG61" s="700"/>
      <c r="DH61" s="701"/>
      <c r="DI61" s="702"/>
      <c r="DJ61" s="693"/>
      <c r="DK61" s="694"/>
      <c r="DL61" s="695"/>
      <c r="DM61" s="696"/>
      <c r="DN61" s="697"/>
      <c r="DO61" s="698"/>
      <c r="DP61" s="699"/>
      <c r="DQ61" s="700"/>
      <c r="DR61" s="701"/>
      <c r="DS61" s="700"/>
      <c r="DT61" s="701"/>
      <c r="DU61" s="700"/>
      <c r="DV61" s="701"/>
      <c r="DW61" s="702"/>
      <c r="DX61" s="693"/>
      <c r="DY61" s="694"/>
      <c r="DZ61" s="695"/>
      <c r="EA61" s="696"/>
      <c r="EB61" s="697"/>
      <c r="EC61" s="698"/>
      <c r="ED61" s="699"/>
      <c r="EE61" s="700"/>
      <c r="EF61" s="701"/>
      <c r="EG61" s="700"/>
      <c r="EH61" s="701"/>
      <c r="EI61" s="700"/>
      <c r="EJ61" s="701"/>
      <c r="EK61" s="702"/>
      <c r="EL61" s="693"/>
      <c r="EM61" s="694"/>
      <c r="EN61" s="695"/>
      <c r="EO61" s="696"/>
      <c r="EP61" s="697"/>
      <c r="EQ61" s="698"/>
      <c r="ER61" s="699"/>
      <c r="ES61" s="700"/>
      <c r="ET61" s="701"/>
      <c r="EU61" s="700"/>
      <c r="EV61" s="701"/>
      <c r="EW61" s="700"/>
      <c r="EX61" s="701"/>
      <c r="EY61" s="702"/>
      <c r="EZ61" s="693"/>
      <c r="FA61" s="694"/>
      <c r="FB61" s="695"/>
      <c r="FC61" s="696"/>
      <c r="FD61" s="697"/>
      <c r="FE61" s="698"/>
      <c r="FF61" s="699"/>
      <c r="FG61" s="700"/>
      <c r="FH61" s="701"/>
      <c r="FI61" s="700"/>
      <c r="FJ61" s="701"/>
      <c r="FK61" s="700"/>
      <c r="FL61" s="701"/>
      <c r="FM61" s="702"/>
      <c r="FN61" s="693"/>
      <c r="FO61" s="694"/>
      <c r="FP61" s="695"/>
      <c r="FQ61" s="696"/>
      <c r="FR61" s="697"/>
      <c r="FS61" s="698"/>
      <c r="FT61" s="699"/>
      <c r="FU61" s="700"/>
      <c r="FV61" s="701"/>
      <c r="FW61" s="700"/>
      <c r="FX61" s="701"/>
      <c r="FY61" s="700"/>
      <c r="FZ61" s="701"/>
      <c r="GA61" s="702"/>
      <c r="GB61" s="693"/>
      <c r="GC61" s="694"/>
      <c r="GD61" s="695"/>
      <c r="GE61" s="696"/>
      <c r="GF61" s="697"/>
      <c r="GG61" s="698"/>
      <c r="GH61" s="699"/>
      <c r="GI61" s="700"/>
      <c r="GJ61" s="701"/>
      <c r="GK61" s="700"/>
      <c r="GL61" s="701"/>
      <c r="GM61" s="700"/>
      <c r="GN61" s="701"/>
      <c r="GO61" s="702"/>
      <c r="GP61" s="693"/>
      <c r="GQ61" s="694"/>
      <c r="GR61" s="695"/>
      <c r="GS61" s="696"/>
      <c r="GT61" s="697"/>
      <c r="GU61" s="698"/>
      <c r="GV61" s="699"/>
      <c r="GW61" s="700"/>
      <c r="GX61" s="701"/>
      <c r="GY61" s="700"/>
      <c r="GZ61" s="701"/>
      <c r="HA61" s="700"/>
      <c r="HB61" s="701"/>
      <c r="HC61" s="702"/>
      <c r="HD61" s="693"/>
      <c r="HE61" s="694"/>
      <c r="HF61" s="695"/>
      <c r="HG61" s="696"/>
      <c r="HH61" s="697"/>
      <c r="HI61" s="705"/>
      <c r="HJ61" s="704"/>
      <c r="HK61" s="696"/>
      <c r="HL61" s="697"/>
      <c r="HM61" s="698"/>
      <c r="HN61" s="699"/>
      <c r="HO61" s="700"/>
      <c r="HP61" s="701"/>
      <c r="HQ61" s="700"/>
      <c r="HR61" s="701"/>
      <c r="HS61" s="700"/>
      <c r="HT61" s="701"/>
      <c r="HU61" s="702"/>
      <c r="HV61" s="693"/>
      <c r="HW61" s="694"/>
      <c r="HX61" s="695"/>
      <c r="HY61" s="696"/>
      <c r="HZ61" s="697"/>
      <c r="IA61" s="705"/>
      <c r="IB61" s="704"/>
      <c r="IC61" s="696"/>
      <c r="ID61" s="697"/>
      <c r="IE61" s="698"/>
      <c r="IF61" s="699"/>
      <c r="IG61" s="700"/>
      <c r="IH61" s="701"/>
      <c r="II61" s="700"/>
      <c r="IJ61" s="701"/>
      <c r="IK61" s="700"/>
      <c r="IL61" s="701"/>
      <c r="IM61" s="702"/>
      <c r="IN61" s="346"/>
    </row>
    <row r="62" spans="1:248" x14ac:dyDescent="0.25">
      <c r="A62" s="692">
        <f t="shared" si="0"/>
        <v>48</v>
      </c>
      <c r="B62" s="693"/>
      <c r="C62" s="694"/>
      <c r="D62" s="695"/>
      <c r="E62" s="696"/>
      <c r="F62" s="697"/>
      <c r="G62" s="698"/>
      <c r="H62" s="699"/>
      <c r="I62" s="700"/>
      <c r="J62" s="701"/>
      <c r="K62" s="700"/>
      <c r="L62" s="701"/>
      <c r="M62" s="700"/>
      <c r="N62" s="701"/>
      <c r="O62" s="702"/>
      <c r="P62" s="693"/>
      <c r="Q62" s="694"/>
      <c r="R62" s="695"/>
      <c r="S62" s="696"/>
      <c r="T62" s="697"/>
      <c r="U62" s="698"/>
      <c r="V62" s="699"/>
      <c r="W62" s="700"/>
      <c r="X62" s="701"/>
      <c r="Y62" s="700"/>
      <c r="Z62" s="701"/>
      <c r="AA62" s="700"/>
      <c r="AB62" s="701"/>
      <c r="AC62" s="702"/>
      <c r="AD62" s="693"/>
      <c r="AE62" s="694"/>
      <c r="AF62" s="695"/>
      <c r="AG62" s="696"/>
      <c r="AH62" s="697"/>
      <c r="AI62" s="698"/>
      <c r="AJ62" s="699"/>
      <c r="AK62" s="700"/>
      <c r="AL62" s="701"/>
      <c r="AM62" s="700"/>
      <c r="AN62" s="701"/>
      <c r="AO62" s="700"/>
      <c r="AP62" s="701"/>
      <c r="AQ62" s="702"/>
      <c r="AR62" s="693"/>
      <c r="AS62" s="694"/>
      <c r="AT62" s="695"/>
      <c r="AU62" s="696"/>
      <c r="AV62" s="697"/>
      <c r="AW62" s="698"/>
      <c r="AX62" s="699"/>
      <c r="AY62" s="700"/>
      <c r="AZ62" s="701"/>
      <c r="BA62" s="700"/>
      <c r="BB62" s="701"/>
      <c r="BC62" s="700"/>
      <c r="BD62" s="701"/>
      <c r="BE62" s="702"/>
      <c r="BF62" s="693"/>
      <c r="BG62" s="694"/>
      <c r="BH62" s="695"/>
      <c r="BI62" s="696"/>
      <c r="BJ62" s="697"/>
      <c r="BK62" s="698"/>
      <c r="BL62" s="699"/>
      <c r="BM62" s="700"/>
      <c r="BN62" s="701"/>
      <c r="BO62" s="700"/>
      <c r="BP62" s="701"/>
      <c r="BQ62" s="700"/>
      <c r="BR62" s="701"/>
      <c r="BS62" s="702"/>
      <c r="BT62" s="693"/>
      <c r="BU62" s="694"/>
      <c r="BV62" s="695"/>
      <c r="BW62" s="696"/>
      <c r="BX62" s="697"/>
      <c r="BY62" s="698"/>
      <c r="BZ62" s="699"/>
      <c r="CA62" s="700"/>
      <c r="CB62" s="701"/>
      <c r="CC62" s="700"/>
      <c r="CD62" s="701"/>
      <c r="CE62" s="700"/>
      <c r="CF62" s="701"/>
      <c r="CG62" s="702"/>
      <c r="CH62" s="693"/>
      <c r="CI62" s="694"/>
      <c r="CJ62" s="695"/>
      <c r="CK62" s="696"/>
      <c r="CL62" s="697"/>
      <c r="CM62" s="698"/>
      <c r="CN62" s="699"/>
      <c r="CO62" s="700"/>
      <c r="CP62" s="701"/>
      <c r="CQ62" s="700"/>
      <c r="CR62" s="701"/>
      <c r="CS62" s="700"/>
      <c r="CT62" s="701"/>
      <c r="CU62" s="702"/>
      <c r="CV62" s="693"/>
      <c r="CW62" s="694"/>
      <c r="CX62" s="695"/>
      <c r="CY62" s="696"/>
      <c r="CZ62" s="697"/>
      <c r="DA62" s="698"/>
      <c r="DB62" s="699"/>
      <c r="DC62" s="700"/>
      <c r="DD62" s="701"/>
      <c r="DE62" s="700"/>
      <c r="DF62" s="701"/>
      <c r="DG62" s="700"/>
      <c r="DH62" s="701"/>
      <c r="DI62" s="702"/>
      <c r="DJ62" s="693"/>
      <c r="DK62" s="694"/>
      <c r="DL62" s="695"/>
      <c r="DM62" s="696"/>
      <c r="DN62" s="697"/>
      <c r="DO62" s="698"/>
      <c r="DP62" s="699"/>
      <c r="DQ62" s="700"/>
      <c r="DR62" s="701"/>
      <c r="DS62" s="700"/>
      <c r="DT62" s="701"/>
      <c r="DU62" s="700"/>
      <c r="DV62" s="701"/>
      <c r="DW62" s="702"/>
      <c r="DX62" s="693"/>
      <c r="DY62" s="694"/>
      <c r="DZ62" s="695"/>
      <c r="EA62" s="696"/>
      <c r="EB62" s="697"/>
      <c r="EC62" s="698"/>
      <c r="ED62" s="699"/>
      <c r="EE62" s="700"/>
      <c r="EF62" s="701"/>
      <c r="EG62" s="700"/>
      <c r="EH62" s="701"/>
      <c r="EI62" s="700"/>
      <c r="EJ62" s="701"/>
      <c r="EK62" s="702"/>
      <c r="EL62" s="693"/>
      <c r="EM62" s="694"/>
      <c r="EN62" s="695"/>
      <c r="EO62" s="696"/>
      <c r="EP62" s="697"/>
      <c r="EQ62" s="698"/>
      <c r="ER62" s="699"/>
      <c r="ES62" s="700"/>
      <c r="ET62" s="701"/>
      <c r="EU62" s="700"/>
      <c r="EV62" s="701"/>
      <c r="EW62" s="700"/>
      <c r="EX62" s="701"/>
      <c r="EY62" s="702"/>
      <c r="EZ62" s="693"/>
      <c r="FA62" s="694"/>
      <c r="FB62" s="695"/>
      <c r="FC62" s="696"/>
      <c r="FD62" s="697"/>
      <c r="FE62" s="698"/>
      <c r="FF62" s="699"/>
      <c r="FG62" s="700"/>
      <c r="FH62" s="701"/>
      <c r="FI62" s="700"/>
      <c r="FJ62" s="701"/>
      <c r="FK62" s="700"/>
      <c r="FL62" s="701"/>
      <c r="FM62" s="702"/>
      <c r="FN62" s="693"/>
      <c r="FO62" s="694"/>
      <c r="FP62" s="695"/>
      <c r="FQ62" s="696"/>
      <c r="FR62" s="697"/>
      <c r="FS62" s="698"/>
      <c r="FT62" s="699"/>
      <c r="FU62" s="700"/>
      <c r="FV62" s="701"/>
      <c r="FW62" s="700"/>
      <c r="FX62" s="701"/>
      <c r="FY62" s="700"/>
      <c r="FZ62" s="701"/>
      <c r="GA62" s="702"/>
      <c r="GB62" s="693"/>
      <c r="GC62" s="694"/>
      <c r="GD62" s="695"/>
      <c r="GE62" s="696"/>
      <c r="GF62" s="697"/>
      <c r="GG62" s="698"/>
      <c r="GH62" s="699"/>
      <c r="GI62" s="700"/>
      <c r="GJ62" s="701"/>
      <c r="GK62" s="700"/>
      <c r="GL62" s="701"/>
      <c r="GM62" s="700"/>
      <c r="GN62" s="701"/>
      <c r="GO62" s="702"/>
      <c r="GP62" s="693"/>
      <c r="GQ62" s="694"/>
      <c r="GR62" s="695"/>
      <c r="GS62" s="696"/>
      <c r="GT62" s="697"/>
      <c r="GU62" s="698"/>
      <c r="GV62" s="699"/>
      <c r="GW62" s="700"/>
      <c r="GX62" s="701"/>
      <c r="GY62" s="700"/>
      <c r="GZ62" s="701"/>
      <c r="HA62" s="700"/>
      <c r="HB62" s="701"/>
      <c r="HC62" s="702"/>
      <c r="HD62" s="693"/>
      <c r="HE62" s="694"/>
      <c r="HF62" s="695"/>
      <c r="HG62" s="696"/>
      <c r="HH62" s="697"/>
      <c r="HI62" s="705"/>
      <c r="HJ62" s="704"/>
      <c r="HK62" s="696"/>
      <c r="HL62" s="697"/>
      <c r="HM62" s="698"/>
      <c r="HN62" s="699"/>
      <c r="HO62" s="700"/>
      <c r="HP62" s="701"/>
      <c r="HQ62" s="700"/>
      <c r="HR62" s="701"/>
      <c r="HS62" s="700"/>
      <c r="HT62" s="701"/>
      <c r="HU62" s="702"/>
      <c r="HV62" s="693"/>
      <c r="HW62" s="694"/>
      <c r="HX62" s="695"/>
      <c r="HY62" s="696"/>
      <c r="HZ62" s="697"/>
      <c r="IA62" s="705"/>
      <c r="IB62" s="704"/>
      <c r="IC62" s="696"/>
      <c r="ID62" s="697"/>
      <c r="IE62" s="698"/>
      <c r="IF62" s="699"/>
      <c r="IG62" s="700"/>
      <c r="IH62" s="701"/>
      <c r="II62" s="700"/>
      <c r="IJ62" s="701"/>
      <c r="IK62" s="700"/>
      <c r="IL62" s="701"/>
      <c r="IM62" s="702"/>
      <c r="IN62" s="346"/>
    </row>
    <row r="63" spans="1:248" x14ac:dyDescent="0.25">
      <c r="A63" s="692">
        <f t="shared" si="0"/>
        <v>49</v>
      </c>
      <c r="B63" s="693"/>
      <c r="C63" s="694"/>
      <c r="D63" s="695"/>
      <c r="E63" s="696"/>
      <c r="F63" s="697"/>
      <c r="G63" s="698"/>
      <c r="H63" s="699"/>
      <c r="I63" s="700"/>
      <c r="J63" s="701"/>
      <c r="K63" s="700"/>
      <c r="L63" s="701"/>
      <c r="M63" s="700"/>
      <c r="N63" s="701"/>
      <c r="O63" s="702"/>
      <c r="P63" s="693"/>
      <c r="Q63" s="694"/>
      <c r="R63" s="695"/>
      <c r="S63" s="696"/>
      <c r="T63" s="697"/>
      <c r="U63" s="698"/>
      <c r="V63" s="699"/>
      <c r="W63" s="700"/>
      <c r="X63" s="701"/>
      <c r="Y63" s="700"/>
      <c r="Z63" s="701"/>
      <c r="AA63" s="700"/>
      <c r="AB63" s="701"/>
      <c r="AC63" s="702"/>
      <c r="AD63" s="693"/>
      <c r="AE63" s="694"/>
      <c r="AF63" s="695"/>
      <c r="AG63" s="696"/>
      <c r="AH63" s="697"/>
      <c r="AI63" s="698"/>
      <c r="AJ63" s="699"/>
      <c r="AK63" s="700"/>
      <c r="AL63" s="701"/>
      <c r="AM63" s="700"/>
      <c r="AN63" s="701"/>
      <c r="AO63" s="700"/>
      <c r="AP63" s="701"/>
      <c r="AQ63" s="702"/>
      <c r="AR63" s="693"/>
      <c r="AS63" s="694"/>
      <c r="AT63" s="695"/>
      <c r="AU63" s="696"/>
      <c r="AV63" s="697"/>
      <c r="AW63" s="698"/>
      <c r="AX63" s="699"/>
      <c r="AY63" s="700"/>
      <c r="AZ63" s="701"/>
      <c r="BA63" s="700"/>
      <c r="BB63" s="701"/>
      <c r="BC63" s="700"/>
      <c r="BD63" s="701"/>
      <c r="BE63" s="702"/>
      <c r="BF63" s="693"/>
      <c r="BG63" s="694"/>
      <c r="BH63" s="695"/>
      <c r="BI63" s="696"/>
      <c r="BJ63" s="697"/>
      <c r="BK63" s="698"/>
      <c r="BL63" s="699"/>
      <c r="BM63" s="700"/>
      <c r="BN63" s="701"/>
      <c r="BO63" s="700"/>
      <c r="BP63" s="701"/>
      <c r="BQ63" s="700"/>
      <c r="BR63" s="701"/>
      <c r="BS63" s="702"/>
      <c r="BT63" s="693"/>
      <c r="BU63" s="694"/>
      <c r="BV63" s="695"/>
      <c r="BW63" s="696"/>
      <c r="BX63" s="697"/>
      <c r="BY63" s="698"/>
      <c r="BZ63" s="699"/>
      <c r="CA63" s="700"/>
      <c r="CB63" s="701"/>
      <c r="CC63" s="700"/>
      <c r="CD63" s="701"/>
      <c r="CE63" s="700"/>
      <c r="CF63" s="701"/>
      <c r="CG63" s="702"/>
      <c r="CH63" s="693"/>
      <c r="CI63" s="694"/>
      <c r="CJ63" s="695"/>
      <c r="CK63" s="696"/>
      <c r="CL63" s="697"/>
      <c r="CM63" s="698"/>
      <c r="CN63" s="699"/>
      <c r="CO63" s="700"/>
      <c r="CP63" s="701"/>
      <c r="CQ63" s="700"/>
      <c r="CR63" s="701"/>
      <c r="CS63" s="700"/>
      <c r="CT63" s="701"/>
      <c r="CU63" s="702"/>
      <c r="CV63" s="693"/>
      <c r="CW63" s="694"/>
      <c r="CX63" s="695"/>
      <c r="CY63" s="696"/>
      <c r="CZ63" s="697"/>
      <c r="DA63" s="698"/>
      <c r="DB63" s="699"/>
      <c r="DC63" s="700"/>
      <c r="DD63" s="701"/>
      <c r="DE63" s="700"/>
      <c r="DF63" s="701"/>
      <c r="DG63" s="700"/>
      <c r="DH63" s="701"/>
      <c r="DI63" s="702"/>
      <c r="DJ63" s="693"/>
      <c r="DK63" s="694"/>
      <c r="DL63" s="695"/>
      <c r="DM63" s="696"/>
      <c r="DN63" s="697"/>
      <c r="DO63" s="698"/>
      <c r="DP63" s="699"/>
      <c r="DQ63" s="700"/>
      <c r="DR63" s="701"/>
      <c r="DS63" s="700"/>
      <c r="DT63" s="701"/>
      <c r="DU63" s="700"/>
      <c r="DV63" s="701"/>
      <c r="DW63" s="702"/>
      <c r="DX63" s="693"/>
      <c r="DY63" s="694"/>
      <c r="DZ63" s="695"/>
      <c r="EA63" s="696"/>
      <c r="EB63" s="697"/>
      <c r="EC63" s="698"/>
      <c r="ED63" s="699"/>
      <c r="EE63" s="700"/>
      <c r="EF63" s="701"/>
      <c r="EG63" s="700"/>
      <c r="EH63" s="701"/>
      <c r="EI63" s="700"/>
      <c r="EJ63" s="701"/>
      <c r="EK63" s="702"/>
      <c r="EL63" s="693"/>
      <c r="EM63" s="694"/>
      <c r="EN63" s="695"/>
      <c r="EO63" s="696"/>
      <c r="EP63" s="697"/>
      <c r="EQ63" s="698"/>
      <c r="ER63" s="699"/>
      <c r="ES63" s="700"/>
      <c r="ET63" s="701"/>
      <c r="EU63" s="700"/>
      <c r="EV63" s="701"/>
      <c r="EW63" s="700"/>
      <c r="EX63" s="701"/>
      <c r="EY63" s="702"/>
      <c r="EZ63" s="693"/>
      <c r="FA63" s="694"/>
      <c r="FB63" s="695"/>
      <c r="FC63" s="696"/>
      <c r="FD63" s="697"/>
      <c r="FE63" s="698"/>
      <c r="FF63" s="699"/>
      <c r="FG63" s="700"/>
      <c r="FH63" s="701"/>
      <c r="FI63" s="700"/>
      <c r="FJ63" s="701"/>
      <c r="FK63" s="700"/>
      <c r="FL63" s="701"/>
      <c r="FM63" s="702"/>
      <c r="FN63" s="693"/>
      <c r="FO63" s="694"/>
      <c r="FP63" s="695"/>
      <c r="FQ63" s="696"/>
      <c r="FR63" s="697"/>
      <c r="FS63" s="698"/>
      <c r="FT63" s="699"/>
      <c r="FU63" s="700"/>
      <c r="FV63" s="701"/>
      <c r="FW63" s="700"/>
      <c r="FX63" s="701"/>
      <c r="FY63" s="700"/>
      <c r="FZ63" s="701"/>
      <c r="GA63" s="702"/>
      <c r="GB63" s="693"/>
      <c r="GC63" s="694"/>
      <c r="GD63" s="695"/>
      <c r="GE63" s="696"/>
      <c r="GF63" s="697"/>
      <c r="GG63" s="698"/>
      <c r="GH63" s="699"/>
      <c r="GI63" s="700"/>
      <c r="GJ63" s="701"/>
      <c r="GK63" s="700"/>
      <c r="GL63" s="701"/>
      <c r="GM63" s="700"/>
      <c r="GN63" s="701"/>
      <c r="GO63" s="702"/>
      <c r="GP63" s="693"/>
      <c r="GQ63" s="694"/>
      <c r="GR63" s="695"/>
      <c r="GS63" s="696"/>
      <c r="GT63" s="697"/>
      <c r="GU63" s="698"/>
      <c r="GV63" s="699"/>
      <c r="GW63" s="700"/>
      <c r="GX63" s="701"/>
      <c r="GY63" s="700"/>
      <c r="GZ63" s="701"/>
      <c r="HA63" s="700"/>
      <c r="HB63" s="701"/>
      <c r="HC63" s="702"/>
      <c r="HD63" s="693"/>
      <c r="HE63" s="694"/>
      <c r="HF63" s="695"/>
      <c r="HG63" s="696"/>
      <c r="HH63" s="697"/>
      <c r="HI63" s="693"/>
      <c r="HJ63" s="704"/>
      <c r="HK63" s="696"/>
      <c r="HL63" s="697"/>
      <c r="HM63" s="698"/>
      <c r="HN63" s="699"/>
      <c r="HO63" s="700"/>
      <c r="HP63" s="701"/>
      <c r="HQ63" s="700"/>
      <c r="HR63" s="701"/>
      <c r="HS63" s="700"/>
      <c r="HT63" s="701"/>
      <c r="HU63" s="702"/>
      <c r="HV63" s="693"/>
      <c r="HW63" s="694"/>
      <c r="HX63" s="695"/>
      <c r="HY63" s="696"/>
      <c r="HZ63" s="697"/>
      <c r="IA63" s="693"/>
      <c r="IB63" s="704"/>
      <c r="IC63" s="696"/>
      <c r="ID63" s="697"/>
      <c r="IE63" s="698"/>
      <c r="IF63" s="699"/>
      <c r="IG63" s="700"/>
      <c r="IH63" s="701"/>
      <c r="II63" s="700"/>
      <c r="IJ63" s="701"/>
      <c r="IK63" s="700"/>
      <c r="IL63" s="701"/>
      <c r="IM63" s="702"/>
      <c r="IN63" s="346"/>
    </row>
    <row r="64" spans="1:248" x14ac:dyDescent="0.25">
      <c r="A64" s="692">
        <f t="shared" si="0"/>
        <v>50</v>
      </c>
      <c r="B64" s="693"/>
      <c r="C64" s="694"/>
      <c r="D64" s="695"/>
      <c r="E64" s="696"/>
      <c r="F64" s="697"/>
      <c r="G64" s="698"/>
      <c r="H64" s="699"/>
      <c r="I64" s="700"/>
      <c r="J64" s="701"/>
      <c r="K64" s="700"/>
      <c r="L64" s="701"/>
      <c r="M64" s="700"/>
      <c r="N64" s="701"/>
      <c r="O64" s="702"/>
      <c r="P64" s="693"/>
      <c r="Q64" s="694"/>
      <c r="R64" s="695"/>
      <c r="S64" s="696"/>
      <c r="T64" s="697"/>
      <c r="U64" s="698"/>
      <c r="V64" s="699"/>
      <c r="W64" s="700"/>
      <c r="X64" s="701"/>
      <c r="Y64" s="700"/>
      <c r="Z64" s="701"/>
      <c r="AA64" s="700"/>
      <c r="AB64" s="701"/>
      <c r="AC64" s="702"/>
      <c r="AD64" s="693"/>
      <c r="AE64" s="694"/>
      <c r="AF64" s="695"/>
      <c r="AG64" s="696"/>
      <c r="AH64" s="697"/>
      <c r="AI64" s="698"/>
      <c r="AJ64" s="699"/>
      <c r="AK64" s="700"/>
      <c r="AL64" s="701"/>
      <c r="AM64" s="700"/>
      <c r="AN64" s="701"/>
      <c r="AO64" s="700"/>
      <c r="AP64" s="701"/>
      <c r="AQ64" s="702"/>
      <c r="AR64" s="693"/>
      <c r="AS64" s="694"/>
      <c r="AT64" s="695"/>
      <c r="AU64" s="696"/>
      <c r="AV64" s="697"/>
      <c r="AW64" s="698"/>
      <c r="AX64" s="699"/>
      <c r="AY64" s="700"/>
      <c r="AZ64" s="701"/>
      <c r="BA64" s="700"/>
      <c r="BB64" s="701"/>
      <c r="BC64" s="700"/>
      <c r="BD64" s="701"/>
      <c r="BE64" s="702"/>
      <c r="BF64" s="693"/>
      <c r="BG64" s="694"/>
      <c r="BH64" s="695"/>
      <c r="BI64" s="696"/>
      <c r="BJ64" s="697"/>
      <c r="BK64" s="698"/>
      <c r="BL64" s="699"/>
      <c r="BM64" s="700"/>
      <c r="BN64" s="701"/>
      <c r="BO64" s="700"/>
      <c r="BP64" s="701"/>
      <c r="BQ64" s="700"/>
      <c r="BR64" s="701"/>
      <c r="BS64" s="702"/>
      <c r="BT64" s="693"/>
      <c r="BU64" s="694"/>
      <c r="BV64" s="695"/>
      <c r="BW64" s="696"/>
      <c r="BX64" s="697"/>
      <c r="BY64" s="698"/>
      <c r="BZ64" s="699"/>
      <c r="CA64" s="700"/>
      <c r="CB64" s="701"/>
      <c r="CC64" s="700"/>
      <c r="CD64" s="701"/>
      <c r="CE64" s="700"/>
      <c r="CF64" s="701"/>
      <c r="CG64" s="702"/>
      <c r="CH64" s="693"/>
      <c r="CI64" s="694"/>
      <c r="CJ64" s="695"/>
      <c r="CK64" s="696"/>
      <c r="CL64" s="697"/>
      <c r="CM64" s="698"/>
      <c r="CN64" s="699"/>
      <c r="CO64" s="700"/>
      <c r="CP64" s="701"/>
      <c r="CQ64" s="700"/>
      <c r="CR64" s="701"/>
      <c r="CS64" s="700"/>
      <c r="CT64" s="701"/>
      <c r="CU64" s="702"/>
      <c r="CV64" s="693"/>
      <c r="CW64" s="694"/>
      <c r="CX64" s="695"/>
      <c r="CY64" s="696"/>
      <c r="CZ64" s="697"/>
      <c r="DA64" s="698"/>
      <c r="DB64" s="699"/>
      <c r="DC64" s="700"/>
      <c r="DD64" s="701"/>
      <c r="DE64" s="700"/>
      <c r="DF64" s="701"/>
      <c r="DG64" s="700"/>
      <c r="DH64" s="701"/>
      <c r="DI64" s="702"/>
      <c r="DJ64" s="693"/>
      <c r="DK64" s="694"/>
      <c r="DL64" s="695"/>
      <c r="DM64" s="696"/>
      <c r="DN64" s="697"/>
      <c r="DO64" s="698"/>
      <c r="DP64" s="699"/>
      <c r="DQ64" s="700"/>
      <c r="DR64" s="701"/>
      <c r="DS64" s="700"/>
      <c r="DT64" s="701"/>
      <c r="DU64" s="700"/>
      <c r="DV64" s="701"/>
      <c r="DW64" s="702"/>
      <c r="DX64" s="693"/>
      <c r="DY64" s="694"/>
      <c r="DZ64" s="695"/>
      <c r="EA64" s="696"/>
      <c r="EB64" s="697"/>
      <c r="EC64" s="698"/>
      <c r="ED64" s="699"/>
      <c r="EE64" s="700"/>
      <c r="EF64" s="701"/>
      <c r="EG64" s="700"/>
      <c r="EH64" s="701"/>
      <c r="EI64" s="700"/>
      <c r="EJ64" s="701"/>
      <c r="EK64" s="702"/>
      <c r="EL64" s="693"/>
      <c r="EM64" s="694"/>
      <c r="EN64" s="695"/>
      <c r="EO64" s="696"/>
      <c r="EP64" s="697"/>
      <c r="EQ64" s="698"/>
      <c r="ER64" s="699"/>
      <c r="ES64" s="700"/>
      <c r="ET64" s="701"/>
      <c r="EU64" s="700"/>
      <c r="EV64" s="701"/>
      <c r="EW64" s="700"/>
      <c r="EX64" s="701"/>
      <c r="EY64" s="702"/>
      <c r="EZ64" s="693"/>
      <c r="FA64" s="694"/>
      <c r="FB64" s="695"/>
      <c r="FC64" s="696"/>
      <c r="FD64" s="697"/>
      <c r="FE64" s="698"/>
      <c r="FF64" s="699"/>
      <c r="FG64" s="700"/>
      <c r="FH64" s="701"/>
      <c r="FI64" s="700"/>
      <c r="FJ64" s="701"/>
      <c r="FK64" s="700"/>
      <c r="FL64" s="701"/>
      <c r="FM64" s="702"/>
      <c r="FN64" s="693"/>
      <c r="FO64" s="694"/>
      <c r="FP64" s="695"/>
      <c r="FQ64" s="696"/>
      <c r="FR64" s="697"/>
      <c r="FS64" s="698"/>
      <c r="FT64" s="699"/>
      <c r="FU64" s="700"/>
      <c r="FV64" s="701"/>
      <c r="FW64" s="700"/>
      <c r="FX64" s="701"/>
      <c r="FY64" s="700"/>
      <c r="FZ64" s="701"/>
      <c r="GA64" s="702"/>
      <c r="GB64" s="693"/>
      <c r="GC64" s="694"/>
      <c r="GD64" s="695"/>
      <c r="GE64" s="696"/>
      <c r="GF64" s="697"/>
      <c r="GG64" s="698"/>
      <c r="GH64" s="699"/>
      <c r="GI64" s="700"/>
      <c r="GJ64" s="701"/>
      <c r="GK64" s="700"/>
      <c r="GL64" s="701"/>
      <c r="GM64" s="700"/>
      <c r="GN64" s="701"/>
      <c r="GO64" s="702"/>
      <c r="GP64" s="693"/>
      <c r="GQ64" s="694"/>
      <c r="GR64" s="695"/>
      <c r="GS64" s="696"/>
      <c r="GT64" s="697"/>
      <c r="GU64" s="698"/>
      <c r="GV64" s="699"/>
      <c r="GW64" s="700"/>
      <c r="GX64" s="701"/>
      <c r="GY64" s="700"/>
      <c r="GZ64" s="701"/>
      <c r="HA64" s="700"/>
      <c r="HB64" s="701"/>
      <c r="HC64" s="702"/>
      <c r="HD64" s="693"/>
      <c r="HE64" s="694"/>
      <c r="HF64" s="695"/>
      <c r="HG64" s="696"/>
      <c r="HH64" s="697"/>
      <c r="HI64" s="693"/>
      <c r="HJ64" s="704"/>
      <c r="HK64" s="696"/>
      <c r="HL64" s="697"/>
      <c r="HM64" s="698"/>
      <c r="HN64" s="699"/>
      <c r="HO64" s="700"/>
      <c r="HP64" s="701"/>
      <c r="HQ64" s="700"/>
      <c r="HR64" s="701"/>
      <c r="HS64" s="700"/>
      <c r="HT64" s="701"/>
      <c r="HU64" s="702"/>
      <c r="HV64" s="693"/>
      <c r="HW64" s="694"/>
      <c r="HX64" s="695"/>
      <c r="HY64" s="696"/>
      <c r="HZ64" s="697"/>
      <c r="IA64" s="693"/>
      <c r="IB64" s="704"/>
      <c r="IC64" s="696"/>
      <c r="ID64" s="697"/>
      <c r="IE64" s="698"/>
      <c r="IF64" s="699"/>
      <c r="IG64" s="700"/>
      <c r="IH64" s="701"/>
      <c r="II64" s="700"/>
      <c r="IJ64" s="701"/>
      <c r="IK64" s="700"/>
      <c r="IL64" s="701"/>
      <c r="IM64" s="702"/>
      <c r="IN64" s="346"/>
    </row>
    <row r="65" spans="1:248" x14ac:dyDescent="0.25">
      <c r="A65" s="692">
        <f t="shared" si="0"/>
        <v>51</v>
      </c>
      <c r="B65" s="693"/>
      <c r="C65" s="694"/>
      <c r="D65" s="695"/>
      <c r="E65" s="696"/>
      <c r="F65" s="697"/>
      <c r="G65" s="698"/>
      <c r="H65" s="699"/>
      <c r="I65" s="700"/>
      <c r="J65" s="701"/>
      <c r="K65" s="700"/>
      <c r="L65" s="701"/>
      <c r="M65" s="700"/>
      <c r="N65" s="701"/>
      <c r="O65" s="702"/>
      <c r="P65" s="693"/>
      <c r="Q65" s="694"/>
      <c r="R65" s="695"/>
      <c r="S65" s="696"/>
      <c r="T65" s="697"/>
      <c r="U65" s="698"/>
      <c r="V65" s="699"/>
      <c r="W65" s="700"/>
      <c r="X65" s="701"/>
      <c r="Y65" s="700"/>
      <c r="Z65" s="701"/>
      <c r="AA65" s="700"/>
      <c r="AB65" s="701"/>
      <c r="AC65" s="702"/>
      <c r="AD65" s="693"/>
      <c r="AE65" s="694"/>
      <c r="AF65" s="695"/>
      <c r="AG65" s="696"/>
      <c r="AH65" s="697"/>
      <c r="AI65" s="698"/>
      <c r="AJ65" s="699"/>
      <c r="AK65" s="700"/>
      <c r="AL65" s="701"/>
      <c r="AM65" s="700"/>
      <c r="AN65" s="701"/>
      <c r="AO65" s="700"/>
      <c r="AP65" s="701"/>
      <c r="AQ65" s="702"/>
      <c r="AR65" s="693"/>
      <c r="AS65" s="694"/>
      <c r="AT65" s="695"/>
      <c r="AU65" s="696"/>
      <c r="AV65" s="697"/>
      <c r="AW65" s="698"/>
      <c r="AX65" s="699"/>
      <c r="AY65" s="700"/>
      <c r="AZ65" s="701"/>
      <c r="BA65" s="700"/>
      <c r="BB65" s="701"/>
      <c r="BC65" s="700"/>
      <c r="BD65" s="701"/>
      <c r="BE65" s="702"/>
      <c r="BF65" s="693"/>
      <c r="BG65" s="694"/>
      <c r="BH65" s="695"/>
      <c r="BI65" s="696"/>
      <c r="BJ65" s="697"/>
      <c r="BK65" s="698"/>
      <c r="BL65" s="699"/>
      <c r="BM65" s="700"/>
      <c r="BN65" s="701"/>
      <c r="BO65" s="700"/>
      <c r="BP65" s="701"/>
      <c r="BQ65" s="700"/>
      <c r="BR65" s="701"/>
      <c r="BS65" s="702"/>
      <c r="BT65" s="693"/>
      <c r="BU65" s="694"/>
      <c r="BV65" s="695"/>
      <c r="BW65" s="696"/>
      <c r="BX65" s="697"/>
      <c r="BY65" s="698"/>
      <c r="BZ65" s="699"/>
      <c r="CA65" s="700"/>
      <c r="CB65" s="701"/>
      <c r="CC65" s="700"/>
      <c r="CD65" s="701"/>
      <c r="CE65" s="700"/>
      <c r="CF65" s="701"/>
      <c r="CG65" s="702"/>
      <c r="CH65" s="693"/>
      <c r="CI65" s="694"/>
      <c r="CJ65" s="695"/>
      <c r="CK65" s="696"/>
      <c r="CL65" s="697"/>
      <c r="CM65" s="698"/>
      <c r="CN65" s="699"/>
      <c r="CO65" s="700"/>
      <c r="CP65" s="701"/>
      <c r="CQ65" s="700"/>
      <c r="CR65" s="701"/>
      <c r="CS65" s="700"/>
      <c r="CT65" s="701"/>
      <c r="CU65" s="702"/>
      <c r="CV65" s="693"/>
      <c r="CW65" s="694"/>
      <c r="CX65" s="695"/>
      <c r="CY65" s="696"/>
      <c r="CZ65" s="697"/>
      <c r="DA65" s="698"/>
      <c r="DB65" s="699"/>
      <c r="DC65" s="700"/>
      <c r="DD65" s="701"/>
      <c r="DE65" s="700"/>
      <c r="DF65" s="701"/>
      <c r="DG65" s="700"/>
      <c r="DH65" s="701"/>
      <c r="DI65" s="702"/>
      <c r="DJ65" s="693"/>
      <c r="DK65" s="694"/>
      <c r="DL65" s="695"/>
      <c r="DM65" s="696"/>
      <c r="DN65" s="697"/>
      <c r="DO65" s="698"/>
      <c r="DP65" s="699"/>
      <c r="DQ65" s="700"/>
      <c r="DR65" s="701"/>
      <c r="DS65" s="700"/>
      <c r="DT65" s="701"/>
      <c r="DU65" s="700"/>
      <c r="DV65" s="701"/>
      <c r="DW65" s="702"/>
      <c r="DX65" s="693"/>
      <c r="DY65" s="694"/>
      <c r="DZ65" s="695"/>
      <c r="EA65" s="696"/>
      <c r="EB65" s="697"/>
      <c r="EC65" s="698"/>
      <c r="ED65" s="699"/>
      <c r="EE65" s="700"/>
      <c r="EF65" s="701"/>
      <c r="EG65" s="700"/>
      <c r="EH65" s="701"/>
      <c r="EI65" s="700"/>
      <c r="EJ65" s="701"/>
      <c r="EK65" s="702"/>
      <c r="EL65" s="693"/>
      <c r="EM65" s="694"/>
      <c r="EN65" s="695"/>
      <c r="EO65" s="696"/>
      <c r="EP65" s="697"/>
      <c r="EQ65" s="698"/>
      <c r="ER65" s="699"/>
      <c r="ES65" s="700"/>
      <c r="ET65" s="701"/>
      <c r="EU65" s="700"/>
      <c r="EV65" s="701"/>
      <c r="EW65" s="700"/>
      <c r="EX65" s="701"/>
      <c r="EY65" s="702"/>
      <c r="EZ65" s="693"/>
      <c r="FA65" s="694"/>
      <c r="FB65" s="695"/>
      <c r="FC65" s="696"/>
      <c r="FD65" s="697"/>
      <c r="FE65" s="698"/>
      <c r="FF65" s="699"/>
      <c r="FG65" s="700"/>
      <c r="FH65" s="701"/>
      <c r="FI65" s="700"/>
      <c r="FJ65" s="701"/>
      <c r="FK65" s="700"/>
      <c r="FL65" s="701"/>
      <c r="FM65" s="702"/>
      <c r="FN65" s="693"/>
      <c r="FO65" s="694"/>
      <c r="FP65" s="695"/>
      <c r="FQ65" s="696"/>
      <c r="FR65" s="697"/>
      <c r="FS65" s="698"/>
      <c r="FT65" s="699"/>
      <c r="FU65" s="700"/>
      <c r="FV65" s="701"/>
      <c r="FW65" s="700"/>
      <c r="FX65" s="701"/>
      <c r="FY65" s="700"/>
      <c r="FZ65" s="701"/>
      <c r="GA65" s="702"/>
      <c r="GB65" s="693"/>
      <c r="GC65" s="694"/>
      <c r="GD65" s="695"/>
      <c r="GE65" s="696"/>
      <c r="GF65" s="697"/>
      <c r="GG65" s="698"/>
      <c r="GH65" s="699"/>
      <c r="GI65" s="700"/>
      <c r="GJ65" s="701"/>
      <c r="GK65" s="700"/>
      <c r="GL65" s="701"/>
      <c r="GM65" s="700"/>
      <c r="GN65" s="701"/>
      <c r="GO65" s="702"/>
      <c r="GP65" s="693"/>
      <c r="GQ65" s="694"/>
      <c r="GR65" s="695"/>
      <c r="GS65" s="696"/>
      <c r="GT65" s="697"/>
      <c r="GU65" s="698"/>
      <c r="GV65" s="699"/>
      <c r="GW65" s="700"/>
      <c r="GX65" s="701"/>
      <c r="GY65" s="700"/>
      <c r="GZ65" s="701"/>
      <c r="HA65" s="700"/>
      <c r="HB65" s="701"/>
      <c r="HC65" s="702"/>
      <c r="HD65" s="693"/>
      <c r="HE65" s="694"/>
      <c r="HF65" s="695"/>
      <c r="HG65" s="696"/>
      <c r="HH65" s="697"/>
      <c r="HI65" s="693"/>
      <c r="HJ65" s="704"/>
      <c r="HK65" s="696"/>
      <c r="HL65" s="697"/>
      <c r="HM65" s="698"/>
      <c r="HN65" s="699"/>
      <c r="HO65" s="700"/>
      <c r="HP65" s="701"/>
      <c r="HQ65" s="700"/>
      <c r="HR65" s="701"/>
      <c r="HS65" s="700"/>
      <c r="HT65" s="701"/>
      <c r="HU65" s="702"/>
      <c r="HV65" s="693"/>
      <c r="HW65" s="694"/>
      <c r="HX65" s="695"/>
      <c r="HY65" s="696"/>
      <c r="HZ65" s="697"/>
      <c r="IA65" s="693"/>
      <c r="IB65" s="704"/>
      <c r="IC65" s="696"/>
      <c r="ID65" s="697"/>
      <c r="IE65" s="698"/>
      <c r="IF65" s="699"/>
      <c r="IG65" s="700"/>
      <c r="IH65" s="701"/>
      <c r="II65" s="700"/>
      <c r="IJ65" s="701"/>
      <c r="IK65" s="700"/>
      <c r="IL65" s="701"/>
      <c r="IM65" s="702"/>
      <c r="IN65" s="346"/>
    </row>
    <row r="66" spans="1:248" x14ac:dyDescent="0.25">
      <c r="A66" s="692">
        <f t="shared" si="0"/>
        <v>52</v>
      </c>
      <c r="B66" s="693"/>
      <c r="C66" s="694"/>
      <c r="D66" s="695"/>
      <c r="E66" s="696"/>
      <c r="F66" s="697"/>
      <c r="G66" s="698"/>
      <c r="H66" s="699"/>
      <c r="I66" s="700"/>
      <c r="J66" s="701"/>
      <c r="K66" s="700"/>
      <c r="L66" s="701"/>
      <c r="M66" s="700"/>
      <c r="N66" s="701"/>
      <c r="O66" s="702"/>
      <c r="P66" s="693"/>
      <c r="Q66" s="694"/>
      <c r="R66" s="695"/>
      <c r="S66" s="696"/>
      <c r="T66" s="697"/>
      <c r="U66" s="698"/>
      <c r="V66" s="699"/>
      <c r="W66" s="700"/>
      <c r="X66" s="701"/>
      <c r="Y66" s="700"/>
      <c r="Z66" s="701"/>
      <c r="AA66" s="700"/>
      <c r="AB66" s="701"/>
      <c r="AC66" s="702"/>
      <c r="AD66" s="693"/>
      <c r="AE66" s="694"/>
      <c r="AF66" s="695"/>
      <c r="AG66" s="696"/>
      <c r="AH66" s="697"/>
      <c r="AI66" s="698"/>
      <c r="AJ66" s="699"/>
      <c r="AK66" s="700"/>
      <c r="AL66" s="701"/>
      <c r="AM66" s="700"/>
      <c r="AN66" s="701"/>
      <c r="AO66" s="700"/>
      <c r="AP66" s="701"/>
      <c r="AQ66" s="702"/>
      <c r="AR66" s="693"/>
      <c r="AS66" s="694"/>
      <c r="AT66" s="695"/>
      <c r="AU66" s="696"/>
      <c r="AV66" s="697"/>
      <c r="AW66" s="698"/>
      <c r="AX66" s="699"/>
      <c r="AY66" s="700"/>
      <c r="AZ66" s="701"/>
      <c r="BA66" s="700"/>
      <c r="BB66" s="701"/>
      <c r="BC66" s="700"/>
      <c r="BD66" s="701"/>
      <c r="BE66" s="702"/>
      <c r="BF66" s="693"/>
      <c r="BG66" s="694"/>
      <c r="BH66" s="695"/>
      <c r="BI66" s="696"/>
      <c r="BJ66" s="697"/>
      <c r="BK66" s="698"/>
      <c r="BL66" s="699"/>
      <c r="BM66" s="700"/>
      <c r="BN66" s="701"/>
      <c r="BO66" s="700"/>
      <c r="BP66" s="701"/>
      <c r="BQ66" s="700"/>
      <c r="BR66" s="701"/>
      <c r="BS66" s="702"/>
      <c r="BT66" s="693"/>
      <c r="BU66" s="694"/>
      <c r="BV66" s="695"/>
      <c r="BW66" s="696"/>
      <c r="BX66" s="697"/>
      <c r="BY66" s="698"/>
      <c r="BZ66" s="699"/>
      <c r="CA66" s="700"/>
      <c r="CB66" s="701"/>
      <c r="CC66" s="700"/>
      <c r="CD66" s="701"/>
      <c r="CE66" s="700"/>
      <c r="CF66" s="701"/>
      <c r="CG66" s="702"/>
      <c r="CH66" s="693"/>
      <c r="CI66" s="694"/>
      <c r="CJ66" s="695"/>
      <c r="CK66" s="696"/>
      <c r="CL66" s="697"/>
      <c r="CM66" s="698"/>
      <c r="CN66" s="699"/>
      <c r="CO66" s="700"/>
      <c r="CP66" s="701"/>
      <c r="CQ66" s="700"/>
      <c r="CR66" s="701"/>
      <c r="CS66" s="700"/>
      <c r="CT66" s="701"/>
      <c r="CU66" s="702"/>
      <c r="CV66" s="693"/>
      <c r="CW66" s="694"/>
      <c r="CX66" s="695"/>
      <c r="CY66" s="696"/>
      <c r="CZ66" s="697"/>
      <c r="DA66" s="698"/>
      <c r="DB66" s="699"/>
      <c r="DC66" s="700"/>
      <c r="DD66" s="701"/>
      <c r="DE66" s="700"/>
      <c r="DF66" s="701"/>
      <c r="DG66" s="700"/>
      <c r="DH66" s="701"/>
      <c r="DI66" s="702"/>
      <c r="DJ66" s="693"/>
      <c r="DK66" s="694"/>
      <c r="DL66" s="695"/>
      <c r="DM66" s="696"/>
      <c r="DN66" s="697"/>
      <c r="DO66" s="698"/>
      <c r="DP66" s="699"/>
      <c r="DQ66" s="700"/>
      <c r="DR66" s="701"/>
      <c r="DS66" s="700"/>
      <c r="DT66" s="701"/>
      <c r="DU66" s="700"/>
      <c r="DV66" s="701"/>
      <c r="DW66" s="702"/>
      <c r="DX66" s="693"/>
      <c r="DY66" s="694"/>
      <c r="DZ66" s="695"/>
      <c r="EA66" s="696"/>
      <c r="EB66" s="697"/>
      <c r="EC66" s="698"/>
      <c r="ED66" s="699"/>
      <c r="EE66" s="700"/>
      <c r="EF66" s="701"/>
      <c r="EG66" s="700"/>
      <c r="EH66" s="701"/>
      <c r="EI66" s="700"/>
      <c r="EJ66" s="701"/>
      <c r="EK66" s="702"/>
      <c r="EL66" s="693"/>
      <c r="EM66" s="694"/>
      <c r="EN66" s="695"/>
      <c r="EO66" s="696"/>
      <c r="EP66" s="697"/>
      <c r="EQ66" s="698"/>
      <c r="ER66" s="699"/>
      <c r="ES66" s="700"/>
      <c r="ET66" s="701"/>
      <c r="EU66" s="700"/>
      <c r="EV66" s="701"/>
      <c r="EW66" s="700"/>
      <c r="EX66" s="701"/>
      <c r="EY66" s="702"/>
      <c r="EZ66" s="693"/>
      <c r="FA66" s="694"/>
      <c r="FB66" s="695"/>
      <c r="FC66" s="696"/>
      <c r="FD66" s="697"/>
      <c r="FE66" s="698"/>
      <c r="FF66" s="699"/>
      <c r="FG66" s="700"/>
      <c r="FH66" s="701"/>
      <c r="FI66" s="700"/>
      <c r="FJ66" s="701"/>
      <c r="FK66" s="700"/>
      <c r="FL66" s="701"/>
      <c r="FM66" s="702"/>
      <c r="FN66" s="693"/>
      <c r="FO66" s="694"/>
      <c r="FP66" s="695"/>
      <c r="FQ66" s="696"/>
      <c r="FR66" s="697"/>
      <c r="FS66" s="698"/>
      <c r="FT66" s="699"/>
      <c r="FU66" s="700"/>
      <c r="FV66" s="701"/>
      <c r="FW66" s="700"/>
      <c r="FX66" s="701"/>
      <c r="FY66" s="700"/>
      <c r="FZ66" s="701"/>
      <c r="GA66" s="702"/>
      <c r="GB66" s="693"/>
      <c r="GC66" s="694"/>
      <c r="GD66" s="695"/>
      <c r="GE66" s="696"/>
      <c r="GF66" s="697"/>
      <c r="GG66" s="698"/>
      <c r="GH66" s="699"/>
      <c r="GI66" s="700"/>
      <c r="GJ66" s="701"/>
      <c r="GK66" s="700"/>
      <c r="GL66" s="701"/>
      <c r="GM66" s="700"/>
      <c r="GN66" s="701"/>
      <c r="GO66" s="702"/>
      <c r="GP66" s="693"/>
      <c r="GQ66" s="694"/>
      <c r="GR66" s="695"/>
      <c r="GS66" s="696"/>
      <c r="GT66" s="697"/>
      <c r="GU66" s="698"/>
      <c r="GV66" s="699"/>
      <c r="GW66" s="700"/>
      <c r="GX66" s="701"/>
      <c r="GY66" s="700"/>
      <c r="GZ66" s="701"/>
      <c r="HA66" s="700"/>
      <c r="HB66" s="701"/>
      <c r="HC66" s="702"/>
      <c r="HD66" s="693"/>
      <c r="HE66" s="694"/>
      <c r="HF66" s="695"/>
      <c r="HG66" s="696"/>
      <c r="HH66" s="697"/>
      <c r="HI66" s="693"/>
      <c r="HJ66" s="704"/>
      <c r="HK66" s="696"/>
      <c r="HL66" s="697"/>
      <c r="HM66" s="698"/>
      <c r="HN66" s="699"/>
      <c r="HO66" s="700"/>
      <c r="HP66" s="701"/>
      <c r="HQ66" s="700"/>
      <c r="HR66" s="701"/>
      <c r="HS66" s="700"/>
      <c r="HT66" s="701"/>
      <c r="HU66" s="702"/>
      <c r="HV66" s="693"/>
      <c r="HW66" s="694"/>
      <c r="HX66" s="695"/>
      <c r="HY66" s="696"/>
      <c r="HZ66" s="697"/>
      <c r="IA66" s="693"/>
      <c r="IB66" s="704"/>
      <c r="IC66" s="696"/>
      <c r="ID66" s="697"/>
      <c r="IE66" s="698"/>
      <c r="IF66" s="699"/>
      <c r="IG66" s="700"/>
      <c r="IH66" s="701"/>
      <c r="II66" s="700"/>
      <c r="IJ66" s="701"/>
      <c r="IK66" s="700"/>
      <c r="IL66" s="701"/>
      <c r="IM66" s="702"/>
      <c r="IN66" s="346"/>
    </row>
    <row r="67" spans="1:248" x14ac:dyDescent="0.25">
      <c r="A67" s="692">
        <f t="shared" si="0"/>
        <v>53</v>
      </c>
      <c r="B67" s="693"/>
      <c r="C67" s="694"/>
      <c r="D67" s="695"/>
      <c r="E67" s="696"/>
      <c r="F67" s="697"/>
      <c r="G67" s="698"/>
      <c r="H67" s="699"/>
      <c r="I67" s="700"/>
      <c r="J67" s="701"/>
      <c r="K67" s="700"/>
      <c r="L67" s="701"/>
      <c r="M67" s="700"/>
      <c r="N67" s="701"/>
      <c r="O67" s="702"/>
      <c r="P67" s="693"/>
      <c r="Q67" s="694"/>
      <c r="R67" s="695"/>
      <c r="S67" s="696"/>
      <c r="T67" s="697"/>
      <c r="U67" s="698"/>
      <c r="V67" s="699"/>
      <c r="W67" s="700"/>
      <c r="X67" s="701"/>
      <c r="Y67" s="700"/>
      <c r="Z67" s="701"/>
      <c r="AA67" s="700"/>
      <c r="AB67" s="701"/>
      <c r="AC67" s="702"/>
      <c r="AD67" s="693"/>
      <c r="AE67" s="694"/>
      <c r="AF67" s="695"/>
      <c r="AG67" s="696"/>
      <c r="AH67" s="697"/>
      <c r="AI67" s="698"/>
      <c r="AJ67" s="699"/>
      <c r="AK67" s="700"/>
      <c r="AL67" s="701"/>
      <c r="AM67" s="700"/>
      <c r="AN67" s="701"/>
      <c r="AO67" s="700"/>
      <c r="AP67" s="701"/>
      <c r="AQ67" s="702"/>
      <c r="AR67" s="693"/>
      <c r="AS67" s="694"/>
      <c r="AT67" s="695"/>
      <c r="AU67" s="696"/>
      <c r="AV67" s="697"/>
      <c r="AW67" s="698"/>
      <c r="AX67" s="699"/>
      <c r="AY67" s="700"/>
      <c r="AZ67" s="701"/>
      <c r="BA67" s="700"/>
      <c r="BB67" s="701"/>
      <c r="BC67" s="700"/>
      <c r="BD67" s="701"/>
      <c r="BE67" s="702"/>
      <c r="BF67" s="693"/>
      <c r="BG67" s="694"/>
      <c r="BH67" s="695"/>
      <c r="BI67" s="696"/>
      <c r="BJ67" s="697"/>
      <c r="BK67" s="698"/>
      <c r="BL67" s="699"/>
      <c r="BM67" s="700"/>
      <c r="BN67" s="701"/>
      <c r="BO67" s="700"/>
      <c r="BP67" s="701"/>
      <c r="BQ67" s="700"/>
      <c r="BR67" s="701"/>
      <c r="BS67" s="702"/>
      <c r="BT67" s="693"/>
      <c r="BU67" s="694"/>
      <c r="BV67" s="695"/>
      <c r="BW67" s="696"/>
      <c r="BX67" s="697"/>
      <c r="BY67" s="698"/>
      <c r="BZ67" s="699"/>
      <c r="CA67" s="700"/>
      <c r="CB67" s="701"/>
      <c r="CC67" s="700"/>
      <c r="CD67" s="701"/>
      <c r="CE67" s="700"/>
      <c r="CF67" s="701"/>
      <c r="CG67" s="702"/>
      <c r="CH67" s="693"/>
      <c r="CI67" s="694"/>
      <c r="CJ67" s="695"/>
      <c r="CK67" s="696"/>
      <c r="CL67" s="697"/>
      <c r="CM67" s="698"/>
      <c r="CN67" s="699"/>
      <c r="CO67" s="700"/>
      <c r="CP67" s="701"/>
      <c r="CQ67" s="700"/>
      <c r="CR67" s="701"/>
      <c r="CS67" s="700"/>
      <c r="CT67" s="701"/>
      <c r="CU67" s="702"/>
      <c r="CV67" s="693"/>
      <c r="CW67" s="694"/>
      <c r="CX67" s="695"/>
      <c r="CY67" s="696"/>
      <c r="CZ67" s="697"/>
      <c r="DA67" s="698"/>
      <c r="DB67" s="699"/>
      <c r="DC67" s="700"/>
      <c r="DD67" s="701"/>
      <c r="DE67" s="700"/>
      <c r="DF67" s="701"/>
      <c r="DG67" s="700"/>
      <c r="DH67" s="701"/>
      <c r="DI67" s="702"/>
      <c r="DJ67" s="693"/>
      <c r="DK67" s="694"/>
      <c r="DL67" s="695"/>
      <c r="DM67" s="696"/>
      <c r="DN67" s="697"/>
      <c r="DO67" s="698"/>
      <c r="DP67" s="699"/>
      <c r="DQ67" s="700"/>
      <c r="DR67" s="701"/>
      <c r="DS67" s="700"/>
      <c r="DT67" s="701"/>
      <c r="DU67" s="700"/>
      <c r="DV67" s="701"/>
      <c r="DW67" s="702"/>
      <c r="DX67" s="693"/>
      <c r="DY67" s="694"/>
      <c r="DZ67" s="695"/>
      <c r="EA67" s="696"/>
      <c r="EB67" s="697"/>
      <c r="EC67" s="698"/>
      <c r="ED67" s="699"/>
      <c r="EE67" s="700"/>
      <c r="EF67" s="701"/>
      <c r="EG67" s="700"/>
      <c r="EH67" s="701"/>
      <c r="EI67" s="700"/>
      <c r="EJ67" s="701"/>
      <c r="EK67" s="702"/>
      <c r="EL67" s="693"/>
      <c r="EM67" s="694"/>
      <c r="EN67" s="695"/>
      <c r="EO67" s="696"/>
      <c r="EP67" s="697"/>
      <c r="EQ67" s="698"/>
      <c r="ER67" s="699"/>
      <c r="ES67" s="700"/>
      <c r="ET67" s="701"/>
      <c r="EU67" s="700"/>
      <c r="EV67" s="701"/>
      <c r="EW67" s="700"/>
      <c r="EX67" s="701"/>
      <c r="EY67" s="702"/>
      <c r="EZ67" s="693"/>
      <c r="FA67" s="694"/>
      <c r="FB67" s="695"/>
      <c r="FC67" s="696"/>
      <c r="FD67" s="697"/>
      <c r="FE67" s="698"/>
      <c r="FF67" s="699"/>
      <c r="FG67" s="700"/>
      <c r="FH67" s="701"/>
      <c r="FI67" s="700"/>
      <c r="FJ67" s="701"/>
      <c r="FK67" s="700"/>
      <c r="FL67" s="701"/>
      <c r="FM67" s="702"/>
      <c r="FN67" s="693"/>
      <c r="FO67" s="694"/>
      <c r="FP67" s="695"/>
      <c r="FQ67" s="696"/>
      <c r="FR67" s="697"/>
      <c r="FS67" s="698"/>
      <c r="FT67" s="699"/>
      <c r="FU67" s="700"/>
      <c r="FV67" s="701"/>
      <c r="FW67" s="700"/>
      <c r="FX67" s="701"/>
      <c r="FY67" s="700"/>
      <c r="FZ67" s="701"/>
      <c r="GA67" s="702"/>
      <c r="GB67" s="693"/>
      <c r="GC67" s="694"/>
      <c r="GD67" s="695"/>
      <c r="GE67" s="696"/>
      <c r="GF67" s="697"/>
      <c r="GG67" s="698"/>
      <c r="GH67" s="699"/>
      <c r="GI67" s="700"/>
      <c r="GJ67" s="701"/>
      <c r="GK67" s="700"/>
      <c r="GL67" s="701"/>
      <c r="GM67" s="700"/>
      <c r="GN67" s="701"/>
      <c r="GO67" s="702"/>
      <c r="GP67" s="693"/>
      <c r="GQ67" s="694"/>
      <c r="GR67" s="695"/>
      <c r="GS67" s="696"/>
      <c r="GT67" s="697"/>
      <c r="GU67" s="698"/>
      <c r="GV67" s="699"/>
      <c r="GW67" s="700"/>
      <c r="GX67" s="701"/>
      <c r="GY67" s="700"/>
      <c r="GZ67" s="701"/>
      <c r="HA67" s="700"/>
      <c r="HB67" s="701"/>
      <c r="HC67" s="702"/>
      <c r="HD67" s="693"/>
      <c r="HE67" s="694"/>
      <c r="HF67" s="695"/>
      <c r="HG67" s="696"/>
      <c r="HH67" s="697"/>
      <c r="HI67" s="705"/>
      <c r="HJ67" s="704"/>
      <c r="HK67" s="696"/>
      <c r="HL67" s="697"/>
      <c r="HM67" s="698"/>
      <c r="HN67" s="699"/>
      <c r="HO67" s="700"/>
      <c r="HP67" s="701"/>
      <c r="HQ67" s="700"/>
      <c r="HR67" s="701"/>
      <c r="HS67" s="700"/>
      <c r="HT67" s="701"/>
      <c r="HU67" s="702"/>
      <c r="HV67" s="693"/>
      <c r="HW67" s="694"/>
      <c r="HX67" s="695"/>
      <c r="HY67" s="696"/>
      <c r="HZ67" s="697"/>
      <c r="IA67" s="705"/>
      <c r="IB67" s="704"/>
      <c r="IC67" s="696"/>
      <c r="ID67" s="697"/>
      <c r="IE67" s="698"/>
      <c r="IF67" s="699"/>
      <c r="IG67" s="700"/>
      <c r="IH67" s="701"/>
      <c r="II67" s="700"/>
      <c r="IJ67" s="701"/>
      <c r="IK67" s="700"/>
      <c r="IL67" s="701"/>
      <c r="IM67" s="702"/>
      <c r="IN67" s="346"/>
    </row>
    <row r="68" spans="1:248" x14ac:dyDescent="0.25">
      <c r="A68" s="692">
        <f t="shared" si="0"/>
        <v>54</v>
      </c>
      <c r="B68" s="693"/>
      <c r="C68" s="694"/>
      <c r="D68" s="695"/>
      <c r="E68" s="696"/>
      <c r="F68" s="697"/>
      <c r="G68" s="698"/>
      <c r="H68" s="699"/>
      <c r="I68" s="700"/>
      <c r="J68" s="701"/>
      <c r="K68" s="700"/>
      <c r="L68" s="701"/>
      <c r="M68" s="700"/>
      <c r="N68" s="701"/>
      <c r="O68" s="702"/>
      <c r="P68" s="693"/>
      <c r="Q68" s="694"/>
      <c r="R68" s="695"/>
      <c r="S68" s="696"/>
      <c r="T68" s="697"/>
      <c r="U68" s="698"/>
      <c r="V68" s="699"/>
      <c r="W68" s="700"/>
      <c r="X68" s="701"/>
      <c r="Y68" s="700"/>
      <c r="Z68" s="701"/>
      <c r="AA68" s="700"/>
      <c r="AB68" s="701"/>
      <c r="AC68" s="702"/>
      <c r="AD68" s="693"/>
      <c r="AE68" s="694"/>
      <c r="AF68" s="695"/>
      <c r="AG68" s="696"/>
      <c r="AH68" s="697"/>
      <c r="AI68" s="698"/>
      <c r="AJ68" s="699"/>
      <c r="AK68" s="700"/>
      <c r="AL68" s="701"/>
      <c r="AM68" s="700"/>
      <c r="AN68" s="701"/>
      <c r="AO68" s="700"/>
      <c r="AP68" s="701"/>
      <c r="AQ68" s="702"/>
      <c r="AR68" s="693"/>
      <c r="AS68" s="694"/>
      <c r="AT68" s="695"/>
      <c r="AU68" s="696"/>
      <c r="AV68" s="697"/>
      <c r="AW68" s="698"/>
      <c r="AX68" s="699"/>
      <c r="AY68" s="700"/>
      <c r="AZ68" s="701"/>
      <c r="BA68" s="700"/>
      <c r="BB68" s="701"/>
      <c r="BC68" s="700"/>
      <c r="BD68" s="701"/>
      <c r="BE68" s="702"/>
      <c r="BF68" s="693"/>
      <c r="BG68" s="694"/>
      <c r="BH68" s="695"/>
      <c r="BI68" s="696"/>
      <c r="BJ68" s="697"/>
      <c r="BK68" s="698"/>
      <c r="BL68" s="699"/>
      <c r="BM68" s="700"/>
      <c r="BN68" s="701"/>
      <c r="BO68" s="700"/>
      <c r="BP68" s="701"/>
      <c r="BQ68" s="700"/>
      <c r="BR68" s="701"/>
      <c r="BS68" s="702"/>
      <c r="BT68" s="693"/>
      <c r="BU68" s="694"/>
      <c r="BV68" s="695"/>
      <c r="BW68" s="696"/>
      <c r="BX68" s="697"/>
      <c r="BY68" s="698"/>
      <c r="BZ68" s="699"/>
      <c r="CA68" s="700"/>
      <c r="CB68" s="701"/>
      <c r="CC68" s="700"/>
      <c r="CD68" s="701"/>
      <c r="CE68" s="700"/>
      <c r="CF68" s="701"/>
      <c r="CG68" s="702"/>
      <c r="CH68" s="693"/>
      <c r="CI68" s="694"/>
      <c r="CJ68" s="695"/>
      <c r="CK68" s="696"/>
      <c r="CL68" s="697"/>
      <c r="CM68" s="698"/>
      <c r="CN68" s="699"/>
      <c r="CO68" s="700"/>
      <c r="CP68" s="701"/>
      <c r="CQ68" s="700"/>
      <c r="CR68" s="701"/>
      <c r="CS68" s="700"/>
      <c r="CT68" s="701"/>
      <c r="CU68" s="702"/>
      <c r="CV68" s="693"/>
      <c r="CW68" s="694"/>
      <c r="CX68" s="695"/>
      <c r="CY68" s="696"/>
      <c r="CZ68" s="697"/>
      <c r="DA68" s="698"/>
      <c r="DB68" s="699"/>
      <c r="DC68" s="700"/>
      <c r="DD68" s="701"/>
      <c r="DE68" s="700"/>
      <c r="DF68" s="701"/>
      <c r="DG68" s="700"/>
      <c r="DH68" s="701"/>
      <c r="DI68" s="702"/>
      <c r="DJ68" s="693"/>
      <c r="DK68" s="694"/>
      <c r="DL68" s="695"/>
      <c r="DM68" s="696"/>
      <c r="DN68" s="697"/>
      <c r="DO68" s="698"/>
      <c r="DP68" s="699"/>
      <c r="DQ68" s="700"/>
      <c r="DR68" s="701"/>
      <c r="DS68" s="700"/>
      <c r="DT68" s="701"/>
      <c r="DU68" s="700"/>
      <c r="DV68" s="701"/>
      <c r="DW68" s="702"/>
      <c r="DX68" s="693"/>
      <c r="DY68" s="694"/>
      <c r="DZ68" s="695"/>
      <c r="EA68" s="696"/>
      <c r="EB68" s="697"/>
      <c r="EC68" s="698"/>
      <c r="ED68" s="699"/>
      <c r="EE68" s="700"/>
      <c r="EF68" s="701"/>
      <c r="EG68" s="700"/>
      <c r="EH68" s="701"/>
      <c r="EI68" s="700"/>
      <c r="EJ68" s="701"/>
      <c r="EK68" s="702"/>
      <c r="EL68" s="693"/>
      <c r="EM68" s="694"/>
      <c r="EN68" s="695"/>
      <c r="EO68" s="696"/>
      <c r="EP68" s="697"/>
      <c r="EQ68" s="698"/>
      <c r="ER68" s="699"/>
      <c r="ES68" s="700"/>
      <c r="ET68" s="701"/>
      <c r="EU68" s="700"/>
      <c r="EV68" s="701"/>
      <c r="EW68" s="700"/>
      <c r="EX68" s="701"/>
      <c r="EY68" s="702"/>
      <c r="EZ68" s="693"/>
      <c r="FA68" s="694"/>
      <c r="FB68" s="695"/>
      <c r="FC68" s="696"/>
      <c r="FD68" s="697"/>
      <c r="FE68" s="698"/>
      <c r="FF68" s="699"/>
      <c r="FG68" s="700"/>
      <c r="FH68" s="701"/>
      <c r="FI68" s="700"/>
      <c r="FJ68" s="701"/>
      <c r="FK68" s="700"/>
      <c r="FL68" s="701"/>
      <c r="FM68" s="702"/>
      <c r="FN68" s="693"/>
      <c r="FO68" s="694"/>
      <c r="FP68" s="695"/>
      <c r="FQ68" s="696"/>
      <c r="FR68" s="697"/>
      <c r="FS68" s="698"/>
      <c r="FT68" s="699"/>
      <c r="FU68" s="700"/>
      <c r="FV68" s="701"/>
      <c r="FW68" s="700"/>
      <c r="FX68" s="701"/>
      <c r="FY68" s="700"/>
      <c r="FZ68" s="701"/>
      <c r="GA68" s="702"/>
      <c r="GB68" s="693"/>
      <c r="GC68" s="694"/>
      <c r="GD68" s="695"/>
      <c r="GE68" s="696"/>
      <c r="GF68" s="697"/>
      <c r="GG68" s="698"/>
      <c r="GH68" s="699"/>
      <c r="GI68" s="700"/>
      <c r="GJ68" s="701"/>
      <c r="GK68" s="700"/>
      <c r="GL68" s="701"/>
      <c r="GM68" s="700"/>
      <c r="GN68" s="701"/>
      <c r="GO68" s="702"/>
      <c r="GP68" s="693"/>
      <c r="GQ68" s="694"/>
      <c r="GR68" s="695"/>
      <c r="GS68" s="696"/>
      <c r="GT68" s="697"/>
      <c r="GU68" s="698"/>
      <c r="GV68" s="699"/>
      <c r="GW68" s="700"/>
      <c r="GX68" s="701"/>
      <c r="GY68" s="700"/>
      <c r="GZ68" s="701"/>
      <c r="HA68" s="700"/>
      <c r="HB68" s="701"/>
      <c r="HC68" s="702"/>
      <c r="HD68" s="693"/>
      <c r="HE68" s="694"/>
      <c r="HF68" s="695"/>
      <c r="HG68" s="696"/>
      <c r="HH68" s="697"/>
      <c r="HI68" s="705"/>
      <c r="HJ68" s="704"/>
      <c r="HK68" s="696"/>
      <c r="HL68" s="697"/>
      <c r="HM68" s="698"/>
      <c r="HN68" s="699"/>
      <c r="HO68" s="700"/>
      <c r="HP68" s="701"/>
      <c r="HQ68" s="700"/>
      <c r="HR68" s="701"/>
      <c r="HS68" s="700"/>
      <c r="HT68" s="701"/>
      <c r="HU68" s="702"/>
      <c r="HV68" s="693"/>
      <c r="HW68" s="694"/>
      <c r="HX68" s="695"/>
      <c r="HY68" s="696"/>
      <c r="HZ68" s="697"/>
      <c r="IA68" s="705"/>
      <c r="IB68" s="704"/>
      <c r="IC68" s="696"/>
      <c r="ID68" s="697"/>
      <c r="IE68" s="698"/>
      <c r="IF68" s="699"/>
      <c r="IG68" s="700"/>
      <c r="IH68" s="701"/>
      <c r="II68" s="700"/>
      <c r="IJ68" s="701"/>
      <c r="IK68" s="700"/>
      <c r="IL68" s="701"/>
      <c r="IM68" s="702"/>
      <c r="IN68" s="346"/>
    </row>
    <row r="69" spans="1:248" x14ac:dyDescent="0.25">
      <c r="A69" s="692">
        <f t="shared" si="0"/>
        <v>55</v>
      </c>
      <c r="B69" s="693"/>
      <c r="C69" s="694"/>
      <c r="D69" s="695"/>
      <c r="E69" s="696"/>
      <c r="F69" s="697"/>
      <c r="G69" s="698"/>
      <c r="H69" s="699"/>
      <c r="I69" s="700"/>
      <c r="J69" s="701"/>
      <c r="K69" s="700"/>
      <c r="L69" s="701"/>
      <c r="M69" s="700"/>
      <c r="N69" s="701"/>
      <c r="O69" s="702"/>
      <c r="P69" s="693"/>
      <c r="Q69" s="694"/>
      <c r="R69" s="695"/>
      <c r="S69" s="696"/>
      <c r="T69" s="697"/>
      <c r="U69" s="698"/>
      <c r="V69" s="699"/>
      <c r="W69" s="700"/>
      <c r="X69" s="701"/>
      <c r="Y69" s="700"/>
      <c r="Z69" s="701"/>
      <c r="AA69" s="700"/>
      <c r="AB69" s="701"/>
      <c r="AC69" s="702"/>
      <c r="AD69" s="693"/>
      <c r="AE69" s="694"/>
      <c r="AF69" s="695"/>
      <c r="AG69" s="696"/>
      <c r="AH69" s="697"/>
      <c r="AI69" s="698"/>
      <c r="AJ69" s="699"/>
      <c r="AK69" s="700"/>
      <c r="AL69" s="701"/>
      <c r="AM69" s="700"/>
      <c r="AN69" s="701"/>
      <c r="AO69" s="700"/>
      <c r="AP69" s="701"/>
      <c r="AQ69" s="702"/>
      <c r="AR69" s="693"/>
      <c r="AS69" s="694"/>
      <c r="AT69" s="695"/>
      <c r="AU69" s="696"/>
      <c r="AV69" s="697"/>
      <c r="AW69" s="698"/>
      <c r="AX69" s="699"/>
      <c r="AY69" s="700"/>
      <c r="AZ69" s="701"/>
      <c r="BA69" s="700"/>
      <c r="BB69" s="701"/>
      <c r="BC69" s="700"/>
      <c r="BD69" s="701"/>
      <c r="BE69" s="702"/>
      <c r="BF69" s="693"/>
      <c r="BG69" s="694"/>
      <c r="BH69" s="695"/>
      <c r="BI69" s="696"/>
      <c r="BJ69" s="697"/>
      <c r="BK69" s="698"/>
      <c r="BL69" s="699"/>
      <c r="BM69" s="700"/>
      <c r="BN69" s="701"/>
      <c r="BO69" s="700"/>
      <c r="BP69" s="701"/>
      <c r="BQ69" s="700"/>
      <c r="BR69" s="701"/>
      <c r="BS69" s="702"/>
      <c r="BT69" s="693"/>
      <c r="BU69" s="694"/>
      <c r="BV69" s="695"/>
      <c r="BW69" s="696"/>
      <c r="BX69" s="697"/>
      <c r="BY69" s="698"/>
      <c r="BZ69" s="699"/>
      <c r="CA69" s="700"/>
      <c r="CB69" s="701"/>
      <c r="CC69" s="700"/>
      <c r="CD69" s="701"/>
      <c r="CE69" s="700"/>
      <c r="CF69" s="701"/>
      <c r="CG69" s="702"/>
      <c r="CH69" s="693"/>
      <c r="CI69" s="694"/>
      <c r="CJ69" s="695"/>
      <c r="CK69" s="696"/>
      <c r="CL69" s="697"/>
      <c r="CM69" s="698"/>
      <c r="CN69" s="699"/>
      <c r="CO69" s="700"/>
      <c r="CP69" s="701"/>
      <c r="CQ69" s="700"/>
      <c r="CR69" s="701"/>
      <c r="CS69" s="700"/>
      <c r="CT69" s="701"/>
      <c r="CU69" s="702"/>
      <c r="CV69" s="693"/>
      <c r="CW69" s="694"/>
      <c r="CX69" s="695"/>
      <c r="CY69" s="696"/>
      <c r="CZ69" s="697"/>
      <c r="DA69" s="698"/>
      <c r="DB69" s="699"/>
      <c r="DC69" s="700"/>
      <c r="DD69" s="701"/>
      <c r="DE69" s="700"/>
      <c r="DF69" s="701"/>
      <c r="DG69" s="700"/>
      <c r="DH69" s="701"/>
      <c r="DI69" s="702"/>
      <c r="DJ69" s="693"/>
      <c r="DK69" s="694"/>
      <c r="DL69" s="695"/>
      <c r="DM69" s="696"/>
      <c r="DN69" s="697"/>
      <c r="DO69" s="698"/>
      <c r="DP69" s="699"/>
      <c r="DQ69" s="700"/>
      <c r="DR69" s="701"/>
      <c r="DS69" s="700"/>
      <c r="DT69" s="701"/>
      <c r="DU69" s="700"/>
      <c r="DV69" s="701"/>
      <c r="DW69" s="702"/>
      <c r="DX69" s="693"/>
      <c r="DY69" s="694"/>
      <c r="DZ69" s="695"/>
      <c r="EA69" s="696"/>
      <c r="EB69" s="697"/>
      <c r="EC69" s="698"/>
      <c r="ED69" s="699"/>
      <c r="EE69" s="700"/>
      <c r="EF69" s="701"/>
      <c r="EG69" s="700"/>
      <c r="EH69" s="701"/>
      <c r="EI69" s="700"/>
      <c r="EJ69" s="701"/>
      <c r="EK69" s="702"/>
      <c r="EL69" s="693"/>
      <c r="EM69" s="694"/>
      <c r="EN69" s="695"/>
      <c r="EO69" s="696"/>
      <c r="EP69" s="697"/>
      <c r="EQ69" s="698"/>
      <c r="ER69" s="699"/>
      <c r="ES69" s="700"/>
      <c r="ET69" s="701"/>
      <c r="EU69" s="700"/>
      <c r="EV69" s="701"/>
      <c r="EW69" s="700"/>
      <c r="EX69" s="701"/>
      <c r="EY69" s="702"/>
      <c r="EZ69" s="693"/>
      <c r="FA69" s="694"/>
      <c r="FB69" s="695"/>
      <c r="FC69" s="696"/>
      <c r="FD69" s="697"/>
      <c r="FE69" s="698"/>
      <c r="FF69" s="699"/>
      <c r="FG69" s="700"/>
      <c r="FH69" s="701"/>
      <c r="FI69" s="700"/>
      <c r="FJ69" s="701"/>
      <c r="FK69" s="700"/>
      <c r="FL69" s="701"/>
      <c r="FM69" s="702"/>
      <c r="FN69" s="693"/>
      <c r="FO69" s="694"/>
      <c r="FP69" s="695"/>
      <c r="FQ69" s="696"/>
      <c r="FR69" s="697"/>
      <c r="FS69" s="698"/>
      <c r="FT69" s="699"/>
      <c r="FU69" s="700"/>
      <c r="FV69" s="701"/>
      <c r="FW69" s="700"/>
      <c r="FX69" s="701"/>
      <c r="FY69" s="700"/>
      <c r="FZ69" s="701"/>
      <c r="GA69" s="702"/>
      <c r="GB69" s="693"/>
      <c r="GC69" s="694"/>
      <c r="GD69" s="695"/>
      <c r="GE69" s="696"/>
      <c r="GF69" s="697"/>
      <c r="GG69" s="698"/>
      <c r="GH69" s="699"/>
      <c r="GI69" s="700"/>
      <c r="GJ69" s="701"/>
      <c r="GK69" s="700"/>
      <c r="GL69" s="701"/>
      <c r="GM69" s="700"/>
      <c r="GN69" s="701"/>
      <c r="GO69" s="702"/>
      <c r="GP69" s="693"/>
      <c r="GQ69" s="694"/>
      <c r="GR69" s="695"/>
      <c r="GS69" s="696"/>
      <c r="GT69" s="697"/>
      <c r="GU69" s="698"/>
      <c r="GV69" s="699"/>
      <c r="GW69" s="700"/>
      <c r="GX69" s="701"/>
      <c r="GY69" s="700"/>
      <c r="GZ69" s="701"/>
      <c r="HA69" s="700"/>
      <c r="HB69" s="701"/>
      <c r="HC69" s="702"/>
      <c r="HD69" s="693"/>
      <c r="HE69" s="694"/>
      <c r="HF69" s="695"/>
      <c r="HG69" s="696"/>
      <c r="HH69" s="697"/>
      <c r="HI69" s="693"/>
      <c r="HJ69" s="704"/>
      <c r="HK69" s="696"/>
      <c r="HL69" s="697"/>
      <c r="HM69" s="698"/>
      <c r="HN69" s="699"/>
      <c r="HO69" s="700"/>
      <c r="HP69" s="701"/>
      <c r="HQ69" s="700"/>
      <c r="HR69" s="701"/>
      <c r="HS69" s="700"/>
      <c r="HT69" s="701"/>
      <c r="HU69" s="702"/>
      <c r="HV69" s="693"/>
      <c r="HW69" s="694"/>
      <c r="HX69" s="695"/>
      <c r="HY69" s="696"/>
      <c r="HZ69" s="697"/>
      <c r="IA69" s="693"/>
      <c r="IB69" s="704"/>
      <c r="IC69" s="696"/>
      <c r="ID69" s="697"/>
      <c r="IE69" s="698"/>
      <c r="IF69" s="699"/>
      <c r="IG69" s="700"/>
      <c r="IH69" s="701"/>
      <c r="II69" s="700"/>
      <c r="IJ69" s="701"/>
      <c r="IK69" s="700"/>
      <c r="IL69" s="701"/>
      <c r="IM69" s="702"/>
      <c r="IN69" s="346"/>
    </row>
    <row r="70" spans="1:248" x14ac:dyDescent="0.25">
      <c r="A70" s="692">
        <f t="shared" si="0"/>
        <v>56</v>
      </c>
      <c r="B70" s="693"/>
      <c r="C70" s="694"/>
      <c r="D70" s="695"/>
      <c r="E70" s="696"/>
      <c r="F70" s="697"/>
      <c r="G70" s="698"/>
      <c r="H70" s="699"/>
      <c r="I70" s="700"/>
      <c r="J70" s="701"/>
      <c r="K70" s="700"/>
      <c r="L70" s="701"/>
      <c r="M70" s="700"/>
      <c r="N70" s="701"/>
      <c r="O70" s="702"/>
      <c r="P70" s="693"/>
      <c r="Q70" s="694"/>
      <c r="R70" s="695"/>
      <c r="S70" s="696"/>
      <c r="T70" s="697"/>
      <c r="U70" s="698"/>
      <c r="V70" s="699"/>
      <c r="W70" s="700"/>
      <c r="X70" s="701"/>
      <c r="Y70" s="700"/>
      <c r="Z70" s="701"/>
      <c r="AA70" s="700"/>
      <c r="AB70" s="701"/>
      <c r="AC70" s="702"/>
      <c r="AD70" s="693"/>
      <c r="AE70" s="694"/>
      <c r="AF70" s="695"/>
      <c r="AG70" s="696"/>
      <c r="AH70" s="697"/>
      <c r="AI70" s="698"/>
      <c r="AJ70" s="699"/>
      <c r="AK70" s="700"/>
      <c r="AL70" s="701"/>
      <c r="AM70" s="700"/>
      <c r="AN70" s="701"/>
      <c r="AO70" s="700"/>
      <c r="AP70" s="701"/>
      <c r="AQ70" s="702"/>
      <c r="AR70" s="693"/>
      <c r="AS70" s="694"/>
      <c r="AT70" s="695"/>
      <c r="AU70" s="696"/>
      <c r="AV70" s="697"/>
      <c r="AW70" s="698"/>
      <c r="AX70" s="699"/>
      <c r="AY70" s="700"/>
      <c r="AZ70" s="701"/>
      <c r="BA70" s="700"/>
      <c r="BB70" s="701"/>
      <c r="BC70" s="700"/>
      <c r="BD70" s="701"/>
      <c r="BE70" s="702"/>
      <c r="BF70" s="693"/>
      <c r="BG70" s="694"/>
      <c r="BH70" s="695"/>
      <c r="BI70" s="696"/>
      <c r="BJ70" s="697"/>
      <c r="BK70" s="698"/>
      <c r="BL70" s="699"/>
      <c r="BM70" s="700"/>
      <c r="BN70" s="701"/>
      <c r="BO70" s="700"/>
      <c r="BP70" s="701"/>
      <c r="BQ70" s="700"/>
      <c r="BR70" s="701"/>
      <c r="BS70" s="702"/>
      <c r="BT70" s="693"/>
      <c r="BU70" s="694"/>
      <c r="BV70" s="695"/>
      <c r="BW70" s="696"/>
      <c r="BX70" s="697"/>
      <c r="BY70" s="698"/>
      <c r="BZ70" s="699"/>
      <c r="CA70" s="700"/>
      <c r="CB70" s="701"/>
      <c r="CC70" s="700"/>
      <c r="CD70" s="701"/>
      <c r="CE70" s="700"/>
      <c r="CF70" s="701"/>
      <c r="CG70" s="702"/>
      <c r="CH70" s="693"/>
      <c r="CI70" s="694"/>
      <c r="CJ70" s="695"/>
      <c r="CK70" s="696"/>
      <c r="CL70" s="697"/>
      <c r="CM70" s="698"/>
      <c r="CN70" s="699"/>
      <c r="CO70" s="700"/>
      <c r="CP70" s="701"/>
      <c r="CQ70" s="700"/>
      <c r="CR70" s="701"/>
      <c r="CS70" s="700"/>
      <c r="CT70" s="701"/>
      <c r="CU70" s="702"/>
      <c r="CV70" s="693"/>
      <c r="CW70" s="694"/>
      <c r="CX70" s="695"/>
      <c r="CY70" s="696"/>
      <c r="CZ70" s="697"/>
      <c r="DA70" s="698"/>
      <c r="DB70" s="699"/>
      <c r="DC70" s="700"/>
      <c r="DD70" s="701"/>
      <c r="DE70" s="700"/>
      <c r="DF70" s="701"/>
      <c r="DG70" s="700"/>
      <c r="DH70" s="701"/>
      <c r="DI70" s="702"/>
      <c r="DJ70" s="693"/>
      <c r="DK70" s="694"/>
      <c r="DL70" s="695"/>
      <c r="DM70" s="696"/>
      <c r="DN70" s="697"/>
      <c r="DO70" s="698"/>
      <c r="DP70" s="699"/>
      <c r="DQ70" s="700"/>
      <c r="DR70" s="701"/>
      <c r="DS70" s="700"/>
      <c r="DT70" s="701"/>
      <c r="DU70" s="700"/>
      <c r="DV70" s="701"/>
      <c r="DW70" s="702"/>
      <c r="DX70" s="693"/>
      <c r="DY70" s="694"/>
      <c r="DZ70" s="695"/>
      <c r="EA70" s="696"/>
      <c r="EB70" s="697"/>
      <c r="EC70" s="698"/>
      <c r="ED70" s="699"/>
      <c r="EE70" s="700"/>
      <c r="EF70" s="701"/>
      <c r="EG70" s="700"/>
      <c r="EH70" s="701"/>
      <c r="EI70" s="700"/>
      <c r="EJ70" s="701"/>
      <c r="EK70" s="702"/>
      <c r="EL70" s="693"/>
      <c r="EM70" s="694"/>
      <c r="EN70" s="695"/>
      <c r="EO70" s="696"/>
      <c r="EP70" s="697"/>
      <c r="EQ70" s="698"/>
      <c r="ER70" s="699"/>
      <c r="ES70" s="700"/>
      <c r="ET70" s="701"/>
      <c r="EU70" s="700"/>
      <c r="EV70" s="701"/>
      <c r="EW70" s="700"/>
      <c r="EX70" s="701"/>
      <c r="EY70" s="702"/>
      <c r="EZ70" s="693"/>
      <c r="FA70" s="694"/>
      <c r="FB70" s="695"/>
      <c r="FC70" s="696"/>
      <c r="FD70" s="697"/>
      <c r="FE70" s="698"/>
      <c r="FF70" s="699"/>
      <c r="FG70" s="700"/>
      <c r="FH70" s="701"/>
      <c r="FI70" s="700"/>
      <c r="FJ70" s="701"/>
      <c r="FK70" s="700"/>
      <c r="FL70" s="701"/>
      <c r="FM70" s="702"/>
      <c r="FN70" s="693"/>
      <c r="FO70" s="694"/>
      <c r="FP70" s="695"/>
      <c r="FQ70" s="696"/>
      <c r="FR70" s="697"/>
      <c r="FS70" s="698"/>
      <c r="FT70" s="699"/>
      <c r="FU70" s="700"/>
      <c r="FV70" s="701"/>
      <c r="FW70" s="700"/>
      <c r="FX70" s="701"/>
      <c r="FY70" s="700"/>
      <c r="FZ70" s="701"/>
      <c r="GA70" s="702"/>
      <c r="GB70" s="693"/>
      <c r="GC70" s="694"/>
      <c r="GD70" s="695"/>
      <c r="GE70" s="696"/>
      <c r="GF70" s="697"/>
      <c r="GG70" s="698"/>
      <c r="GH70" s="699"/>
      <c r="GI70" s="700"/>
      <c r="GJ70" s="701"/>
      <c r="GK70" s="700"/>
      <c r="GL70" s="701"/>
      <c r="GM70" s="700"/>
      <c r="GN70" s="701"/>
      <c r="GO70" s="702"/>
      <c r="GP70" s="693"/>
      <c r="GQ70" s="694"/>
      <c r="GR70" s="695"/>
      <c r="GS70" s="696"/>
      <c r="GT70" s="697"/>
      <c r="GU70" s="698"/>
      <c r="GV70" s="699"/>
      <c r="GW70" s="700"/>
      <c r="GX70" s="701"/>
      <c r="GY70" s="700"/>
      <c r="GZ70" s="701"/>
      <c r="HA70" s="700"/>
      <c r="HB70" s="701"/>
      <c r="HC70" s="702"/>
      <c r="HD70" s="693"/>
      <c r="HE70" s="694"/>
      <c r="HF70" s="695"/>
      <c r="HG70" s="696"/>
      <c r="HH70" s="697"/>
      <c r="HI70" s="693"/>
      <c r="HJ70" s="704"/>
      <c r="HK70" s="696"/>
      <c r="HL70" s="697"/>
      <c r="HM70" s="698"/>
      <c r="HN70" s="699"/>
      <c r="HO70" s="700"/>
      <c r="HP70" s="701"/>
      <c r="HQ70" s="700"/>
      <c r="HR70" s="701"/>
      <c r="HS70" s="700"/>
      <c r="HT70" s="701"/>
      <c r="HU70" s="702"/>
      <c r="HV70" s="693"/>
      <c r="HW70" s="694"/>
      <c r="HX70" s="695"/>
      <c r="HY70" s="696"/>
      <c r="HZ70" s="697"/>
      <c r="IA70" s="693"/>
      <c r="IB70" s="704"/>
      <c r="IC70" s="696"/>
      <c r="ID70" s="697"/>
      <c r="IE70" s="698"/>
      <c r="IF70" s="699"/>
      <c r="IG70" s="700"/>
      <c r="IH70" s="701"/>
      <c r="II70" s="700"/>
      <c r="IJ70" s="701"/>
      <c r="IK70" s="700"/>
      <c r="IL70" s="701"/>
      <c r="IM70" s="702"/>
      <c r="IN70" s="346"/>
    </row>
    <row r="71" spans="1:248" x14ac:dyDescent="0.25">
      <c r="A71" s="692">
        <f t="shared" si="0"/>
        <v>57</v>
      </c>
      <c r="B71" s="693"/>
      <c r="C71" s="694"/>
      <c r="D71" s="695"/>
      <c r="E71" s="696"/>
      <c r="F71" s="697"/>
      <c r="G71" s="698"/>
      <c r="H71" s="699"/>
      <c r="I71" s="700"/>
      <c r="J71" s="701"/>
      <c r="K71" s="700"/>
      <c r="L71" s="701"/>
      <c r="M71" s="700"/>
      <c r="N71" s="701"/>
      <c r="O71" s="702"/>
      <c r="P71" s="693"/>
      <c r="Q71" s="694"/>
      <c r="R71" s="695"/>
      <c r="S71" s="696"/>
      <c r="T71" s="697"/>
      <c r="U71" s="698"/>
      <c r="V71" s="699"/>
      <c r="W71" s="700"/>
      <c r="X71" s="701"/>
      <c r="Y71" s="700"/>
      <c r="Z71" s="701"/>
      <c r="AA71" s="700"/>
      <c r="AB71" s="701"/>
      <c r="AC71" s="702"/>
      <c r="AD71" s="693"/>
      <c r="AE71" s="694"/>
      <c r="AF71" s="695"/>
      <c r="AG71" s="696"/>
      <c r="AH71" s="697"/>
      <c r="AI71" s="698"/>
      <c r="AJ71" s="699"/>
      <c r="AK71" s="700"/>
      <c r="AL71" s="701"/>
      <c r="AM71" s="700"/>
      <c r="AN71" s="701"/>
      <c r="AO71" s="700"/>
      <c r="AP71" s="701"/>
      <c r="AQ71" s="702"/>
      <c r="AR71" s="693"/>
      <c r="AS71" s="694"/>
      <c r="AT71" s="695"/>
      <c r="AU71" s="696"/>
      <c r="AV71" s="697"/>
      <c r="AW71" s="698"/>
      <c r="AX71" s="699"/>
      <c r="AY71" s="700"/>
      <c r="AZ71" s="701"/>
      <c r="BA71" s="700"/>
      <c r="BB71" s="701"/>
      <c r="BC71" s="700"/>
      <c r="BD71" s="701"/>
      <c r="BE71" s="702"/>
      <c r="BF71" s="693"/>
      <c r="BG71" s="694"/>
      <c r="BH71" s="695"/>
      <c r="BI71" s="696"/>
      <c r="BJ71" s="697"/>
      <c r="BK71" s="698"/>
      <c r="BL71" s="699"/>
      <c r="BM71" s="700"/>
      <c r="BN71" s="701"/>
      <c r="BO71" s="700"/>
      <c r="BP71" s="701"/>
      <c r="BQ71" s="700"/>
      <c r="BR71" s="701"/>
      <c r="BS71" s="702"/>
      <c r="BT71" s="693"/>
      <c r="BU71" s="694"/>
      <c r="BV71" s="695"/>
      <c r="BW71" s="696"/>
      <c r="BX71" s="697"/>
      <c r="BY71" s="698"/>
      <c r="BZ71" s="699"/>
      <c r="CA71" s="700"/>
      <c r="CB71" s="701"/>
      <c r="CC71" s="700"/>
      <c r="CD71" s="701"/>
      <c r="CE71" s="700"/>
      <c r="CF71" s="701"/>
      <c r="CG71" s="702"/>
      <c r="CH71" s="693"/>
      <c r="CI71" s="694"/>
      <c r="CJ71" s="695"/>
      <c r="CK71" s="696"/>
      <c r="CL71" s="697"/>
      <c r="CM71" s="698"/>
      <c r="CN71" s="699"/>
      <c r="CO71" s="700"/>
      <c r="CP71" s="701"/>
      <c r="CQ71" s="700"/>
      <c r="CR71" s="701"/>
      <c r="CS71" s="700"/>
      <c r="CT71" s="701"/>
      <c r="CU71" s="702"/>
      <c r="CV71" s="693"/>
      <c r="CW71" s="694"/>
      <c r="CX71" s="695"/>
      <c r="CY71" s="696"/>
      <c r="CZ71" s="697"/>
      <c r="DA71" s="698"/>
      <c r="DB71" s="699"/>
      <c r="DC71" s="700"/>
      <c r="DD71" s="701"/>
      <c r="DE71" s="700"/>
      <c r="DF71" s="701"/>
      <c r="DG71" s="700"/>
      <c r="DH71" s="701"/>
      <c r="DI71" s="702"/>
      <c r="DJ71" s="693"/>
      <c r="DK71" s="694"/>
      <c r="DL71" s="695"/>
      <c r="DM71" s="696"/>
      <c r="DN71" s="697"/>
      <c r="DO71" s="698"/>
      <c r="DP71" s="699"/>
      <c r="DQ71" s="700"/>
      <c r="DR71" s="701"/>
      <c r="DS71" s="700"/>
      <c r="DT71" s="701"/>
      <c r="DU71" s="700"/>
      <c r="DV71" s="701"/>
      <c r="DW71" s="702"/>
      <c r="DX71" s="693"/>
      <c r="DY71" s="694"/>
      <c r="DZ71" s="695"/>
      <c r="EA71" s="696"/>
      <c r="EB71" s="697"/>
      <c r="EC71" s="698"/>
      <c r="ED71" s="699"/>
      <c r="EE71" s="700"/>
      <c r="EF71" s="701"/>
      <c r="EG71" s="700"/>
      <c r="EH71" s="701"/>
      <c r="EI71" s="700"/>
      <c r="EJ71" s="701"/>
      <c r="EK71" s="702"/>
      <c r="EL71" s="693"/>
      <c r="EM71" s="694"/>
      <c r="EN71" s="695"/>
      <c r="EO71" s="696"/>
      <c r="EP71" s="697"/>
      <c r="EQ71" s="698"/>
      <c r="ER71" s="699"/>
      <c r="ES71" s="700"/>
      <c r="ET71" s="701"/>
      <c r="EU71" s="700"/>
      <c r="EV71" s="701"/>
      <c r="EW71" s="700"/>
      <c r="EX71" s="701"/>
      <c r="EY71" s="702"/>
      <c r="EZ71" s="693"/>
      <c r="FA71" s="694"/>
      <c r="FB71" s="695"/>
      <c r="FC71" s="696"/>
      <c r="FD71" s="697"/>
      <c r="FE71" s="698"/>
      <c r="FF71" s="699"/>
      <c r="FG71" s="700"/>
      <c r="FH71" s="701"/>
      <c r="FI71" s="700"/>
      <c r="FJ71" s="701"/>
      <c r="FK71" s="700"/>
      <c r="FL71" s="701"/>
      <c r="FM71" s="702"/>
      <c r="FN71" s="693"/>
      <c r="FO71" s="694"/>
      <c r="FP71" s="695"/>
      <c r="FQ71" s="696"/>
      <c r="FR71" s="697"/>
      <c r="FS71" s="698"/>
      <c r="FT71" s="699"/>
      <c r="FU71" s="700"/>
      <c r="FV71" s="701"/>
      <c r="FW71" s="700"/>
      <c r="FX71" s="701"/>
      <c r="FY71" s="700"/>
      <c r="FZ71" s="701"/>
      <c r="GA71" s="702"/>
      <c r="GB71" s="693"/>
      <c r="GC71" s="694"/>
      <c r="GD71" s="695"/>
      <c r="GE71" s="696"/>
      <c r="GF71" s="697"/>
      <c r="GG71" s="698"/>
      <c r="GH71" s="699"/>
      <c r="GI71" s="700"/>
      <c r="GJ71" s="701"/>
      <c r="GK71" s="700"/>
      <c r="GL71" s="701"/>
      <c r="GM71" s="700"/>
      <c r="GN71" s="701"/>
      <c r="GO71" s="702"/>
      <c r="GP71" s="693"/>
      <c r="GQ71" s="694"/>
      <c r="GR71" s="695"/>
      <c r="GS71" s="696"/>
      <c r="GT71" s="697"/>
      <c r="GU71" s="698"/>
      <c r="GV71" s="699"/>
      <c r="GW71" s="700"/>
      <c r="GX71" s="701"/>
      <c r="GY71" s="700"/>
      <c r="GZ71" s="701"/>
      <c r="HA71" s="700"/>
      <c r="HB71" s="701"/>
      <c r="HC71" s="702"/>
      <c r="HD71" s="693"/>
      <c r="HE71" s="694"/>
      <c r="HF71" s="695"/>
      <c r="HG71" s="696"/>
      <c r="HH71" s="697"/>
      <c r="HI71" s="693"/>
      <c r="HJ71" s="704"/>
      <c r="HK71" s="696"/>
      <c r="HL71" s="697"/>
      <c r="HM71" s="698"/>
      <c r="HN71" s="699"/>
      <c r="HO71" s="700"/>
      <c r="HP71" s="701"/>
      <c r="HQ71" s="700"/>
      <c r="HR71" s="701"/>
      <c r="HS71" s="700"/>
      <c r="HT71" s="701"/>
      <c r="HU71" s="702"/>
      <c r="HV71" s="693"/>
      <c r="HW71" s="694"/>
      <c r="HX71" s="695"/>
      <c r="HY71" s="696"/>
      <c r="HZ71" s="697"/>
      <c r="IA71" s="693"/>
      <c r="IB71" s="704"/>
      <c r="IC71" s="696"/>
      <c r="ID71" s="697"/>
      <c r="IE71" s="698"/>
      <c r="IF71" s="699"/>
      <c r="IG71" s="700"/>
      <c r="IH71" s="701"/>
      <c r="II71" s="700"/>
      <c r="IJ71" s="701"/>
      <c r="IK71" s="700"/>
      <c r="IL71" s="701"/>
      <c r="IM71" s="702"/>
      <c r="IN71" s="346"/>
    </row>
    <row r="72" spans="1:248" x14ac:dyDescent="0.25">
      <c r="A72" s="692">
        <f t="shared" si="0"/>
        <v>58</v>
      </c>
      <c r="B72" s="693"/>
      <c r="C72" s="694"/>
      <c r="D72" s="695"/>
      <c r="E72" s="696"/>
      <c r="F72" s="697"/>
      <c r="G72" s="698"/>
      <c r="H72" s="699"/>
      <c r="I72" s="700"/>
      <c r="J72" s="701"/>
      <c r="K72" s="700"/>
      <c r="L72" s="701"/>
      <c r="M72" s="700"/>
      <c r="N72" s="701"/>
      <c r="O72" s="702"/>
      <c r="P72" s="693"/>
      <c r="Q72" s="694"/>
      <c r="R72" s="695"/>
      <c r="S72" s="696"/>
      <c r="T72" s="697"/>
      <c r="U72" s="698"/>
      <c r="V72" s="699"/>
      <c r="W72" s="700"/>
      <c r="X72" s="701"/>
      <c r="Y72" s="700"/>
      <c r="Z72" s="701"/>
      <c r="AA72" s="700"/>
      <c r="AB72" s="701"/>
      <c r="AC72" s="702"/>
      <c r="AD72" s="693"/>
      <c r="AE72" s="694"/>
      <c r="AF72" s="695"/>
      <c r="AG72" s="696"/>
      <c r="AH72" s="697"/>
      <c r="AI72" s="698"/>
      <c r="AJ72" s="699"/>
      <c r="AK72" s="700"/>
      <c r="AL72" s="701"/>
      <c r="AM72" s="700"/>
      <c r="AN72" s="701"/>
      <c r="AO72" s="700"/>
      <c r="AP72" s="701"/>
      <c r="AQ72" s="702"/>
      <c r="AR72" s="693"/>
      <c r="AS72" s="694"/>
      <c r="AT72" s="695"/>
      <c r="AU72" s="696"/>
      <c r="AV72" s="697"/>
      <c r="AW72" s="698"/>
      <c r="AX72" s="699"/>
      <c r="AY72" s="700"/>
      <c r="AZ72" s="701"/>
      <c r="BA72" s="700"/>
      <c r="BB72" s="701"/>
      <c r="BC72" s="700"/>
      <c r="BD72" s="701"/>
      <c r="BE72" s="702"/>
      <c r="BF72" s="693"/>
      <c r="BG72" s="694"/>
      <c r="BH72" s="695"/>
      <c r="BI72" s="696"/>
      <c r="BJ72" s="697"/>
      <c r="BK72" s="698"/>
      <c r="BL72" s="699"/>
      <c r="BM72" s="700"/>
      <c r="BN72" s="701"/>
      <c r="BO72" s="700"/>
      <c r="BP72" s="701"/>
      <c r="BQ72" s="700"/>
      <c r="BR72" s="701"/>
      <c r="BS72" s="702"/>
      <c r="BT72" s="693"/>
      <c r="BU72" s="694"/>
      <c r="BV72" s="695"/>
      <c r="BW72" s="696"/>
      <c r="BX72" s="697"/>
      <c r="BY72" s="698"/>
      <c r="BZ72" s="699"/>
      <c r="CA72" s="700"/>
      <c r="CB72" s="701"/>
      <c r="CC72" s="700"/>
      <c r="CD72" s="701"/>
      <c r="CE72" s="700"/>
      <c r="CF72" s="701"/>
      <c r="CG72" s="702"/>
      <c r="CH72" s="693"/>
      <c r="CI72" s="694"/>
      <c r="CJ72" s="695"/>
      <c r="CK72" s="696"/>
      <c r="CL72" s="697"/>
      <c r="CM72" s="698"/>
      <c r="CN72" s="699"/>
      <c r="CO72" s="700"/>
      <c r="CP72" s="701"/>
      <c r="CQ72" s="700"/>
      <c r="CR72" s="701"/>
      <c r="CS72" s="700"/>
      <c r="CT72" s="701"/>
      <c r="CU72" s="702"/>
      <c r="CV72" s="693"/>
      <c r="CW72" s="694"/>
      <c r="CX72" s="695"/>
      <c r="CY72" s="696"/>
      <c r="CZ72" s="697"/>
      <c r="DA72" s="698"/>
      <c r="DB72" s="699"/>
      <c r="DC72" s="700"/>
      <c r="DD72" s="701"/>
      <c r="DE72" s="700"/>
      <c r="DF72" s="701"/>
      <c r="DG72" s="700"/>
      <c r="DH72" s="701"/>
      <c r="DI72" s="702"/>
      <c r="DJ72" s="693"/>
      <c r="DK72" s="694"/>
      <c r="DL72" s="695"/>
      <c r="DM72" s="696"/>
      <c r="DN72" s="697"/>
      <c r="DO72" s="698"/>
      <c r="DP72" s="699"/>
      <c r="DQ72" s="700"/>
      <c r="DR72" s="701"/>
      <c r="DS72" s="700"/>
      <c r="DT72" s="701"/>
      <c r="DU72" s="700"/>
      <c r="DV72" s="701"/>
      <c r="DW72" s="702"/>
      <c r="DX72" s="693"/>
      <c r="DY72" s="694"/>
      <c r="DZ72" s="695"/>
      <c r="EA72" s="696"/>
      <c r="EB72" s="697"/>
      <c r="EC72" s="698"/>
      <c r="ED72" s="699"/>
      <c r="EE72" s="700"/>
      <c r="EF72" s="701"/>
      <c r="EG72" s="700"/>
      <c r="EH72" s="701"/>
      <c r="EI72" s="700"/>
      <c r="EJ72" s="701"/>
      <c r="EK72" s="702"/>
      <c r="EL72" s="693"/>
      <c r="EM72" s="694"/>
      <c r="EN72" s="695"/>
      <c r="EO72" s="696"/>
      <c r="EP72" s="697"/>
      <c r="EQ72" s="698"/>
      <c r="ER72" s="699"/>
      <c r="ES72" s="700"/>
      <c r="ET72" s="701"/>
      <c r="EU72" s="700"/>
      <c r="EV72" s="701"/>
      <c r="EW72" s="700"/>
      <c r="EX72" s="701"/>
      <c r="EY72" s="702"/>
      <c r="EZ72" s="693"/>
      <c r="FA72" s="694"/>
      <c r="FB72" s="695"/>
      <c r="FC72" s="696"/>
      <c r="FD72" s="697"/>
      <c r="FE72" s="698"/>
      <c r="FF72" s="699"/>
      <c r="FG72" s="700"/>
      <c r="FH72" s="701"/>
      <c r="FI72" s="700"/>
      <c r="FJ72" s="701"/>
      <c r="FK72" s="700"/>
      <c r="FL72" s="701"/>
      <c r="FM72" s="702"/>
      <c r="FN72" s="693"/>
      <c r="FO72" s="694"/>
      <c r="FP72" s="695"/>
      <c r="FQ72" s="696"/>
      <c r="FR72" s="697"/>
      <c r="FS72" s="698"/>
      <c r="FT72" s="699"/>
      <c r="FU72" s="700"/>
      <c r="FV72" s="701"/>
      <c r="FW72" s="700"/>
      <c r="FX72" s="701"/>
      <c r="FY72" s="700"/>
      <c r="FZ72" s="701"/>
      <c r="GA72" s="702"/>
      <c r="GB72" s="693"/>
      <c r="GC72" s="694"/>
      <c r="GD72" s="695"/>
      <c r="GE72" s="696"/>
      <c r="GF72" s="697"/>
      <c r="GG72" s="698"/>
      <c r="GH72" s="699"/>
      <c r="GI72" s="700"/>
      <c r="GJ72" s="701"/>
      <c r="GK72" s="700"/>
      <c r="GL72" s="701"/>
      <c r="GM72" s="700"/>
      <c r="GN72" s="701"/>
      <c r="GO72" s="702"/>
      <c r="GP72" s="693"/>
      <c r="GQ72" s="694"/>
      <c r="GR72" s="695"/>
      <c r="GS72" s="696"/>
      <c r="GT72" s="697"/>
      <c r="GU72" s="698"/>
      <c r="GV72" s="699"/>
      <c r="GW72" s="700"/>
      <c r="GX72" s="701"/>
      <c r="GY72" s="700"/>
      <c r="GZ72" s="701"/>
      <c r="HA72" s="700"/>
      <c r="HB72" s="701"/>
      <c r="HC72" s="702"/>
      <c r="HD72" s="693"/>
      <c r="HE72" s="694"/>
      <c r="HF72" s="695"/>
      <c r="HG72" s="696"/>
      <c r="HH72" s="697"/>
      <c r="HI72" s="693"/>
      <c r="HJ72" s="704"/>
      <c r="HK72" s="696"/>
      <c r="HL72" s="697"/>
      <c r="HM72" s="698"/>
      <c r="HN72" s="699"/>
      <c r="HO72" s="700"/>
      <c r="HP72" s="701"/>
      <c r="HQ72" s="700"/>
      <c r="HR72" s="701"/>
      <c r="HS72" s="700"/>
      <c r="HT72" s="701"/>
      <c r="HU72" s="702"/>
      <c r="HV72" s="693"/>
      <c r="HW72" s="694"/>
      <c r="HX72" s="695"/>
      <c r="HY72" s="696"/>
      <c r="HZ72" s="697"/>
      <c r="IA72" s="693"/>
      <c r="IB72" s="704"/>
      <c r="IC72" s="696"/>
      <c r="ID72" s="697"/>
      <c r="IE72" s="698"/>
      <c r="IF72" s="699"/>
      <c r="IG72" s="700"/>
      <c r="IH72" s="701"/>
      <c r="II72" s="700"/>
      <c r="IJ72" s="701"/>
      <c r="IK72" s="700"/>
      <c r="IL72" s="701"/>
      <c r="IM72" s="702"/>
      <c r="IN72" s="346"/>
    </row>
    <row r="73" spans="1:248" x14ac:dyDescent="0.25">
      <c r="A73" s="692">
        <f t="shared" si="0"/>
        <v>59</v>
      </c>
      <c r="B73" s="693"/>
      <c r="C73" s="694"/>
      <c r="D73" s="695"/>
      <c r="E73" s="696"/>
      <c r="F73" s="697"/>
      <c r="G73" s="698"/>
      <c r="H73" s="699"/>
      <c r="I73" s="700"/>
      <c r="J73" s="701"/>
      <c r="K73" s="700"/>
      <c r="L73" s="701"/>
      <c r="M73" s="700"/>
      <c r="N73" s="701"/>
      <c r="O73" s="702"/>
      <c r="P73" s="693"/>
      <c r="Q73" s="694"/>
      <c r="R73" s="695"/>
      <c r="S73" s="696"/>
      <c r="T73" s="697"/>
      <c r="U73" s="698"/>
      <c r="V73" s="699"/>
      <c r="W73" s="700"/>
      <c r="X73" s="701"/>
      <c r="Y73" s="700"/>
      <c r="Z73" s="701"/>
      <c r="AA73" s="700"/>
      <c r="AB73" s="701"/>
      <c r="AC73" s="702"/>
      <c r="AD73" s="693"/>
      <c r="AE73" s="694"/>
      <c r="AF73" s="695"/>
      <c r="AG73" s="696"/>
      <c r="AH73" s="697"/>
      <c r="AI73" s="698"/>
      <c r="AJ73" s="699"/>
      <c r="AK73" s="700"/>
      <c r="AL73" s="701"/>
      <c r="AM73" s="700"/>
      <c r="AN73" s="701"/>
      <c r="AO73" s="700"/>
      <c r="AP73" s="701"/>
      <c r="AQ73" s="702"/>
      <c r="AR73" s="693"/>
      <c r="AS73" s="694"/>
      <c r="AT73" s="695"/>
      <c r="AU73" s="696"/>
      <c r="AV73" s="697"/>
      <c r="AW73" s="698"/>
      <c r="AX73" s="699"/>
      <c r="AY73" s="700"/>
      <c r="AZ73" s="701"/>
      <c r="BA73" s="700"/>
      <c r="BB73" s="701"/>
      <c r="BC73" s="700"/>
      <c r="BD73" s="701"/>
      <c r="BE73" s="702"/>
      <c r="BF73" s="693"/>
      <c r="BG73" s="694"/>
      <c r="BH73" s="695"/>
      <c r="BI73" s="696"/>
      <c r="BJ73" s="697"/>
      <c r="BK73" s="698"/>
      <c r="BL73" s="699"/>
      <c r="BM73" s="700"/>
      <c r="BN73" s="701"/>
      <c r="BO73" s="700"/>
      <c r="BP73" s="701"/>
      <c r="BQ73" s="700"/>
      <c r="BR73" s="701"/>
      <c r="BS73" s="702"/>
      <c r="BT73" s="693"/>
      <c r="BU73" s="694"/>
      <c r="BV73" s="695"/>
      <c r="BW73" s="696"/>
      <c r="BX73" s="697"/>
      <c r="BY73" s="698"/>
      <c r="BZ73" s="699"/>
      <c r="CA73" s="700"/>
      <c r="CB73" s="701"/>
      <c r="CC73" s="700"/>
      <c r="CD73" s="701"/>
      <c r="CE73" s="700"/>
      <c r="CF73" s="701"/>
      <c r="CG73" s="702"/>
      <c r="CH73" s="693"/>
      <c r="CI73" s="694"/>
      <c r="CJ73" s="695"/>
      <c r="CK73" s="696"/>
      <c r="CL73" s="697"/>
      <c r="CM73" s="698"/>
      <c r="CN73" s="699"/>
      <c r="CO73" s="700"/>
      <c r="CP73" s="701"/>
      <c r="CQ73" s="700"/>
      <c r="CR73" s="701"/>
      <c r="CS73" s="700"/>
      <c r="CT73" s="701"/>
      <c r="CU73" s="702"/>
      <c r="CV73" s="693"/>
      <c r="CW73" s="694"/>
      <c r="CX73" s="695"/>
      <c r="CY73" s="696"/>
      <c r="CZ73" s="697"/>
      <c r="DA73" s="698"/>
      <c r="DB73" s="699"/>
      <c r="DC73" s="700"/>
      <c r="DD73" s="701"/>
      <c r="DE73" s="700"/>
      <c r="DF73" s="701"/>
      <c r="DG73" s="700"/>
      <c r="DH73" s="701"/>
      <c r="DI73" s="702"/>
      <c r="DJ73" s="693"/>
      <c r="DK73" s="694"/>
      <c r="DL73" s="695"/>
      <c r="DM73" s="696"/>
      <c r="DN73" s="697"/>
      <c r="DO73" s="698"/>
      <c r="DP73" s="699"/>
      <c r="DQ73" s="700"/>
      <c r="DR73" s="701"/>
      <c r="DS73" s="700"/>
      <c r="DT73" s="701"/>
      <c r="DU73" s="700"/>
      <c r="DV73" s="701"/>
      <c r="DW73" s="702"/>
      <c r="DX73" s="693"/>
      <c r="DY73" s="694"/>
      <c r="DZ73" s="695"/>
      <c r="EA73" s="696"/>
      <c r="EB73" s="697"/>
      <c r="EC73" s="698"/>
      <c r="ED73" s="699"/>
      <c r="EE73" s="700"/>
      <c r="EF73" s="701"/>
      <c r="EG73" s="700"/>
      <c r="EH73" s="701"/>
      <c r="EI73" s="700"/>
      <c r="EJ73" s="701"/>
      <c r="EK73" s="702"/>
      <c r="EL73" s="693"/>
      <c r="EM73" s="694"/>
      <c r="EN73" s="695"/>
      <c r="EO73" s="696"/>
      <c r="EP73" s="697"/>
      <c r="EQ73" s="698"/>
      <c r="ER73" s="699"/>
      <c r="ES73" s="700"/>
      <c r="ET73" s="701"/>
      <c r="EU73" s="700"/>
      <c r="EV73" s="701"/>
      <c r="EW73" s="700"/>
      <c r="EX73" s="701"/>
      <c r="EY73" s="702"/>
      <c r="EZ73" s="693"/>
      <c r="FA73" s="694"/>
      <c r="FB73" s="695"/>
      <c r="FC73" s="696"/>
      <c r="FD73" s="697"/>
      <c r="FE73" s="698"/>
      <c r="FF73" s="699"/>
      <c r="FG73" s="700"/>
      <c r="FH73" s="701"/>
      <c r="FI73" s="700"/>
      <c r="FJ73" s="701"/>
      <c r="FK73" s="700"/>
      <c r="FL73" s="701"/>
      <c r="FM73" s="702"/>
      <c r="FN73" s="693"/>
      <c r="FO73" s="694"/>
      <c r="FP73" s="695"/>
      <c r="FQ73" s="696"/>
      <c r="FR73" s="697"/>
      <c r="FS73" s="698"/>
      <c r="FT73" s="699"/>
      <c r="FU73" s="700"/>
      <c r="FV73" s="701"/>
      <c r="FW73" s="700"/>
      <c r="FX73" s="701"/>
      <c r="FY73" s="700"/>
      <c r="FZ73" s="701"/>
      <c r="GA73" s="702"/>
      <c r="GB73" s="693"/>
      <c r="GC73" s="694"/>
      <c r="GD73" s="695"/>
      <c r="GE73" s="696"/>
      <c r="GF73" s="697"/>
      <c r="GG73" s="698"/>
      <c r="GH73" s="699"/>
      <c r="GI73" s="700"/>
      <c r="GJ73" s="701"/>
      <c r="GK73" s="700"/>
      <c r="GL73" s="701"/>
      <c r="GM73" s="700"/>
      <c r="GN73" s="701"/>
      <c r="GO73" s="702"/>
      <c r="GP73" s="693"/>
      <c r="GQ73" s="694"/>
      <c r="GR73" s="695"/>
      <c r="GS73" s="696"/>
      <c r="GT73" s="697"/>
      <c r="GU73" s="698"/>
      <c r="GV73" s="699"/>
      <c r="GW73" s="700"/>
      <c r="GX73" s="701"/>
      <c r="GY73" s="700"/>
      <c r="GZ73" s="701"/>
      <c r="HA73" s="700"/>
      <c r="HB73" s="701"/>
      <c r="HC73" s="702"/>
      <c r="HD73" s="693"/>
      <c r="HE73" s="694"/>
      <c r="HF73" s="695"/>
      <c r="HG73" s="696"/>
      <c r="HH73" s="697"/>
      <c r="HI73" s="705"/>
      <c r="HJ73" s="704"/>
      <c r="HK73" s="696"/>
      <c r="HL73" s="697"/>
      <c r="HM73" s="698"/>
      <c r="HN73" s="699"/>
      <c r="HO73" s="700"/>
      <c r="HP73" s="701"/>
      <c r="HQ73" s="700"/>
      <c r="HR73" s="701"/>
      <c r="HS73" s="700"/>
      <c r="HT73" s="701"/>
      <c r="HU73" s="702"/>
      <c r="HV73" s="693"/>
      <c r="HW73" s="694"/>
      <c r="HX73" s="695"/>
      <c r="HY73" s="696"/>
      <c r="HZ73" s="697"/>
      <c r="IA73" s="705"/>
      <c r="IB73" s="704"/>
      <c r="IC73" s="696"/>
      <c r="ID73" s="697"/>
      <c r="IE73" s="698"/>
      <c r="IF73" s="699"/>
      <c r="IG73" s="700"/>
      <c r="IH73" s="701"/>
      <c r="II73" s="700"/>
      <c r="IJ73" s="701"/>
      <c r="IK73" s="700"/>
      <c r="IL73" s="701"/>
      <c r="IM73" s="702"/>
      <c r="IN73" s="346"/>
    </row>
    <row r="74" spans="1:248" ht="15.75" thickBot="1" x14ac:dyDescent="0.3">
      <c r="A74" s="706">
        <f t="shared" si="0"/>
        <v>60</v>
      </c>
      <c r="B74" s="707"/>
      <c r="C74" s="708"/>
      <c r="D74" s="709"/>
      <c r="E74" s="710"/>
      <c r="F74" s="711"/>
      <c r="G74" s="712"/>
      <c r="H74" s="713"/>
      <c r="I74" s="714"/>
      <c r="J74" s="715"/>
      <c r="K74" s="714"/>
      <c r="L74" s="715"/>
      <c r="M74" s="714"/>
      <c r="N74" s="715"/>
      <c r="O74" s="716"/>
      <c r="P74" s="707"/>
      <c r="Q74" s="708"/>
      <c r="R74" s="709"/>
      <c r="S74" s="710"/>
      <c r="T74" s="711"/>
      <c r="U74" s="712"/>
      <c r="V74" s="713"/>
      <c r="W74" s="714"/>
      <c r="X74" s="715"/>
      <c r="Y74" s="714"/>
      <c r="Z74" s="715"/>
      <c r="AA74" s="714"/>
      <c r="AB74" s="715"/>
      <c r="AC74" s="716"/>
      <c r="AD74" s="707"/>
      <c r="AE74" s="708"/>
      <c r="AF74" s="709"/>
      <c r="AG74" s="710"/>
      <c r="AH74" s="711"/>
      <c r="AI74" s="712"/>
      <c r="AJ74" s="713"/>
      <c r="AK74" s="714"/>
      <c r="AL74" s="715"/>
      <c r="AM74" s="714"/>
      <c r="AN74" s="715"/>
      <c r="AO74" s="714"/>
      <c r="AP74" s="715"/>
      <c r="AQ74" s="716"/>
      <c r="AR74" s="707"/>
      <c r="AS74" s="708"/>
      <c r="AT74" s="709"/>
      <c r="AU74" s="710"/>
      <c r="AV74" s="711"/>
      <c r="AW74" s="712"/>
      <c r="AX74" s="713"/>
      <c r="AY74" s="714"/>
      <c r="AZ74" s="715"/>
      <c r="BA74" s="714"/>
      <c r="BB74" s="715"/>
      <c r="BC74" s="714"/>
      <c r="BD74" s="715"/>
      <c r="BE74" s="716"/>
      <c r="BF74" s="707"/>
      <c r="BG74" s="708"/>
      <c r="BH74" s="709"/>
      <c r="BI74" s="710"/>
      <c r="BJ74" s="711"/>
      <c r="BK74" s="712"/>
      <c r="BL74" s="713"/>
      <c r="BM74" s="714"/>
      <c r="BN74" s="715"/>
      <c r="BO74" s="714"/>
      <c r="BP74" s="715"/>
      <c r="BQ74" s="714"/>
      <c r="BR74" s="715"/>
      <c r="BS74" s="716"/>
      <c r="BT74" s="707"/>
      <c r="BU74" s="708"/>
      <c r="BV74" s="709"/>
      <c r="BW74" s="710"/>
      <c r="BX74" s="711"/>
      <c r="BY74" s="712"/>
      <c r="BZ74" s="713"/>
      <c r="CA74" s="714"/>
      <c r="CB74" s="715"/>
      <c r="CC74" s="714"/>
      <c r="CD74" s="715"/>
      <c r="CE74" s="714"/>
      <c r="CF74" s="715"/>
      <c r="CG74" s="716"/>
      <c r="CH74" s="707"/>
      <c r="CI74" s="708"/>
      <c r="CJ74" s="709"/>
      <c r="CK74" s="710"/>
      <c r="CL74" s="711"/>
      <c r="CM74" s="712"/>
      <c r="CN74" s="713"/>
      <c r="CO74" s="714"/>
      <c r="CP74" s="715"/>
      <c r="CQ74" s="714"/>
      <c r="CR74" s="715"/>
      <c r="CS74" s="714"/>
      <c r="CT74" s="715"/>
      <c r="CU74" s="716"/>
      <c r="CV74" s="707"/>
      <c r="CW74" s="708"/>
      <c r="CX74" s="709"/>
      <c r="CY74" s="710"/>
      <c r="CZ74" s="711"/>
      <c r="DA74" s="712"/>
      <c r="DB74" s="713"/>
      <c r="DC74" s="714"/>
      <c r="DD74" s="715"/>
      <c r="DE74" s="714"/>
      <c r="DF74" s="715"/>
      <c r="DG74" s="714"/>
      <c r="DH74" s="715"/>
      <c r="DI74" s="716"/>
      <c r="DJ74" s="707"/>
      <c r="DK74" s="708"/>
      <c r="DL74" s="709"/>
      <c r="DM74" s="710"/>
      <c r="DN74" s="711"/>
      <c r="DO74" s="712"/>
      <c r="DP74" s="713"/>
      <c r="DQ74" s="714"/>
      <c r="DR74" s="715"/>
      <c r="DS74" s="714"/>
      <c r="DT74" s="715"/>
      <c r="DU74" s="714"/>
      <c r="DV74" s="715"/>
      <c r="DW74" s="716"/>
      <c r="DX74" s="707"/>
      <c r="DY74" s="708"/>
      <c r="DZ74" s="709"/>
      <c r="EA74" s="710"/>
      <c r="EB74" s="711"/>
      <c r="EC74" s="712"/>
      <c r="ED74" s="713"/>
      <c r="EE74" s="714"/>
      <c r="EF74" s="715"/>
      <c r="EG74" s="714"/>
      <c r="EH74" s="715"/>
      <c r="EI74" s="714"/>
      <c r="EJ74" s="715"/>
      <c r="EK74" s="716"/>
      <c r="EL74" s="707"/>
      <c r="EM74" s="708"/>
      <c r="EN74" s="709"/>
      <c r="EO74" s="710"/>
      <c r="EP74" s="711"/>
      <c r="EQ74" s="712"/>
      <c r="ER74" s="713"/>
      <c r="ES74" s="714"/>
      <c r="ET74" s="715"/>
      <c r="EU74" s="714"/>
      <c r="EV74" s="715"/>
      <c r="EW74" s="714"/>
      <c r="EX74" s="715"/>
      <c r="EY74" s="716"/>
      <c r="EZ74" s="707"/>
      <c r="FA74" s="708"/>
      <c r="FB74" s="709"/>
      <c r="FC74" s="710"/>
      <c r="FD74" s="711"/>
      <c r="FE74" s="712"/>
      <c r="FF74" s="713"/>
      <c r="FG74" s="714"/>
      <c r="FH74" s="715"/>
      <c r="FI74" s="714"/>
      <c r="FJ74" s="715"/>
      <c r="FK74" s="714"/>
      <c r="FL74" s="715"/>
      <c r="FM74" s="716"/>
      <c r="FN74" s="707"/>
      <c r="FO74" s="708"/>
      <c r="FP74" s="709"/>
      <c r="FQ74" s="710"/>
      <c r="FR74" s="711"/>
      <c r="FS74" s="712"/>
      <c r="FT74" s="713"/>
      <c r="FU74" s="714"/>
      <c r="FV74" s="715"/>
      <c r="FW74" s="714"/>
      <c r="FX74" s="715"/>
      <c r="FY74" s="714"/>
      <c r="FZ74" s="715"/>
      <c r="GA74" s="716"/>
      <c r="GB74" s="707"/>
      <c r="GC74" s="708"/>
      <c r="GD74" s="709"/>
      <c r="GE74" s="710"/>
      <c r="GF74" s="711"/>
      <c r="GG74" s="712"/>
      <c r="GH74" s="713"/>
      <c r="GI74" s="714"/>
      <c r="GJ74" s="715"/>
      <c r="GK74" s="714"/>
      <c r="GL74" s="715"/>
      <c r="GM74" s="714"/>
      <c r="GN74" s="715"/>
      <c r="GO74" s="716"/>
      <c r="GP74" s="707"/>
      <c r="GQ74" s="708"/>
      <c r="GR74" s="709"/>
      <c r="GS74" s="710"/>
      <c r="GT74" s="711"/>
      <c r="GU74" s="712"/>
      <c r="GV74" s="713"/>
      <c r="GW74" s="714"/>
      <c r="GX74" s="715"/>
      <c r="GY74" s="714"/>
      <c r="GZ74" s="715"/>
      <c r="HA74" s="714"/>
      <c r="HB74" s="715"/>
      <c r="HC74" s="716"/>
      <c r="HD74" s="707"/>
      <c r="HE74" s="708"/>
      <c r="HF74" s="709"/>
      <c r="HG74" s="710"/>
      <c r="HH74" s="711"/>
      <c r="HI74" s="717"/>
      <c r="HJ74" s="718"/>
      <c r="HK74" s="710"/>
      <c r="HL74" s="711"/>
      <c r="HM74" s="712"/>
      <c r="HN74" s="713"/>
      <c r="HO74" s="714"/>
      <c r="HP74" s="715"/>
      <c r="HQ74" s="714"/>
      <c r="HR74" s="715"/>
      <c r="HS74" s="714"/>
      <c r="HT74" s="715"/>
      <c r="HU74" s="716"/>
      <c r="HV74" s="707"/>
      <c r="HW74" s="708"/>
      <c r="HX74" s="709"/>
      <c r="HY74" s="710"/>
      <c r="HZ74" s="711"/>
      <c r="IA74" s="717"/>
      <c r="IB74" s="718"/>
      <c r="IC74" s="710"/>
      <c r="ID74" s="711"/>
      <c r="IE74" s="712"/>
      <c r="IF74" s="713"/>
      <c r="IG74" s="714"/>
      <c r="IH74" s="715"/>
      <c r="II74" s="714"/>
      <c r="IJ74" s="715"/>
      <c r="IK74" s="714"/>
      <c r="IL74" s="715"/>
      <c r="IM74" s="716"/>
      <c r="IN74" s="346"/>
    </row>
    <row r="75" spans="1:248" x14ac:dyDescent="0.25">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719"/>
      <c r="BZ75" s="719"/>
      <c r="CA75" s="405"/>
      <c r="CB75" s="719"/>
      <c r="CC75" s="405"/>
      <c r="CD75" s="719"/>
      <c r="CE75" s="719"/>
      <c r="CF75" s="405"/>
      <c r="CG75" s="720"/>
      <c r="CH75" s="720"/>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c r="DK75" s="405"/>
      <c r="DL75" s="405"/>
      <c r="DM75" s="405"/>
      <c r="DN75" s="405"/>
      <c r="DO75" s="405"/>
      <c r="DP75" s="405"/>
      <c r="DQ75" s="405"/>
      <c r="DR75" s="405"/>
      <c r="DS75" s="405"/>
      <c r="DT75" s="405"/>
      <c r="DU75" s="405"/>
      <c r="DV75" s="405"/>
      <c r="DW75" s="405"/>
      <c r="DX75" s="405"/>
      <c r="DY75" s="405"/>
      <c r="DZ75" s="405"/>
      <c r="EA75" s="405"/>
      <c r="EB75" s="405"/>
      <c r="EC75" s="405"/>
      <c r="ED75" s="405"/>
      <c r="EE75" s="405"/>
      <c r="EF75" s="405"/>
      <c r="EG75" s="405"/>
      <c r="EH75" s="405"/>
      <c r="EI75" s="405"/>
      <c r="EJ75" s="405"/>
      <c r="EK75" s="405"/>
      <c r="EL75" s="405"/>
      <c r="EM75" s="405"/>
      <c r="EN75" s="405"/>
      <c r="EO75" s="405"/>
      <c r="EP75" s="405"/>
      <c r="EQ75" s="405"/>
      <c r="ER75" s="405"/>
      <c r="ES75" s="405"/>
      <c r="ET75" s="405"/>
      <c r="EU75" s="405"/>
      <c r="EV75" s="405"/>
      <c r="EW75" s="405"/>
      <c r="EX75" s="405"/>
      <c r="EY75" s="405"/>
      <c r="EZ75" s="405"/>
      <c r="FA75" s="405"/>
      <c r="FB75" s="405"/>
      <c r="FC75" s="405"/>
      <c r="FD75" s="405"/>
      <c r="FE75" s="405"/>
      <c r="FF75" s="405"/>
      <c r="FG75" s="405"/>
      <c r="FH75" s="405"/>
      <c r="FI75" s="405"/>
      <c r="FJ75" s="405"/>
      <c r="FK75" s="405"/>
      <c r="FL75" s="405"/>
      <c r="FM75" s="405"/>
      <c r="FN75" s="405"/>
      <c r="FO75" s="405"/>
      <c r="FP75" s="405"/>
      <c r="FQ75" s="405"/>
      <c r="FR75" s="405"/>
      <c r="FS75" s="405"/>
      <c r="FT75" s="405"/>
      <c r="FU75" s="405"/>
      <c r="FV75" s="405"/>
      <c r="FW75" s="405"/>
      <c r="FX75" s="405"/>
      <c r="FY75" s="405"/>
      <c r="FZ75" s="405"/>
      <c r="GA75" s="405"/>
      <c r="GB75" s="405"/>
      <c r="GC75" s="405"/>
      <c r="GD75" s="405"/>
      <c r="GE75" s="405"/>
      <c r="GF75" s="405"/>
      <c r="GG75" s="405"/>
      <c r="GH75" s="405"/>
      <c r="GI75" s="405"/>
      <c r="GJ75" s="405"/>
      <c r="GK75" s="405"/>
      <c r="GL75" s="405"/>
      <c r="GM75" s="405"/>
      <c r="GN75" s="405"/>
      <c r="GO75" s="405"/>
      <c r="GP75" s="405"/>
      <c r="GQ75" s="405"/>
      <c r="GR75" s="405"/>
      <c r="GS75" s="405"/>
      <c r="GT75" s="405"/>
      <c r="GU75" s="405"/>
      <c r="GV75" s="405"/>
      <c r="GW75" s="405"/>
      <c r="GX75" s="405"/>
      <c r="GY75" s="405"/>
      <c r="GZ75" s="405"/>
      <c r="HA75" s="405"/>
      <c r="HB75" s="405"/>
      <c r="HC75" s="405"/>
      <c r="HD75" s="405"/>
      <c r="HE75" s="405"/>
      <c r="HF75" s="405"/>
      <c r="HG75" s="405"/>
      <c r="HH75" s="405"/>
      <c r="HI75" s="405"/>
      <c r="HJ75" s="405"/>
      <c r="HK75" s="405"/>
      <c r="HL75" s="405"/>
      <c r="HM75" s="405"/>
      <c r="HN75" s="405"/>
      <c r="HO75" s="405"/>
      <c r="HP75" s="405"/>
      <c r="HQ75" s="405"/>
      <c r="HR75" s="405"/>
      <c r="HS75" s="405"/>
      <c r="HT75" s="405"/>
      <c r="HU75" s="405"/>
      <c r="HV75" s="405"/>
      <c r="HW75" s="405"/>
      <c r="HX75" s="405"/>
      <c r="HY75" s="405"/>
      <c r="HZ75" s="405"/>
      <c r="IA75" s="405"/>
      <c r="IB75" s="405"/>
      <c r="IC75" s="405"/>
      <c r="ID75" s="405"/>
      <c r="IE75" s="405"/>
      <c r="IF75" s="405"/>
      <c r="IG75" s="405"/>
      <c r="IH75" s="405"/>
      <c r="II75" s="405"/>
      <c r="IJ75" s="405"/>
      <c r="IK75" s="405"/>
      <c r="IL75" s="405"/>
      <c r="IM75" s="405"/>
      <c r="IN75" s="401"/>
    </row>
    <row r="76" spans="1:248" x14ac:dyDescent="0.25">
      <c r="A76" s="405"/>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5"/>
      <c r="BS76" s="405"/>
      <c r="BT76" s="405"/>
      <c r="BU76" s="405"/>
      <c r="BV76" s="405"/>
      <c r="BW76" s="405"/>
      <c r="BX76" s="405"/>
      <c r="BY76" s="719"/>
      <c r="BZ76" s="719"/>
      <c r="CA76" s="405"/>
      <c r="CB76" s="719"/>
      <c r="CC76" s="405"/>
      <c r="CD76" s="719"/>
      <c r="CE76" s="719"/>
      <c r="CF76" s="405"/>
      <c r="CG76" s="720"/>
      <c r="CH76" s="720"/>
      <c r="CI76" s="405"/>
      <c r="CJ76" s="405"/>
      <c r="CK76" s="405"/>
      <c r="CL76" s="405"/>
      <c r="CM76" s="405"/>
      <c r="CN76" s="405"/>
      <c r="CO76" s="405"/>
      <c r="CP76" s="405"/>
      <c r="CQ76" s="405"/>
      <c r="CR76" s="405"/>
      <c r="CS76" s="405"/>
      <c r="CT76" s="405"/>
      <c r="CU76" s="405"/>
      <c r="CV76" s="405"/>
      <c r="CW76" s="405"/>
      <c r="CX76" s="405"/>
      <c r="CY76" s="405"/>
      <c r="CZ76" s="405"/>
      <c r="DA76" s="405"/>
      <c r="DB76" s="405"/>
      <c r="DC76" s="405"/>
      <c r="DD76" s="405"/>
      <c r="DE76" s="405"/>
      <c r="DF76" s="405"/>
      <c r="DG76" s="405"/>
      <c r="DH76" s="405"/>
      <c r="DI76" s="405"/>
      <c r="DJ76" s="405"/>
      <c r="DK76" s="405"/>
      <c r="DL76" s="405"/>
      <c r="DM76" s="405"/>
      <c r="DN76" s="405"/>
      <c r="DO76" s="405"/>
      <c r="DP76" s="405"/>
      <c r="DQ76" s="405"/>
      <c r="DR76" s="405"/>
      <c r="DS76" s="405"/>
      <c r="DT76" s="405"/>
      <c r="DU76" s="405"/>
      <c r="DV76" s="405"/>
      <c r="DW76" s="405"/>
      <c r="DX76" s="405"/>
      <c r="DY76" s="405"/>
      <c r="DZ76" s="405"/>
      <c r="EA76" s="405"/>
      <c r="EB76" s="405"/>
      <c r="EC76" s="405"/>
      <c r="ED76" s="405"/>
      <c r="EE76" s="405"/>
      <c r="EF76" s="405"/>
      <c r="EG76" s="405"/>
      <c r="EH76" s="405"/>
      <c r="EI76" s="405"/>
      <c r="EJ76" s="405"/>
      <c r="EK76" s="405"/>
      <c r="EL76" s="405"/>
      <c r="EM76" s="405"/>
      <c r="EN76" s="405"/>
      <c r="EO76" s="405"/>
      <c r="EP76" s="405"/>
      <c r="EQ76" s="405"/>
      <c r="ER76" s="405"/>
      <c r="ES76" s="405"/>
      <c r="ET76" s="405"/>
      <c r="EU76" s="405"/>
      <c r="EV76" s="405"/>
      <c r="EW76" s="405"/>
      <c r="EX76" s="405"/>
      <c r="EY76" s="405"/>
      <c r="EZ76" s="405"/>
      <c r="FA76" s="405"/>
      <c r="FB76" s="405"/>
      <c r="FC76" s="405"/>
      <c r="FD76" s="405"/>
      <c r="FE76" s="405"/>
      <c r="FF76" s="405"/>
      <c r="FG76" s="405"/>
      <c r="FH76" s="405"/>
      <c r="FI76" s="405"/>
      <c r="FJ76" s="405"/>
      <c r="FK76" s="405"/>
      <c r="FL76" s="405"/>
      <c r="FM76" s="405"/>
      <c r="FN76" s="405"/>
      <c r="FO76" s="405"/>
      <c r="FP76" s="405"/>
      <c r="FQ76" s="405"/>
      <c r="FR76" s="405"/>
      <c r="FS76" s="405"/>
      <c r="FT76" s="405"/>
      <c r="FU76" s="405"/>
      <c r="FV76" s="405"/>
      <c r="FW76" s="405"/>
      <c r="FX76" s="405"/>
      <c r="FY76" s="405"/>
      <c r="FZ76" s="405"/>
      <c r="GA76" s="405"/>
      <c r="GB76" s="405"/>
      <c r="GC76" s="405"/>
      <c r="GD76" s="405"/>
      <c r="GE76" s="405"/>
      <c r="GF76" s="405"/>
      <c r="GG76" s="405"/>
      <c r="GH76" s="405"/>
      <c r="GI76" s="405"/>
      <c r="GJ76" s="405"/>
      <c r="GK76" s="405"/>
      <c r="GL76" s="405"/>
      <c r="GM76" s="405"/>
      <c r="GN76" s="405"/>
      <c r="GO76" s="405"/>
      <c r="GP76" s="405"/>
      <c r="GQ76" s="405"/>
      <c r="GR76" s="405"/>
      <c r="GS76" s="405"/>
      <c r="GT76" s="405"/>
      <c r="GU76" s="405"/>
      <c r="GV76" s="405"/>
      <c r="GW76" s="405"/>
      <c r="GX76" s="405"/>
      <c r="GY76" s="405"/>
      <c r="GZ76" s="405"/>
      <c r="HA76" s="405"/>
      <c r="HB76" s="405"/>
      <c r="HC76" s="405"/>
      <c r="HD76" s="405"/>
      <c r="HE76" s="405"/>
      <c r="HF76" s="405"/>
      <c r="HG76" s="405"/>
      <c r="HH76" s="405"/>
      <c r="HI76" s="405"/>
      <c r="HJ76" s="405"/>
      <c r="HK76" s="405"/>
      <c r="HL76" s="405"/>
      <c r="HM76" s="405"/>
      <c r="HN76" s="405"/>
      <c r="HO76" s="405"/>
      <c r="HP76" s="405"/>
      <c r="HQ76" s="405"/>
      <c r="HR76" s="405"/>
      <c r="HS76" s="405"/>
      <c r="HT76" s="405"/>
      <c r="HU76" s="405"/>
      <c r="HV76" s="405"/>
      <c r="HW76" s="405"/>
      <c r="HX76" s="405"/>
      <c r="HY76" s="405"/>
      <c r="HZ76" s="405"/>
      <c r="IA76" s="405"/>
      <c r="IB76" s="405"/>
      <c r="IC76" s="405"/>
      <c r="ID76" s="405"/>
      <c r="IE76" s="405"/>
      <c r="IF76" s="405"/>
      <c r="IG76" s="405"/>
      <c r="IH76" s="405"/>
      <c r="II76" s="405"/>
      <c r="IJ76" s="405"/>
      <c r="IK76" s="405"/>
      <c r="IL76" s="405"/>
      <c r="IM76" s="405"/>
      <c r="IN76" s="401"/>
    </row>
    <row r="77" spans="1:248" x14ac:dyDescent="0.25">
      <c r="A77" s="405"/>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c r="AA77" s="405"/>
      <c r="AB77" s="405"/>
      <c r="AC77" s="405"/>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05"/>
      <c r="BB77" s="405"/>
      <c r="BC77" s="405"/>
      <c r="BD77" s="405"/>
      <c r="BE77" s="405"/>
      <c r="BF77" s="405"/>
      <c r="BG77" s="405"/>
      <c r="BH77" s="405"/>
      <c r="BI77" s="405"/>
      <c r="BJ77" s="405"/>
      <c r="BK77" s="405"/>
      <c r="BL77" s="405"/>
      <c r="BM77" s="405"/>
      <c r="BN77" s="405"/>
      <c r="BO77" s="405"/>
      <c r="BP77" s="405"/>
      <c r="BQ77" s="405"/>
      <c r="BR77" s="405"/>
      <c r="BS77" s="405"/>
      <c r="BT77" s="405"/>
      <c r="BU77" s="405"/>
      <c r="BV77" s="405"/>
      <c r="BW77" s="405"/>
      <c r="BX77" s="405"/>
      <c r="BY77" s="719"/>
      <c r="BZ77" s="719"/>
      <c r="CA77" s="405"/>
      <c r="CB77" s="719"/>
      <c r="CC77" s="405"/>
      <c r="CD77" s="719"/>
      <c r="CE77" s="719"/>
      <c r="CF77" s="405"/>
      <c r="CG77" s="720"/>
      <c r="CH77" s="720"/>
      <c r="CI77" s="405"/>
      <c r="CJ77" s="405"/>
      <c r="CK77" s="405"/>
      <c r="CL77" s="405"/>
      <c r="CM77" s="405"/>
      <c r="CN77" s="405"/>
      <c r="CO77" s="405"/>
      <c r="CP77" s="405"/>
      <c r="CQ77" s="405"/>
      <c r="CR77" s="405"/>
      <c r="CS77" s="405"/>
      <c r="CT77" s="405"/>
      <c r="CU77" s="405"/>
      <c r="CV77" s="405"/>
      <c r="CW77" s="405"/>
      <c r="CX77" s="405"/>
      <c r="CY77" s="405"/>
      <c r="CZ77" s="405"/>
      <c r="DA77" s="405"/>
      <c r="DB77" s="405"/>
      <c r="DC77" s="405"/>
      <c r="DD77" s="405"/>
      <c r="DE77" s="405"/>
      <c r="DF77" s="405"/>
      <c r="DG77" s="405"/>
      <c r="DH77" s="405"/>
      <c r="DI77" s="405"/>
      <c r="DJ77" s="405"/>
      <c r="DK77" s="405"/>
      <c r="DL77" s="405"/>
      <c r="DM77" s="405"/>
      <c r="DN77" s="405"/>
      <c r="DO77" s="405"/>
      <c r="DP77" s="405"/>
      <c r="DQ77" s="405"/>
      <c r="DR77" s="405"/>
      <c r="DS77" s="405"/>
      <c r="DT77" s="405"/>
      <c r="DU77" s="405"/>
      <c r="DV77" s="405"/>
      <c r="DW77" s="405"/>
      <c r="DX77" s="405"/>
      <c r="DY77" s="405"/>
      <c r="DZ77" s="405"/>
      <c r="EA77" s="405"/>
      <c r="EB77" s="405"/>
      <c r="EC77" s="405"/>
      <c r="ED77" s="405"/>
      <c r="EE77" s="405"/>
      <c r="EF77" s="405"/>
      <c r="EG77" s="405"/>
      <c r="EH77" s="405"/>
      <c r="EI77" s="405"/>
      <c r="EJ77" s="405"/>
      <c r="EK77" s="405"/>
      <c r="EL77" s="405"/>
      <c r="EM77" s="405"/>
      <c r="EN77" s="405"/>
      <c r="EO77" s="405"/>
      <c r="EP77" s="405"/>
      <c r="EQ77" s="405"/>
      <c r="ER77" s="405"/>
      <c r="ES77" s="405"/>
      <c r="ET77" s="405"/>
      <c r="EU77" s="405"/>
      <c r="EV77" s="405"/>
      <c r="EW77" s="405"/>
      <c r="EX77" s="405"/>
      <c r="EY77" s="405"/>
      <c r="EZ77" s="405"/>
      <c r="FA77" s="405"/>
      <c r="FB77" s="405"/>
      <c r="FC77" s="405"/>
      <c r="FD77" s="405"/>
      <c r="FE77" s="405"/>
      <c r="FF77" s="405"/>
      <c r="FG77" s="405"/>
      <c r="FH77" s="405"/>
      <c r="FI77" s="405"/>
      <c r="FJ77" s="405"/>
      <c r="FK77" s="405"/>
      <c r="FL77" s="405"/>
      <c r="FM77" s="405"/>
      <c r="FN77" s="405"/>
      <c r="FO77" s="405"/>
      <c r="FP77" s="405"/>
      <c r="FQ77" s="405"/>
      <c r="FR77" s="405"/>
      <c r="FS77" s="405"/>
      <c r="FT77" s="405"/>
      <c r="FU77" s="405"/>
      <c r="FV77" s="405"/>
      <c r="FW77" s="405"/>
      <c r="FX77" s="405"/>
      <c r="FY77" s="405"/>
      <c r="FZ77" s="405"/>
      <c r="GA77" s="405"/>
      <c r="GB77" s="405"/>
      <c r="GC77" s="405"/>
      <c r="GD77" s="405"/>
      <c r="GE77" s="405"/>
      <c r="GF77" s="405"/>
      <c r="GG77" s="405"/>
      <c r="GH77" s="405"/>
      <c r="GI77" s="405"/>
      <c r="GJ77" s="405"/>
      <c r="GK77" s="405"/>
      <c r="GL77" s="405"/>
      <c r="GM77" s="405"/>
      <c r="GN77" s="405"/>
      <c r="GO77" s="405"/>
      <c r="GP77" s="405"/>
      <c r="GQ77" s="405"/>
      <c r="GR77" s="405"/>
      <c r="GS77" s="405"/>
      <c r="GT77" s="405"/>
      <c r="GU77" s="405"/>
      <c r="GV77" s="405"/>
      <c r="GW77" s="405"/>
      <c r="GX77" s="405"/>
      <c r="GY77" s="405"/>
      <c r="GZ77" s="405"/>
      <c r="HA77" s="405"/>
      <c r="HB77" s="405"/>
      <c r="HC77" s="405"/>
      <c r="HD77" s="405"/>
      <c r="HE77" s="405"/>
      <c r="HF77" s="405"/>
      <c r="HG77" s="405"/>
      <c r="HH77" s="405"/>
      <c r="HI77" s="405"/>
      <c r="HJ77" s="405"/>
      <c r="HK77" s="405"/>
      <c r="HL77" s="405"/>
      <c r="HM77" s="405"/>
      <c r="HN77" s="405"/>
      <c r="HO77" s="405"/>
      <c r="HP77" s="405"/>
      <c r="HQ77" s="405"/>
      <c r="HR77" s="405"/>
      <c r="HS77" s="405"/>
      <c r="HT77" s="405"/>
      <c r="HU77" s="405"/>
      <c r="HV77" s="405"/>
      <c r="HW77" s="405"/>
      <c r="HX77" s="405"/>
      <c r="HY77" s="405"/>
      <c r="HZ77" s="405"/>
      <c r="IA77" s="405"/>
      <c r="IB77" s="405"/>
      <c r="IC77" s="405"/>
      <c r="ID77" s="405"/>
      <c r="IE77" s="405"/>
      <c r="IF77" s="405"/>
      <c r="IG77" s="405"/>
      <c r="IH77" s="405"/>
      <c r="II77" s="405"/>
      <c r="IJ77" s="405"/>
      <c r="IK77" s="405"/>
      <c r="IL77" s="405"/>
      <c r="IM77" s="405"/>
      <c r="IN77" s="401"/>
    </row>
    <row r="78" spans="1:248" ht="15.75" thickBot="1" x14ac:dyDescent="0.3">
      <c r="A78" s="414"/>
      <c r="B78" s="414"/>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4"/>
      <c r="BY78" s="414"/>
      <c r="BZ78" s="414"/>
      <c r="CA78" s="414"/>
      <c r="CB78" s="721"/>
      <c r="CC78" s="414"/>
      <c r="CD78" s="721"/>
      <c r="CE78" s="721"/>
      <c r="CF78" s="414"/>
      <c r="CG78" s="414"/>
      <c r="CH78" s="414"/>
      <c r="CI78" s="414"/>
      <c r="CJ78" s="414"/>
      <c r="CK78" s="414"/>
      <c r="CL78" s="414"/>
      <c r="CM78" s="414"/>
      <c r="CN78" s="414"/>
      <c r="CO78" s="414"/>
      <c r="CP78" s="414"/>
      <c r="CQ78" s="414"/>
      <c r="CR78" s="414"/>
      <c r="CS78" s="414"/>
      <c r="CT78" s="414"/>
      <c r="CU78" s="414"/>
      <c r="CV78" s="414"/>
      <c r="CW78" s="414"/>
      <c r="CX78" s="414"/>
      <c r="CY78" s="414"/>
      <c r="CZ78" s="414"/>
      <c r="DA78" s="414"/>
      <c r="DB78" s="414"/>
      <c r="DC78" s="414"/>
      <c r="DD78" s="414"/>
      <c r="DE78" s="414"/>
      <c r="DF78" s="414"/>
      <c r="DG78" s="414"/>
      <c r="DH78" s="414"/>
      <c r="DI78" s="414"/>
      <c r="DJ78" s="414"/>
      <c r="DK78" s="414"/>
      <c r="DL78" s="414"/>
      <c r="DM78" s="414"/>
      <c r="DN78" s="414"/>
      <c r="DO78" s="414"/>
      <c r="DP78" s="414"/>
      <c r="DQ78" s="414"/>
      <c r="DR78" s="414"/>
      <c r="DS78" s="414"/>
      <c r="DT78" s="414"/>
      <c r="DU78" s="414"/>
      <c r="DV78" s="414"/>
      <c r="DW78" s="414"/>
      <c r="DX78" s="414"/>
      <c r="DY78" s="414"/>
      <c r="DZ78" s="414"/>
      <c r="EA78" s="414"/>
      <c r="EB78" s="414"/>
      <c r="EC78" s="414"/>
      <c r="ED78" s="414"/>
      <c r="EE78" s="414"/>
      <c r="EF78" s="414"/>
      <c r="EG78" s="414"/>
      <c r="EH78" s="414"/>
      <c r="EI78" s="414"/>
      <c r="EJ78" s="414"/>
      <c r="EK78" s="414"/>
      <c r="EL78" s="414"/>
      <c r="EM78" s="414"/>
      <c r="EN78" s="414"/>
      <c r="EO78" s="414"/>
      <c r="EP78" s="414"/>
      <c r="EQ78" s="414"/>
      <c r="ER78" s="414"/>
      <c r="ES78" s="414"/>
      <c r="ET78" s="414"/>
      <c r="EU78" s="414"/>
      <c r="EV78" s="414"/>
      <c r="EW78" s="414"/>
      <c r="EX78" s="414"/>
      <c r="EY78" s="414"/>
      <c r="EZ78" s="414"/>
      <c r="FA78" s="414"/>
      <c r="FB78" s="414"/>
      <c r="FC78" s="414"/>
      <c r="FD78" s="414"/>
      <c r="FE78" s="414"/>
      <c r="FF78" s="414"/>
      <c r="FG78" s="414"/>
      <c r="FH78" s="414"/>
      <c r="FI78" s="414"/>
      <c r="FJ78" s="414"/>
      <c r="FK78" s="414"/>
      <c r="FL78" s="414"/>
      <c r="FM78" s="414"/>
      <c r="FN78" s="414"/>
      <c r="FO78" s="414"/>
      <c r="FP78" s="414"/>
      <c r="FQ78" s="414"/>
      <c r="FR78" s="414"/>
      <c r="FS78" s="414"/>
      <c r="FT78" s="414"/>
      <c r="FU78" s="414"/>
      <c r="FV78" s="414"/>
      <c r="FW78" s="414"/>
      <c r="FX78" s="414"/>
      <c r="FY78" s="414"/>
      <c r="FZ78" s="414"/>
      <c r="GA78" s="414"/>
      <c r="GB78" s="414"/>
      <c r="GC78" s="414"/>
      <c r="GD78" s="414"/>
      <c r="GE78" s="414"/>
      <c r="GF78" s="414"/>
      <c r="GG78" s="414"/>
      <c r="GH78" s="414"/>
      <c r="GI78" s="414"/>
      <c r="GJ78" s="414"/>
      <c r="GK78" s="414"/>
      <c r="GL78" s="414"/>
      <c r="GM78" s="414"/>
      <c r="GN78" s="414"/>
      <c r="GO78" s="414"/>
      <c r="GP78" s="414"/>
      <c r="GQ78" s="414"/>
      <c r="GR78" s="414"/>
      <c r="GS78" s="414"/>
      <c r="GT78" s="414"/>
      <c r="GU78" s="414"/>
      <c r="GV78" s="414"/>
      <c r="GW78" s="414"/>
      <c r="GX78" s="414"/>
      <c r="GY78" s="414"/>
      <c r="GZ78" s="414"/>
      <c r="HA78" s="414"/>
      <c r="HB78" s="414"/>
      <c r="HC78" s="414"/>
      <c r="HD78" s="414"/>
      <c r="HE78" s="414"/>
      <c r="HF78" s="414"/>
      <c r="HG78" s="414"/>
      <c r="HH78" s="414"/>
      <c r="HI78" s="414"/>
      <c r="HJ78" s="414"/>
      <c r="HK78" s="414"/>
      <c r="HL78" s="414"/>
      <c r="HM78" s="414"/>
      <c r="HN78" s="414"/>
      <c r="HO78" s="414"/>
      <c r="HP78" s="414"/>
      <c r="HQ78" s="414"/>
      <c r="HR78" s="414"/>
      <c r="HS78" s="414"/>
      <c r="HT78" s="414"/>
      <c r="HU78" s="414"/>
      <c r="HV78" s="414"/>
      <c r="HW78" s="414"/>
      <c r="HX78" s="414"/>
      <c r="HY78" s="414"/>
      <c r="HZ78" s="414"/>
      <c r="IA78" s="414"/>
      <c r="IB78" s="414"/>
      <c r="IC78" s="414"/>
      <c r="ID78" s="414"/>
      <c r="IE78" s="414"/>
      <c r="IF78" s="414"/>
      <c r="IG78" s="414"/>
      <c r="IH78" s="414"/>
      <c r="II78" s="414"/>
      <c r="IJ78" s="414"/>
      <c r="IK78" s="414"/>
      <c r="IL78" s="414"/>
      <c r="IM78" s="414"/>
      <c r="IN78" s="415"/>
    </row>
    <row r="79" spans="1:248" x14ac:dyDescent="0.25">
      <c r="J79" s="1"/>
      <c r="X79" s="1"/>
      <c r="AK79" s="1"/>
      <c r="AL79" s="1"/>
      <c r="AN79" s="1"/>
    </row>
    <row r="80" spans="1:248" x14ac:dyDescent="0.25">
      <c r="J80" s="1"/>
      <c r="X80" s="1"/>
      <c r="AK80" s="1"/>
      <c r="AL80" s="1"/>
      <c r="AN80" s="1"/>
    </row>
    <row r="81" spans="14:14" s="1" customFormat="1" x14ac:dyDescent="0.25">
      <c r="N81" s="10"/>
    </row>
    <row r="82" spans="14:14" s="1" customFormat="1" x14ac:dyDescent="0.25">
      <c r="N82" s="10"/>
    </row>
    <row r="83" spans="14:14" s="1" customFormat="1" x14ac:dyDescent="0.25">
      <c r="N83" s="10"/>
    </row>
    <row r="84" spans="14:14" s="1" customFormat="1" x14ac:dyDescent="0.25">
      <c r="N84" s="10"/>
    </row>
    <row r="85" spans="14:14" s="1" customFormat="1" x14ac:dyDescent="0.25">
      <c r="N85" s="10"/>
    </row>
    <row r="86" spans="14:14" s="1" customFormat="1" x14ac:dyDescent="0.25">
      <c r="N86" s="10"/>
    </row>
    <row r="87" spans="14:14" s="1" customFormat="1" x14ac:dyDescent="0.25">
      <c r="N87" s="10"/>
    </row>
    <row r="88" spans="14:14" s="1" customFormat="1" x14ac:dyDescent="0.25">
      <c r="N88" s="10"/>
    </row>
    <row r="89" spans="14:14" s="1" customFormat="1" x14ac:dyDescent="0.25">
      <c r="N89" s="10"/>
    </row>
    <row r="90" spans="14:14" s="1" customFormat="1" x14ac:dyDescent="0.25">
      <c r="N90" s="10"/>
    </row>
    <row r="91" spans="14:14" s="1" customFormat="1" x14ac:dyDescent="0.25">
      <c r="N91" s="10"/>
    </row>
    <row r="92" spans="14:14" s="1" customFormat="1" x14ac:dyDescent="0.25">
      <c r="N92" s="10"/>
    </row>
    <row r="93" spans="14:14" s="1" customFormat="1" x14ac:dyDescent="0.25">
      <c r="N93" s="10"/>
    </row>
    <row r="94" spans="14:14" s="1" customFormat="1" x14ac:dyDescent="0.25">
      <c r="N94" s="10"/>
    </row>
    <row r="95" spans="14:14" s="1" customFormat="1" x14ac:dyDescent="0.25">
      <c r="N95" s="10"/>
    </row>
    <row r="96" spans="14:14" s="1" customFormat="1" x14ac:dyDescent="0.25">
      <c r="N96" s="10"/>
    </row>
    <row r="97" spans="14:14" s="1" customFormat="1" x14ac:dyDescent="0.25">
      <c r="N97" s="10"/>
    </row>
    <row r="98" spans="14:14" s="1" customFormat="1" x14ac:dyDescent="0.25">
      <c r="N98" s="10"/>
    </row>
    <row r="99" spans="14:14" s="1" customFormat="1" x14ac:dyDescent="0.25">
      <c r="N99" s="10"/>
    </row>
    <row r="100" spans="14:14" s="1" customFormat="1" x14ac:dyDescent="0.25">
      <c r="N100" s="10"/>
    </row>
    <row r="101" spans="14:14" s="1" customFormat="1" x14ac:dyDescent="0.25">
      <c r="N101" s="10"/>
    </row>
    <row r="102" spans="14:14" s="1" customFormat="1" x14ac:dyDescent="0.25">
      <c r="N102" s="10"/>
    </row>
    <row r="103" spans="14:14" s="1" customFormat="1" x14ac:dyDescent="0.25">
      <c r="N103" s="10"/>
    </row>
    <row r="104" spans="14:14" s="1" customFormat="1" x14ac:dyDescent="0.25">
      <c r="N104" s="10"/>
    </row>
    <row r="105" spans="14:14" s="1" customFormat="1" x14ac:dyDescent="0.25">
      <c r="N105" s="10"/>
    </row>
    <row r="106" spans="14:14" s="1" customFormat="1" x14ac:dyDescent="0.25">
      <c r="N106" s="10"/>
    </row>
    <row r="107" spans="14:14" s="1" customFormat="1" x14ac:dyDescent="0.25">
      <c r="N107" s="10"/>
    </row>
    <row r="108" spans="14:14" s="1" customFormat="1" x14ac:dyDescent="0.25">
      <c r="N108" s="10"/>
    </row>
    <row r="109" spans="14:14" s="1" customFormat="1" x14ac:dyDescent="0.25">
      <c r="N109" s="10"/>
    </row>
    <row r="110" spans="14:14" s="1" customFormat="1" x14ac:dyDescent="0.25">
      <c r="N110" s="10"/>
    </row>
    <row r="111" spans="14:14" s="1" customFormat="1" x14ac:dyDescent="0.25">
      <c r="N111" s="10"/>
    </row>
    <row r="112" spans="14:14" s="1" customFormat="1" x14ac:dyDescent="0.25">
      <c r="N112" s="10"/>
    </row>
    <row r="113" spans="14:14" s="1" customFormat="1" x14ac:dyDescent="0.25">
      <c r="N113" s="10"/>
    </row>
    <row r="114" spans="14:14" s="1" customFormat="1" x14ac:dyDescent="0.25">
      <c r="N114" s="10"/>
    </row>
    <row r="115" spans="14:14" s="1" customFormat="1" x14ac:dyDescent="0.25">
      <c r="N115" s="10"/>
    </row>
    <row r="116" spans="14:14" s="1" customFormat="1" x14ac:dyDescent="0.25">
      <c r="N116" s="10"/>
    </row>
    <row r="117" spans="14:14" s="1" customFormat="1" x14ac:dyDescent="0.25">
      <c r="N117" s="10"/>
    </row>
    <row r="118" spans="14:14" s="1" customFormat="1" x14ac:dyDescent="0.25">
      <c r="N118" s="10"/>
    </row>
    <row r="119" spans="14:14" s="1" customFormat="1" x14ac:dyDescent="0.25">
      <c r="N119" s="10"/>
    </row>
    <row r="120" spans="14:14" s="1" customFormat="1" x14ac:dyDescent="0.25">
      <c r="N120" s="10"/>
    </row>
    <row r="121" spans="14:14" s="1" customFormat="1" x14ac:dyDescent="0.25">
      <c r="N121" s="10"/>
    </row>
    <row r="122" spans="14:14" s="1" customFormat="1" x14ac:dyDescent="0.25">
      <c r="N122" s="10"/>
    </row>
    <row r="123" spans="14:14" s="1" customFormat="1" x14ac:dyDescent="0.25">
      <c r="N123" s="10"/>
    </row>
    <row r="124" spans="14:14" s="1" customFormat="1" x14ac:dyDescent="0.25">
      <c r="N124" s="10"/>
    </row>
    <row r="125" spans="14:14" s="1" customFormat="1" x14ac:dyDescent="0.25">
      <c r="N125" s="10"/>
    </row>
    <row r="126" spans="14:14" s="1" customFormat="1" x14ac:dyDescent="0.25">
      <c r="N126" s="10"/>
    </row>
    <row r="127" spans="14:14" s="1" customFormat="1" x14ac:dyDescent="0.25">
      <c r="N127" s="10"/>
    </row>
    <row r="128" spans="14:14" s="1" customFormat="1" x14ac:dyDescent="0.25">
      <c r="N128" s="10"/>
    </row>
    <row r="129" spans="14:14" s="1" customFormat="1" x14ac:dyDescent="0.25">
      <c r="N129" s="10"/>
    </row>
    <row r="130" spans="14:14" s="1" customFormat="1" x14ac:dyDescent="0.25">
      <c r="N130" s="10"/>
    </row>
    <row r="131" spans="14:14" s="1" customFormat="1" x14ac:dyDescent="0.25">
      <c r="N131" s="10"/>
    </row>
    <row r="132" spans="14:14" s="1" customFormat="1" x14ac:dyDescent="0.25">
      <c r="N132" s="10"/>
    </row>
    <row r="133" spans="14:14" s="1" customFormat="1" x14ac:dyDescent="0.25">
      <c r="N133" s="10"/>
    </row>
    <row r="134" spans="14:14" s="1" customFormat="1" x14ac:dyDescent="0.25">
      <c r="N134" s="10"/>
    </row>
    <row r="135" spans="14:14" s="1" customFormat="1" x14ac:dyDescent="0.25">
      <c r="N135" s="10"/>
    </row>
    <row r="136" spans="14:14" s="1" customFormat="1" x14ac:dyDescent="0.25">
      <c r="N136" s="10"/>
    </row>
    <row r="137" spans="14:14" s="1" customFormat="1" x14ac:dyDescent="0.25">
      <c r="N137" s="10"/>
    </row>
    <row r="138" spans="14:14" s="1" customFormat="1" x14ac:dyDescent="0.25">
      <c r="N138" s="10"/>
    </row>
    <row r="139" spans="14:14" s="1" customFormat="1" x14ac:dyDescent="0.25">
      <c r="N139" s="10"/>
    </row>
    <row r="140" spans="14:14" s="1" customFormat="1" x14ac:dyDescent="0.25">
      <c r="N140" s="10"/>
    </row>
    <row r="141" spans="14:14" s="1" customFormat="1" x14ac:dyDescent="0.25">
      <c r="N141" s="10"/>
    </row>
    <row r="142" spans="14:14" s="1" customFormat="1" x14ac:dyDescent="0.25">
      <c r="N142" s="10"/>
    </row>
    <row r="143" spans="14:14" s="1" customFormat="1" x14ac:dyDescent="0.25">
      <c r="N143" s="10"/>
    </row>
    <row r="144" spans="14:14" s="1" customFormat="1" x14ac:dyDescent="0.25">
      <c r="N144" s="10"/>
    </row>
    <row r="145" spans="14:14" s="1" customFormat="1" x14ac:dyDescent="0.25">
      <c r="N145" s="10"/>
    </row>
    <row r="146" spans="14:14" s="1" customFormat="1" x14ac:dyDescent="0.25">
      <c r="N146" s="10"/>
    </row>
    <row r="147" spans="14:14" s="1" customFormat="1" x14ac:dyDescent="0.25">
      <c r="N147" s="10"/>
    </row>
    <row r="148" spans="14:14" s="1" customFormat="1" x14ac:dyDescent="0.25">
      <c r="N148" s="10"/>
    </row>
    <row r="149" spans="14:14" s="1" customFormat="1" x14ac:dyDescent="0.25">
      <c r="N149" s="10"/>
    </row>
    <row r="150" spans="14:14" s="1" customFormat="1" x14ac:dyDescent="0.25">
      <c r="N150" s="10"/>
    </row>
  </sheetData>
  <phoneticPr fontId="4"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rgb="FFFFFF66"/>
  </sheetPr>
  <dimension ref="A1:AS164"/>
  <sheetViews>
    <sheetView zoomScaleNormal="100" workbookViewId="0">
      <selection activeCell="E39" sqref="E39"/>
    </sheetView>
  </sheetViews>
  <sheetFormatPr defaultColWidth="10.5703125" defaultRowHeight="15" x14ac:dyDescent="0.25"/>
  <cols>
    <col min="1" max="2" width="10.5703125" style="1"/>
    <col min="3" max="3" width="33.140625" style="1" customWidth="1"/>
    <col min="4" max="4" width="19.140625" style="1" customWidth="1"/>
    <col min="5" max="5" width="49.7109375" style="1" customWidth="1"/>
    <col min="6" max="12" width="10.5703125" style="1"/>
    <col min="13" max="13" width="14.140625" style="1" customWidth="1"/>
    <col min="14" max="24" width="10.5703125" style="1"/>
    <col min="25" max="25" width="11.85546875" style="1" customWidth="1"/>
    <col min="26" max="26" width="51.7109375" style="1" customWidth="1"/>
    <col min="27" max="35" width="10.5703125" style="1"/>
    <col min="36" max="36" width="4.85546875" style="1" customWidth="1"/>
    <col min="37" max="16384" width="10.5703125" style="1"/>
  </cols>
  <sheetData>
    <row r="1" spans="1:45" ht="15.75" thickBot="1" x14ac:dyDescent="0.3">
      <c r="A1" s="322" t="s">
        <v>257</v>
      </c>
      <c r="B1" s="322"/>
      <c r="C1" s="322"/>
      <c r="D1" s="323"/>
      <c r="E1" s="324"/>
      <c r="F1" s="324"/>
      <c r="G1" s="324"/>
      <c r="H1" s="324"/>
      <c r="I1" s="324"/>
      <c r="J1" s="324"/>
      <c r="K1" s="324"/>
      <c r="L1" s="324"/>
      <c r="M1" s="324"/>
      <c r="N1" s="324"/>
      <c r="O1" s="324"/>
      <c r="P1" s="324"/>
      <c r="Q1" s="324"/>
      <c r="R1" s="324"/>
      <c r="S1" s="324"/>
      <c r="T1" s="324"/>
      <c r="U1" s="324"/>
      <c r="V1" s="324"/>
      <c r="W1" s="324"/>
      <c r="X1" s="325"/>
      <c r="Y1" s="325"/>
      <c r="Z1" s="322" t="s">
        <v>261</v>
      </c>
      <c r="AA1" s="324"/>
      <c r="AB1" s="324"/>
      <c r="AC1" s="324"/>
      <c r="AD1" s="324"/>
      <c r="AE1" s="324"/>
      <c r="AF1" s="324"/>
      <c r="AG1" s="324"/>
      <c r="AH1" s="324"/>
      <c r="AI1" s="324"/>
      <c r="AJ1" s="326"/>
    </row>
    <row r="2" spans="1:45" s="33" customFormat="1" ht="15.75" thickBot="1" x14ac:dyDescent="0.3">
      <c r="A2" s="327"/>
      <c r="B2" s="327"/>
      <c r="C2" s="327"/>
      <c r="D2" s="327"/>
      <c r="E2" s="328">
        <v>1</v>
      </c>
      <c r="F2" s="329">
        <f t="shared" ref="F2:X2" si="0">E2+1</f>
        <v>2</v>
      </c>
      <c r="G2" s="329">
        <f t="shared" si="0"/>
        <v>3</v>
      </c>
      <c r="H2" s="329">
        <f t="shared" si="0"/>
        <v>4</v>
      </c>
      <c r="I2" s="329">
        <f t="shared" si="0"/>
        <v>5</v>
      </c>
      <c r="J2" s="329">
        <f t="shared" si="0"/>
        <v>6</v>
      </c>
      <c r="K2" s="329">
        <f t="shared" si="0"/>
        <v>7</v>
      </c>
      <c r="L2" s="329">
        <f t="shared" si="0"/>
        <v>8</v>
      </c>
      <c r="M2" s="329">
        <f t="shared" si="0"/>
        <v>9</v>
      </c>
      <c r="N2" s="329">
        <f t="shared" si="0"/>
        <v>10</v>
      </c>
      <c r="O2" s="329">
        <f t="shared" si="0"/>
        <v>11</v>
      </c>
      <c r="P2" s="329">
        <f t="shared" si="0"/>
        <v>12</v>
      </c>
      <c r="Q2" s="329">
        <f t="shared" si="0"/>
        <v>13</v>
      </c>
      <c r="R2" s="329">
        <f t="shared" si="0"/>
        <v>14</v>
      </c>
      <c r="S2" s="329">
        <f t="shared" si="0"/>
        <v>15</v>
      </c>
      <c r="T2" s="329">
        <f t="shared" si="0"/>
        <v>16</v>
      </c>
      <c r="U2" s="329">
        <f t="shared" si="0"/>
        <v>17</v>
      </c>
      <c r="V2" s="329">
        <f t="shared" si="0"/>
        <v>18</v>
      </c>
      <c r="W2" s="329">
        <f t="shared" si="0"/>
        <v>19</v>
      </c>
      <c r="X2" s="330">
        <f t="shared" si="0"/>
        <v>20</v>
      </c>
      <c r="Y2" s="330">
        <f>X2+1</f>
        <v>21</v>
      </c>
      <c r="Z2" s="331">
        <v>1</v>
      </c>
      <c r="AA2" s="331">
        <v>2</v>
      </c>
      <c r="AB2" s="329">
        <f t="shared" ref="AB2:AI2" si="1">AA2+1</f>
        <v>3</v>
      </c>
      <c r="AC2" s="329">
        <f t="shared" si="1"/>
        <v>4</v>
      </c>
      <c r="AD2" s="329">
        <f t="shared" si="1"/>
        <v>5</v>
      </c>
      <c r="AE2" s="329">
        <f t="shared" si="1"/>
        <v>6</v>
      </c>
      <c r="AF2" s="329">
        <f t="shared" si="1"/>
        <v>7</v>
      </c>
      <c r="AG2" s="329">
        <f t="shared" si="1"/>
        <v>8</v>
      </c>
      <c r="AH2" s="329">
        <f t="shared" si="1"/>
        <v>9</v>
      </c>
      <c r="AI2" s="330">
        <f t="shared" si="1"/>
        <v>10</v>
      </c>
      <c r="AJ2" s="332"/>
      <c r="AK2" s="333"/>
      <c r="AL2" s="333"/>
      <c r="AM2" s="333"/>
      <c r="AN2" s="333"/>
      <c r="AO2" s="333"/>
    </row>
    <row r="3" spans="1:45" ht="15.75" thickBot="1" x14ac:dyDescent="0.3">
      <c r="A3" s="334"/>
      <c r="B3" s="335" t="s">
        <v>175</v>
      </c>
      <c r="C3" s="336"/>
      <c r="D3" s="336"/>
      <c r="E3" s="337" t="s">
        <v>51</v>
      </c>
      <c r="F3" s="338" t="s">
        <v>176</v>
      </c>
      <c r="G3" s="334"/>
      <c r="H3" s="334"/>
      <c r="I3" s="339" t="s">
        <v>177</v>
      </c>
      <c r="J3" s="334"/>
      <c r="K3" s="334"/>
      <c r="L3" s="334"/>
      <c r="M3" s="334"/>
      <c r="N3" s="334"/>
      <c r="O3" s="334"/>
      <c r="P3" s="334"/>
      <c r="Q3" s="340"/>
      <c r="R3" s="341"/>
      <c r="S3" s="339" t="s">
        <v>178</v>
      </c>
      <c r="T3" s="334"/>
      <c r="U3" s="334"/>
      <c r="V3" s="334"/>
      <c r="W3" s="340"/>
      <c r="X3" s="342"/>
      <c r="Y3" s="342"/>
      <c r="Z3" s="343"/>
      <c r="AA3" s="344" t="s">
        <v>338</v>
      </c>
      <c r="AB3" s="334"/>
      <c r="AC3" s="338"/>
      <c r="AD3" s="339"/>
      <c r="AE3" s="338"/>
      <c r="AF3" s="338"/>
      <c r="AG3" s="339"/>
      <c r="AH3" s="338"/>
      <c r="AI3" s="345"/>
      <c r="AJ3" s="346"/>
    </row>
    <row r="4" spans="1:45" ht="63.75" customHeight="1" thickBot="1" x14ac:dyDescent="0.3">
      <c r="A4" s="347" t="s">
        <v>266</v>
      </c>
      <c r="B4" s="348" t="s">
        <v>100</v>
      </c>
      <c r="C4" s="349" t="s">
        <v>285</v>
      </c>
      <c r="D4" s="349" t="s">
        <v>1</v>
      </c>
      <c r="E4" s="350" t="s">
        <v>53</v>
      </c>
      <c r="F4" s="351" t="s">
        <v>11</v>
      </c>
      <c r="G4" s="352" t="s">
        <v>12</v>
      </c>
      <c r="H4" s="353" t="s">
        <v>13</v>
      </c>
      <c r="I4" s="351" t="s">
        <v>14</v>
      </c>
      <c r="J4" s="352" t="s">
        <v>15</v>
      </c>
      <c r="K4" s="351" t="s">
        <v>16</v>
      </c>
      <c r="L4" s="352" t="s">
        <v>17</v>
      </c>
      <c r="M4" s="351" t="s">
        <v>18</v>
      </c>
      <c r="N4" s="352" t="s">
        <v>19</v>
      </c>
      <c r="O4" s="351" t="s">
        <v>20</v>
      </c>
      <c r="P4" s="352" t="s">
        <v>21</v>
      </c>
      <c r="Q4" s="354" t="s">
        <v>88</v>
      </c>
      <c r="R4" s="355" t="s">
        <v>86</v>
      </c>
      <c r="S4" s="351" t="s">
        <v>22</v>
      </c>
      <c r="T4" s="351" t="s">
        <v>24</v>
      </c>
      <c r="U4" s="355" t="s">
        <v>25</v>
      </c>
      <c r="V4" s="355" t="s">
        <v>23</v>
      </c>
      <c r="W4" s="355" t="s">
        <v>90</v>
      </c>
      <c r="X4" s="356" t="s">
        <v>87</v>
      </c>
      <c r="Y4" s="356" t="s">
        <v>208</v>
      </c>
      <c r="Z4" s="423" t="s">
        <v>53</v>
      </c>
      <c r="AA4" s="357" t="s">
        <v>262</v>
      </c>
      <c r="AB4" s="358" t="s">
        <v>263</v>
      </c>
      <c r="AC4" s="358" t="s">
        <v>264</v>
      </c>
      <c r="AD4" s="359" t="s">
        <v>339</v>
      </c>
      <c r="AE4" s="358" t="s">
        <v>342</v>
      </c>
      <c r="AF4" s="358" t="s">
        <v>340</v>
      </c>
      <c r="AG4" s="359" t="s">
        <v>343</v>
      </c>
      <c r="AH4" s="358" t="s">
        <v>341</v>
      </c>
      <c r="AI4" s="360" t="s">
        <v>330</v>
      </c>
      <c r="AJ4" s="361"/>
      <c r="AK4" s="362"/>
      <c r="AL4" s="363"/>
      <c r="AM4" s="363"/>
      <c r="AN4" s="363"/>
      <c r="AO4" s="363"/>
      <c r="AP4" s="33"/>
      <c r="AQ4" s="33"/>
      <c r="AR4" s="33"/>
      <c r="AS4" s="33"/>
    </row>
    <row r="5" spans="1:45" ht="15.75" thickBot="1" x14ac:dyDescent="0.3">
      <c r="A5" s="218"/>
      <c r="B5" s="364" t="s">
        <v>267</v>
      </c>
      <c r="C5" s="365" t="s">
        <v>267</v>
      </c>
      <c r="D5" s="365"/>
      <c r="E5" s="350"/>
      <c r="F5" s="366" t="s">
        <v>552</v>
      </c>
      <c r="G5" s="367" t="s">
        <v>552</v>
      </c>
      <c r="H5" s="367" t="s">
        <v>460</v>
      </c>
      <c r="I5" s="366" t="s">
        <v>553</v>
      </c>
      <c r="J5" s="367" t="s">
        <v>331</v>
      </c>
      <c r="K5" s="366" t="s">
        <v>554</v>
      </c>
      <c r="L5" s="367" t="s">
        <v>213</v>
      </c>
      <c r="M5" s="366" t="s">
        <v>555</v>
      </c>
      <c r="N5" s="367" t="s">
        <v>214</v>
      </c>
      <c r="O5" s="366" t="s">
        <v>461</v>
      </c>
      <c r="P5" s="367" t="s">
        <v>85</v>
      </c>
      <c r="Q5" s="368" t="s">
        <v>460</v>
      </c>
      <c r="R5" s="366" t="s">
        <v>460</v>
      </c>
      <c r="S5" s="366" t="s">
        <v>460</v>
      </c>
      <c r="T5" s="366" t="s">
        <v>460</v>
      </c>
      <c r="U5" s="366" t="s">
        <v>460</v>
      </c>
      <c r="V5" s="366" t="s">
        <v>27</v>
      </c>
      <c r="W5" s="366" t="s">
        <v>460</v>
      </c>
      <c r="X5" s="369" t="s">
        <v>460</v>
      </c>
      <c r="Y5" s="369" t="s">
        <v>460</v>
      </c>
      <c r="Z5" s="370"/>
      <c r="AA5" s="370" t="s">
        <v>258</v>
      </c>
      <c r="AB5" s="367" t="s">
        <v>259</v>
      </c>
      <c r="AC5" s="367" t="s">
        <v>259</v>
      </c>
      <c r="AD5" s="366" t="s">
        <v>556</v>
      </c>
      <c r="AE5" s="367" t="s">
        <v>556</v>
      </c>
      <c r="AF5" s="367" t="s">
        <v>556</v>
      </c>
      <c r="AG5" s="366" t="s">
        <v>460</v>
      </c>
      <c r="AH5" s="367" t="s">
        <v>260</v>
      </c>
      <c r="AI5" s="369" t="s">
        <v>260</v>
      </c>
      <c r="AJ5" s="371"/>
      <c r="AK5" s="92"/>
      <c r="AL5" s="92"/>
      <c r="AM5" s="92"/>
      <c r="AN5" s="92"/>
      <c r="AO5" s="92"/>
    </row>
    <row r="6" spans="1:45" x14ac:dyDescent="0.25">
      <c r="A6" s="6">
        <v>1</v>
      </c>
      <c r="B6" s="372">
        <v>2</v>
      </c>
      <c r="C6" s="373" t="s">
        <v>531</v>
      </c>
      <c r="D6" s="374" t="s">
        <v>192</v>
      </c>
      <c r="E6" s="1458" t="str">
        <f>CONCATENATE(C6," ",D6)</f>
        <v>UK - Agriculture (BPS: from 2015) Wheat</v>
      </c>
      <c r="F6" s="375">
        <v>173.61111111111111</v>
      </c>
      <c r="G6" s="376">
        <v>37.5</v>
      </c>
      <c r="H6" s="377">
        <v>235.2</v>
      </c>
      <c r="I6" s="375">
        <v>0.44444444444444442</v>
      </c>
      <c r="J6" s="376">
        <v>150</v>
      </c>
      <c r="K6" s="375">
        <v>1.1388888888888888</v>
      </c>
      <c r="L6" s="376">
        <v>175</v>
      </c>
      <c r="M6" s="375">
        <v>298.61111111111109</v>
      </c>
      <c r="N6" s="376">
        <v>1</v>
      </c>
      <c r="O6" s="375">
        <v>0</v>
      </c>
      <c r="P6" s="376">
        <v>0</v>
      </c>
      <c r="Q6" s="373">
        <v>653.12499999999989</v>
      </c>
      <c r="R6" s="378">
        <f t="shared" ref="R6:R69" si="2">IF(Q6&gt;0,Q6,I6*J6+K6*L6+M6*N6+O6*P6)</f>
        <v>653.12499999999989</v>
      </c>
      <c r="S6" s="373">
        <v>78.941200000000009</v>
      </c>
      <c r="T6" s="373">
        <v>0</v>
      </c>
      <c r="U6" s="373">
        <v>34.722222222222221</v>
      </c>
      <c r="V6" s="373">
        <v>11.632834596849463</v>
      </c>
      <c r="W6" s="373">
        <v>444.44444444444446</v>
      </c>
      <c r="X6" s="379">
        <f>IF(W6&gt;0,W6,S6+T6+U6)</f>
        <v>444.44444444444446</v>
      </c>
      <c r="Y6" s="379">
        <f>H6-R6-X6</f>
        <v>-862.3694444444443</v>
      </c>
      <c r="Z6" s="1458" t="str">
        <f>E6</f>
        <v>UK - Agriculture (BPS: from 2015) Wheat</v>
      </c>
      <c r="AA6" s="380">
        <v>0</v>
      </c>
      <c r="AB6" s="381">
        <v>0</v>
      </c>
      <c r="AC6" s="381">
        <v>0</v>
      </c>
      <c r="AD6" s="382">
        <v>0</v>
      </c>
      <c r="AE6" s="383">
        <v>0</v>
      </c>
      <c r="AF6" s="383">
        <v>0</v>
      </c>
      <c r="AG6" s="382">
        <v>0</v>
      </c>
      <c r="AH6" s="383">
        <v>0</v>
      </c>
      <c r="AI6" s="384">
        <v>0</v>
      </c>
      <c r="AJ6" s="346"/>
      <c r="AQ6" s="42"/>
    </row>
    <row r="7" spans="1:45" x14ac:dyDescent="0.25">
      <c r="A7" s="6">
        <f>A6+1</f>
        <v>2</v>
      </c>
      <c r="B7" s="372">
        <v>1</v>
      </c>
      <c r="C7" s="373" t="s">
        <v>531</v>
      </c>
      <c r="D7" s="374" t="s">
        <v>192</v>
      </c>
      <c r="E7" s="1458" t="str">
        <f t="shared" ref="E7:E70" si="3">CONCATENATE(C7," ",D7)</f>
        <v>UK - Agriculture (BPS: from 2015) Wheat</v>
      </c>
      <c r="F7" s="375">
        <v>173.61111111111111</v>
      </c>
      <c r="G7" s="376">
        <v>37.5</v>
      </c>
      <c r="H7" s="377">
        <v>235.2</v>
      </c>
      <c r="I7" s="375">
        <v>0.63888888888888884</v>
      </c>
      <c r="J7" s="376">
        <v>170</v>
      </c>
      <c r="K7" s="375">
        <v>1.1388888888888888</v>
      </c>
      <c r="L7" s="376">
        <v>175</v>
      </c>
      <c r="M7" s="375">
        <v>326.38888888888886</v>
      </c>
      <c r="N7" s="376">
        <v>1</v>
      </c>
      <c r="O7" s="375">
        <v>0</v>
      </c>
      <c r="P7" s="376">
        <v>0</v>
      </c>
      <c r="Q7" s="373">
        <v>722.84722222222206</v>
      </c>
      <c r="R7" s="378">
        <f t="shared" si="2"/>
        <v>722.84722222222206</v>
      </c>
      <c r="S7" s="373">
        <v>78.941200000000009</v>
      </c>
      <c r="T7" s="373">
        <v>0</v>
      </c>
      <c r="U7" s="373">
        <v>30.555555555555554</v>
      </c>
      <c r="V7" s="373">
        <v>10.442279383761255</v>
      </c>
      <c r="W7" s="373">
        <v>444.44444444444446</v>
      </c>
      <c r="X7" s="379">
        <f>IF(W7&gt;0,W7,S7+T7+U7)</f>
        <v>444.44444444444446</v>
      </c>
      <c r="Y7" s="379">
        <f>H7-R7-X7</f>
        <v>-932.09166666666647</v>
      </c>
      <c r="Z7" s="1458" t="str">
        <f t="shared" ref="Z7:Z70" si="4">E7</f>
        <v>UK - Agriculture (BPS: from 2015) Wheat</v>
      </c>
      <c r="AA7" s="380">
        <v>0</v>
      </c>
      <c r="AB7" s="381">
        <v>0</v>
      </c>
      <c r="AC7" s="381">
        <v>0</v>
      </c>
      <c r="AD7" s="382">
        <v>0</v>
      </c>
      <c r="AE7" s="383">
        <v>0</v>
      </c>
      <c r="AF7" s="383">
        <v>0</v>
      </c>
      <c r="AG7" s="382">
        <v>0</v>
      </c>
      <c r="AH7" s="383">
        <v>0</v>
      </c>
      <c r="AI7" s="384">
        <v>0</v>
      </c>
      <c r="AJ7" s="346"/>
      <c r="AQ7" s="42"/>
    </row>
    <row r="8" spans="1:45" x14ac:dyDescent="0.25">
      <c r="A8" s="6">
        <f t="shared" ref="A8:A105" si="5">A7+1</f>
        <v>3</v>
      </c>
      <c r="B8" s="372">
        <v>1</v>
      </c>
      <c r="C8" s="373" t="s">
        <v>531</v>
      </c>
      <c r="D8" s="385" t="s">
        <v>312</v>
      </c>
      <c r="E8" s="1458" t="str">
        <f t="shared" si="3"/>
        <v>UK - Agriculture (BPS: from 2015) Barley</v>
      </c>
      <c r="F8" s="375">
        <v>159.72222222222223</v>
      </c>
      <c r="G8" s="376">
        <v>55</v>
      </c>
      <c r="H8" s="377">
        <v>235.2</v>
      </c>
      <c r="I8" s="375">
        <v>0.47222222222222227</v>
      </c>
      <c r="J8" s="376">
        <v>155</v>
      </c>
      <c r="K8" s="375">
        <v>1.1388888888888888</v>
      </c>
      <c r="L8" s="376">
        <v>145</v>
      </c>
      <c r="M8" s="375">
        <v>222.22222222222223</v>
      </c>
      <c r="N8" s="376">
        <v>1</v>
      </c>
      <c r="O8" s="375">
        <v>0</v>
      </c>
      <c r="P8" s="376">
        <v>0</v>
      </c>
      <c r="Q8" s="373">
        <v>535.20833333333326</v>
      </c>
      <c r="R8" s="378">
        <f t="shared" si="2"/>
        <v>535.20833333333326</v>
      </c>
      <c r="S8" s="373">
        <v>78.941200000000009</v>
      </c>
      <c r="T8" s="373">
        <v>0</v>
      </c>
      <c r="U8" s="373">
        <v>27.777777777777779</v>
      </c>
      <c r="V8" s="373">
        <v>10.833689569810836</v>
      </c>
      <c r="W8" s="373">
        <v>444.44444444444446</v>
      </c>
      <c r="X8" s="379">
        <f t="shared" ref="X8:X71" si="6">IF(W8&gt;0,W8,S8+T8+U8)</f>
        <v>444.44444444444446</v>
      </c>
      <c r="Y8" s="379">
        <f t="shared" ref="Y8:Y71" si="7">H8-R8-X8</f>
        <v>-744.45277777777778</v>
      </c>
      <c r="Z8" s="1458" t="str">
        <f t="shared" si="4"/>
        <v>UK - Agriculture (BPS: from 2015) Barley</v>
      </c>
      <c r="AA8" s="380">
        <v>0</v>
      </c>
      <c r="AB8" s="381">
        <v>0</v>
      </c>
      <c r="AC8" s="381">
        <v>0</v>
      </c>
      <c r="AD8" s="382">
        <v>0</v>
      </c>
      <c r="AE8" s="383">
        <v>0</v>
      </c>
      <c r="AF8" s="383">
        <v>0</v>
      </c>
      <c r="AG8" s="382">
        <v>0</v>
      </c>
      <c r="AH8" s="383">
        <v>0</v>
      </c>
      <c r="AI8" s="384">
        <v>0</v>
      </c>
      <c r="AJ8" s="346"/>
      <c r="AQ8" s="42"/>
    </row>
    <row r="9" spans="1:45" x14ac:dyDescent="0.25">
      <c r="A9" s="6">
        <f t="shared" si="5"/>
        <v>4</v>
      </c>
      <c r="B9" s="372">
        <v>1</v>
      </c>
      <c r="C9" s="373" t="s">
        <v>531</v>
      </c>
      <c r="D9" s="374" t="s">
        <v>309</v>
      </c>
      <c r="E9" s="1458" t="str">
        <f t="shared" si="3"/>
        <v>UK - Agriculture (BPS: from 2015) Oilseed</v>
      </c>
      <c r="F9" s="375">
        <v>361.11111111111109</v>
      </c>
      <c r="G9" s="376">
        <v>0</v>
      </c>
      <c r="H9" s="377">
        <v>235.2</v>
      </c>
      <c r="I9" s="375">
        <v>10.111111111111111</v>
      </c>
      <c r="J9" s="376">
        <v>5</v>
      </c>
      <c r="K9" s="375">
        <v>1.1388888888888888</v>
      </c>
      <c r="L9" s="376">
        <v>200</v>
      </c>
      <c r="M9" s="375">
        <v>277.77777777777777</v>
      </c>
      <c r="N9" s="376">
        <v>1</v>
      </c>
      <c r="O9" s="375">
        <v>0</v>
      </c>
      <c r="P9" s="376">
        <v>0</v>
      </c>
      <c r="Q9" s="373">
        <v>633.88888888888891</v>
      </c>
      <c r="R9" s="378">
        <f t="shared" si="2"/>
        <v>633.88888888888891</v>
      </c>
      <c r="S9" s="373">
        <v>78.941200000000009</v>
      </c>
      <c r="T9" s="373">
        <v>0</v>
      </c>
      <c r="U9" s="373">
        <v>25</v>
      </c>
      <c r="V9" s="373">
        <v>7.4591130728145263</v>
      </c>
      <c r="W9" s="373">
        <v>444.44444444444446</v>
      </c>
      <c r="X9" s="379">
        <f t="shared" si="6"/>
        <v>444.44444444444446</v>
      </c>
      <c r="Y9" s="379">
        <f t="shared" si="7"/>
        <v>-843.13333333333344</v>
      </c>
      <c r="Z9" s="1458" t="str">
        <f t="shared" si="4"/>
        <v>UK - Agriculture (BPS: from 2015) Oilseed</v>
      </c>
      <c r="AA9" s="380">
        <v>0</v>
      </c>
      <c r="AB9" s="381">
        <v>0</v>
      </c>
      <c r="AC9" s="381">
        <v>0</v>
      </c>
      <c r="AD9" s="382">
        <v>0</v>
      </c>
      <c r="AE9" s="383">
        <v>0</v>
      </c>
      <c r="AF9" s="383">
        <v>0</v>
      </c>
      <c r="AG9" s="382">
        <v>0</v>
      </c>
      <c r="AH9" s="383">
        <v>0</v>
      </c>
      <c r="AI9" s="384">
        <v>0</v>
      </c>
      <c r="AJ9" s="346"/>
      <c r="AQ9" s="42"/>
    </row>
    <row r="10" spans="1:45" x14ac:dyDescent="0.25">
      <c r="A10" s="6">
        <f t="shared" si="5"/>
        <v>5</v>
      </c>
      <c r="B10" s="372">
        <v>1</v>
      </c>
      <c r="C10" s="373" t="s">
        <v>531</v>
      </c>
      <c r="D10" s="374" t="s">
        <v>532</v>
      </c>
      <c r="E10" s="1458" t="str">
        <f t="shared" si="3"/>
        <v>UK - Agriculture (BPS: from 2015) Agroforestry Fallow</v>
      </c>
      <c r="F10" s="375">
        <v>0</v>
      </c>
      <c r="G10" s="376">
        <v>0</v>
      </c>
      <c r="H10" s="377">
        <v>235.2</v>
      </c>
      <c r="I10" s="375">
        <v>0</v>
      </c>
      <c r="J10" s="376">
        <v>0</v>
      </c>
      <c r="K10" s="375">
        <v>0</v>
      </c>
      <c r="L10" s="376">
        <v>0</v>
      </c>
      <c r="M10" s="375">
        <v>0</v>
      </c>
      <c r="N10" s="376">
        <v>0</v>
      </c>
      <c r="O10" s="375">
        <v>0</v>
      </c>
      <c r="P10" s="376">
        <v>0</v>
      </c>
      <c r="Q10" s="373">
        <v>0</v>
      </c>
      <c r="R10" s="378">
        <f t="shared" si="2"/>
        <v>0</v>
      </c>
      <c r="S10" s="373">
        <v>0</v>
      </c>
      <c r="T10" s="373">
        <v>0</v>
      </c>
      <c r="U10" s="373">
        <v>0</v>
      </c>
      <c r="V10" s="373">
        <v>0</v>
      </c>
      <c r="W10" s="373">
        <v>0</v>
      </c>
      <c r="X10" s="379">
        <f t="shared" si="6"/>
        <v>0</v>
      </c>
      <c r="Y10" s="379">
        <f t="shared" si="7"/>
        <v>235.2</v>
      </c>
      <c r="Z10" s="1458" t="str">
        <f t="shared" si="4"/>
        <v>UK - Agriculture (BPS: from 2015) Agroforestry Fallow</v>
      </c>
      <c r="AA10" s="380">
        <v>0</v>
      </c>
      <c r="AB10" s="381">
        <v>0</v>
      </c>
      <c r="AC10" s="381">
        <v>0</v>
      </c>
      <c r="AD10" s="382">
        <v>0</v>
      </c>
      <c r="AE10" s="383">
        <v>0</v>
      </c>
      <c r="AF10" s="383">
        <v>0</v>
      </c>
      <c r="AG10" s="382">
        <v>0</v>
      </c>
      <c r="AH10" s="383">
        <v>0</v>
      </c>
      <c r="AI10" s="384">
        <v>0</v>
      </c>
      <c r="AJ10" s="346"/>
      <c r="AQ10" s="42"/>
    </row>
    <row r="11" spans="1:45" x14ac:dyDescent="0.25">
      <c r="A11" s="6">
        <f t="shared" si="5"/>
        <v>6</v>
      </c>
      <c r="B11" s="372">
        <v>1</v>
      </c>
      <c r="C11" s="373" t="s">
        <v>531</v>
      </c>
      <c r="D11" s="374" t="s">
        <v>164</v>
      </c>
      <c r="E11" s="1458" t="str">
        <f t="shared" si="3"/>
        <v>UK - Agriculture (BPS: from 2015) Fallow</v>
      </c>
      <c r="F11" s="375">
        <v>0</v>
      </c>
      <c r="G11" s="376">
        <v>0</v>
      </c>
      <c r="H11" s="377">
        <v>235.2</v>
      </c>
      <c r="I11" s="375">
        <v>0</v>
      </c>
      <c r="J11" s="376">
        <v>0</v>
      </c>
      <c r="K11" s="375">
        <v>0</v>
      </c>
      <c r="L11" s="376">
        <v>0</v>
      </c>
      <c r="M11" s="375">
        <v>0</v>
      </c>
      <c r="N11" s="376">
        <v>0</v>
      </c>
      <c r="O11" s="375">
        <v>0</v>
      </c>
      <c r="P11" s="376">
        <v>0</v>
      </c>
      <c r="Q11" s="373">
        <v>20</v>
      </c>
      <c r="R11" s="378">
        <f t="shared" si="2"/>
        <v>20</v>
      </c>
      <c r="S11" s="373">
        <v>78.941200000000009</v>
      </c>
      <c r="T11" s="373">
        <v>1</v>
      </c>
      <c r="U11" s="373">
        <v>0</v>
      </c>
      <c r="V11" s="373">
        <v>0</v>
      </c>
      <c r="W11" s="373">
        <v>0</v>
      </c>
      <c r="X11" s="379">
        <f t="shared" si="6"/>
        <v>79.941200000000009</v>
      </c>
      <c r="Y11" s="379">
        <f t="shared" si="7"/>
        <v>135.25879999999998</v>
      </c>
      <c r="Z11" s="1458" t="str">
        <f t="shared" si="4"/>
        <v>UK - Agriculture (BPS: from 2015) Fallow</v>
      </c>
      <c r="AA11" s="380">
        <v>0</v>
      </c>
      <c r="AB11" s="381">
        <v>0</v>
      </c>
      <c r="AC11" s="381">
        <v>0</v>
      </c>
      <c r="AD11" s="382">
        <v>0</v>
      </c>
      <c r="AE11" s="383">
        <v>0</v>
      </c>
      <c r="AF11" s="383">
        <v>0</v>
      </c>
      <c r="AG11" s="382">
        <v>0</v>
      </c>
      <c r="AH11" s="383">
        <v>0</v>
      </c>
      <c r="AI11" s="384">
        <v>0</v>
      </c>
      <c r="AJ11" s="346"/>
      <c r="AQ11" s="42"/>
    </row>
    <row r="12" spans="1:45" x14ac:dyDescent="0.25">
      <c r="A12" s="6">
        <f t="shared" si="5"/>
        <v>7</v>
      </c>
      <c r="B12" s="372"/>
      <c r="C12" s="373"/>
      <c r="D12" s="374"/>
      <c r="E12" s="1458" t="str">
        <f t="shared" si="3"/>
        <v xml:space="preserve"> </v>
      </c>
      <c r="F12" s="375"/>
      <c r="G12" s="376"/>
      <c r="H12" s="377"/>
      <c r="I12" s="375"/>
      <c r="J12" s="376"/>
      <c r="K12" s="375"/>
      <c r="L12" s="376"/>
      <c r="M12" s="375"/>
      <c r="N12" s="376"/>
      <c r="O12" s="375"/>
      <c r="P12" s="376"/>
      <c r="Q12" s="373"/>
      <c r="R12" s="378">
        <f t="shared" si="2"/>
        <v>0</v>
      </c>
      <c r="S12" s="373"/>
      <c r="T12" s="373"/>
      <c r="U12" s="373"/>
      <c r="V12" s="373"/>
      <c r="W12" s="373"/>
      <c r="X12" s="379">
        <f t="shared" si="6"/>
        <v>0</v>
      </c>
      <c r="Y12" s="379">
        <f t="shared" si="7"/>
        <v>0</v>
      </c>
      <c r="Z12" s="1458" t="str">
        <f t="shared" si="4"/>
        <v xml:space="preserve"> </v>
      </c>
      <c r="AA12" s="380"/>
      <c r="AB12" s="381"/>
      <c r="AC12" s="381"/>
      <c r="AD12" s="382"/>
      <c r="AE12" s="383"/>
      <c r="AF12" s="383"/>
      <c r="AG12" s="382"/>
      <c r="AH12" s="383"/>
      <c r="AI12" s="384"/>
      <c r="AJ12" s="346"/>
      <c r="AQ12" s="42"/>
    </row>
    <row r="13" spans="1:45" x14ac:dyDescent="0.25">
      <c r="A13" s="6">
        <f t="shared" si="5"/>
        <v>8</v>
      </c>
      <c r="B13" s="372"/>
      <c r="C13" s="373"/>
      <c r="D13" s="385"/>
      <c r="E13" s="1458" t="str">
        <f t="shared" si="3"/>
        <v xml:space="preserve"> </v>
      </c>
      <c r="F13" s="375"/>
      <c r="G13" s="376"/>
      <c r="H13" s="377"/>
      <c r="I13" s="375"/>
      <c r="J13" s="376"/>
      <c r="K13" s="375"/>
      <c r="L13" s="376"/>
      <c r="M13" s="375"/>
      <c r="N13" s="376"/>
      <c r="O13" s="375"/>
      <c r="P13" s="376"/>
      <c r="Q13" s="373"/>
      <c r="R13" s="378">
        <f t="shared" si="2"/>
        <v>0</v>
      </c>
      <c r="S13" s="373"/>
      <c r="T13" s="373"/>
      <c r="U13" s="373"/>
      <c r="V13" s="373"/>
      <c r="W13" s="373"/>
      <c r="X13" s="379">
        <f t="shared" si="6"/>
        <v>0</v>
      </c>
      <c r="Y13" s="379">
        <f t="shared" si="7"/>
        <v>0</v>
      </c>
      <c r="Z13" s="1458" t="str">
        <f t="shared" si="4"/>
        <v xml:space="preserve"> </v>
      </c>
      <c r="AA13" s="380"/>
      <c r="AB13" s="381"/>
      <c r="AC13" s="381"/>
      <c r="AD13" s="382"/>
      <c r="AE13" s="383"/>
      <c r="AF13" s="383"/>
      <c r="AG13" s="382"/>
      <c r="AH13" s="383"/>
      <c r="AI13" s="384"/>
      <c r="AJ13" s="346"/>
      <c r="AQ13" s="42"/>
    </row>
    <row r="14" spans="1:45" x14ac:dyDescent="0.25">
      <c r="A14" s="6">
        <f t="shared" si="5"/>
        <v>9</v>
      </c>
      <c r="B14" s="372"/>
      <c r="C14" s="373"/>
      <c r="D14" s="374"/>
      <c r="E14" s="1458" t="str">
        <f t="shared" si="3"/>
        <v xml:space="preserve"> </v>
      </c>
      <c r="F14" s="375"/>
      <c r="G14" s="376"/>
      <c r="H14" s="377"/>
      <c r="I14" s="375"/>
      <c r="J14" s="376"/>
      <c r="K14" s="375"/>
      <c r="L14" s="376"/>
      <c r="M14" s="375"/>
      <c r="N14" s="376"/>
      <c r="O14" s="375"/>
      <c r="P14" s="376"/>
      <c r="Q14" s="386"/>
      <c r="R14" s="378">
        <f t="shared" si="2"/>
        <v>0</v>
      </c>
      <c r="S14" s="373"/>
      <c r="T14" s="373"/>
      <c r="U14" s="373"/>
      <c r="V14" s="373"/>
      <c r="W14" s="373"/>
      <c r="X14" s="379">
        <f t="shared" si="6"/>
        <v>0</v>
      </c>
      <c r="Y14" s="379">
        <f t="shared" si="7"/>
        <v>0</v>
      </c>
      <c r="Z14" s="1458" t="str">
        <f t="shared" si="4"/>
        <v xml:space="preserve"> </v>
      </c>
      <c r="AA14" s="380"/>
      <c r="AB14" s="381"/>
      <c r="AC14" s="381"/>
      <c r="AD14" s="382"/>
      <c r="AE14" s="383"/>
      <c r="AF14" s="383"/>
      <c r="AG14" s="382"/>
      <c r="AH14" s="383"/>
      <c r="AI14" s="384"/>
      <c r="AJ14" s="346"/>
      <c r="AQ14" s="42"/>
    </row>
    <row r="15" spans="1:45" x14ac:dyDescent="0.25">
      <c r="A15" s="6">
        <f t="shared" si="5"/>
        <v>10</v>
      </c>
      <c r="B15" s="372"/>
      <c r="C15" s="373"/>
      <c r="D15" s="374"/>
      <c r="E15" s="1458" t="str">
        <f t="shared" si="3"/>
        <v xml:space="preserve"> </v>
      </c>
      <c r="F15" s="375"/>
      <c r="G15" s="376"/>
      <c r="H15" s="377"/>
      <c r="I15" s="375"/>
      <c r="J15" s="376"/>
      <c r="K15" s="375"/>
      <c r="L15" s="376"/>
      <c r="M15" s="375"/>
      <c r="N15" s="376"/>
      <c r="O15" s="375"/>
      <c r="P15" s="376"/>
      <c r="Q15" s="386"/>
      <c r="R15" s="378">
        <f t="shared" si="2"/>
        <v>0</v>
      </c>
      <c r="S15" s="373"/>
      <c r="T15" s="373"/>
      <c r="U15" s="373"/>
      <c r="V15" s="373"/>
      <c r="W15" s="373"/>
      <c r="X15" s="379">
        <f t="shared" si="6"/>
        <v>0</v>
      </c>
      <c r="Y15" s="379">
        <f t="shared" si="7"/>
        <v>0</v>
      </c>
      <c r="Z15" s="1458" t="str">
        <f t="shared" si="4"/>
        <v xml:space="preserve"> </v>
      </c>
      <c r="AA15" s="380"/>
      <c r="AB15" s="381"/>
      <c r="AC15" s="381"/>
      <c r="AD15" s="382"/>
      <c r="AE15" s="383"/>
      <c r="AF15" s="383"/>
      <c r="AG15" s="382"/>
      <c r="AH15" s="383"/>
      <c r="AI15" s="384"/>
      <c r="AJ15" s="346"/>
      <c r="AQ15" s="42"/>
    </row>
    <row r="16" spans="1:45" x14ac:dyDescent="0.25">
      <c r="A16" s="6">
        <f t="shared" si="5"/>
        <v>11</v>
      </c>
      <c r="B16" s="372"/>
      <c r="C16" s="373"/>
      <c r="D16" s="387"/>
      <c r="E16" s="1458" t="str">
        <f t="shared" si="3"/>
        <v xml:space="preserve"> </v>
      </c>
      <c r="F16" s="375"/>
      <c r="G16" s="376"/>
      <c r="H16" s="377"/>
      <c r="I16" s="375"/>
      <c r="J16" s="376"/>
      <c r="K16" s="375"/>
      <c r="L16" s="376"/>
      <c r="M16" s="375"/>
      <c r="N16" s="376"/>
      <c r="O16" s="375"/>
      <c r="P16" s="376"/>
      <c r="Q16" s="386"/>
      <c r="R16" s="378">
        <f t="shared" si="2"/>
        <v>0</v>
      </c>
      <c r="S16" s="373"/>
      <c r="T16" s="373"/>
      <c r="U16" s="373"/>
      <c r="V16" s="373"/>
      <c r="W16" s="373"/>
      <c r="X16" s="379">
        <f t="shared" si="6"/>
        <v>0</v>
      </c>
      <c r="Y16" s="379">
        <f t="shared" si="7"/>
        <v>0</v>
      </c>
      <c r="Z16" s="1458" t="str">
        <f t="shared" si="4"/>
        <v xml:space="preserve"> </v>
      </c>
      <c r="AA16" s="380"/>
      <c r="AB16" s="381"/>
      <c r="AC16" s="381"/>
      <c r="AD16" s="382"/>
      <c r="AE16" s="383"/>
      <c r="AF16" s="383"/>
      <c r="AG16" s="382"/>
      <c r="AH16" s="383"/>
      <c r="AI16" s="384"/>
      <c r="AJ16" s="346"/>
      <c r="AQ16" s="42"/>
    </row>
    <row r="17" spans="1:43" x14ac:dyDescent="0.25">
      <c r="A17" s="6">
        <f t="shared" si="5"/>
        <v>12</v>
      </c>
      <c r="B17" s="372"/>
      <c r="C17" s="373"/>
      <c r="D17" s="374"/>
      <c r="E17" s="1458" t="str">
        <f t="shared" si="3"/>
        <v xml:space="preserve"> </v>
      </c>
      <c r="F17" s="375"/>
      <c r="G17" s="376"/>
      <c r="H17" s="377"/>
      <c r="I17" s="375"/>
      <c r="J17" s="376"/>
      <c r="K17" s="375"/>
      <c r="L17" s="376"/>
      <c r="M17" s="375"/>
      <c r="N17" s="376"/>
      <c r="O17" s="375"/>
      <c r="P17" s="376"/>
      <c r="Q17" s="386"/>
      <c r="R17" s="378">
        <f t="shared" si="2"/>
        <v>0</v>
      </c>
      <c r="S17" s="373"/>
      <c r="T17" s="373"/>
      <c r="U17" s="373"/>
      <c r="V17" s="373"/>
      <c r="W17" s="373"/>
      <c r="X17" s="379">
        <f t="shared" si="6"/>
        <v>0</v>
      </c>
      <c r="Y17" s="379">
        <f t="shared" si="7"/>
        <v>0</v>
      </c>
      <c r="Z17" s="1458" t="str">
        <f t="shared" si="4"/>
        <v xml:space="preserve"> </v>
      </c>
      <c r="AA17" s="380"/>
      <c r="AB17" s="381"/>
      <c r="AC17" s="381"/>
      <c r="AD17" s="382"/>
      <c r="AE17" s="383"/>
      <c r="AF17" s="383"/>
      <c r="AG17" s="382"/>
      <c r="AH17" s="383"/>
      <c r="AI17" s="384"/>
      <c r="AJ17" s="346"/>
      <c r="AQ17" s="42"/>
    </row>
    <row r="18" spans="1:43" x14ac:dyDescent="0.25">
      <c r="A18" s="6">
        <f t="shared" si="5"/>
        <v>13</v>
      </c>
      <c r="B18" s="372"/>
      <c r="C18" s="373"/>
      <c r="D18" s="374"/>
      <c r="E18" s="1458" t="str">
        <f t="shared" si="3"/>
        <v xml:space="preserve"> </v>
      </c>
      <c r="F18" s="375"/>
      <c r="G18" s="376"/>
      <c r="H18" s="377"/>
      <c r="I18" s="375"/>
      <c r="J18" s="376"/>
      <c r="K18" s="375"/>
      <c r="L18" s="376"/>
      <c r="M18" s="375"/>
      <c r="N18" s="376"/>
      <c r="O18" s="375"/>
      <c r="P18" s="376"/>
      <c r="Q18" s="386"/>
      <c r="R18" s="378">
        <f t="shared" si="2"/>
        <v>0</v>
      </c>
      <c r="S18" s="373"/>
      <c r="T18" s="373"/>
      <c r="U18" s="373"/>
      <c r="V18" s="373"/>
      <c r="W18" s="373"/>
      <c r="X18" s="379">
        <f t="shared" si="6"/>
        <v>0</v>
      </c>
      <c r="Y18" s="379">
        <f t="shared" si="7"/>
        <v>0</v>
      </c>
      <c r="Z18" s="1458" t="str">
        <f t="shared" si="4"/>
        <v xml:space="preserve"> </v>
      </c>
      <c r="AA18" s="380"/>
      <c r="AB18" s="381"/>
      <c r="AC18" s="381"/>
      <c r="AD18" s="382"/>
      <c r="AE18" s="383"/>
      <c r="AF18" s="383"/>
      <c r="AG18" s="382"/>
      <c r="AH18" s="383"/>
      <c r="AI18" s="384"/>
      <c r="AJ18" s="346"/>
      <c r="AQ18" s="42"/>
    </row>
    <row r="19" spans="1:43" x14ac:dyDescent="0.25">
      <c r="A19" s="6">
        <f t="shared" si="5"/>
        <v>14</v>
      </c>
      <c r="B19" s="372"/>
      <c r="C19" s="373"/>
      <c r="D19" s="387"/>
      <c r="E19" s="1458" t="str">
        <f t="shared" si="3"/>
        <v xml:space="preserve"> </v>
      </c>
      <c r="F19" s="375"/>
      <c r="G19" s="376"/>
      <c r="H19" s="377"/>
      <c r="I19" s="375"/>
      <c r="J19" s="376"/>
      <c r="K19" s="375"/>
      <c r="L19" s="376"/>
      <c r="M19" s="375"/>
      <c r="N19" s="376"/>
      <c r="O19" s="375"/>
      <c r="P19" s="376"/>
      <c r="Q19" s="386"/>
      <c r="R19" s="378">
        <f t="shared" si="2"/>
        <v>0</v>
      </c>
      <c r="S19" s="373"/>
      <c r="T19" s="373"/>
      <c r="U19" s="373"/>
      <c r="V19" s="373"/>
      <c r="W19" s="373"/>
      <c r="X19" s="379">
        <f t="shared" si="6"/>
        <v>0</v>
      </c>
      <c r="Y19" s="379">
        <f t="shared" si="7"/>
        <v>0</v>
      </c>
      <c r="Z19" s="1458" t="str">
        <f t="shared" si="4"/>
        <v xml:space="preserve"> </v>
      </c>
      <c r="AA19" s="380"/>
      <c r="AB19" s="381"/>
      <c r="AC19" s="381"/>
      <c r="AD19" s="382"/>
      <c r="AE19" s="383"/>
      <c r="AF19" s="383"/>
      <c r="AG19" s="382"/>
      <c r="AH19" s="383"/>
      <c r="AI19" s="384"/>
      <c r="AJ19" s="346"/>
      <c r="AQ19" s="42"/>
    </row>
    <row r="20" spans="1:43" x14ac:dyDescent="0.25">
      <c r="A20" s="6">
        <f t="shared" si="5"/>
        <v>15</v>
      </c>
      <c r="B20" s="372"/>
      <c r="C20" s="373"/>
      <c r="D20" s="385"/>
      <c r="E20" s="1458" t="str">
        <f t="shared" si="3"/>
        <v xml:space="preserve"> </v>
      </c>
      <c r="F20" s="375"/>
      <c r="G20" s="376"/>
      <c r="H20" s="377"/>
      <c r="I20" s="375"/>
      <c r="J20" s="376"/>
      <c r="K20" s="375"/>
      <c r="L20" s="376"/>
      <c r="M20" s="375"/>
      <c r="N20" s="376"/>
      <c r="O20" s="375"/>
      <c r="P20" s="376"/>
      <c r="Q20" s="386"/>
      <c r="R20" s="378">
        <f t="shared" si="2"/>
        <v>0</v>
      </c>
      <c r="S20" s="373"/>
      <c r="T20" s="373"/>
      <c r="U20" s="373"/>
      <c r="V20" s="373"/>
      <c r="W20" s="373"/>
      <c r="X20" s="379">
        <f t="shared" si="6"/>
        <v>0</v>
      </c>
      <c r="Y20" s="379">
        <f t="shared" si="7"/>
        <v>0</v>
      </c>
      <c r="Z20" s="1458" t="str">
        <f t="shared" si="4"/>
        <v xml:space="preserve"> </v>
      </c>
      <c r="AA20" s="380"/>
      <c r="AB20" s="381"/>
      <c r="AC20" s="381"/>
      <c r="AD20" s="382"/>
      <c r="AE20" s="383"/>
      <c r="AF20" s="383"/>
      <c r="AG20" s="382"/>
      <c r="AH20" s="383"/>
      <c r="AI20" s="384"/>
      <c r="AJ20" s="346"/>
      <c r="AQ20" s="42"/>
    </row>
    <row r="21" spans="1:43" x14ac:dyDescent="0.25">
      <c r="A21" s="6">
        <f t="shared" si="5"/>
        <v>16</v>
      </c>
      <c r="B21" s="372"/>
      <c r="C21" s="373"/>
      <c r="D21" s="387"/>
      <c r="E21" s="1458" t="str">
        <f t="shared" si="3"/>
        <v xml:space="preserve"> </v>
      </c>
      <c r="F21" s="375"/>
      <c r="G21" s="376"/>
      <c r="H21" s="377"/>
      <c r="I21" s="375"/>
      <c r="J21" s="376"/>
      <c r="K21" s="375"/>
      <c r="L21" s="376"/>
      <c r="M21" s="375"/>
      <c r="N21" s="376"/>
      <c r="O21" s="375"/>
      <c r="P21" s="376"/>
      <c r="Q21" s="386"/>
      <c r="R21" s="378">
        <f t="shared" si="2"/>
        <v>0</v>
      </c>
      <c r="S21" s="373"/>
      <c r="T21" s="373"/>
      <c r="U21" s="373"/>
      <c r="V21" s="373"/>
      <c r="W21" s="373"/>
      <c r="X21" s="379">
        <f t="shared" si="6"/>
        <v>0</v>
      </c>
      <c r="Y21" s="379">
        <f t="shared" si="7"/>
        <v>0</v>
      </c>
      <c r="Z21" s="1458" t="str">
        <f t="shared" si="4"/>
        <v xml:space="preserve"> </v>
      </c>
      <c r="AA21" s="380"/>
      <c r="AB21" s="381"/>
      <c r="AC21" s="381"/>
      <c r="AD21" s="382"/>
      <c r="AE21" s="383"/>
      <c r="AF21" s="383"/>
      <c r="AG21" s="382"/>
      <c r="AH21" s="383"/>
      <c r="AI21" s="384"/>
      <c r="AJ21" s="346"/>
      <c r="AQ21" s="42"/>
    </row>
    <row r="22" spans="1:43" x14ac:dyDescent="0.25">
      <c r="A22" s="6">
        <f t="shared" si="5"/>
        <v>17</v>
      </c>
      <c r="B22" s="372"/>
      <c r="C22" s="373"/>
      <c r="D22" s="387"/>
      <c r="E22" s="1458" t="str">
        <f t="shared" si="3"/>
        <v xml:space="preserve"> </v>
      </c>
      <c r="F22" s="375"/>
      <c r="G22" s="376"/>
      <c r="H22" s="377"/>
      <c r="I22" s="375"/>
      <c r="J22" s="376"/>
      <c r="K22" s="375"/>
      <c r="L22" s="376"/>
      <c r="M22" s="375"/>
      <c r="N22" s="376"/>
      <c r="O22" s="375"/>
      <c r="P22" s="376"/>
      <c r="Q22" s="386"/>
      <c r="R22" s="378">
        <f t="shared" si="2"/>
        <v>0</v>
      </c>
      <c r="S22" s="373"/>
      <c r="T22" s="373"/>
      <c r="U22" s="373"/>
      <c r="V22" s="373"/>
      <c r="W22" s="373"/>
      <c r="X22" s="379">
        <f t="shared" si="6"/>
        <v>0</v>
      </c>
      <c r="Y22" s="379">
        <f t="shared" si="7"/>
        <v>0</v>
      </c>
      <c r="Z22" s="1458" t="str">
        <f t="shared" si="4"/>
        <v xml:space="preserve"> </v>
      </c>
      <c r="AA22" s="380"/>
      <c r="AB22" s="381"/>
      <c r="AC22" s="381"/>
      <c r="AD22" s="382"/>
      <c r="AE22" s="383"/>
      <c r="AF22" s="383"/>
      <c r="AG22" s="382"/>
      <c r="AH22" s="383"/>
      <c r="AI22" s="384"/>
      <c r="AJ22" s="346"/>
      <c r="AQ22" s="42"/>
    </row>
    <row r="23" spans="1:43" x14ac:dyDescent="0.25">
      <c r="A23" s="6">
        <f t="shared" si="5"/>
        <v>18</v>
      </c>
      <c r="B23" s="372"/>
      <c r="C23" s="373"/>
      <c r="D23" s="374"/>
      <c r="E23" s="1458" t="str">
        <f t="shared" si="3"/>
        <v xml:space="preserve"> </v>
      </c>
      <c r="F23" s="375"/>
      <c r="G23" s="376"/>
      <c r="H23" s="377"/>
      <c r="I23" s="375"/>
      <c r="J23" s="376"/>
      <c r="K23" s="375"/>
      <c r="L23" s="376"/>
      <c r="M23" s="375"/>
      <c r="N23" s="376"/>
      <c r="O23" s="375"/>
      <c r="P23" s="376"/>
      <c r="Q23" s="386"/>
      <c r="R23" s="378">
        <f t="shared" si="2"/>
        <v>0</v>
      </c>
      <c r="S23" s="373"/>
      <c r="T23" s="373"/>
      <c r="U23" s="373"/>
      <c r="V23" s="373"/>
      <c r="W23" s="373"/>
      <c r="X23" s="379">
        <f t="shared" si="6"/>
        <v>0</v>
      </c>
      <c r="Y23" s="379">
        <f t="shared" si="7"/>
        <v>0</v>
      </c>
      <c r="Z23" s="1458" t="str">
        <f t="shared" si="4"/>
        <v xml:space="preserve"> </v>
      </c>
      <c r="AA23" s="380"/>
      <c r="AB23" s="381"/>
      <c r="AC23" s="381"/>
      <c r="AD23" s="382"/>
      <c r="AE23" s="383"/>
      <c r="AF23" s="383"/>
      <c r="AG23" s="382"/>
      <c r="AH23" s="383"/>
      <c r="AI23" s="384"/>
      <c r="AJ23" s="346"/>
      <c r="AQ23" s="42"/>
    </row>
    <row r="24" spans="1:43" x14ac:dyDescent="0.25">
      <c r="A24" s="6">
        <f t="shared" si="5"/>
        <v>19</v>
      </c>
      <c r="B24" s="372"/>
      <c r="C24" s="373"/>
      <c r="D24" s="387"/>
      <c r="E24" s="1458" t="str">
        <f t="shared" si="3"/>
        <v xml:space="preserve"> </v>
      </c>
      <c r="F24" s="375"/>
      <c r="G24" s="376"/>
      <c r="H24" s="377"/>
      <c r="I24" s="375"/>
      <c r="J24" s="376"/>
      <c r="K24" s="375"/>
      <c r="L24" s="376"/>
      <c r="M24" s="375"/>
      <c r="N24" s="376"/>
      <c r="O24" s="375"/>
      <c r="P24" s="376"/>
      <c r="Q24" s="386"/>
      <c r="R24" s="378">
        <f t="shared" si="2"/>
        <v>0</v>
      </c>
      <c r="S24" s="373"/>
      <c r="T24" s="373"/>
      <c r="U24" s="373"/>
      <c r="V24" s="373"/>
      <c r="W24" s="373"/>
      <c r="X24" s="379">
        <f t="shared" si="6"/>
        <v>0</v>
      </c>
      <c r="Y24" s="379">
        <f t="shared" si="7"/>
        <v>0</v>
      </c>
      <c r="Z24" s="1458" t="str">
        <f t="shared" si="4"/>
        <v xml:space="preserve"> </v>
      </c>
      <c r="AA24" s="380"/>
      <c r="AB24" s="381"/>
      <c r="AC24" s="381"/>
      <c r="AD24" s="382"/>
      <c r="AE24" s="383"/>
      <c r="AF24" s="383"/>
      <c r="AG24" s="382"/>
      <c r="AH24" s="383"/>
      <c r="AI24" s="384"/>
      <c r="AJ24" s="346"/>
      <c r="AQ24" s="42"/>
    </row>
    <row r="25" spans="1:43" x14ac:dyDescent="0.25">
      <c r="A25" s="6">
        <f t="shared" si="5"/>
        <v>20</v>
      </c>
      <c r="B25" s="372"/>
      <c r="C25" s="373"/>
      <c r="D25" s="385"/>
      <c r="E25" s="1458" t="str">
        <f t="shared" si="3"/>
        <v xml:space="preserve"> </v>
      </c>
      <c r="F25" s="375"/>
      <c r="G25" s="376"/>
      <c r="H25" s="377"/>
      <c r="I25" s="375"/>
      <c r="J25" s="376"/>
      <c r="K25" s="375"/>
      <c r="L25" s="376"/>
      <c r="M25" s="375"/>
      <c r="N25" s="376"/>
      <c r="O25" s="375"/>
      <c r="P25" s="376"/>
      <c r="Q25" s="386"/>
      <c r="R25" s="378">
        <f t="shared" si="2"/>
        <v>0</v>
      </c>
      <c r="S25" s="373"/>
      <c r="T25" s="373"/>
      <c r="U25" s="373"/>
      <c r="V25" s="373"/>
      <c r="W25" s="373"/>
      <c r="X25" s="379">
        <f t="shared" si="6"/>
        <v>0</v>
      </c>
      <c r="Y25" s="379">
        <f t="shared" si="7"/>
        <v>0</v>
      </c>
      <c r="Z25" s="1458" t="str">
        <f t="shared" si="4"/>
        <v xml:space="preserve"> </v>
      </c>
      <c r="AA25" s="380"/>
      <c r="AB25" s="381"/>
      <c r="AC25" s="381"/>
      <c r="AD25" s="382"/>
      <c r="AE25" s="383"/>
      <c r="AF25" s="383"/>
      <c r="AG25" s="382"/>
      <c r="AH25" s="383"/>
      <c r="AI25" s="384"/>
      <c r="AJ25" s="346"/>
      <c r="AQ25" s="42"/>
    </row>
    <row r="26" spans="1:43" x14ac:dyDescent="0.25">
      <c r="A26" s="6">
        <f t="shared" si="5"/>
        <v>21</v>
      </c>
      <c r="B26" s="372"/>
      <c r="C26" s="373"/>
      <c r="D26" s="387"/>
      <c r="E26" s="1458" t="str">
        <f t="shared" si="3"/>
        <v xml:space="preserve"> </v>
      </c>
      <c r="F26" s="375"/>
      <c r="G26" s="376"/>
      <c r="H26" s="377"/>
      <c r="I26" s="375"/>
      <c r="J26" s="376"/>
      <c r="K26" s="375"/>
      <c r="L26" s="376"/>
      <c r="M26" s="375"/>
      <c r="N26" s="376"/>
      <c r="O26" s="375"/>
      <c r="P26" s="376"/>
      <c r="Q26" s="386"/>
      <c r="R26" s="378">
        <f t="shared" si="2"/>
        <v>0</v>
      </c>
      <c r="S26" s="373"/>
      <c r="T26" s="373"/>
      <c r="U26" s="373"/>
      <c r="V26" s="373"/>
      <c r="W26" s="373"/>
      <c r="X26" s="379">
        <f t="shared" si="6"/>
        <v>0</v>
      </c>
      <c r="Y26" s="379">
        <f t="shared" si="7"/>
        <v>0</v>
      </c>
      <c r="Z26" s="1458" t="str">
        <f t="shared" si="4"/>
        <v xml:space="preserve"> </v>
      </c>
      <c r="AA26" s="380"/>
      <c r="AB26" s="381"/>
      <c r="AC26" s="381"/>
      <c r="AD26" s="382"/>
      <c r="AE26" s="383"/>
      <c r="AF26" s="383"/>
      <c r="AG26" s="382"/>
      <c r="AH26" s="383"/>
      <c r="AI26" s="384"/>
      <c r="AJ26" s="346"/>
      <c r="AQ26" s="42"/>
    </row>
    <row r="27" spans="1:43" x14ac:dyDescent="0.25">
      <c r="A27" s="6">
        <f t="shared" si="5"/>
        <v>22</v>
      </c>
      <c r="B27" s="372"/>
      <c r="C27" s="373"/>
      <c r="D27" s="373"/>
      <c r="E27" s="1458" t="str">
        <f t="shared" si="3"/>
        <v xml:space="preserve"> </v>
      </c>
      <c r="F27" s="375"/>
      <c r="G27" s="376"/>
      <c r="H27" s="377"/>
      <c r="I27" s="375"/>
      <c r="J27" s="376"/>
      <c r="K27" s="375"/>
      <c r="L27" s="376"/>
      <c r="M27" s="375"/>
      <c r="N27" s="376"/>
      <c r="O27" s="375"/>
      <c r="P27" s="376"/>
      <c r="Q27" s="386"/>
      <c r="R27" s="378">
        <f t="shared" si="2"/>
        <v>0</v>
      </c>
      <c r="S27" s="373"/>
      <c r="T27" s="373"/>
      <c r="U27" s="373"/>
      <c r="V27" s="373"/>
      <c r="W27" s="373"/>
      <c r="X27" s="379">
        <f t="shared" si="6"/>
        <v>0</v>
      </c>
      <c r="Y27" s="379">
        <f t="shared" si="7"/>
        <v>0</v>
      </c>
      <c r="Z27" s="1458" t="str">
        <f t="shared" si="4"/>
        <v xml:space="preserve"> </v>
      </c>
      <c r="AA27" s="380"/>
      <c r="AB27" s="381"/>
      <c r="AC27" s="381"/>
      <c r="AD27" s="382"/>
      <c r="AE27" s="383"/>
      <c r="AF27" s="383"/>
      <c r="AG27" s="382"/>
      <c r="AH27" s="383"/>
      <c r="AI27" s="384"/>
      <c r="AJ27" s="346"/>
      <c r="AQ27" s="42"/>
    </row>
    <row r="28" spans="1:43" x14ac:dyDescent="0.25">
      <c r="A28" s="6">
        <f t="shared" si="5"/>
        <v>23</v>
      </c>
      <c r="B28" s="372"/>
      <c r="C28" s="373"/>
      <c r="D28" s="387"/>
      <c r="E28" s="1458" t="str">
        <f t="shared" si="3"/>
        <v xml:space="preserve"> </v>
      </c>
      <c r="F28" s="375"/>
      <c r="G28" s="376"/>
      <c r="H28" s="377"/>
      <c r="I28" s="375"/>
      <c r="J28" s="376"/>
      <c r="K28" s="375"/>
      <c r="L28" s="376"/>
      <c r="M28" s="375"/>
      <c r="N28" s="376"/>
      <c r="O28" s="375"/>
      <c r="P28" s="376"/>
      <c r="Q28" s="386"/>
      <c r="R28" s="378">
        <f t="shared" si="2"/>
        <v>0</v>
      </c>
      <c r="S28" s="373"/>
      <c r="T28" s="373"/>
      <c r="U28" s="373"/>
      <c r="V28" s="373"/>
      <c r="W28" s="373"/>
      <c r="X28" s="379">
        <f t="shared" si="6"/>
        <v>0</v>
      </c>
      <c r="Y28" s="379">
        <f t="shared" si="7"/>
        <v>0</v>
      </c>
      <c r="Z28" s="1458" t="str">
        <f t="shared" si="4"/>
        <v xml:space="preserve"> </v>
      </c>
      <c r="AA28" s="380"/>
      <c r="AB28" s="381"/>
      <c r="AC28" s="381"/>
      <c r="AD28" s="382"/>
      <c r="AE28" s="383"/>
      <c r="AF28" s="383"/>
      <c r="AG28" s="382"/>
      <c r="AH28" s="383"/>
      <c r="AI28" s="384"/>
      <c r="AJ28" s="346"/>
      <c r="AQ28" s="42"/>
    </row>
    <row r="29" spans="1:43" x14ac:dyDescent="0.25">
      <c r="A29" s="6">
        <f t="shared" si="5"/>
        <v>24</v>
      </c>
      <c r="B29" s="372"/>
      <c r="C29" s="373"/>
      <c r="D29" s="374"/>
      <c r="E29" s="1458" t="str">
        <f t="shared" si="3"/>
        <v xml:space="preserve"> </v>
      </c>
      <c r="F29" s="375"/>
      <c r="G29" s="376"/>
      <c r="H29" s="377"/>
      <c r="I29" s="375"/>
      <c r="J29" s="376"/>
      <c r="K29" s="375"/>
      <c r="L29" s="376"/>
      <c r="M29" s="375"/>
      <c r="N29" s="376"/>
      <c r="O29" s="375"/>
      <c r="P29" s="376"/>
      <c r="Q29" s="386"/>
      <c r="R29" s="378">
        <f t="shared" si="2"/>
        <v>0</v>
      </c>
      <c r="S29" s="373"/>
      <c r="T29" s="373"/>
      <c r="U29" s="373"/>
      <c r="V29" s="373"/>
      <c r="W29" s="373"/>
      <c r="X29" s="379">
        <f t="shared" si="6"/>
        <v>0</v>
      </c>
      <c r="Y29" s="379">
        <f t="shared" si="7"/>
        <v>0</v>
      </c>
      <c r="Z29" s="1458" t="str">
        <f t="shared" si="4"/>
        <v xml:space="preserve"> </v>
      </c>
      <c r="AA29" s="380"/>
      <c r="AB29" s="381"/>
      <c r="AC29" s="381"/>
      <c r="AD29" s="382"/>
      <c r="AE29" s="383"/>
      <c r="AF29" s="383"/>
      <c r="AG29" s="382"/>
      <c r="AH29" s="383"/>
      <c r="AI29" s="384"/>
      <c r="AJ29" s="346"/>
      <c r="AQ29" s="42"/>
    </row>
    <row r="30" spans="1:43" x14ac:dyDescent="0.25">
      <c r="A30" s="6">
        <f t="shared" si="5"/>
        <v>25</v>
      </c>
      <c r="B30" s="372"/>
      <c r="C30" s="373"/>
      <c r="D30" s="373"/>
      <c r="E30" s="1458" t="str">
        <f t="shared" si="3"/>
        <v xml:space="preserve"> </v>
      </c>
      <c r="F30" s="375"/>
      <c r="G30" s="376"/>
      <c r="H30" s="377"/>
      <c r="I30" s="375"/>
      <c r="J30" s="376"/>
      <c r="K30" s="375"/>
      <c r="L30" s="376"/>
      <c r="M30" s="375"/>
      <c r="N30" s="376"/>
      <c r="O30" s="375"/>
      <c r="P30" s="376"/>
      <c r="Q30" s="386"/>
      <c r="R30" s="378">
        <f t="shared" si="2"/>
        <v>0</v>
      </c>
      <c r="S30" s="373"/>
      <c r="T30" s="373"/>
      <c r="U30" s="373"/>
      <c r="V30" s="373"/>
      <c r="W30" s="373"/>
      <c r="X30" s="379">
        <f t="shared" si="6"/>
        <v>0</v>
      </c>
      <c r="Y30" s="379">
        <f t="shared" si="7"/>
        <v>0</v>
      </c>
      <c r="Z30" s="1458" t="str">
        <f t="shared" si="4"/>
        <v xml:space="preserve"> </v>
      </c>
      <c r="AA30" s="380"/>
      <c r="AB30" s="381"/>
      <c r="AC30" s="381"/>
      <c r="AD30" s="382"/>
      <c r="AE30" s="383"/>
      <c r="AF30" s="383"/>
      <c r="AG30" s="382"/>
      <c r="AH30" s="383"/>
      <c r="AI30" s="384"/>
      <c r="AJ30" s="346"/>
      <c r="AQ30" s="42"/>
    </row>
    <row r="31" spans="1:43" x14ac:dyDescent="0.25">
      <c r="A31" s="6">
        <f t="shared" si="5"/>
        <v>26</v>
      </c>
      <c r="B31" s="372"/>
      <c r="C31" s="373"/>
      <c r="D31" s="385"/>
      <c r="E31" s="1458" t="str">
        <f t="shared" si="3"/>
        <v xml:space="preserve"> </v>
      </c>
      <c r="F31" s="375"/>
      <c r="G31" s="376"/>
      <c r="H31" s="377"/>
      <c r="I31" s="375"/>
      <c r="J31" s="376"/>
      <c r="K31" s="375"/>
      <c r="L31" s="376"/>
      <c r="M31" s="375"/>
      <c r="N31" s="376"/>
      <c r="O31" s="375"/>
      <c r="P31" s="376"/>
      <c r="Q31" s="386"/>
      <c r="R31" s="378">
        <f t="shared" si="2"/>
        <v>0</v>
      </c>
      <c r="S31" s="373"/>
      <c r="T31" s="373"/>
      <c r="U31" s="373"/>
      <c r="V31" s="373"/>
      <c r="W31" s="373"/>
      <c r="X31" s="379">
        <f t="shared" si="6"/>
        <v>0</v>
      </c>
      <c r="Y31" s="379">
        <f t="shared" si="7"/>
        <v>0</v>
      </c>
      <c r="Z31" s="1458" t="str">
        <f t="shared" si="4"/>
        <v xml:space="preserve"> </v>
      </c>
      <c r="AA31" s="380"/>
      <c r="AB31" s="381"/>
      <c r="AC31" s="381"/>
      <c r="AD31" s="382"/>
      <c r="AE31" s="383"/>
      <c r="AF31" s="383"/>
      <c r="AG31" s="382"/>
      <c r="AH31" s="383"/>
      <c r="AI31" s="384"/>
      <c r="AJ31" s="346"/>
      <c r="AQ31" s="42"/>
    </row>
    <row r="32" spans="1:43" x14ac:dyDescent="0.25">
      <c r="A32" s="6">
        <f t="shared" si="5"/>
        <v>27</v>
      </c>
      <c r="B32" s="372"/>
      <c r="C32" s="373"/>
      <c r="D32" s="387"/>
      <c r="E32" s="1458" t="str">
        <f t="shared" si="3"/>
        <v xml:space="preserve"> </v>
      </c>
      <c r="F32" s="375"/>
      <c r="G32" s="376"/>
      <c r="H32" s="377"/>
      <c r="I32" s="375"/>
      <c r="J32" s="376"/>
      <c r="K32" s="375"/>
      <c r="L32" s="376"/>
      <c r="M32" s="375"/>
      <c r="N32" s="376"/>
      <c r="O32" s="375"/>
      <c r="P32" s="376"/>
      <c r="Q32" s="386"/>
      <c r="R32" s="378">
        <f t="shared" si="2"/>
        <v>0</v>
      </c>
      <c r="S32" s="373"/>
      <c r="T32" s="373"/>
      <c r="U32" s="373"/>
      <c r="V32" s="373"/>
      <c r="W32" s="373"/>
      <c r="X32" s="379">
        <f t="shared" si="6"/>
        <v>0</v>
      </c>
      <c r="Y32" s="379">
        <f t="shared" si="7"/>
        <v>0</v>
      </c>
      <c r="Z32" s="1458" t="str">
        <f t="shared" si="4"/>
        <v xml:space="preserve"> </v>
      </c>
      <c r="AA32" s="380"/>
      <c r="AB32" s="381"/>
      <c r="AC32" s="381"/>
      <c r="AD32" s="382"/>
      <c r="AE32" s="383"/>
      <c r="AF32" s="383"/>
      <c r="AG32" s="382"/>
      <c r="AH32" s="383"/>
      <c r="AI32" s="384"/>
      <c r="AJ32" s="346"/>
      <c r="AQ32" s="42"/>
    </row>
    <row r="33" spans="1:43" x14ac:dyDescent="0.25">
      <c r="A33" s="6">
        <f t="shared" si="5"/>
        <v>28</v>
      </c>
      <c r="B33" s="372"/>
      <c r="C33" s="373"/>
      <c r="D33" s="374"/>
      <c r="E33" s="1458" t="str">
        <f t="shared" si="3"/>
        <v xml:space="preserve"> </v>
      </c>
      <c r="F33" s="375"/>
      <c r="G33" s="376"/>
      <c r="H33" s="377"/>
      <c r="I33" s="375"/>
      <c r="J33" s="376"/>
      <c r="K33" s="375"/>
      <c r="L33" s="376"/>
      <c r="M33" s="375"/>
      <c r="N33" s="376"/>
      <c r="O33" s="375"/>
      <c r="P33" s="376"/>
      <c r="Q33" s="386"/>
      <c r="R33" s="378">
        <f t="shared" si="2"/>
        <v>0</v>
      </c>
      <c r="S33" s="373"/>
      <c r="T33" s="373"/>
      <c r="U33" s="373"/>
      <c r="V33" s="373"/>
      <c r="W33" s="373"/>
      <c r="X33" s="379">
        <f t="shared" si="6"/>
        <v>0</v>
      </c>
      <c r="Y33" s="379">
        <f t="shared" si="7"/>
        <v>0</v>
      </c>
      <c r="Z33" s="1458" t="str">
        <f t="shared" si="4"/>
        <v xml:space="preserve"> </v>
      </c>
      <c r="AA33" s="380"/>
      <c r="AB33" s="381"/>
      <c r="AC33" s="381"/>
      <c r="AD33" s="382"/>
      <c r="AE33" s="383"/>
      <c r="AF33" s="383"/>
      <c r="AG33" s="382"/>
      <c r="AH33" s="383"/>
      <c r="AI33" s="384"/>
      <c r="AJ33" s="346"/>
      <c r="AQ33" s="42"/>
    </row>
    <row r="34" spans="1:43" x14ac:dyDescent="0.25">
      <c r="A34" s="6">
        <f t="shared" si="5"/>
        <v>29</v>
      </c>
      <c r="B34" s="372"/>
      <c r="C34" s="373"/>
      <c r="D34" s="373"/>
      <c r="E34" s="1458" t="str">
        <f t="shared" si="3"/>
        <v xml:space="preserve"> </v>
      </c>
      <c r="F34" s="375"/>
      <c r="G34" s="376"/>
      <c r="H34" s="377"/>
      <c r="I34" s="375"/>
      <c r="J34" s="376"/>
      <c r="K34" s="375"/>
      <c r="L34" s="376"/>
      <c r="M34" s="375"/>
      <c r="N34" s="376"/>
      <c r="O34" s="375"/>
      <c r="P34" s="376"/>
      <c r="Q34" s="386"/>
      <c r="R34" s="378">
        <f t="shared" si="2"/>
        <v>0</v>
      </c>
      <c r="S34" s="373"/>
      <c r="T34" s="373"/>
      <c r="U34" s="373"/>
      <c r="V34" s="373"/>
      <c r="W34" s="373"/>
      <c r="X34" s="379">
        <f t="shared" si="6"/>
        <v>0</v>
      </c>
      <c r="Y34" s="379">
        <f t="shared" si="7"/>
        <v>0</v>
      </c>
      <c r="Z34" s="1458" t="str">
        <f t="shared" si="4"/>
        <v xml:space="preserve"> </v>
      </c>
      <c r="AA34" s="380"/>
      <c r="AB34" s="381"/>
      <c r="AC34" s="381"/>
      <c r="AD34" s="382"/>
      <c r="AE34" s="383"/>
      <c r="AF34" s="383"/>
      <c r="AG34" s="382"/>
      <c r="AH34" s="383"/>
      <c r="AI34" s="384"/>
      <c r="AJ34" s="346"/>
      <c r="AQ34" s="42"/>
    </row>
    <row r="35" spans="1:43" x14ac:dyDescent="0.25">
      <c r="A35" s="6">
        <f t="shared" si="5"/>
        <v>30</v>
      </c>
      <c r="B35" s="372"/>
      <c r="C35" s="373"/>
      <c r="D35" s="385"/>
      <c r="E35" s="1458" t="str">
        <f t="shared" si="3"/>
        <v xml:space="preserve"> </v>
      </c>
      <c r="F35" s="375"/>
      <c r="G35" s="376"/>
      <c r="H35" s="377"/>
      <c r="I35" s="375"/>
      <c r="J35" s="376"/>
      <c r="K35" s="375"/>
      <c r="L35" s="376"/>
      <c r="M35" s="375"/>
      <c r="N35" s="376"/>
      <c r="O35" s="375"/>
      <c r="P35" s="376"/>
      <c r="Q35" s="386"/>
      <c r="R35" s="378">
        <f t="shared" si="2"/>
        <v>0</v>
      </c>
      <c r="S35" s="373"/>
      <c r="T35" s="373"/>
      <c r="U35" s="373"/>
      <c r="V35" s="373"/>
      <c r="W35" s="373"/>
      <c r="X35" s="379">
        <f t="shared" si="6"/>
        <v>0</v>
      </c>
      <c r="Y35" s="379">
        <f t="shared" si="7"/>
        <v>0</v>
      </c>
      <c r="Z35" s="1458" t="str">
        <f t="shared" si="4"/>
        <v xml:space="preserve"> </v>
      </c>
      <c r="AA35" s="380"/>
      <c r="AB35" s="381"/>
      <c r="AC35" s="381"/>
      <c r="AD35" s="382"/>
      <c r="AE35" s="383"/>
      <c r="AF35" s="383"/>
      <c r="AG35" s="382"/>
      <c r="AH35" s="383"/>
      <c r="AI35" s="384"/>
      <c r="AJ35" s="346"/>
      <c r="AQ35" s="42"/>
    </row>
    <row r="36" spans="1:43" x14ac:dyDescent="0.25">
      <c r="A36" s="6">
        <f t="shared" si="5"/>
        <v>31</v>
      </c>
      <c r="B36" s="372"/>
      <c r="C36" s="373"/>
      <c r="D36" s="373"/>
      <c r="E36" s="1458" t="str">
        <f t="shared" si="3"/>
        <v xml:space="preserve"> </v>
      </c>
      <c r="F36" s="375"/>
      <c r="G36" s="376"/>
      <c r="H36" s="377"/>
      <c r="I36" s="375"/>
      <c r="J36" s="376"/>
      <c r="K36" s="375"/>
      <c r="L36" s="376"/>
      <c r="M36" s="375"/>
      <c r="N36" s="376"/>
      <c r="O36" s="375"/>
      <c r="P36" s="376"/>
      <c r="Q36" s="386"/>
      <c r="R36" s="378">
        <f t="shared" si="2"/>
        <v>0</v>
      </c>
      <c r="S36" s="373"/>
      <c r="T36" s="373"/>
      <c r="U36" s="373"/>
      <c r="V36" s="373"/>
      <c r="W36" s="373"/>
      <c r="X36" s="379">
        <f t="shared" si="6"/>
        <v>0</v>
      </c>
      <c r="Y36" s="379">
        <f t="shared" si="7"/>
        <v>0</v>
      </c>
      <c r="Z36" s="1458" t="str">
        <f t="shared" si="4"/>
        <v xml:space="preserve"> </v>
      </c>
      <c r="AA36" s="380"/>
      <c r="AB36" s="381"/>
      <c r="AC36" s="381"/>
      <c r="AD36" s="382"/>
      <c r="AE36" s="383"/>
      <c r="AF36" s="383"/>
      <c r="AG36" s="382"/>
      <c r="AH36" s="383"/>
      <c r="AI36" s="384"/>
      <c r="AJ36" s="346"/>
      <c r="AQ36" s="42"/>
    </row>
    <row r="37" spans="1:43" x14ac:dyDescent="0.25">
      <c r="A37" s="6">
        <f t="shared" si="5"/>
        <v>32</v>
      </c>
      <c r="B37" s="372"/>
      <c r="C37" s="373"/>
      <c r="D37" s="387"/>
      <c r="E37" s="1458" t="str">
        <f t="shared" si="3"/>
        <v xml:space="preserve"> </v>
      </c>
      <c r="F37" s="375"/>
      <c r="G37" s="376"/>
      <c r="H37" s="377"/>
      <c r="I37" s="375"/>
      <c r="J37" s="376"/>
      <c r="K37" s="375"/>
      <c r="L37" s="376"/>
      <c r="M37" s="375"/>
      <c r="N37" s="376"/>
      <c r="O37" s="375"/>
      <c r="P37" s="376"/>
      <c r="Q37" s="386"/>
      <c r="R37" s="378">
        <f t="shared" si="2"/>
        <v>0</v>
      </c>
      <c r="S37" s="373"/>
      <c r="T37" s="373"/>
      <c r="U37" s="373"/>
      <c r="V37" s="373"/>
      <c r="W37" s="373"/>
      <c r="X37" s="379">
        <f t="shared" si="6"/>
        <v>0</v>
      </c>
      <c r="Y37" s="379">
        <f t="shared" si="7"/>
        <v>0</v>
      </c>
      <c r="Z37" s="1458" t="str">
        <f t="shared" si="4"/>
        <v xml:space="preserve"> </v>
      </c>
      <c r="AA37" s="380"/>
      <c r="AB37" s="381"/>
      <c r="AC37" s="381"/>
      <c r="AD37" s="382"/>
      <c r="AE37" s="383"/>
      <c r="AF37" s="383"/>
      <c r="AG37" s="382"/>
      <c r="AH37" s="383"/>
      <c r="AI37" s="384"/>
      <c r="AJ37" s="346"/>
      <c r="AQ37" s="42"/>
    </row>
    <row r="38" spans="1:43" x14ac:dyDescent="0.25">
      <c r="A38" s="6">
        <f t="shared" si="5"/>
        <v>33</v>
      </c>
      <c r="B38" s="372"/>
      <c r="C38" s="373"/>
      <c r="D38" s="373"/>
      <c r="E38" s="1458" t="str">
        <f t="shared" si="3"/>
        <v xml:space="preserve"> </v>
      </c>
      <c r="F38" s="375"/>
      <c r="G38" s="376"/>
      <c r="H38" s="377"/>
      <c r="I38" s="375"/>
      <c r="J38" s="376"/>
      <c r="K38" s="375"/>
      <c r="L38" s="376"/>
      <c r="M38" s="375"/>
      <c r="N38" s="376"/>
      <c r="O38" s="375"/>
      <c r="P38" s="376"/>
      <c r="Q38" s="386"/>
      <c r="R38" s="378">
        <f t="shared" si="2"/>
        <v>0</v>
      </c>
      <c r="S38" s="373"/>
      <c r="T38" s="373"/>
      <c r="U38" s="373"/>
      <c r="V38" s="373"/>
      <c r="W38" s="373"/>
      <c r="X38" s="379">
        <f t="shared" si="6"/>
        <v>0</v>
      </c>
      <c r="Y38" s="379">
        <f t="shared" si="7"/>
        <v>0</v>
      </c>
      <c r="Z38" s="1458" t="str">
        <f t="shared" si="4"/>
        <v xml:space="preserve"> </v>
      </c>
      <c r="AA38" s="380"/>
      <c r="AB38" s="381"/>
      <c r="AC38" s="381"/>
      <c r="AD38" s="382"/>
      <c r="AE38" s="383"/>
      <c r="AF38" s="383"/>
      <c r="AG38" s="382"/>
      <c r="AH38" s="383"/>
      <c r="AI38" s="384"/>
      <c r="AJ38" s="346"/>
      <c r="AQ38" s="42"/>
    </row>
    <row r="39" spans="1:43" x14ac:dyDescent="0.25">
      <c r="A39" s="6">
        <f t="shared" si="5"/>
        <v>34</v>
      </c>
      <c r="B39" s="372"/>
      <c r="C39" s="373"/>
      <c r="D39" s="373"/>
      <c r="E39" s="1458" t="str">
        <f t="shared" si="3"/>
        <v xml:space="preserve"> </v>
      </c>
      <c r="F39" s="375"/>
      <c r="G39" s="376"/>
      <c r="H39" s="377"/>
      <c r="I39" s="375"/>
      <c r="J39" s="376"/>
      <c r="K39" s="375"/>
      <c r="L39" s="376"/>
      <c r="M39" s="375"/>
      <c r="N39" s="376"/>
      <c r="O39" s="375"/>
      <c r="P39" s="376"/>
      <c r="Q39" s="386"/>
      <c r="R39" s="378">
        <f t="shared" si="2"/>
        <v>0</v>
      </c>
      <c r="S39" s="373"/>
      <c r="T39" s="373"/>
      <c r="U39" s="373"/>
      <c r="V39" s="373"/>
      <c r="W39" s="373"/>
      <c r="X39" s="379">
        <f t="shared" si="6"/>
        <v>0</v>
      </c>
      <c r="Y39" s="379">
        <f t="shared" si="7"/>
        <v>0</v>
      </c>
      <c r="Z39" s="1458" t="str">
        <f t="shared" si="4"/>
        <v xml:space="preserve"> </v>
      </c>
      <c r="AA39" s="380"/>
      <c r="AB39" s="381"/>
      <c r="AC39" s="381"/>
      <c r="AD39" s="382"/>
      <c r="AE39" s="383"/>
      <c r="AF39" s="383"/>
      <c r="AG39" s="382"/>
      <c r="AH39" s="383"/>
      <c r="AI39" s="384"/>
      <c r="AJ39" s="346"/>
      <c r="AQ39" s="42"/>
    </row>
    <row r="40" spans="1:43" x14ac:dyDescent="0.25">
      <c r="A40" s="6">
        <f t="shared" si="5"/>
        <v>35</v>
      </c>
      <c r="B40" s="372"/>
      <c r="C40" s="373"/>
      <c r="D40" s="373"/>
      <c r="E40" s="1458" t="str">
        <f t="shared" si="3"/>
        <v xml:space="preserve"> </v>
      </c>
      <c r="F40" s="375"/>
      <c r="G40" s="376"/>
      <c r="H40" s="377"/>
      <c r="I40" s="375"/>
      <c r="J40" s="376"/>
      <c r="K40" s="375"/>
      <c r="L40" s="376"/>
      <c r="M40" s="375"/>
      <c r="N40" s="376"/>
      <c r="O40" s="375"/>
      <c r="P40" s="376"/>
      <c r="Q40" s="386"/>
      <c r="R40" s="378">
        <f t="shared" si="2"/>
        <v>0</v>
      </c>
      <c r="S40" s="373"/>
      <c r="T40" s="373"/>
      <c r="U40" s="373"/>
      <c r="V40" s="373"/>
      <c r="W40" s="373"/>
      <c r="X40" s="379">
        <f t="shared" si="6"/>
        <v>0</v>
      </c>
      <c r="Y40" s="379">
        <f t="shared" si="7"/>
        <v>0</v>
      </c>
      <c r="Z40" s="1458" t="str">
        <f t="shared" si="4"/>
        <v xml:space="preserve"> </v>
      </c>
      <c r="AA40" s="380"/>
      <c r="AB40" s="381"/>
      <c r="AC40" s="381"/>
      <c r="AD40" s="382"/>
      <c r="AE40" s="383"/>
      <c r="AF40" s="383"/>
      <c r="AG40" s="382"/>
      <c r="AH40" s="383"/>
      <c r="AI40" s="384"/>
      <c r="AJ40" s="346"/>
      <c r="AQ40" s="42"/>
    </row>
    <row r="41" spans="1:43" x14ac:dyDescent="0.25">
      <c r="A41" s="6">
        <f t="shared" si="5"/>
        <v>36</v>
      </c>
      <c r="B41" s="372"/>
      <c r="C41" s="373"/>
      <c r="D41" s="387"/>
      <c r="E41" s="1458" t="str">
        <f t="shared" si="3"/>
        <v xml:space="preserve"> </v>
      </c>
      <c r="F41" s="375"/>
      <c r="G41" s="376"/>
      <c r="H41" s="377"/>
      <c r="I41" s="375"/>
      <c r="J41" s="376"/>
      <c r="K41" s="375"/>
      <c r="L41" s="376"/>
      <c r="M41" s="375"/>
      <c r="N41" s="376"/>
      <c r="O41" s="375"/>
      <c r="P41" s="376"/>
      <c r="Q41" s="386"/>
      <c r="R41" s="378">
        <f t="shared" si="2"/>
        <v>0</v>
      </c>
      <c r="S41" s="373"/>
      <c r="T41" s="373"/>
      <c r="U41" s="373"/>
      <c r="V41" s="373"/>
      <c r="W41" s="373"/>
      <c r="X41" s="379">
        <f t="shared" si="6"/>
        <v>0</v>
      </c>
      <c r="Y41" s="379">
        <f t="shared" si="7"/>
        <v>0</v>
      </c>
      <c r="Z41" s="1458" t="str">
        <f t="shared" si="4"/>
        <v xml:space="preserve"> </v>
      </c>
      <c r="AA41" s="380"/>
      <c r="AB41" s="381"/>
      <c r="AC41" s="381"/>
      <c r="AD41" s="382"/>
      <c r="AE41" s="383"/>
      <c r="AF41" s="383"/>
      <c r="AG41" s="382"/>
      <c r="AH41" s="383"/>
      <c r="AI41" s="384"/>
      <c r="AJ41" s="346"/>
      <c r="AQ41" s="42"/>
    </row>
    <row r="42" spans="1:43" x14ac:dyDescent="0.25">
      <c r="A42" s="6">
        <f t="shared" si="5"/>
        <v>37</v>
      </c>
      <c r="B42" s="372"/>
      <c r="C42" s="373"/>
      <c r="D42" s="387"/>
      <c r="E42" s="1458" t="str">
        <f t="shared" si="3"/>
        <v xml:space="preserve"> </v>
      </c>
      <c r="F42" s="375"/>
      <c r="G42" s="376"/>
      <c r="H42" s="377"/>
      <c r="I42" s="375"/>
      <c r="J42" s="376"/>
      <c r="K42" s="375"/>
      <c r="L42" s="376"/>
      <c r="M42" s="375"/>
      <c r="N42" s="376"/>
      <c r="O42" s="375"/>
      <c r="P42" s="376"/>
      <c r="Q42" s="386"/>
      <c r="R42" s="378">
        <f t="shared" si="2"/>
        <v>0</v>
      </c>
      <c r="S42" s="373"/>
      <c r="T42" s="373"/>
      <c r="U42" s="373"/>
      <c r="V42" s="373"/>
      <c r="W42" s="373"/>
      <c r="X42" s="379">
        <f t="shared" si="6"/>
        <v>0</v>
      </c>
      <c r="Y42" s="379">
        <f t="shared" si="7"/>
        <v>0</v>
      </c>
      <c r="Z42" s="1458" t="str">
        <f t="shared" si="4"/>
        <v xml:space="preserve"> </v>
      </c>
      <c r="AA42" s="380"/>
      <c r="AB42" s="381"/>
      <c r="AC42" s="381"/>
      <c r="AD42" s="382"/>
      <c r="AE42" s="383"/>
      <c r="AF42" s="383"/>
      <c r="AG42" s="382"/>
      <c r="AH42" s="383"/>
      <c r="AI42" s="384"/>
      <c r="AJ42" s="346"/>
      <c r="AQ42" s="42"/>
    </row>
    <row r="43" spans="1:43" x14ac:dyDescent="0.25">
      <c r="A43" s="6">
        <f t="shared" si="5"/>
        <v>38</v>
      </c>
      <c r="B43" s="372"/>
      <c r="C43" s="373"/>
      <c r="D43" s="373"/>
      <c r="E43" s="1458" t="str">
        <f t="shared" si="3"/>
        <v xml:space="preserve"> </v>
      </c>
      <c r="F43" s="375"/>
      <c r="G43" s="376"/>
      <c r="H43" s="377"/>
      <c r="I43" s="375"/>
      <c r="J43" s="376"/>
      <c r="K43" s="375"/>
      <c r="L43" s="376"/>
      <c r="M43" s="375"/>
      <c r="N43" s="376"/>
      <c r="O43" s="375"/>
      <c r="P43" s="376"/>
      <c r="Q43" s="386"/>
      <c r="R43" s="378">
        <f t="shared" si="2"/>
        <v>0</v>
      </c>
      <c r="S43" s="373"/>
      <c r="T43" s="373"/>
      <c r="U43" s="373"/>
      <c r="V43" s="373"/>
      <c r="W43" s="373"/>
      <c r="X43" s="379">
        <f t="shared" si="6"/>
        <v>0</v>
      </c>
      <c r="Y43" s="379">
        <f t="shared" si="7"/>
        <v>0</v>
      </c>
      <c r="Z43" s="1458" t="str">
        <f t="shared" si="4"/>
        <v xml:space="preserve"> </v>
      </c>
      <c r="AA43" s="380"/>
      <c r="AB43" s="381"/>
      <c r="AC43" s="381"/>
      <c r="AD43" s="382"/>
      <c r="AE43" s="383"/>
      <c r="AF43" s="383"/>
      <c r="AG43" s="382"/>
      <c r="AH43" s="383"/>
      <c r="AI43" s="384"/>
      <c r="AJ43" s="346"/>
      <c r="AQ43" s="42"/>
    </row>
    <row r="44" spans="1:43" x14ac:dyDescent="0.25">
      <c r="A44" s="6">
        <f t="shared" si="5"/>
        <v>39</v>
      </c>
      <c r="B44" s="372"/>
      <c r="C44" s="373"/>
      <c r="D44" s="373"/>
      <c r="E44" s="1458" t="str">
        <f t="shared" si="3"/>
        <v xml:space="preserve"> </v>
      </c>
      <c r="F44" s="375"/>
      <c r="G44" s="376"/>
      <c r="H44" s="377"/>
      <c r="I44" s="375"/>
      <c r="J44" s="376"/>
      <c r="K44" s="375"/>
      <c r="L44" s="376"/>
      <c r="M44" s="375"/>
      <c r="N44" s="376"/>
      <c r="O44" s="375"/>
      <c r="P44" s="376"/>
      <c r="Q44" s="386"/>
      <c r="R44" s="378">
        <f t="shared" si="2"/>
        <v>0</v>
      </c>
      <c r="S44" s="373"/>
      <c r="T44" s="373"/>
      <c r="U44" s="373"/>
      <c r="V44" s="373"/>
      <c r="W44" s="373"/>
      <c r="X44" s="379">
        <f t="shared" si="6"/>
        <v>0</v>
      </c>
      <c r="Y44" s="379">
        <f t="shared" si="7"/>
        <v>0</v>
      </c>
      <c r="Z44" s="1458" t="str">
        <f t="shared" si="4"/>
        <v xml:space="preserve"> </v>
      </c>
      <c r="AA44" s="380"/>
      <c r="AB44" s="381"/>
      <c r="AC44" s="381"/>
      <c r="AD44" s="382"/>
      <c r="AE44" s="383"/>
      <c r="AF44" s="383"/>
      <c r="AG44" s="382"/>
      <c r="AH44" s="383"/>
      <c r="AI44" s="384"/>
      <c r="AJ44" s="346"/>
      <c r="AQ44" s="42"/>
    </row>
    <row r="45" spans="1:43" x14ac:dyDescent="0.25">
      <c r="A45" s="6">
        <f t="shared" si="5"/>
        <v>40</v>
      </c>
      <c r="B45" s="372"/>
      <c r="C45" s="373"/>
      <c r="D45" s="373"/>
      <c r="E45" s="1458" t="str">
        <f t="shared" si="3"/>
        <v xml:space="preserve"> </v>
      </c>
      <c r="F45" s="375"/>
      <c r="G45" s="376"/>
      <c r="H45" s="377"/>
      <c r="I45" s="375"/>
      <c r="J45" s="376"/>
      <c r="K45" s="375"/>
      <c r="L45" s="376"/>
      <c r="M45" s="375"/>
      <c r="N45" s="376"/>
      <c r="O45" s="375"/>
      <c r="P45" s="376"/>
      <c r="Q45" s="386"/>
      <c r="R45" s="378">
        <f t="shared" si="2"/>
        <v>0</v>
      </c>
      <c r="S45" s="373"/>
      <c r="T45" s="373"/>
      <c r="U45" s="373"/>
      <c r="V45" s="373"/>
      <c r="W45" s="373"/>
      <c r="X45" s="379">
        <f t="shared" si="6"/>
        <v>0</v>
      </c>
      <c r="Y45" s="379">
        <f t="shared" si="7"/>
        <v>0</v>
      </c>
      <c r="Z45" s="1458" t="str">
        <f t="shared" si="4"/>
        <v xml:space="preserve"> </v>
      </c>
      <c r="AA45" s="380"/>
      <c r="AB45" s="381"/>
      <c r="AC45" s="381"/>
      <c r="AD45" s="382"/>
      <c r="AE45" s="383"/>
      <c r="AF45" s="383"/>
      <c r="AG45" s="382"/>
      <c r="AH45" s="383"/>
      <c r="AI45" s="384"/>
      <c r="AJ45" s="346"/>
      <c r="AQ45" s="42"/>
    </row>
    <row r="46" spans="1:43" x14ac:dyDescent="0.25">
      <c r="A46" s="6">
        <f t="shared" si="5"/>
        <v>41</v>
      </c>
      <c r="B46" s="372"/>
      <c r="C46" s="373"/>
      <c r="D46" s="387"/>
      <c r="E46" s="1458" t="str">
        <f t="shared" si="3"/>
        <v xml:space="preserve"> </v>
      </c>
      <c r="F46" s="375"/>
      <c r="G46" s="376"/>
      <c r="H46" s="377"/>
      <c r="I46" s="375"/>
      <c r="J46" s="376"/>
      <c r="K46" s="375"/>
      <c r="L46" s="376"/>
      <c r="M46" s="375"/>
      <c r="N46" s="376"/>
      <c r="O46" s="375"/>
      <c r="P46" s="376"/>
      <c r="Q46" s="386"/>
      <c r="R46" s="378">
        <f t="shared" si="2"/>
        <v>0</v>
      </c>
      <c r="S46" s="373"/>
      <c r="T46" s="373"/>
      <c r="U46" s="373"/>
      <c r="V46" s="373"/>
      <c r="W46" s="373"/>
      <c r="X46" s="379">
        <f t="shared" si="6"/>
        <v>0</v>
      </c>
      <c r="Y46" s="379">
        <f t="shared" si="7"/>
        <v>0</v>
      </c>
      <c r="Z46" s="1458" t="str">
        <f t="shared" si="4"/>
        <v xml:space="preserve"> </v>
      </c>
      <c r="AA46" s="380"/>
      <c r="AB46" s="381"/>
      <c r="AC46" s="381"/>
      <c r="AD46" s="382"/>
      <c r="AE46" s="383"/>
      <c r="AF46" s="383"/>
      <c r="AG46" s="382"/>
      <c r="AH46" s="383"/>
      <c r="AI46" s="384"/>
      <c r="AJ46" s="346"/>
      <c r="AQ46" s="42"/>
    </row>
    <row r="47" spans="1:43" x14ac:dyDescent="0.25">
      <c r="A47" s="6">
        <f t="shared" si="5"/>
        <v>42</v>
      </c>
      <c r="B47" s="372"/>
      <c r="C47" s="373"/>
      <c r="D47" s="373"/>
      <c r="E47" s="1458" t="str">
        <f t="shared" si="3"/>
        <v xml:space="preserve"> </v>
      </c>
      <c r="F47" s="375"/>
      <c r="G47" s="376"/>
      <c r="H47" s="377"/>
      <c r="I47" s="375"/>
      <c r="J47" s="376"/>
      <c r="K47" s="375"/>
      <c r="L47" s="376"/>
      <c r="M47" s="375"/>
      <c r="N47" s="376"/>
      <c r="O47" s="375"/>
      <c r="P47" s="376"/>
      <c r="Q47" s="386"/>
      <c r="R47" s="378">
        <f t="shared" si="2"/>
        <v>0</v>
      </c>
      <c r="S47" s="373"/>
      <c r="T47" s="373"/>
      <c r="U47" s="373"/>
      <c r="V47" s="373"/>
      <c r="W47" s="373"/>
      <c r="X47" s="379">
        <f t="shared" si="6"/>
        <v>0</v>
      </c>
      <c r="Y47" s="379">
        <f t="shared" si="7"/>
        <v>0</v>
      </c>
      <c r="Z47" s="1458" t="str">
        <f t="shared" si="4"/>
        <v xml:space="preserve"> </v>
      </c>
      <c r="AA47" s="380"/>
      <c r="AB47" s="381"/>
      <c r="AC47" s="381"/>
      <c r="AD47" s="382"/>
      <c r="AE47" s="383"/>
      <c r="AF47" s="383"/>
      <c r="AG47" s="382"/>
      <c r="AH47" s="383"/>
      <c r="AI47" s="384"/>
      <c r="AJ47" s="346"/>
      <c r="AQ47" s="42"/>
    </row>
    <row r="48" spans="1:43" x14ac:dyDescent="0.25">
      <c r="A48" s="6">
        <f t="shared" si="5"/>
        <v>43</v>
      </c>
      <c r="B48" s="372"/>
      <c r="C48" s="373"/>
      <c r="D48" s="373"/>
      <c r="E48" s="1458" t="str">
        <f t="shared" si="3"/>
        <v xml:space="preserve"> </v>
      </c>
      <c r="F48" s="375"/>
      <c r="G48" s="376"/>
      <c r="H48" s="377"/>
      <c r="I48" s="375"/>
      <c r="J48" s="376"/>
      <c r="K48" s="375"/>
      <c r="L48" s="376"/>
      <c r="M48" s="375"/>
      <c r="N48" s="376"/>
      <c r="O48" s="375"/>
      <c r="P48" s="376"/>
      <c r="Q48" s="386"/>
      <c r="R48" s="378">
        <f t="shared" si="2"/>
        <v>0</v>
      </c>
      <c r="S48" s="373"/>
      <c r="T48" s="373"/>
      <c r="U48" s="373"/>
      <c r="V48" s="373"/>
      <c r="W48" s="373"/>
      <c r="X48" s="379">
        <f t="shared" si="6"/>
        <v>0</v>
      </c>
      <c r="Y48" s="379">
        <f t="shared" si="7"/>
        <v>0</v>
      </c>
      <c r="Z48" s="1458" t="str">
        <f t="shared" si="4"/>
        <v xml:space="preserve"> </v>
      </c>
      <c r="AA48" s="380"/>
      <c r="AB48" s="381"/>
      <c r="AC48" s="381"/>
      <c r="AD48" s="382"/>
      <c r="AE48" s="383"/>
      <c r="AF48" s="383"/>
      <c r="AG48" s="382"/>
      <c r="AH48" s="383"/>
      <c r="AI48" s="384"/>
      <c r="AJ48" s="346"/>
      <c r="AQ48" s="42"/>
    </row>
    <row r="49" spans="1:43" x14ac:dyDescent="0.25">
      <c r="A49" s="6">
        <f t="shared" si="5"/>
        <v>44</v>
      </c>
      <c r="B49" s="372"/>
      <c r="C49" s="373"/>
      <c r="D49" s="373"/>
      <c r="E49" s="1458" t="str">
        <f t="shared" si="3"/>
        <v xml:space="preserve"> </v>
      </c>
      <c r="F49" s="375"/>
      <c r="G49" s="376"/>
      <c r="H49" s="377"/>
      <c r="I49" s="375"/>
      <c r="J49" s="376"/>
      <c r="K49" s="375"/>
      <c r="L49" s="376"/>
      <c r="M49" s="375"/>
      <c r="N49" s="376"/>
      <c r="O49" s="375"/>
      <c r="P49" s="376"/>
      <c r="Q49" s="386"/>
      <c r="R49" s="378">
        <f t="shared" si="2"/>
        <v>0</v>
      </c>
      <c r="S49" s="373"/>
      <c r="T49" s="373"/>
      <c r="U49" s="373"/>
      <c r="V49" s="373"/>
      <c r="W49" s="373"/>
      <c r="X49" s="379">
        <f t="shared" si="6"/>
        <v>0</v>
      </c>
      <c r="Y49" s="379">
        <f t="shared" si="7"/>
        <v>0</v>
      </c>
      <c r="Z49" s="1458" t="str">
        <f t="shared" si="4"/>
        <v xml:space="preserve"> </v>
      </c>
      <c r="AA49" s="380"/>
      <c r="AB49" s="381"/>
      <c r="AC49" s="381"/>
      <c r="AD49" s="382"/>
      <c r="AE49" s="383"/>
      <c r="AF49" s="383"/>
      <c r="AG49" s="382"/>
      <c r="AH49" s="383"/>
      <c r="AI49" s="384"/>
      <c r="AJ49" s="346"/>
      <c r="AQ49" s="42"/>
    </row>
    <row r="50" spans="1:43" x14ac:dyDescent="0.25">
      <c r="A50" s="6">
        <f t="shared" si="5"/>
        <v>45</v>
      </c>
      <c r="B50" s="372"/>
      <c r="C50" s="373"/>
      <c r="D50" s="373"/>
      <c r="E50" s="1458" t="str">
        <f t="shared" si="3"/>
        <v xml:space="preserve"> </v>
      </c>
      <c r="F50" s="375"/>
      <c r="G50" s="376"/>
      <c r="H50" s="377"/>
      <c r="I50" s="375"/>
      <c r="J50" s="376"/>
      <c r="K50" s="375"/>
      <c r="L50" s="376"/>
      <c r="M50" s="375"/>
      <c r="N50" s="376"/>
      <c r="O50" s="375"/>
      <c r="P50" s="376"/>
      <c r="Q50" s="386"/>
      <c r="R50" s="378">
        <f t="shared" si="2"/>
        <v>0</v>
      </c>
      <c r="S50" s="373"/>
      <c r="T50" s="373"/>
      <c r="U50" s="373"/>
      <c r="V50" s="373"/>
      <c r="W50" s="373"/>
      <c r="X50" s="379">
        <f t="shared" si="6"/>
        <v>0</v>
      </c>
      <c r="Y50" s="379">
        <f t="shared" si="7"/>
        <v>0</v>
      </c>
      <c r="Z50" s="1458" t="str">
        <f t="shared" si="4"/>
        <v xml:space="preserve"> </v>
      </c>
      <c r="AA50" s="380"/>
      <c r="AB50" s="381"/>
      <c r="AC50" s="381"/>
      <c r="AD50" s="382"/>
      <c r="AE50" s="383"/>
      <c r="AF50" s="383"/>
      <c r="AG50" s="382"/>
      <c r="AH50" s="383"/>
      <c r="AI50" s="384"/>
      <c r="AJ50" s="346"/>
      <c r="AQ50" s="42"/>
    </row>
    <row r="51" spans="1:43" x14ac:dyDescent="0.25">
      <c r="A51" s="6">
        <f t="shared" si="5"/>
        <v>46</v>
      </c>
      <c r="B51" s="372"/>
      <c r="C51" s="373"/>
      <c r="D51" s="373"/>
      <c r="E51" s="1458" t="str">
        <f t="shared" si="3"/>
        <v xml:space="preserve"> </v>
      </c>
      <c r="F51" s="375"/>
      <c r="G51" s="376"/>
      <c r="H51" s="377"/>
      <c r="I51" s="375"/>
      <c r="J51" s="376"/>
      <c r="K51" s="375"/>
      <c r="L51" s="376"/>
      <c r="M51" s="375"/>
      <c r="N51" s="376"/>
      <c r="O51" s="375"/>
      <c r="P51" s="376"/>
      <c r="Q51" s="386"/>
      <c r="R51" s="378">
        <f t="shared" si="2"/>
        <v>0</v>
      </c>
      <c r="S51" s="373"/>
      <c r="T51" s="373"/>
      <c r="U51" s="373"/>
      <c r="V51" s="373"/>
      <c r="W51" s="373"/>
      <c r="X51" s="379">
        <f t="shared" si="6"/>
        <v>0</v>
      </c>
      <c r="Y51" s="379">
        <f t="shared" si="7"/>
        <v>0</v>
      </c>
      <c r="Z51" s="1458" t="str">
        <f t="shared" si="4"/>
        <v xml:space="preserve"> </v>
      </c>
      <c r="AA51" s="380"/>
      <c r="AB51" s="381"/>
      <c r="AC51" s="381"/>
      <c r="AD51" s="382"/>
      <c r="AE51" s="383"/>
      <c r="AF51" s="383"/>
      <c r="AG51" s="382"/>
      <c r="AH51" s="383"/>
      <c r="AI51" s="384"/>
      <c r="AJ51" s="346"/>
      <c r="AQ51" s="42"/>
    </row>
    <row r="52" spans="1:43" x14ac:dyDescent="0.25">
      <c r="A52" s="6">
        <f t="shared" si="5"/>
        <v>47</v>
      </c>
      <c r="B52" s="372"/>
      <c r="C52" s="373"/>
      <c r="D52" s="373"/>
      <c r="E52" s="1458" t="str">
        <f t="shared" si="3"/>
        <v xml:space="preserve"> </v>
      </c>
      <c r="F52" s="375"/>
      <c r="G52" s="376"/>
      <c r="H52" s="377"/>
      <c r="I52" s="375"/>
      <c r="J52" s="376"/>
      <c r="K52" s="375"/>
      <c r="L52" s="376"/>
      <c r="M52" s="375"/>
      <c r="N52" s="376"/>
      <c r="O52" s="375"/>
      <c r="P52" s="376"/>
      <c r="Q52" s="386"/>
      <c r="R52" s="378">
        <f t="shared" si="2"/>
        <v>0</v>
      </c>
      <c r="S52" s="373"/>
      <c r="T52" s="373"/>
      <c r="U52" s="373"/>
      <c r="V52" s="373"/>
      <c r="W52" s="373"/>
      <c r="X52" s="379">
        <f t="shared" si="6"/>
        <v>0</v>
      </c>
      <c r="Y52" s="379">
        <f t="shared" si="7"/>
        <v>0</v>
      </c>
      <c r="Z52" s="1458" t="str">
        <f t="shared" si="4"/>
        <v xml:space="preserve"> </v>
      </c>
      <c r="AA52" s="380"/>
      <c r="AB52" s="381"/>
      <c r="AC52" s="381"/>
      <c r="AD52" s="382"/>
      <c r="AE52" s="383"/>
      <c r="AF52" s="383"/>
      <c r="AG52" s="382"/>
      <c r="AH52" s="383"/>
      <c r="AI52" s="384"/>
      <c r="AJ52" s="346"/>
      <c r="AQ52" s="42"/>
    </row>
    <row r="53" spans="1:43" x14ac:dyDescent="0.25">
      <c r="A53" s="6">
        <f t="shared" si="5"/>
        <v>48</v>
      </c>
      <c r="B53" s="372"/>
      <c r="C53" s="373"/>
      <c r="D53" s="373"/>
      <c r="E53" s="1458" t="str">
        <f t="shared" si="3"/>
        <v xml:space="preserve"> </v>
      </c>
      <c r="F53" s="375"/>
      <c r="G53" s="376"/>
      <c r="H53" s="377"/>
      <c r="I53" s="375"/>
      <c r="J53" s="376"/>
      <c r="K53" s="375"/>
      <c r="L53" s="376"/>
      <c r="M53" s="375"/>
      <c r="N53" s="376"/>
      <c r="O53" s="375"/>
      <c r="P53" s="376"/>
      <c r="Q53" s="386"/>
      <c r="R53" s="378">
        <f t="shared" si="2"/>
        <v>0</v>
      </c>
      <c r="S53" s="373"/>
      <c r="T53" s="373"/>
      <c r="U53" s="373"/>
      <c r="V53" s="373"/>
      <c r="W53" s="373"/>
      <c r="X53" s="379">
        <f t="shared" si="6"/>
        <v>0</v>
      </c>
      <c r="Y53" s="379">
        <f t="shared" si="7"/>
        <v>0</v>
      </c>
      <c r="Z53" s="1458" t="str">
        <f t="shared" si="4"/>
        <v xml:space="preserve"> </v>
      </c>
      <c r="AA53" s="380"/>
      <c r="AB53" s="381"/>
      <c r="AC53" s="381"/>
      <c r="AD53" s="382"/>
      <c r="AE53" s="383"/>
      <c r="AF53" s="383"/>
      <c r="AG53" s="382"/>
      <c r="AH53" s="383"/>
      <c r="AI53" s="384"/>
      <c r="AJ53" s="346"/>
      <c r="AQ53" s="42"/>
    </row>
    <row r="54" spans="1:43" x14ac:dyDescent="0.25">
      <c r="A54" s="6">
        <f t="shared" si="5"/>
        <v>49</v>
      </c>
      <c r="B54" s="372"/>
      <c r="C54" s="373"/>
      <c r="D54" s="373"/>
      <c r="E54" s="1458" t="str">
        <f t="shared" si="3"/>
        <v xml:space="preserve"> </v>
      </c>
      <c r="F54" s="375"/>
      <c r="G54" s="376"/>
      <c r="H54" s="377"/>
      <c r="I54" s="375"/>
      <c r="J54" s="376"/>
      <c r="K54" s="375"/>
      <c r="L54" s="376"/>
      <c r="M54" s="375"/>
      <c r="N54" s="376"/>
      <c r="O54" s="375"/>
      <c r="P54" s="376"/>
      <c r="Q54" s="386"/>
      <c r="R54" s="378">
        <f t="shared" si="2"/>
        <v>0</v>
      </c>
      <c r="S54" s="373"/>
      <c r="T54" s="373"/>
      <c r="U54" s="373"/>
      <c r="V54" s="373"/>
      <c r="W54" s="373"/>
      <c r="X54" s="379">
        <f t="shared" si="6"/>
        <v>0</v>
      </c>
      <c r="Y54" s="379">
        <f t="shared" si="7"/>
        <v>0</v>
      </c>
      <c r="Z54" s="1458" t="str">
        <f t="shared" si="4"/>
        <v xml:space="preserve"> </v>
      </c>
      <c r="AA54" s="380"/>
      <c r="AB54" s="381"/>
      <c r="AC54" s="381"/>
      <c r="AD54" s="382"/>
      <c r="AE54" s="383"/>
      <c r="AF54" s="383"/>
      <c r="AG54" s="382"/>
      <c r="AH54" s="383"/>
      <c r="AI54" s="384"/>
      <c r="AJ54" s="346"/>
      <c r="AQ54" s="42"/>
    </row>
    <row r="55" spans="1:43" x14ac:dyDescent="0.25">
      <c r="A55" s="6">
        <f t="shared" si="5"/>
        <v>50</v>
      </c>
      <c r="B55" s="372"/>
      <c r="C55" s="373"/>
      <c r="D55" s="373"/>
      <c r="E55" s="1458" t="str">
        <f t="shared" si="3"/>
        <v xml:space="preserve"> </v>
      </c>
      <c r="F55" s="375"/>
      <c r="G55" s="376"/>
      <c r="H55" s="377"/>
      <c r="I55" s="375"/>
      <c r="J55" s="376"/>
      <c r="K55" s="375"/>
      <c r="L55" s="376"/>
      <c r="M55" s="375"/>
      <c r="N55" s="376"/>
      <c r="O55" s="375"/>
      <c r="P55" s="376"/>
      <c r="Q55" s="386"/>
      <c r="R55" s="378">
        <f t="shared" si="2"/>
        <v>0</v>
      </c>
      <c r="S55" s="373"/>
      <c r="T55" s="373"/>
      <c r="U55" s="373"/>
      <c r="V55" s="373"/>
      <c r="W55" s="373"/>
      <c r="X55" s="379">
        <f t="shared" si="6"/>
        <v>0</v>
      </c>
      <c r="Y55" s="379">
        <f t="shared" si="7"/>
        <v>0</v>
      </c>
      <c r="Z55" s="1458" t="str">
        <f t="shared" si="4"/>
        <v xml:space="preserve"> </v>
      </c>
      <c r="AA55" s="380"/>
      <c r="AB55" s="381"/>
      <c r="AC55" s="381"/>
      <c r="AD55" s="382"/>
      <c r="AE55" s="383"/>
      <c r="AF55" s="383"/>
      <c r="AG55" s="382"/>
      <c r="AH55" s="383"/>
      <c r="AI55" s="384"/>
      <c r="AJ55" s="346"/>
      <c r="AQ55" s="42"/>
    </row>
    <row r="56" spans="1:43" x14ac:dyDescent="0.25">
      <c r="A56" s="6">
        <f t="shared" si="5"/>
        <v>51</v>
      </c>
      <c r="B56" s="372"/>
      <c r="C56" s="373"/>
      <c r="D56" s="373"/>
      <c r="E56" s="1458" t="str">
        <f t="shared" si="3"/>
        <v xml:space="preserve"> </v>
      </c>
      <c r="F56" s="375"/>
      <c r="G56" s="376"/>
      <c r="H56" s="377"/>
      <c r="I56" s="375"/>
      <c r="J56" s="376"/>
      <c r="K56" s="375"/>
      <c r="L56" s="376"/>
      <c r="M56" s="375"/>
      <c r="N56" s="376"/>
      <c r="O56" s="375"/>
      <c r="P56" s="376"/>
      <c r="Q56" s="386"/>
      <c r="R56" s="378">
        <f t="shared" si="2"/>
        <v>0</v>
      </c>
      <c r="S56" s="373"/>
      <c r="T56" s="373"/>
      <c r="U56" s="373"/>
      <c r="V56" s="373"/>
      <c r="W56" s="373"/>
      <c r="X56" s="379">
        <f t="shared" si="6"/>
        <v>0</v>
      </c>
      <c r="Y56" s="379">
        <f t="shared" si="7"/>
        <v>0</v>
      </c>
      <c r="Z56" s="1458" t="str">
        <f t="shared" si="4"/>
        <v xml:space="preserve"> </v>
      </c>
      <c r="AA56" s="380"/>
      <c r="AB56" s="381"/>
      <c r="AC56" s="381"/>
      <c r="AD56" s="382"/>
      <c r="AE56" s="383"/>
      <c r="AF56" s="383"/>
      <c r="AG56" s="382"/>
      <c r="AH56" s="383"/>
      <c r="AI56" s="384"/>
      <c r="AJ56" s="346"/>
      <c r="AQ56" s="42"/>
    </row>
    <row r="57" spans="1:43" x14ac:dyDescent="0.25">
      <c r="A57" s="6">
        <f t="shared" si="5"/>
        <v>52</v>
      </c>
      <c r="B57" s="372"/>
      <c r="C57" s="373"/>
      <c r="D57" s="388"/>
      <c r="E57" s="1458" t="str">
        <f t="shared" si="3"/>
        <v xml:space="preserve"> </v>
      </c>
      <c r="F57" s="375"/>
      <c r="G57" s="376"/>
      <c r="H57" s="377"/>
      <c r="I57" s="375"/>
      <c r="J57" s="376"/>
      <c r="K57" s="375"/>
      <c r="L57" s="376"/>
      <c r="M57" s="375"/>
      <c r="N57" s="376"/>
      <c r="O57" s="375"/>
      <c r="P57" s="376"/>
      <c r="Q57" s="386"/>
      <c r="R57" s="378">
        <f t="shared" si="2"/>
        <v>0</v>
      </c>
      <c r="S57" s="373"/>
      <c r="T57" s="373"/>
      <c r="U57" s="373"/>
      <c r="V57" s="373"/>
      <c r="W57" s="373"/>
      <c r="X57" s="379">
        <f t="shared" si="6"/>
        <v>0</v>
      </c>
      <c r="Y57" s="379">
        <f t="shared" si="7"/>
        <v>0</v>
      </c>
      <c r="Z57" s="1458" t="str">
        <f t="shared" si="4"/>
        <v xml:space="preserve"> </v>
      </c>
      <c r="AA57" s="380"/>
      <c r="AB57" s="381"/>
      <c r="AC57" s="381"/>
      <c r="AD57" s="382"/>
      <c r="AE57" s="383"/>
      <c r="AF57" s="383"/>
      <c r="AG57" s="382"/>
      <c r="AH57" s="383"/>
      <c r="AI57" s="384"/>
      <c r="AJ57" s="346"/>
      <c r="AQ57" s="42"/>
    </row>
    <row r="58" spans="1:43" x14ac:dyDescent="0.25">
      <c r="A58" s="6">
        <f t="shared" si="5"/>
        <v>53</v>
      </c>
      <c r="B58" s="372"/>
      <c r="C58" s="373"/>
      <c r="D58" s="373"/>
      <c r="E58" s="1458" t="str">
        <f t="shared" si="3"/>
        <v xml:space="preserve"> </v>
      </c>
      <c r="F58" s="375"/>
      <c r="G58" s="376"/>
      <c r="H58" s="377"/>
      <c r="I58" s="375"/>
      <c r="J58" s="376"/>
      <c r="K58" s="375"/>
      <c r="L58" s="376"/>
      <c r="M58" s="375"/>
      <c r="N58" s="376"/>
      <c r="O58" s="375"/>
      <c r="P58" s="376"/>
      <c r="Q58" s="386"/>
      <c r="R58" s="378">
        <f t="shared" si="2"/>
        <v>0</v>
      </c>
      <c r="S58" s="373"/>
      <c r="T58" s="373"/>
      <c r="U58" s="373"/>
      <c r="V58" s="373"/>
      <c r="W58" s="373"/>
      <c r="X58" s="379">
        <f t="shared" si="6"/>
        <v>0</v>
      </c>
      <c r="Y58" s="379">
        <f t="shared" si="7"/>
        <v>0</v>
      </c>
      <c r="Z58" s="1458" t="str">
        <f t="shared" si="4"/>
        <v xml:space="preserve"> </v>
      </c>
      <c r="AA58" s="380"/>
      <c r="AB58" s="381"/>
      <c r="AC58" s="381"/>
      <c r="AD58" s="382"/>
      <c r="AE58" s="383"/>
      <c r="AF58" s="383"/>
      <c r="AG58" s="382"/>
      <c r="AH58" s="383"/>
      <c r="AI58" s="384"/>
      <c r="AJ58" s="346"/>
      <c r="AQ58" s="42"/>
    </row>
    <row r="59" spans="1:43" x14ac:dyDescent="0.25">
      <c r="A59" s="6">
        <f t="shared" si="5"/>
        <v>54</v>
      </c>
      <c r="B59" s="372"/>
      <c r="C59" s="373"/>
      <c r="D59" s="373"/>
      <c r="E59" s="1458" t="str">
        <f t="shared" si="3"/>
        <v xml:space="preserve"> </v>
      </c>
      <c r="F59" s="375"/>
      <c r="G59" s="376"/>
      <c r="H59" s="377"/>
      <c r="I59" s="375"/>
      <c r="J59" s="376"/>
      <c r="K59" s="375"/>
      <c r="L59" s="376"/>
      <c r="M59" s="375"/>
      <c r="N59" s="376"/>
      <c r="O59" s="375"/>
      <c r="P59" s="376"/>
      <c r="Q59" s="386"/>
      <c r="R59" s="378">
        <f t="shared" si="2"/>
        <v>0</v>
      </c>
      <c r="S59" s="373"/>
      <c r="T59" s="373"/>
      <c r="U59" s="373"/>
      <c r="V59" s="373"/>
      <c r="W59" s="373"/>
      <c r="X59" s="379">
        <f t="shared" si="6"/>
        <v>0</v>
      </c>
      <c r="Y59" s="379">
        <f t="shared" si="7"/>
        <v>0</v>
      </c>
      <c r="Z59" s="1458" t="str">
        <f t="shared" si="4"/>
        <v xml:space="preserve"> </v>
      </c>
      <c r="AA59" s="380"/>
      <c r="AB59" s="381"/>
      <c r="AC59" s="381"/>
      <c r="AD59" s="382"/>
      <c r="AE59" s="383"/>
      <c r="AF59" s="383"/>
      <c r="AG59" s="382"/>
      <c r="AH59" s="383"/>
      <c r="AI59" s="384"/>
      <c r="AJ59" s="346"/>
      <c r="AQ59" s="42"/>
    </row>
    <row r="60" spans="1:43" x14ac:dyDescent="0.25">
      <c r="A60" s="6">
        <f t="shared" si="5"/>
        <v>55</v>
      </c>
      <c r="B60" s="372"/>
      <c r="C60" s="373"/>
      <c r="D60" s="373"/>
      <c r="E60" s="1458" t="str">
        <f t="shared" si="3"/>
        <v xml:space="preserve"> </v>
      </c>
      <c r="F60" s="375"/>
      <c r="G60" s="376"/>
      <c r="H60" s="377"/>
      <c r="I60" s="375"/>
      <c r="J60" s="376"/>
      <c r="K60" s="375"/>
      <c r="L60" s="376"/>
      <c r="M60" s="375"/>
      <c r="N60" s="376"/>
      <c r="O60" s="375"/>
      <c r="P60" s="376"/>
      <c r="Q60" s="386"/>
      <c r="R60" s="378">
        <f t="shared" si="2"/>
        <v>0</v>
      </c>
      <c r="S60" s="373"/>
      <c r="T60" s="373"/>
      <c r="U60" s="373"/>
      <c r="V60" s="373"/>
      <c r="W60" s="373"/>
      <c r="X60" s="379">
        <f t="shared" si="6"/>
        <v>0</v>
      </c>
      <c r="Y60" s="379">
        <f t="shared" si="7"/>
        <v>0</v>
      </c>
      <c r="Z60" s="1458" t="str">
        <f t="shared" si="4"/>
        <v xml:space="preserve"> </v>
      </c>
      <c r="AA60" s="380"/>
      <c r="AB60" s="381"/>
      <c r="AC60" s="381"/>
      <c r="AD60" s="382"/>
      <c r="AE60" s="383"/>
      <c r="AF60" s="383"/>
      <c r="AG60" s="382"/>
      <c r="AH60" s="383"/>
      <c r="AI60" s="384"/>
      <c r="AJ60" s="346"/>
      <c r="AQ60" s="42"/>
    </row>
    <row r="61" spans="1:43" x14ac:dyDescent="0.25">
      <c r="A61" s="6">
        <f t="shared" si="5"/>
        <v>56</v>
      </c>
      <c r="B61" s="372"/>
      <c r="C61" s="373"/>
      <c r="D61" s="373"/>
      <c r="E61" s="1458" t="str">
        <f t="shared" si="3"/>
        <v xml:space="preserve"> </v>
      </c>
      <c r="F61" s="375"/>
      <c r="G61" s="376"/>
      <c r="H61" s="377"/>
      <c r="I61" s="375"/>
      <c r="J61" s="376"/>
      <c r="K61" s="375"/>
      <c r="L61" s="376"/>
      <c r="M61" s="375"/>
      <c r="N61" s="376"/>
      <c r="O61" s="375"/>
      <c r="P61" s="376"/>
      <c r="Q61" s="386"/>
      <c r="R61" s="378">
        <f t="shared" si="2"/>
        <v>0</v>
      </c>
      <c r="S61" s="373"/>
      <c r="T61" s="373"/>
      <c r="U61" s="373"/>
      <c r="V61" s="373"/>
      <c r="W61" s="373"/>
      <c r="X61" s="379">
        <f t="shared" si="6"/>
        <v>0</v>
      </c>
      <c r="Y61" s="379">
        <f t="shared" si="7"/>
        <v>0</v>
      </c>
      <c r="Z61" s="1458" t="str">
        <f t="shared" si="4"/>
        <v xml:space="preserve"> </v>
      </c>
      <c r="AA61" s="380"/>
      <c r="AB61" s="381"/>
      <c r="AC61" s="381"/>
      <c r="AD61" s="382"/>
      <c r="AE61" s="383"/>
      <c r="AF61" s="383"/>
      <c r="AG61" s="382"/>
      <c r="AH61" s="383"/>
      <c r="AI61" s="384"/>
      <c r="AJ61" s="346"/>
      <c r="AQ61" s="42"/>
    </row>
    <row r="62" spans="1:43" x14ac:dyDescent="0.25">
      <c r="A62" s="6">
        <f t="shared" si="5"/>
        <v>57</v>
      </c>
      <c r="B62" s="372"/>
      <c r="C62" s="373"/>
      <c r="D62" s="373"/>
      <c r="E62" s="1458" t="str">
        <f t="shared" si="3"/>
        <v xml:space="preserve"> </v>
      </c>
      <c r="F62" s="375"/>
      <c r="G62" s="376"/>
      <c r="H62" s="377"/>
      <c r="I62" s="375"/>
      <c r="J62" s="376"/>
      <c r="K62" s="375"/>
      <c r="L62" s="376"/>
      <c r="M62" s="375"/>
      <c r="N62" s="376"/>
      <c r="O62" s="375"/>
      <c r="P62" s="376"/>
      <c r="Q62" s="386"/>
      <c r="R62" s="378">
        <f t="shared" si="2"/>
        <v>0</v>
      </c>
      <c r="S62" s="373"/>
      <c r="T62" s="373"/>
      <c r="U62" s="373"/>
      <c r="V62" s="373"/>
      <c r="W62" s="373"/>
      <c r="X62" s="379">
        <f t="shared" si="6"/>
        <v>0</v>
      </c>
      <c r="Y62" s="379">
        <f t="shared" si="7"/>
        <v>0</v>
      </c>
      <c r="Z62" s="1458" t="str">
        <f t="shared" si="4"/>
        <v xml:space="preserve"> </v>
      </c>
      <c r="AA62" s="380"/>
      <c r="AB62" s="381"/>
      <c r="AC62" s="381"/>
      <c r="AD62" s="382"/>
      <c r="AE62" s="383"/>
      <c r="AF62" s="383"/>
      <c r="AG62" s="382"/>
      <c r="AH62" s="383"/>
      <c r="AI62" s="384"/>
      <c r="AJ62" s="346"/>
      <c r="AQ62" s="42"/>
    </row>
    <row r="63" spans="1:43" x14ac:dyDescent="0.25">
      <c r="A63" s="6">
        <f t="shared" si="5"/>
        <v>58</v>
      </c>
      <c r="B63" s="372"/>
      <c r="C63" s="373"/>
      <c r="D63" s="373"/>
      <c r="E63" s="1458" t="str">
        <f t="shared" si="3"/>
        <v xml:space="preserve"> </v>
      </c>
      <c r="F63" s="375"/>
      <c r="G63" s="376"/>
      <c r="H63" s="377"/>
      <c r="I63" s="375"/>
      <c r="J63" s="376"/>
      <c r="K63" s="375"/>
      <c r="L63" s="376"/>
      <c r="M63" s="375"/>
      <c r="N63" s="376"/>
      <c r="O63" s="375"/>
      <c r="P63" s="376"/>
      <c r="Q63" s="386"/>
      <c r="R63" s="378">
        <f t="shared" si="2"/>
        <v>0</v>
      </c>
      <c r="S63" s="373"/>
      <c r="T63" s="373"/>
      <c r="U63" s="373"/>
      <c r="V63" s="373"/>
      <c r="W63" s="373"/>
      <c r="X63" s="379">
        <f t="shared" si="6"/>
        <v>0</v>
      </c>
      <c r="Y63" s="379">
        <f t="shared" si="7"/>
        <v>0</v>
      </c>
      <c r="Z63" s="1458" t="str">
        <f t="shared" si="4"/>
        <v xml:space="preserve"> </v>
      </c>
      <c r="AA63" s="380"/>
      <c r="AB63" s="381"/>
      <c r="AC63" s="381"/>
      <c r="AD63" s="382"/>
      <c r="AE63" s="383"/>
      <c r="AF63" s="383"/>
      <c r="AG63" s="382"/>
      <c r="AH63" s="383"/>
      <c r="AI63" s="384"/>
      <c r="AJ63" s="346"/>
      <c r="AQ63" s="42"/>
    </row>
    <row r="64" spans="1:43" x14ac:dyDescent="0.25">
      <c r="A64" s="6">
        <f t="shared" si="5"/>
        <v>59</v>
      </c>
      <c r="B64" s="372"/>
      <c r="C64" s="373"/>
      <c r="D64" s="373"/>
      <c r="E64" s="1458" t="str">
        <f t="shared" si="3"/>
        <v xml:space="preserve"> </v>
      </c>
      <c r="F64" s="375"/>
      <c r="G64" s="376"/>
      <c r="H64" s="377"/>
      <c r="I64" s="375"/>
      <c r="J64" s="376"/>
      <c r="K64" s="375"/>
      <c r="L64" s="376"/>
      <c r="M64" s="375"/>
      <c r="N64" s="376"/>
      <c r="O64" s="375"/>
      <c r="P64" s="376"/>
      <c r="Q64" s="386"/>
      <c r="R64" s="378">
        <f t="shared" si="2"/>
        <v>0</v>
      </c>
      <c r="S64" s="373"/>
      <c r="T64" s="373"/>
      <c r="U64" s="373"/>
      <c r="V64" s="373"/>
      <c r="W64" s="373"/>
      <c r="X64" s="379">
        <f t="shared" si="6"/>
        <v>0</v>
      </c>
      <c r="Y64" s="379">
        <f t="shared" si="7"/>
        <v>0</v>
      </c>
      <c r="Z64" s="1458" t="str">
        <f t="shared" si="4"/>
        <v xml:space="preserve"> </v>
      </c>
      <c r="AA64" s="380"/>
      <c r="AB64" s="381"/>
      <c r="AC64" s="381"/>
      <c r="AD64" s="382"/>
      <c r="AE64" s="383"/>
      <c r="AF64" s="383"/>
      <c r="AG64" s="382"/>
      <c r="AH64" s="383"/>
      <c r="AI64" s="384"/>
      <c r="AJ64" s="346"/>
      <c r="AQ64" s="42"/>
    </row>
    <row r="65" spans="1:43" x14ac:dyDescent="0.25">
      <c r="A65" s="6">
        <f t="shared" si="5"/>
        <v>60</v>
      </c>
      <c r="B65" s="372"/>
      <c r="C65" s="373"/>
      <c r="D65" s="373"/>
      <c r="E65" s="1458" t="str">
        <f t="shared" si="3"/>
        <v xml:space="preserve"> </v>
      </c>
      <c r="F65" s="375"/>
      <c r="G65" s="376"/>
      <c r="H65" s="377"/>
      <c r="I65" s="375"/>
      <c r="J65" s="376"/>
      <c r="K65" s="375"/>
      <c r="L65" s="376"/>
      <c r="M65" s="375"/>
      <c r="N65" s="376"/>
      <c r="O65" s="375"/>
      <c r="P65" s="376"/>
      <c r="Q65" s="386"/>
      <c r="R65" s="378">
        <f t="shared" si="2"/>
        <v>0</v>
      </c>
      <c r="S65" s="373"/>
      <c r="T65" s="373"/>
      <c r="U65" s="373"/>
      <c r="V65" s="373"/>
      <c r="W65" s="373"/>
      <c r="X65" s="379">
        <f t="shared" si="6"/>
        <v>0</v>
      </c>
      <c r="Y65" s="379">
        <f t="shared" si="7"/>
        <v>0</v>
      </c>
      <c r="Z65" s="1458" t="str">
        <f t="shared" si="4"/>
        <v xml:space="preserve"> </v>
      </c>
      <c r="AA65" s="380"/>
      <c r="AB65" s="381"/>
      <c r="AC65" s="381"/>
      <c r="AD65" s="382"/>
      <c r="AE65" s="383"/>
      <c r="AF65" s="383"/>
      <c r="AG65" s="382"/>
      <c r="AH65" s="383"/>
      <c r="AI65" s="384"/>
      <c r="AJ65" s="346"/>
      <c r="AQ65" s="42"/>
    </row>
    <row r="66" spans="1:43" x14ac:dyDescent="0.25">
      <c r="A66" s="6">
        <f t="shared" si="5"/>
        <v>61</v>
      </c>
      <c r="B66" s="372"/>
      <c r="C66" s="373"/>
      <c r="D66" s="373"/>
      <c r="E66" s="1458" t="str">
        <f t="shared" si="3"/>
        <v xml:space="preserve"> </v>
      </c>
      <c r="F66" s="375"/>
      <c r="G66" s="376"/>
      <c r="H66" s="377"/>
      <c r="I66" s="375"/>
      <c r="J66" s="376"/>
      <c r="K66" s="375"/>
      <c r="L66" s="376"/>
      <c r="M66" s="375"/>
      <c r="N66" s="376"/>
      <c r="O66" s="375"/>
      <c r="P66" s="376"/>
      <c r="Q66" s="386"/>
      <c r="R66" s="378">
        <f t="shared" si="2"/>
        <v>0</v>
      </c>
      <c r="S66" s="373"/>
      <c r="T66" s="373"/>
      <c r="U66" s="373"/>
      <c r="V66" s="373"/>
      <c r="W66" s="373"/>
      <c r="X66" s="379">
        <f t="shared" si="6"/>
        <v>0</v>
      </c>
      <c r="Y66" s="379">
        <f t="shared" si="7"/>
        <v>0</v>
      </c>
      <c r="Z66" s="1458" t="str">
        <f t="shared" si="4"/>
        <v xml:space="preserve"> </v>
      </c>
      <c r="AA66" s="380"/>
      <c r="AB66" s="381"/>
      <c r="AC66" s="381"/>
      <c r="AD66" s="382"/>
      <c r="AE66" s="383"/>
      <c r="AF66" s="383"/>
      <c r="AG66" s="382"/>
      <c r="AH66" s="383"/>
      <c r="AI66" s="384"/>
      <c r="AJ66" s="346"/>
      <c r="AQ66" s="42"/>
    </row>
    <row r="67" spans="1:43" x14ac:dyDescent="0.25">
      <c r="A67" s="6">
        <f t="shared" si="5"/>
        <v>62</v>
      </c>
      <c r="B67" s="372"/>
      <c r="C67" s="373"/>
      <c r="D67" s="373"/>
      <c r="E67" s="1458" t="str">
        <f t="shared" si="3"/>
        <v xml:space="preserve"> </v>
      </c>
      <c r="F67" s="375"/>
      <c r="G67" s="376"/>
      <c r="H67" s="377"/>
      <c r="I67" s="375"/>
      <c r="J67" s="376"/>
      <c r="K67" s="375"/>
      <c r="L67" s="376"/>
      <c r="M67" s="375"/>
      <c r="N67" s="376"/>
      <c r="O67" s="375"/>
      <c r="P67" s="376"/>
      <c r="Q67" s="386"/>
      <c r="R67" s="378">
        <f t="shared" si="2"/>
        <v>0</v>
      </c>
      <c r="S67" s="373"/>
      <c r="T67" s="373"/>
      <c r="U67" s="373"/>
      <c r="V67" s="373"/>
      <c r="W67" s="373"/>
      <c r="X67" s="379">
        <f t="shared" si="6"/>
        <v>0</v>
      </c>
      <c r="Y67" s="379">
        <f t="shared" si="7"/>
        <v>0</v>
      </c>
      <c r="Z67" s="1458" t="str">
        <f t="shared" si="4"/>
        <v xml:space="preserve"> </v>
      </c>
      <c r="AA67" s="380"/>
      <c r="AB67" s="381"/>
      <c r="AC67" s="381"/>
      <c r="AD67" s="382"/>
      <c r="AE67" s="383"/>
      <c r="AF67" s="383"/>
      <c r="AG67" s="382"/>
      <c r="AH67" s="383"/>
      <c r="AI67" s="384"/>
      <c r="AJ67" s="346"/>
      <c r="AQ67" s="42"/>
    </row>
    <row r="68" spans="1:43" x14ac:dyDescent="0.25">
      <c r="A68" s="6">
        <f t="shared" si="5"/>
        <v>63</v>
      </c>
      <c r="B68" s="372"/>
      <c r="C68" s="373"/>
      <c r="D68" s="373"/>
      <c r="E68" s="1458" t="str">
        <f t="shared" si="3"/>
        <v xml:space="preserve"> </v>
      </c>
      <c r="F68" s="375"/>
      <c r="G68" s="376"/>
      <c r="H68" s="377"/>
      <c r="I68" s="375"/>
      <c r="J68" s="376"/>
      <c r="K68" s="375"/>
      <c r="L68" s="376"/>
      <c r="M68" s="375"/>
      <c r="N68" s="376"/>
      <c r="O68" s="375"/>
      <c r="P68" s="376"/>
      <c r="Q68" s="386"/>
      <c r="R68" s="378">
        <f t="shared" si="2"/>
        <v>0</v>
      </c>
      <c r="S68" s="373"/>
      <c r="T68" s="373"/>
      <c r="U68" s="373"/>
      <c r="V68" s="373"/>
      <c r="W68" s="373"/>
      <c r="X68" s="379">
        <f t="shared" si="6"/>
        <v>0</v>
      </c>
      <c r="Y68" s="379">
        <f t="shared" si="7"/>
        <v>0</v>
      </c>
      <c r="Z68" s="1458" t="str">
        <f t="shared" si="4"/>
        <v xml:space="preserve"> </v>
      </c>
      <c r="AA68" s="380"/>
      <c r="AB68" s="381"/>
      <c r="AC68" s="381"/>
      <c r="AD68" s="382"/>
      <c r="AE68" s="383"/>
      <c r="AF68" s="383"/>
      <c r="AG68" s="382"/>
      <c r="AH68" s="383"/>
      <c r="AI68" s="384"/>
      <c r="AJ68" s="346"/>
      <c r="AQ68" s="42"/>
    </row>
    <row r="69" spans="1:43" x14ac:dyDescent="0.25">
      <c r="A69" s="6">
        <f t="shared" si="5"/>
        <v>64</v>
      </c>
      <c r="B69" s="372"/>
      <c r="C69" s="373"/>
      <c r="D69" s="387"/>
      <c r="E69" s="1458" t="str">
        <f t="shared" si="3"/>
        <v xml:space="preserve"> </v>
      </c>
      <c r="F69" s="375"/>
      <c r="G69" s="376"/>
      <c r="H69" s="377"/>
      <c r="I69" s="375"/>
      <c r="J69" s="376"/>
      <c r="K69" s="375"/>
      <c r="L69" s="376"/>
      <c r="M69" s="375"/>
      <c r="N69" s="376"/>
      <c r="O69" s="375"/>
      <c r="P69" s="376"/>
      <c r="Q69" s="386"/>
      <c r="R69" s="378">
        <f t="shared" si="2"/>
        <v>0</v>
      </c>
      <c r="S69" s="373"/>
      <c r="T69" s="373"/>
      <c r="U69" s="373"/>
      <c r="V69" s="373"/>
      <c r="W69" s="373"/>
      <c r="X69" s="379">
        <f t="shared" si="6"/>
        <v>0</v>
      </c>
      <c r="Y69" s="379">
        <f t="shared" si="7"/>
        <v>0</v>
      </c>
      <c r="Z69" s="1458" t="str">
        <f t="shared" si="4"/>
        <v xml:space="preserve"> </v>
      </c>
      <c r="AA69" s="380"/>
      <c r="AB69" s="381"/>
      <c r="AC69" s="381"/>
      <c r="AD69" s="382"/>
      <c r="AE69" s="383"/>
      <c r="AF69" s="383"/>
      <c r="AG69" s="382"/>
      <c r="AH69" s="383"/>
      <c r="AI69" s="384"/>
      <c r="AJ69" s="346"/>
      <c r="AQ69" s="42"/>
    </row>
    <row r="70" spans="1:43" x14ac:dyDescent="0.25">
      <c r="A70" s="6">
        <f t="shared" si="5"/>
        <v>65</v>
      </c>
      <c r="B70" s="372"/>
      <c r="C70" s="373"/>
      <c r="D70" s="373"/>
      <c r="E70" s="1458" t="str">
        <f t="shared" si="3"/>
        <v xml:space="preserve"> </v>
      </c>
      <c r="F70" s="375"/>
      <c r="G70" s="376"/>
      <c r="H70" s="377"/>
      <c r="I70" s="375"/>
      <c r="J70" s="376"/>
      <c r="K70" s="375"/>
      <c r="L70" s="376"/>
      <c r="M70" s="375"/>
      <c r="N70" s="376"/>
      <c r="O70" s="375"/>
      <c r="P70" s="376"/>
      <c r="Q70" s="386"/>
      <c r="R70" s="378">
        <f t="shared" ref="R70:R105" si="8">IF(Q70&gt;0,Q70,I70*J70+K70*L70+M70*N70+O70*P70)</f>
        <v>0</v>
      </c>
      <c r="S70" s="373"/>
      <c r="T70" s="373"/>
      <c r="U70" s="373"/>
      <c r="V70" s="373"/>
      <c r="W70" s="373"/>
      <c r="X70" s="379">
        <f t="shared" si="6"/>
        <v>0</v>
      </c>
      <c r="Y70" s="379">
        <f t="shared" si="7"/>
        <v>0</v>
      </c>
      <c r="Z70" s="1458" t="str">
        <f t="shared" si="4"/>
        <v xml:space="preserve"> </v>
      </c>
      <c r="AA70" s="380"/>
      <c r="AB70" s="381"/>
      <c r="AC70" s="381"/>
      <c r="AD70" s="382"/>
      <c r="AE70" s="383"/>
      <c r="AF70" s="383"/>
      <c r="AG70" s="382"/>
      <c r="AH70" s="383"/>
      <c r="AI70" s="384"/>
      <c r="AJ70" s="346"/>
      <c r="AQ70" s="42"/>
    </row>
    <row r="71" spans="1:43" x14ac:dyDescent="0.25">
      <c r="A71" s="6">
        <f t="shared" si="5"/>
        <v>66</v>
      </c>
      <c r="B71" s="372"/>
      <c r="C71" s="373"/>
      <c r="D71" s="373"/>
      <c r="E71" s="1458" t="str">
        <f t="shared" ref="E71:E105" si="9">CONCATENATE(C71," ",D71)</f>
        <v xml:space="preserve"> </v>
      </c>
      <c r="F71" s="375"/>
      <c r="G71" s="376"/>
      <c r="H71" s="377"/>
      <c r="I71" s="375"/>
      <c r="J71" s="376"/>
      <c r="K71" s="375"/>
      <c r="L71" s="376"/>
      <c r="M71" s="375"/>
      <c r="N71" s="376"/>
      <c r="O71" s="375"/>
      <c r="P71" s="376"/>
      <c r="Q71" s="386"/>
      <c r="R71" s="378">
        <f t="shared" si="8"/>
        <v>0</v>
      </c>
      <c r="S71" s="373"/>
      <c r="T71" s="373"/>
      <c r="U71" s="373"/>
      <c r="V71" s="373"/>
      <c r="W71" s="373"/>
      <c r="X71" s="379">
        <f t="shared" si="6"/>
        <v>0</v>
      </c>
      <c r="Y71" s="379">
        <f t="shared" si="7"/>
        <v>0</v>
      </c>
      <c r="Z71" s="1458" t="str">
        <f t="shared" ref="Z71:Z105" si="10">E71</f>
        <v xml:space="preserve"> </v>
      </c>
      <c r="AA71" s="380"/>
      <c r="AB71" s="381"/>
      <c r="AC71" s="381"/>
      <c r="AD71" s="382"/>
      <c r="AE71" s="383"/>
      <c r="AF71" s="383"/>
      <c r="AG71" s="382"/>
      <c r="AH71" s="383"/>
      <c r="AI71" s="384"/>
      <c r="AJ71" s="346"/>
      <c r="AQ71" s="42"/>
    </row>
    <row r="72" spans="1:43" x14ac:dyDescent="0.25">
      <c r="A72" s="6">
        <f t="shared" si="5"/>
        <v>67</v>
      </c>
      <c r="B72" s="372"/>
      <c r="C72" s="373"/>
      <c r="D72" s="373"/>
      <c r="E72" s="1458" t="str">
        <f t="shared" si="9"/>
        <v xml:space="preserve"> </v>
      </c>
      <c r="F72" s="375"/>
      <c r="G72" s="376"/>
      <c r="H72" s="377"/>
      <c r="I72" s="375"/>
      <c r="J72" s="376"/>
      <c r="K72" s="375"/>
      <c r="L72" s="376"/>
      <c r="M72" s="375"/>
      <c r="N72" s="376"/>
      <c r="O72" s="375"/>
      <c r="P72" s="376"/>
      <c r="Q72" s="386"/>
      <c r="R72" s="378">
        <f t="shared" si="8"/>
        <v>0</v>
      </c>
      <c r="S72" s="373"/>
      <c r="T72" s="373"/>
      <c r="U72" s="373"/>
      <c r="V72" s="373"/>
      <c r="W72" s="373"/>
      <c r="X72" s="379">
        <f t="shared" ref="X72:X105" si="11">IF(W72&gt;0,W72,S72+T72+U72)</f>
        <v>0</v>
      </c>
      <c r="Y72" s="379">
        <f t="shared" ref="Y72:Y105" si="12">H72-R72-X72</f>
        <v>0</v>
      </c>
      <c r="Z72" s="1458" t="str">
        <f t="shared" si="10"/>
        <v xml:space="preserve"> </v>
      </c>
      <c r="AA72" s="380"/>
      <c r="AB72" s="381"/>
      <c r="AC72" s="381"/>
      <c r="AD72" s="382"/>
      <c r="AE72" s="383"/>
      <c r="AF72" s="383"/>
      <c r="AG72" s="382"/>
      <c r="AH72" s="383"/>
      <c r="AI72" s="384"/>
      <c r="AJ72" s="346"/>
      <c r="AQ72" s="42"/>
    </row>
    <row r="73" spans="1:43" x14ac:dyDescent="0.25">
      <c r="A73" s="6">
        <f t="shared" si="5"/>
        <v>68</v>
      </c>
      <c r="B73" s="372"/>
      <c r="C73" s="373"/>
      <c r="D73" s="373"/>
      <c r="E73" s="1458" t="str">
        <f t="shared" si="9"/>
        <v xml:space="preserve"> </v>
      </c>
      <c r="F73" s="375"/>
      <c r="G73" s="376"/>
      <c r="H73" s="377"/>
      <c r="I73" s="375"/>
      <c r="J73" s="376"/>
      <c r="K73" s="375"/>
      <c r="L73" s="376"/>
      <c r="M73" s="375"/>
      <c r="N73" s="376"/>
      <c r="O73" s="375"/>
      <c r="P73" s="376"/>
      <c r="Q73" s="386"/>
      <c r="R73" s="378">
        <f t="shared" si="8"/>
        <v>0</v>
      </c>
      <c r="S73" s="373"/>
      <c r="T73" s="373"/>
      <c r="U73" s="373"/>
      <c r="V73" s="373"/>
      <c r="W73" s="373"/>
      <c r="X73" s="379">
        <f t="shared" si="11"/>
        <v>0</v>
      </c>
      <c r="Y73" s="379">
        <f t="shared" si="12"/>
        <v>0</v>
      </c>
      <c r="Z73" s="1458" t="str">
        <f t="shared" si="10"/>
        <v xml:space="preserve"> </v>
      </c>
      <c r="AA73" s="380"/>
      <c r="AB73" s="381"/>
      <c r="AC73" s="381"/>
      <c r="AD73" s="382"/>
      <c r="AE73" s="383"/>
      <c r="AF73" s="383"/>
      <c r="AG73" s="382"/>
      <c r="AH73" s="383"/>
      <c r="AI73" s="384"/>
      <c r="AJ73" s="346"/>
      <c r="AQ73" s="42"/>
    </row>
    <row r="74" spans="1:43" x14ac:dyDescent="0.25">
      <c r="A74" s="6">
        <f t="shared" si="5"/>
        <v>69</v>
      </c>
      <c r="B74" s="372"/>
      <c r="C74" s="373"/>
      <c r="D74" s="373"/>
      <c r="E74" s="1458" t="str">
        <f t="shared" si="9"/>
        <v xml:space="preserve"> </v>
      </c>
      <c r="F74" s="375"/>
      <c r="G74" s="376"/>
      <c r="H74" s="377"/>
      <c r="I74" s="375"/>
      <c r="J74" s="376"/>
      <c r="K74" s="375"/>
      <c r="L74" s="376"/>
      <c r="M74" s="375"/>
      <c r="N74" s="376"/>
      <c r="O74" s="375"/>
      <c r="P74" s="376"/>
      <c r="Q74" s="386"/>
      <c r="R74" s="378">
        <f t="shared" si="8"/>
        <v>0</v>
      </c>
      <c r="S74" s="373"/>
      <c r="T74" s="373"/>
      <c r="U74" s="373"/>
      <c r="V74" s="373"/>
      <c r="W74" s="373"/>
      <c r="X74" s="379">
        <f t="shared" si="11"/>
        <v>0</v>
      </c>
      <c r="Y74" s="379">
        <f t="shared" si="12"/>
        <v>0</v>
      </c>
      <c r="Z74" s="1458" t="str">
        <f t="shared" si="10"/>
        <v xml:space="preserve"> </v>
      </c>
      <c r="AA74" s="380"/>
      <c r="AB74" s="381"/>
      <c r="AC74" s="381"/>
      <c r="AD74" s="382"/>
      <c r="AE74" s="383"/>
      <c r="AF74" s="383"/>
      <c r="AG74" s="382"/>
      <c r="AH74" s="383"/>
      <c r="AI74" s="384"/>
      <c r="AJ74" s="346"/>
      <c r="AQ74" s="42"/>
    </row>
    <row r="75" spans="1:43" x14ac:dyDescent="0.25">
      <c r="A75" s="6">
        <f t="shared" si="5"/>
        <v>70</v>
      </c>
      <c r="B75" s="372"/>
      <c r="C75" s="373"/>
      <c r="D75" s="373"/>
      <c r="E75" s="1458" t="str">
        <f t="shared" si="9"/>
        <v xml:space="preserve"> </v>
      </c>
      <c r="F75" s="375"/>
      <c r="G75" s="376"/>
      <c r="H75" s="377"/>
      <c r="I75" s="375"/>
      <c r="J75" s="376"/>
      <c r="K75" s="375"/>
      <c r="L75" s="376"/>
      <c r="M75" s="375"/>
      <c r="N75" s="376"/>
      <c r="O75" s="375"/>
      <c r="P75" s="376"/>
      <c r="Q75" s="386"/>
      <c r="R75" s="378">
        <f t="shared" si="8"/>
        <v>0</v>
      </c>
      <c r="S75" s="373"/>
      <c r="T75" s="373"/>
      <c r="U75" s="373"/>
      <c r="V75" s="373"/>
      <c r="W75" s="373"/>
      <c r="X75" s="379">
        <f t="shared" si="11"/>
        <v>0</v>
      </c>
      <c r="Y75" s="379">
        <f t="shared" si="12"/>
        <v>0</v>
      </c>
      <c r="Z75" s="1458" t="str">
        <f t="shared" si="10"/>
        <v xml:space="preserve"> </v>
      </c>
      <c r="AA75" s="380"/>
      <c r="AB75" s="381"/>
      <c r="AC75" s="381"/>
      <c r="AD75" s="382"/>
      <c r="AE75" s="383"/>
      <c r="AF75" s="383"/>
      <c r="AG75" s="382"/>
      <c r="AH75" s="383"/>
      <c r="AI75" s="384"/>
      <c r="AJ75" s="346"/>
      <c r="AQ75" s="42"/>
    </row>
    <row r="76" spans="1:43" x14ac:dyDescent="0.25">
      <c r="A76" s="6">
        <f t="shared" si="5"/>
        <v>71</v>
      </c>
      <c r="B76" s="372"/>
      <c r="C76" s="373"/>
      <c r="D76" s="373"/>
      <c r="E76" s="1458" t="str">
        <f t="shared" si="9"/>
        <v xml:space="preserve"> </v>
      </c>
      <c r="F76" s="375"/>
      <c r="G76" s="376"/>
      <c r="H76" s="377"/>
      <c r="I76" s="375"/>
      <c r="J76" s="376"/>
      <c r="K76" s="375"/>
      <c r="L76" s="376"/>
      <c r="M76" s="375"/>
      <c r="N76" s="376"/>
      <c r="O76" s="375"/>
      <c r="P76" s="376"/>
      <c r="Q76" s="386"/>
      <c r="R76" s="378">
        <f t="shared" si="8"/>
        <v>0</v>
      </c>
      <c r="S76" s="373"/>
      <c r="T76" s="373"/>
      <c r="U76" s="373"/>
      <c r="V76" s="373"/>
      <c r="W76" s="373"/>
      <c r="X76" s="379">
        <f t="shared" si="11"/>
        <v>0</v>
      </c>
      <c r="Y76" s="379">
        <f t="shared" si="12"/>
        <v>0</v>
      </c>
      <c r="Z76" s="1458" t="str">
        <f t="shared" si="10"/>
        <v xml:space="preserve"> </v>
      </c>
      <c r="AA76" s="380"/>
      <c r="AB76" s="381"/>
      <c r="AC76" s="381"/>
      <c r="AD76" s="382"/>
      <c r="AE76" s="383"/>
      <c r="AF76" s="383"/>
      <c r="AG76" s="382"/>
      <c r="AH76" s="383"/>
      <c r="AI76" s="384"/>
      <c r="AJ76" s="346"/>
      <c r="AQ76" s="42"/>
    </row>
    <row r="77" spans="1:43" x14ac:dyDescent="0.25">
      <c r="A77" s="6">
        <f t="shared" si="5"/>
        <v>72</v>
      </c>
      <c r="B77" s="372"/>
      <c r="C77" s="373"/>
      <c r="D77" s="373"/>
      <c r="E77" s="1458" t="str">
        <f t="shared" si="9"/>
        <v xml:space="preserve"> </v>
      </c>
      <c r="F77" s="375"/>
      <c r="G77" s="376"/>
      <c r="H77" s="377"/>
      <c r="I77" s="375"/>
      <c r="J77" s="376"/>
      <c r="K77" s="375"/>
      <c r="L77" s="376"/>
      <c r="M77" s="375"/>
      <c r="N77" s="376"/>
      <c r="O77" s="375"/>
      <c r="P77" s="376"/>
      <c r="Q77" s="386"/>
      <c r="R77" s="378">
        <f t="shared" si="8"/>
        <v>0</v>
      </c>
      <c r="S77" s="373"/>
      <c r="T77" s="373"/>
      <c r="U77" s="373"/>
      <c r="V77" s="373"/>
      <c r="W77" s="373"/>
      <c r="X77" s="379">
        <f t="shared" si="11"/>
        <v>0</v>
      </c>
      <c r="Y77" s="379">
        <f t="shared" si="12"/>
        <v>0</v>
      </c>
      <c r="Z77" s="1458" t="str">
        <f t="shared" si="10"/>
        <v xml:space="preserve"> </v>
      </c>
      <c r="AA77" s="380"/>
      <c r="AB77" s="381"/>
      <c r="AC77" s="381"/>
      <c r="AD77" s="382"/>
      <c r="AE77" s="383"/>
      <c r="AF77" s="383"/>
      <c r="AG77" s="382"/>
      <c r="AH77" s="383"/>
      <c r="AI77" s="384"/>
      <c r="AJ77" s="346"/>
      <c r="AQ77" s="42"/>
    </row>
    <row r="78" spans="1:43" x14ac:dyDescent="0.25">
      <c r="A78" s="6">
        <f t="shared" si="5"/>
        <v>73</v>
      </c>
      <c r="B78" s="372"/>
      <c r="C78" s="373"/>
      <c r="D78" s="373"/>
      <c r="E78" s="1458" t="str">
        <f t="shared" si="9"/>
        <v xml:space="preserve"> </v>
      </c>
      <c r="F78" s="375"/>
      <c r="G78" s="376"/>
      <c r="H78" s="377"/>
      <c r="I78" s="375"/>
      <c r="J78" s="376"/>
      <c r="K78" s="375"/>
      <c r="L78" s="376"/>
      <c r="M78" s="375"/>
      <c r="N78" s="376"/>
      <c r="O78" s="375"/>
      <c r="P78" s="376"/>
      <c r="Q78" s="386"/>
      <c r="R78" s="378">
        <f t="shared" si="8"/>
        <v>0</v>
      </c>
      <c r="S78" s="373"/>
      <c r="T78" s="373"/>
      <c r="U78" s="373"/>
      <c r="V78" s="373"/>
      <c r="W78" s="373"/>
      <c r="X78" s="379">
        <f t="shared" si="11"/>
        <v>0</v>
      </c>
      <c r="Y78" s="379">
        <f t="shared" si="12"/>
        <v>0</v>
      </c>
      <c r="Z78" s="1458" t="str">
        <f t="shared" si="10"/>
        <v xml:space="preserve"> </v>
      </c>
      <c r="AA78" s="380"/>
      <c r="AB78" s="381"/>
      <c r="AC78" s="381"/>
      <c r="AD78" s="382"/>
      <c r="AE78" s="383"/>
      <c r="AF78" s="383"/>
      <c r="AG78" s="382"/>
      <c r="AH78" s="383"/>
      <c r="AI78" s="384"/>
      <c r="AJ78" s="346"/>
      <c r="AQ78" s="42"/>
    </row>
    <row r="79" spans="1:43" x14ac:dyDescent="0.25">
      <c r="A79" s="6">
        <f>A78+1</f>
        <v>74</v>
      </c>
      <c r="B79" s="372"/>
      <c r="C79" s="373"/>
      <c r="D79" s="387"/>
      <c r="E79" s="1458" t="str">
        <f t="shared" si="9"/>
        <v xml:space="preserve"> </v>
      </c>
      <c r="F79" s="375"/>
      <c r="G79" s="376"/>
      <c r="H79" s="377"/>
      <c r="I79" s="375"/>
      <c r="J79" s="376"/>
      <c r="K79" s="375"/>
      <c r="L79" s="376"/>
      <c r="M79" s="375"/>
      <c r="N79" s="376"/>
      <c r="O79" s="375"/>
      <c r="P79" s="376"/>
      <c r="Q79" s="386"/>
      <c r="R79" s="378">
        <f t="shared" si="8"/>
        <v>0</v>
      </c>
      <c r="S79" s="373"/>
      <c r="T79" s="373"/>
      <c r="U79" s="373"/>
      <c r="V79" s="373"/>
      <c r="W79" s="373"/>
      <c r="X79" s="379">
        <f t="shared" si="11"/>
        <v>0</v>
      </c>
      <c r="Y79" s="379">
        <f t="shared" si="12"/>
        <v>0</v>
      </c>
      <c r="Z79" s="1458" t="str">
        <f t="shared" si="10"/>
        <v xml:space="preserve"> </v>
      </c>
      <c r="AA79" s="380"/>
      <c r="AB79" s="381"/>
      <c r="AC79" s="381"/>
      <c r="AD79" s="382"/>
      <c r="AE79" s="383"/>
      <c r="AF79" s="383"/>
      <c r="AG79" s="382"/>
      <c r="AH79" s="383"/>
      <c r="AI79" s="384"/>
      <c r="AJ79" s="346"/>
      <c r="AQ79" s="42"/>
    </row>
    <row r="80" spans="1:43" x14ac:dyDescent="0.25">
      <c r="A80" s="6">
        <f>A79+1</f>
        <v>75</v>
      </c>
      <c r="B80" s="372"/>
      <c r="C80" s="373"/>
      <c r="D80" s="373"/>
      <c r="E80" s="1458" t="str">
        <f t="shared" si="9"/>
        <v xml:space="preserve"> </v>
      </c>
      <c r="F80" s="375"/>
      <c r="G80" s="376"/>
      <c r="H80" s="377"/>
      <c r="I80" s="375"/>
      <c r="J80" s="376"/>
      <c r="K80" s="375"/>
      <c r="L80" s="376"/>
      <c r="M80" s="375"/>
      <c r="N80" s="376"/>
      <c r="O80" s="375"/>
      <c r="P80" s="376"/>
      <c r="Q80" s="386"/>
      <c r="R80" s="378">
        <f t="shared" si="8"/>
        <v>0</v>
      </c>
      <c r="S80" s="373"/>
      <c r="T80" s="373"/>
      <c r="U80" s="373"/>
      <c r="V80" s="373"/>
      <c r="W80" s="373"/>
      <c r="X80" s="379">
        <f t="shared" si="11"/>
        <v>0</v>
      </c>
      <c r="Y80" s="379">
        <f t="shared" si="12"/>
        <v>0</v>
      </c>
      <c r="Z80" s="1458" t="str">
        <f t="shared" si="10"/>
        <v xml:space="preserve"> </v>
      </c>
      <c r="AA80" s="380"/>
      <c r="AB80" s="381"/>
      <c r="AC80" s="381"/>
      <c r="AD80" s="382"/>
      <c r="AE80" s="383"/>
      <c r="AF80" s="383"/>
      <c r="AG80" s="382"/>
      <c r="AH80" s="383"/>
      <c r="AI80" s="384"/>
      <c r="AJ80" s="346"/>
    </row>
    <row r="81" spans="1:36" x14ac:dyDescent="0.25">
      <c r="A81" s="6">
        <f t="shared" si="5"/>
        <v>76</v>
      </c>
      <c r="B81" s="372"/>
      <c r="C81" s="373"/>
      <c r="D81" s="373"/>
      <c r="E81" s="1458" t="str">
        <f t="shared" si="9"/>
        <v xml:space="preserve"> </v>
      </c>
      <c r="F81" s="375"/>
      <c r="G81" s="376"/>
      <c r="H81" s="377"/>
      <c r="I81" s="375"/>
      <c r="J81" s="376"/>
      <c r="K81" s="375"/>
      <c r="L81" s="376"/>
      <c r="M81" s="375"/>
      <c r="N81" s="376"/>
      <c r="O81" s="375"/>
      <c r="P81" s="376"/>
      <c r="Q81" s="386"/>
      <c r="R81" s="378">
        <f t="shared" si="8"/>
        <v>0</v>
      </c>
      <c r="S81" s="373"/>
      <c r="T81" s="373"/>
      <c r="U81" s="373"/>
      <c r="V81" s="373"/>
      <c r="W81" s="373"/>
      <c r="X81" s="379">
        <f t="shared" si="11"/>
        <v>0</v>
      </c>
      <c r="Y81" s="379">
        <f t="shared" si="12"/>
        <v>0</v>
      </c>
      <c r="Z81" s="1458" t="str">
        <f t="shared" si="10"/>
        <v xml:space="preserve"> </v>
      </c>
      <c r="AA81" s="380"/>
      <c r="AB81" s="381"/>
      <c r="AC81" s="381"/>
      <c r="AD81" s="382"/>
      <c r="AE81" s="383"/>
      <c r="AF81" s="383"/>
      <c r="AG81" s="382"/>
      <c r="AH81" s="383"/>
      <c r="AI81" s="384"/>
      <c r="AJ81" s="346"/>
    </row>
    <row r="82" spans="1:36" x14ac:dyDescent="0.25">
      <c r="A82" s="6">
        <f t="shared" si="5"/>
        <v>77</v>
      </c>
      <c r="B82" s="372"/>
      <c r="C82" s="373"/>
      <c r="D82" s="373"/>
      <c r="E82" s="1458" t="str">
        <f t="shared" si="9"/>
        <v xml:space="preserve"> </v>
      </c>
      <c r="F82" s="375"/>
      <c r="G82" s="376"/>
      <c r="H82" s="377"/>
      <c r="I82" s="375"/>
      <c r="J82" s="376"/>
      <c r="K82" s="375"/>
      <c r="L82" s="376"/>
      <c r="M82" s="375"/>
      <c r="N82" s="376"/>
      <c r="O82" s="375"/>
      <c r="P82" s="376"/>
      <c r="Q82" s="386"/>
      <c r="R82" s="378">
        <f t="shared" si="8"/>
        <v>0</v>
      </c>
      <c r="S82" s="373"/>
      <c r="T82" s="373"/>
      <c r="U82" s="373"/>
      <c r="V82" s="373"/>
      <c r="W82" s="373"/>
      <c r="X82" s="379">
        <f t="shared" si="11"/>
        <v>0</v>
      </c>
      <c r="Y82" s="379">
        <f t="shared" si="12"/>
        <v>0</v>
      </c>
      <c r="Z82" s="1458" t="str">
        <f t="shared" si="10"/>
        <v xml:space="preserve"> </v>
      </c>
      <c r="AA82" s="380"/>
      <c r="AB82" s="381"/>
      <c r="AC82" s="381"/>
      <c r="AD82" s="382"/>
      <c r="AE82" s="383"/>
      <c r="AF82" s="383"/>
      <c r="AG82" s="382"/>
      <c r="AH82" s="383"/>
      <c r="AI82" s="384"/>
      <c r="AJ82" s="346"/>
    </row>
    <row r="83" spans="1:36" x14ac:dyDescent="0.25">
      <c r="A83" s="6">
        <f t="shared" si="5"/>
        <v>78</v>
      </c>
      <c r="B83" s="372"/>
      <c r="C83" s="373"/>
      <c r="D83" s="373"/>
      <c r="E83" s="1458" t="str">
        <f t="shared" si="9"/>
        <v xml:space="preserve"> </v>
      </c>
      <c r="F83" s="375"/>
      <c r="G83" s="376"/>
      <c r="H83" s="377"/>
      <c r="I83" s="375"/>
      <c r="J83" s="376"/>
      <c r="K83" s="375"/>
      <c r="L83" s="376"/>
      <c r="M83" s="375"/>
      <c r="N83" s="376"/>
      <c r="O83" s="375"/>
      <c r="P83" s="376"/>
      <c r="Q83" s="386"/>
      <c r="R83" s="378">
        <f t="shared" si="8"/>
        <v>0</v>
      </c>
      <c r="S83" s="373"/>
      <c r="T83" s="373"/>
      <c r="U83" s="373"/>
      <c r="V83" s="373"/>
      <c r="W83" s="373"/>
      <c r="X83" s="379">
        <f t="shared" si="11"/>
        <v>0</v>
      </c>
      <c r="Y83" s="379">
        <f t="shared" si="12"/>
        <v>0</v>
      </c>
      <c r="Z83" s="1458" t="str">
        <f t="shared" si="10"/>
        <v xml:space="preserve"> </v>
      </c>
      <c r="AA83" s="380"/>
      <c r="AB83" s="381"/>
      <c r="AC83" s="381"/>
      <c r="AD83" s="382"/>
      <c r="AE83" s="383"/>
      <c r="AF83" s="383"/>
      <c r="AG83" s="382"/>
      <c r="AH83" s="383"/>
      <c r="AI83" s="384"/>
      <c r="AJ83" s="346"/>
    </row>
    <row r="84" spans="1:36" x14ac:dyDescent="0.25">
      <c r="A84" s="6">
        <f t="shared" si="5"/>
        <v>79</v>
      </c>
      <c r="B84" s="372"/>
      <c r="C84" s="373"/>
      <c r="D84" s="373"/>
      <c r="E84" s="1458" t="str">
        <f t="shared" si="9"/>
        <v xml:space="preserve"> </v>
      </c>
      <c r="F84" s="375"/>
      <c r="G84" s="376"/>
      <c r="H84" s="377"/>
      <c r="I84" s="375"/>
      <c r="J84" s="376"/>
      <c r="K84" s="375"/>
      <c r="L84" s="376"/>
      <c r="M84" s="375"/>
      <c r="N84" s="376"/>
      <c r="O84" s="375"/>
      <c r="P84" s="376"/>
      <c r="Q84" s="386"/>
      <c r="R84" s="378">
        <f t="shared" si="8"/>
        <v>0</v>
      </c>
      <c r="S84" s="373"/>
      <c r="T84" s="373"/>
      <c r="U84" s="373"/>
      <c r="V84" s="373"/>
      <c r="W84" s="373"/>
      <c r="X84" s="379">
        <f t="shared" si="11"/>
        <v>0</v>
      </c>
      <c r="Y84" s="379">
        <f t="shared" si="12"/>
        <v>0</v>
      </c>
      <c r="Z84" s="1458" t="str">
        <f t="shared" si="10"/>
        <v xml:space="preserve"> </v>
      </c>
      <c r="AA84" s="380"/>
      <c r="AB84" s="381"/>
      <c r="AC84" s="381"/>
      <c r="AD84" s="382"/>
      <c r="AE84" s="383"/>
      <c r="AF84" s="383"/>
      <c r="AG84" s="382"/>
      <c r="AH84" s="383"/>
      <c r="AI84" s="384"/>
      <c r="AJ84" s="346"/>
    </row>
    <row r="85" spans="1:36" x14ac:dyDescent="0.25">
      <c r="A85" s="6">
        <f t="shared" si="5"/>
        <v>80</v>
      </c>
      <c r="B85" s="372"/>
      <c r="C85" s="373"/>
      <c r="D85" s="373"/>
      <c r="E85" s="1458" t="str">
        <f t="shared" si="9"/>
        <v xml:space="preserve"> </v>
      </c>
      <c r="F85" s="375"/>
      <c r="G85" s="376"/>
      <c r="H85" s="377"/>
      <c r="I85" s="375"/>
      <c r="J85" s="376"/>
      <c r="K85" s="375"/>
      <c r="L85" s="376"/>
      <c r="M85" s="375"/>
      <c r="N85" s="376"/>
      <c r="O85" s="375"/>
      <c r="P85" s="376"/>
      <c r="Q85" s="386"/>
      <c r="R85" s="378">
        <f t="shared" si="8"/>
        <v>0</v>
      </c>
      <c r="S85" s="373"/>
      <c r="T85" s="373"/>
      <c r="U85" s="373"/>
      <c r="V85" s="373"/>
      <c r="W85" s="373"/>
      <c r="X85" s="379">
        <f t="shared" si="11"/>
        <v>0</v>
      </c>
      <c r="Y85" s="379">
        <f t="shared" si="12"/>
        <v>0</v>
      </c>
      <c r="Z85" s="1458" t="str">
        <f t="shared" si="10"/>
        <v xml:space="preserve"> </v>
      </c>
      <c r="AA85" s="380"/>
      <c r="AB85" s="381"/>
      <c r="AC85" s="381"/>
      <c r="AD85" s="382"/>
      <c r="AE85" s="383"/>
      <c r="AF85" s="383"/>
      <c r="AG85" s="382"/>
      <c r="AH85" s="383"/>
      <c r="AI85" s="384"/>
      <c r="AJ85" s="346"/>
    </row>
    <row r="86" spans="1:36" x14ac:dyDescent="0.25">
      <c r="A86" s="6">
        <f t="shared" si="5"/>
        <v>81</v>
      </c>
      <c r="B86" s="372"/>
      <c r="C86" s="373"/>
      <c r="D86" s="373"/>
      <c r="E86" s="1458" t="str">
        <f t="shared" si="9"/>
        <v xml:space="preserve"> </v>
      </c>
      <c r="F86" s="375"/>
      <c r="G86" s="376"/>
      <c r="H86" s="377"/>
      <c r="I86" s="375"/>
      <c r="J86" s="376"/>
      <c r="K86" s="375"/>
      <c r="L86" s="376"/>
      <c r="M86" s="375"/>
      <c r="N86" s="376"/>
      <c r="O86" s="375"/>
      <c r="P86" s="376"/>
      <c r="Q86" s="386"/>
      <c r="R86" s="378">
        <f t="shared" si="8"/>
        <v>0</v>
      </c>
      <c r="S86" s="373"/>
      <c r="T86" s="373"/>
      <c r="U86" s="373"/>
      <c r="V86" s="373"/>
      <c r="W86" s="373"/>
      <c r="X86" s="379">
        <f t="shared" si="11"/>
        <v>0</v>
      </c>
      <c r="Y86" s="379">
        <f t="shared" si="12"/>
        <v>0</v>
      </c>
      <c r="Z86" s="1458" t="str">
        <f t="shared" si="10"/>
        <v xml:space="preserve"> </v>
      </c>
      <c r="AA86" s="380"/>
      <c r="AB86" s="381"/>
      <c r="AC86" s="381"/>
      <c r="AD86" s="382"/>
      <c r="AE86" s="383"/>
      <c r="AF86" s="383"/>
      <c r="AG86" s="382"/>
      <c r="AH86" s="383"/>
      <c r="AI86" s="384"/>
      <c r="AJ86" s="346"/>
    </row>
    <row r="87" spans="1:36" x14ac:dyDescent="0.25">
      <c r="A87" s="6">
        <f t="shared" si="5"/>
        <v>82</v>
      </c>
      <c r="B87" s="372"/>
      <c r="C87" s="373"/>
      <c r="D87" s="373"/>
      <c r="E87" s="1458" t="str">
        <f t="shared" si="9"/>
        <v xml:space="preserve"> </v>
      </c>
      <c r="F87" s="375"/>
      <c r="G87" s="376"/>
      <c r="H87" s="377"/>
      <c r="I87" s="375"/>
      <c r="J87" s="376"/>
      <c r="K87" s="375"/>
      <c r="L87" s="376"/>
      <c r="M87" s="375"/>
      <c r="N87" s="376"/>
      <c r="O87" s="375"/>
      <c r="P87" s="376"/>
      <c r="Q87" s="386"/>
      <c r="R87" s="378">
        <f t="shared" si="8"/>
        <v>0</v>
      </c>
      <c r="S87" s="373"/>
      <c r="T87" s="373"/>
      <c r="U87" s="373"/>
      <c r="V87" s="373"/>
      <c r="W87" s="373"/>
      <c r="X87" s="379">
        <f t="shared" si="11"/>
        <v>0</v>
      </c>
      <c r="Y87" s="379">
        <f t="shared" si="12"/>
        <v>0</v>
      </c>
      <c r="Z87" s="1458" t="str">
        <f t="shared" si="10"/>
        <v xml:space="preserve"> </v>
      </c>
      <c r="AA87" s="380"/>
      <c r="AB87" s="381"/>
      <c r="AC87" s="381"/>
      <c r="AD87" s="382"/>
      <c r="AE87" s="383"/>
      <c r="AF87" s="383"/>
      <c r="AG87" s="382"/>
      <c r="AH87" s="383"/>
      <c r="AI87" s="384"/>
      <c r="AJ87" s="346"/>
    </row>
    <row r="88" spans="1:36" x14ac:dyDescent="0.25">
      <c r="A88" s="6">
        <f t="shared" si="5"/>
        <v>83</v>
      </c>
      <c r="B88" s="372"/>
      <c r="C88" s="373"/>
      <c r="D88" s="387"/>
      <c r="E88" s="1458" t="str">
        <f t="shared" si="9"/>
        <v xml:space="preserve"> </v>
      </c>
      <c r="F88" s="375"/>
      <c r="G88" s="376"/>
      <c r="H88" s="377"/>
      <c r="I88" s="375"/>
      <c r="J88" s="376"/>
      <c r="K88" s="375"/>
      <c r="L88" s="376"/>
      <c r="M88" s="375"/>
      <c r="N88" s="376"/>
      <c r="O88" s="375"/>
      <c r="P88" s="376"/>
      <c r="Q88" s="386"/>
      <c r="R88" s="378">
        <f t="shared" si="8"/>
        <v>0</v>
      </c>
      <c r="S88" s="373"/>
      <c r="T88" s="373"/>
      <c r="U88" s="373"/>
      <c r="V88" s="373"/>
      <c r="W88" s="373"/>
      <c r="X88" s="379">
        <f t="shared" si="11"/>
        <v>0</v>
      </c>
      <c r="Y88" s="379">
        <f t="shared" si="12"/>
        <v>0</v>
      </c>
      <c r="Z88" s="1458" t="str">
        <f t="shared" si="10"/>
        <v xml:space="preserve"> </v>
      </c>
      <c r="AA88" s="380"/>
      <c r="AB88" s="381"/>
      <c r="AC88" s="381"/>
      <c r="AD88" s="382"/>
      <c r="AE88" s="383"/>
      <c r="AF88" s="383"/>
      <c r="AG88" s="382"/>
      <c r="AH88" s="383"/>
      <c r="AI88" s="384"/>
      <c r="AJ88" s="346"/>
    </row>
    <row r="89" spans="1:36" x14ac:dyDescent="0.25">
      <c r="A89" s="6">
        <f t="shared" si="5"/>
        <v>84</v>
      </c>
      <c r="B89" s="372"/>
      <c r="C89" s="373"/>
      <c r="D89" s="387"/>
      <c r="E89" s="1458" t="str">
        <f t="shared" si="9"/>
        <v xml:space="preserve"> </v>
      </c>
      <c r="F89" s="375"/>
      <c r="G89" s="376"/>
      <c r="H89" s="377"/>
      <c r="I89" s="375"/>
      <c r="J89" s="376"/>
      <c r="K89" s="375"/>
      <c r="L89" s="376"/>
      <c r="M89" s="375"/>
      <c r="N89" s="376"/>
      <c r="O89" s="375"/>
      <c r="P89" s="376"/>
      <c r="Q89" s="386"/>
      <c r="R89" s="378">
        <f t="shared" si="8"/>
        <v>0</v>
      </c>
      <c r="S89" s="373"/>
      <c r="T89" s="373"/>
      <c r="U89" s="373"/>
      <c r="V89" s="373"/>
      <c r="W89" s="373"/>
      <c r="X89" s="379">
        <f t="shared" si="11"/>
        <v>0</v>
      </c>
      <c r="Y89" s="379">
        <f t="shared" si="12"/>
        <v>0</v>
      </c>
      <c r="Z89" s="1458" t="str">
        <f t="shared" si="10"/>
        <v xml:space="preserve"> </v>
      </c>
      <c r="AA89" s="380"/>
      <c r="AB89" s="381"/>
      <c r="AC89" s="381"/>
      <c r="AD89" s="382"/>
      <c r="AE89" s="383"/>
      <c r="AF89" s="383"/>
      <c r="AG89" s="382"/>
      <c r="AH89" s="383"/>
      <c r="AI89" s="384"/>
      <c r="AJ89" s="346"/>
    </row>
    <row r="90" spans="1:36" x14ac:dyDescent="0.25">
      <c r="A90" s="6">
        <f t="shared" si="5"/>
        <v>85</v>
      </c>
      <c r="B90" s="372"/>
      <c r="C90" s="373"/>
      <c r="D90" s="387"/>
      <c r="E90" s="1458" t="str">
        <f t="shared" si="9"/>
        <v xml:space="preserve"> </v>
      </c>
      <c r="F90" s="375"/>
      <c r="G90" s="376"/>
      <c r="H90" s="377"/>
      <c r="I90" s="375"/>
      <c r="J90" s="376"/>
      <c r="K90" s="375"/>
      <c r="L90" s="376"/>
      <c r="M90" s="375"/>
      <c r="N90" s="376"/>
      <c r="O90" s="375"/>
      <c r="P90" s="376"/>
      <c r="Q90" s="386"/>
      <c r="R90" s="378">
        <f t="shared" si="8"/>
        <v>0</v>
      </c>
      <c r="S90" s="373"/>
      <c r="T90" s="373"/>
      <c r="U90" s="373"/>
      <c r="V90" s="373"/>
      <c r="W90" s="373"/>
      <c r="X90" s="379">
        <f t="shared" si="11"/>
        <v>0</v>
      </c>
      <c r="Y90" s="379">
        <f t="shared" si="12"/>
        <v>0</v>
      </c>
      <c r="Z90" s="1458" t="str">
        <f t="shared" si="10"/>
        <v xml:space="preserve"> </v>
      </c>
      <c r="AA90" s="380"/>
      <c r="AB90" s="381"/>
      <c r="AC90" s="381"/>
      <c r="AD90" s="382"/>
      <c r="AE90" s="383"/>
      <c r="AF90" s="383"/>
      <c r="AG90" s="382"/>
      <c r="AH90" s="383"/>
      <c r="AI90" s="384"/>
      <c r="AJ90" s="346"/>
    </row>
    <row r="91" spans="1:36" x14ac:dyDescent="0.25">
      <c r="A91" s="6">
        <f t="shared" si="5"/>
        <v>86</v>
      </c>
      <c r="B91" s="372"/>
      <c r="C91" s="373"/>
      <c r="D91" s="387"/>
      <c r="E91" s="1458" t="str">
        <f t="shared" si="9"/>
        <v xml:space="preserve"> </v>
      </c>
      <c r="F91" s="375"/>
      <c r="G91" s="376"/>
      <c r="H91" s="377"/>
      <c r="I91" s="375"/>
      <c r="J91" s="376"/>
      <c r="K91" s="375"/>
      <c r="L91" s="376"/>
      <c r="M91" s="375"/>
      <c r="N91" s="376"/>
      <c r="O91" s="375"/>
      <c r="P91" s="376"/>
      <c r="Q91" s="386"/>
      <c r="R91" s="378">
        <f t="shared" si="8"/>
        <v>0</v>
      </c>
      <c r="S91" s="373"/>
      <c r="T91" s="373"/>
      <c r="U91" s="373"/>
      <c r="V91" s="373"/>
      <c r="W91" s="373"/>
      <c r="X91" s="379">
        <f t="shared" si="11"/>
        <v>0</v>
      </c>
      <c r="Y91" s="379">
        <f t="shared" si="12"/>
        <v>0</v>
      </c>
      <c r="Z91" s="1458" t="str">
        <f t="shared" si="10"/>
        <v xml:space="preserve"> </v>
      </c>
      <c r="AA91" s="380"/>
      <c r="AB91" s="381"/>
      <c r="AC91" s="381"/>
      <c r="AD91" s="382"/>
      <c r="AE91" s="383"/>
      <c r="AF91" s="383"/>
      <c r="AG91" s="382"/>
      <c r="AH91" s="383"/>
      <c r="AI91" s="384"/>
      <c r="AJ91" s="346"/>
    </row>
    <row r="92" spans="1:36" x14ac:dyDescent="0.25">
      <c r="A92" s="6">
        <f t="shared" si="5"/>
        <v>87</v>
      </c>
      <c r="B92" s="372"/>
      <c r="C92" s="373"/>
      <c r="D92" s="387"/>
      <c r="E92" s="1458" t="str">
        <f t="shared" si="9"/>
        <v xml:space="preserve"> </v>
      </c>
      <c r="F92" s="375"/>
      <c r="G92" s="376"/>
      <c r="H92" s="377"/>
      <c r="I92" s="375"/>
      <c r="J92" s="376"/>
      <c r="K92" s="375"/>
      <c r="L92" s="376"/>
      <c r="M92" s="375"/>
      <c r="N92" s="376"/>
      <c r="O92" s="375"/>
      <c r="P92" s="376"/>
      <c r="Q92" s="386"/>
      <c r="R92" s="378">
        <f t="shared" si="8"/>
        <v>0</v>
      </c>
      <c r="S92" s="373"/>
      <c r="T92" s="373"/>
      <c r="U92" s="373"/>
      <c r="V92" s="373"/>
      <c r="W92" s="373"/>
      <c r="X92" s="379">
        <f t="shared" si="11"/>
        <v>0</v>
      </c>
      <c r="Y92" s="379">
        <f t="shared" si="12"/>
        <v>0</v>
      </c>
      <c r="Z92" s="1458" t="str">
        <f t="shared" si="10"/>
        <v xml:space="preserve"> </v>
      </c>
      <c r="AA92" s="380"/>
      <c r="AB92" s="381"/>
      <c r="AC92" s="381"/>
      <c r="AD92" s="382"/>
      <c r="AE92" s="383"/>
      <c r="AF92" s="383"/>
      <c r="AG92" s="382"/>
      <c r="AH92" s="383"/>
      <c r="AI92" s="384"/>
      <c r="AJ92" s="346"/>
    </row>
    <row r="93" spans="1:36" x14ac:dyDescent="0.25">
      <c r="A93" s="6">
        <f t="shared" si="5"/>
        <v>88</v>
      </c>
      <c r="B93" s="372"/>
      <c r="C93" s="373"/>
      <c r="D93" s="387"/>
      <c r="E93" s="1458" t="str">
        <f t="shared" si="9"/>
        <v xml:space="preserve"> </v>
      </c>
      <c r="F93" s="375"/>
      <c r="G93" s="376"/>
      <c r="H93" s="377"/>
      <c r="I93" s="375"/>
      <c r="J93" s="376"/>
      <c r="K93" s="375"/>
      <c r="L93" s="376"/>
      <c r="M93" s="375"/>
      <c r="N93" s="376"/>
      <c r="O93" s="375"/>
      <c r="P93" s="376"/>
      <c r="Q93" s="386"/>
      <c r="R93" s="378">
        <f t="shared" si="8"/>
        <v>0</v>
      </c>
      <c r="S93" s="373"/>
      <c r="T93" s="373"/>
      <c r="U93" s="373"/>
      <c r="V93" s="373"/>
      <c r="W93" s="373"/>
      <c r="X93" s="379">
        <f t="shared" si="11"/>
        <v>0</v>
      </c>
      <c r="Y93" s="379">
        <f t="shared" si="12"/>
        <v>0</v>
      </c>
      <c r="Z93" s="1458" t="str">
        <f t="shared" si="10"/>
        <v xml:space="preserve"> </v>
      </c>
      <c r="AA93" s="380"/>
      <c r="AB93" s="381"/>
      <c r="AC93" s="381"/>
      <c r="AD93" s="382"/>
      <c r="AE93" s="383"/>
      <c r="AF93" s="383"/>
      <c r="AG93" s="382"/>
      <c r="AH93" s="383"/>
      <c r="AI93" s="384"/>
      <c r="AJ93" s="346"/>
    </row>
    <row r="94" spans="1:36" x14ac:dyDescent="0.25">
      <c r="A94" s="6">
        <f t="shared" si="5"/>
        <v>89</v>
      </c>
      <c r="B94" s="372"/>
      <c r="C94" s="373"/>
      <c r="D94" s="387"/>
      <c r="E94" s="1458" t="str">
        <f t="shared" si="9"/>
        <v xml:space="preserve"> </v>
      </c>
      <c r="F94" s="375"/>
      <c r="G94" s="376"/>
      <c r="H94" s="377"/>
      <c r="I94" s="375"/>
      <c r="J94" s="376"/>
      <c r="K94" s="375"/>
      <c r="L94" s="376"/>
      <c r="M94" s="375"/>
      <c r="N94" s="376"/>
      <c r="O94" s="375"/>
      <c r="P94" s="376"/>
      <c r="Q94" s="386"/>
      <c r="R94" s="378">
        <f t="shared" si="8"/>
        <v>0</v>
      </c>
      <c r="S94" s="373"/>
      <c r="T94" s="373"/>
      <c r="U94" s="373"/>
      <c r="V94" s="373"/>
      <c r="W94" s="373"/>
      <c r="X94" s="379">
        <f t="shared" si="11"/>
        <v>0</v>
      </c>
      <c r="Y94" s="379">
        <f t="shared" si="12"/>
        <v>0</v>
      </c>
      <c r="Z94" s="1458" t="str">
        <f t="shared" si="10"/>
        <v xml:space="preserve"> </v>
      </c>
      <c r="AA94" s="380"/>
      <c r="AB94" s="381"/>
      <c r="AC94" s="381"/>
      <c r="AD94" s="382"/>
      <c r="AE94" s="383"/>
      <c r="AF94" s="383"/>
      <c r="AG94" s="382"/>
      <c r="AH94" s="383"/>
      <c r="AI94" s="384"/>
      <c r="AJ94" s="346"/>
    </row>
    <row r="95" spans="1:36" x14ac:dyDescent="0.25">
      <c r="A95" s="6">
        <f t="shared" si="5"/>
        <v>90</v>
      </c>
      <c r="B95" s="372"/>
      <c r="C95" s="373"/>
      <c r="D95" s="387"/>
      <c r="E95" s="1458" t="str">
        <f t="shared" si="9"/>
        <v xml:space="preserve"> </v>
      </c>
      <c r="F95" s="375"/>
      <c r="G95" s="376"/>
      <c r="H95" s="377"/>
      <c r="I95" s="375"/>
      <c r="J95" s="376"/>
      <c r="K95" s="375"/>
      <c r="L95" s="376"/>
      <c r="M95" s="375"/>
      <c r="N95" s="376"/>
      <c r="O95" s="375"/>
      <c r="P95" s="376"/>
      <c r="Q95" s="386"/>
      <c r="R95" s="378">
        <f t="shared" si="8"/>
        <v>0</v>
      </c>
      <c r="S95" s="373"/>
      <c r="T95" s="373"/>
      <c r="U95" s="373"/>
      <c r="V95" s="373"/>
      <c r="W95" s="373"/>
      <c r="X95" s="379">
        <f t="shared" si="11"/>
        <v>0</v>
      </c>
      <c r="Y95" s="379">
        <f t="shared" si="12"/>
        <v>0</v>
      </c>
      <c r="Z95" s="1458" t="str">
        <f t="shared" si="10"/>
        <v xml:space="preserve"> </v>
      </c>
      <c r="AA95" s="380"/>
      <c r="AB95" s="381"/>
      <c r="AC95" s="381"/>
      <c r="AD95" s="382"/>
      <c r="AE95" s="383"/>
      <c r="AF95" s="383"/>
      <c r="AG95" s="382"/>
      <c r="AH95" s="383"/>
      <c r="AI95" s="384"/>
      <c r="AJ95" s="346"/>
    </row>
    <row r="96" spans="1:36" x14ac:dyDescent="0.25">
      <c r="A96" s="6">
        <f t="shared" si="5"/>
        <v>91</v>
      </c>
      <c r="B96" s="372"/>
      <c r="C96" s="373"/>
      <c r="D96" s="387"/>
      <c r="E96" s="1458" t="str">
        <f t="shared" si="9"/>
        <v xml:space="preserve"> </v>
      </c>
      <c r="F96" s="375"/>
      <c r="G96" s="376"/>
      <c r="H96" s="377"/>
      <c r="I96" s="375"/>
      <c r="J96" s="376"/>
      <c r="K96" s="375"/>
      <c r="L96" s="376"/>
      <c r="M96" s="375"/>
      <c r="N96" s="376"/>
      <c r="O96" s="375"/>
      <c r="P96" s="376"/>
      <c r="Q96" s="386"/>
      <c r="R96" s="378">
        <f t="shared" si="8"/>
        <v>0</v>
      </c>
      <c r="S96" s="373"/>
      <c r="T96" s="373"/>
      <c r="U96" s="373"/>
      <c r="V96" s="373"/>
      <c r="W96" s="373"/>
      <c r="X96" s="379">
        <f t="shared" si="11"/>
        <v>0</v>
      </c>
      <c r="Y96" s="379">
        <f t="shared" si="12"/>
        <v>0</v>
      </c>
      <c r="Z96" s="1458" t="str">
        <f t="shared" si="10"/>
        <v xml:space="preserve"> </v>
      </c>
      <c r="AA96" s="380"/>
      <c r="AB96" s="381"/>
      <c r="AC96" s="381"/>
      <c r="AD96" s="382"/>
      <c r="AE96" s="383"/>
      <c r="AF96" s="383"/>
      <c r="AG96" s="382"/>
      <c r="AH96" s="383"/>
      <c r="AI96" s="384"/>
      <c r="AJ96" s="346"/>
    </row>
    <row r="97" spans="1:36" x14ac:dyDescent="0.25">
      <c r="A97" s="6">
        <f t="shared" si="5"/>
        <v>92</v>
      </c>
      <c r="B97" s="372"/>
      <c r="C97" s="373"/>
      <c r="D97" s="387"/>
      <c r="E97" s="1458" t="str">
        <f t="shared" si="9"/>
        <v xml:space="preserve"> </v>
      </c>
      <c r="F97" s="375"/>
      <c r="G97" s="376"/>
      <c r="H97" s="377"/>
      <c r="I97" s="375"/>
      <c r="J97" s="376"/>
      <c r="K97" s="375"/>
      <c r="L97" s="376"/>
      <c r="M97" s="375"/>
      <c r="N97" s="376"/>
      <c r="O97" s="375"/>
      <c r="P97" s="376"/>
      <c r="Q97" s="386"/>
      <c r="R97" s="378">
        <f t="shared" si="8"/>
        <v>0</v>
      </c>
      <c r="S97" s="373"/>
      <c r="T97" s="373"/>
      <c r="U97" s="373"/>
      <c r="V97" s="373"/>
      <c r="W97" s="373"/>
      <c r="X97" s="379">
        <f t="shared" si="11"/>
        <v>0</v>
      </c>
      <c r="Y97" s="379">
        <f t="shared" si="12"/>
        <v>0</v>
      </c>
      <c r="Z97" s="1458" t="str">
        <f t="shared" si="10"/>
        <v xml:space="preserve"> </v>
      </c>
      <c r="AA97" s="380"/>
      <c r="AB97" s="381"/>
      <c r="AC97" s="381"/>
      <c r="AD97" s="382"/>
      <c r="AE97" s="383"/>
      <c r="AF97" s="383"/>
      <c r="AG97" s="382"/>
      <c r="AH97" s="383"/>
      <c r="AI97" s="384"/>
      <c r="AJ97" s="346"/>
    </row>
    <row r="98" spans="1:36" x14ac:dyDescent="0.25">
      <c r="A98" s="6">
        <f t="shared" si="5"/>
        <v>93</v>
      </c>
      <c r="B98" s="372"/>
      <c r="C98" s="373"/>
      <c r="D98" s="387"/>
      <c r="E98" s="1458" t="str">
        <f t="shared" si="9"/>
        <v xml:space="preserve"> </v>
      </c>
      <c r="F98" s="375"/>
      <c r="G98" s="376"/>
      <c r="H98" s="377"/>
      <c r="I98" s="375"/>
      <c r="J98" s="376"/>
      <c r="K98" s="375"/>
      <c r="L98" s="376"/>
      <c r="M98" s="375"/>
      <c r="N98" s="376"/>
      <c r="O98" s="375"/>
      <c r="P98" s="376"/>
      <c r="Q98" s="386"/>
      <c r="R98" s="378">
        <f t="shared" si="8"/>
        <v>0</v>
      </c>
      <c r="S98" s="373"/>
      <c r="T98" s="373"/>
      <c r="U98" s="373"/>
      <c r="V98" s="373"/>
      <c r="W98" s="373"/>
      <c r="X98" s="379">
        <f t="shared" si="11"/>
        <v>0</v>
      </c>
      <c r="Y98" s="379">
        <f t="shared" si="12"/>
        <v>0</v>
      </c>
      <c r="Z98" s="1458" t="str">
        <f t="shared" si="10"/>
        <v xml:space="preserve"> </v>
      </c>
      <c r="AA98" s="380"/>
      <c r="AB98" s="381"/>
      <c r="AC98" s="381"/>
      <c r="AD98" s="382"/>
      <c r="AE98" s="383"/>
      <c r="AF98" s="383"/>
      <c r="AG98" s="382"/>
      <c r="AH98" s="383"/>
      <c r="AI98" s="384"/>
      <c r="AJ98" s="346"/>
    </row>
    <row r="99" spans="1:36" x14ac:dyDescent="0.25">
      <c r="A99" s="6">
        <f t="shared" si="5"/>
        <v>94</v>
      </c>
      <c r="B99" s="372"/>
      <c r="C99" s="373"/>
      <c r="D99" s="387"/>
      <c r="E99" s="1458" t="str">
        <f t="shared" si="9"/>
        <v xml:space="preserve"> </v>
      </c>
      <c r="F99" s="375"/>
      <c r="G99" s="376"/>
      <c r="H99" s="377"/>
      <c r="I99" s="375"/>
      <c r="J99" s="376"/>
      <c r="K99" s="375"/>
      <c r="L99" s="376"/>
      <c r="M99" s="375"/>
      <c r="N99" s="376"/>
      <c r="O99" s="375"/>
      <c r="P99" s="376"/>
      <c r="Q99" s="386"/>
      <c r="R99" s="378">
        <f t="shared" si="8"/>
        <v>0</v>
      </c>
      <c r="S99" s="373"/>
      <c r="T99" s="373"/>
      <c r="U99" s="373"/>
      <c r="V99" s="373"/>
      <c r="W99" s="373"/>
      <c r="X99" s="379">
        <f t="shared" si="11"/>
        <v>0</v>
      </c>
      <c r="Y99" s="379">
        <f t="shared" si="12"/>
        <v>0</v>
      </c>
      <c r="Z99" s="1458" t="str">
        <f t="shared" si="10"/>
        <v xml:space="preserve"> </v>
      </c>
      <c r="AA99" s="380"/>
      <c r="AB99" s="381"/>
      <c r="AC99" s="381"/>
      <c r="AD99" s="382"/>
      <c r="AE99" s="383"/>
      <c r="AF99" s="383"/>
      <c r="AG99" s="382"/>
      <c r="AH99" s="383"/>
      <c r="AI99" s="384"/>
      <c r="AJ99" s="346"/>
    </row>
    <row r="100" spans="1:36" x14ac:dyDescent="0.25">
      <c r="A100" s="6">
        <f t="shared" si="5"/>
        <v>95</v>
      </c>
      <c r="B100" s="372"/>
      <c r="C100" s="373"/>
      <c r="D100" s="387"/>
      <c r="E100" s="1458" t="str">
        <f t="shared" si="9"/>
        <v xml:space="preserve"> </v>
      </c>
      <c r="F100" s="375"/>
      <c r="G100" s="376"/>
      <c r="H100" s="377"/>
      <c r="I100" s="375"/>
      <c r="J100" s="376"/>
      <c r="K100" s="375"/>
      <c r="L100" s="376"/>
      <c r="M100" s="375"/>
      <c r="N100" s="376"/>
      <c r="O100" s="375"/>
      <c r="P100" s="376"/>
      <c r="Q100" s="386"/>
      <c r="R100" s="378">
        <f t="shared" si="8"/>
        <v>0</v>
      </c>
      <c r="S100" s="373"/>
      <c r="T100" s="373"/>
      <c r="U100" s="373"/>
      <c r="V100" s="373"/>
      <c r="W100" s="373"/>
      <c r="X100" s="379">
        <f t="shared" si="11"/>
        <v>0</v>
      </c>
      <c r="Y100" s="379">
        <f t="shared" si="12"/>
        <v>0</v>
      </c>
      <c r="Z100" s="1458" t="str">
        <f t="shared" si="10"/>
        <v xml:space="preserve"> </v>
      </c>
      <c r="AA100" s="380"/>
      <c r="AB100" s="381"/>
      <c r="AC100" s="381"/>
      <c r="AD100" s="382"/>
      <c r="AE100" s="383"/>
      <c r="AF100" s="383"/>
      <c r="AG100" s="382"/>
      <c r="AH100" s="383"/>
      <c r="AI100" s="384"/>
      <c r="AJ100" s="346"/>
    </row>
    <row r="101" spans="1:36" x14ac:dyDescent="0.25">
      <c r="A101" s="6">
        <f t="shared" si="5"/>
        <v>96</v>
      </c>
      <c r="B101" s="372"/>
      <c r="C101" s="373"/>
      <c r="D101" s="387"/>
      <c r="E101" s="1458" t="str">
        <f t="shared" si="9"/>
        <v xml:space="preserve"> </v>
      </c>
      <c r="F101" s="375"/>
      <c r="G101" s="376"/>
      <c r="H101" s="377"/>
      <c r="I101" s="375"/>
      <c r="J101" s="376"/>
      <c r="K101" s="375"/>
      <c r="L101" s="376"/>
      <c r="M101" s="375"/>
      <c r="N101" s="376"/>
      <c r="O101" s="375"/>
      <c r="P101" s="376"/>
      <c r="Q101" s="386"/>
      <c r="R101" s="378">
        <f t="shared" si="8"/>
        <v>0</v>
      </c>
      <c r="S101" s="373"/>
      <c r="T101" s="373"/>
      <c r="U101" s="373"/>
      <c r="V101" s="373"/>
      <c r="W101" s="373"/>
      <c r="X101" s="379">
        <f t="shared" si="11"/>
        <v>0</v>
      </c>
      <c r="Y101" s="379">
        <f t="shared" si="12"/>
        <v>0</v>
      </c>
      <c r="Z101" s="1458" t="str">
        <f t="shared" si="10"/>
        <v xml:space="preserve"> </v>
      </c>
      <c r="AA101" s="380"/>
      <c r="AB101" s="381"/>
      <c r="AC101" s="381"/>
      <c r="AD101" s="382"/>
      <c r="AE101" s="383"/>
      <c r="AF101" s="383"/>
      <c r="AG101" s="382"/>
      <c r="AH101" s="383"/>
      <c r="AI101" s="384"/>
      <c r="AJ101" s="346"/>
    </row>
    <row r="102" spans="1:36" x14ac:dyDescent="0.25">
      <c r="A102" s="6">
        <f t="shared" si="5"/>
        <v>97</v>
      </c>
      <c r="B102" s="372"/>
      <c r="C102" s="373"/>
      <c r="D102" s="387"/>
      <c r="E102" s="1458" t="str">
        <f t="shared" si="9"/>
        <v xml:space="preserve"> </v>
      </c>
      <c r="F102" s="375"/>
      <c r="G102" s="376"/>
      <c r="H102" s="377"/>
      <c r="I102" s="375"/>
      <c r="J102" s="376"/>
      <c r="K102" s="375"/>
      <c r="L102" s="376"/>
      <c r="M102" s="375"/>
      <c r="N102" s="376"/>
      <c r="O102" s="375"/>
      <c r="P102" s="376"/>
      <c r="Q102" s="386"/>
      <c r="R102" s="378">
        <f t="shared" si="8"/>
        <v>0</v>
      </c>
      <c r="S102" s="373"/>
      <c r="T102" s="373"/>
      <c r="U102" s="373"/>
      <c r="V102" s="373"/>
      <c r="W102" s="373"/>
      <c r="X102" s="379">
        <f t="shared" si="11"/>
        <v>0</v>
      </c>
      <c r="Y102" s="379">
        <f t="shared" si="12"/>
        <v>0</v>
      </c>
      <c r="Z102" s="1458" t="str">
        <f t="shared" si="10"/>
        <v xml:space="preserve"> </v>
      </c>
      <c r="AA102" s="380"/>
      <c r="AB102" s="381"/>
      <c r="AC102" s="381"/>
      <c r="AD102" s="382"/>
      <c r="AE102" s="383"/>
      <c r="AF102" s="383"/>
      <c r="AG102" s="382"/>
      <c r="AH102" s="383"/>
      <c r="AI102" s="384"/>
      <c r="AJ102" s="346"/>
    </row>
    <row r="103" spans="1:36" x14ac:dyDescent="0.25">
      <c r="A103" s="6">
        <f t="shared" si="5"/>
        <v>98</v>
      </c>
      <c r="B103" s="372"/>
      <c r="C103" s="373"/>
      <c r="D103" s="387"/>
      <c r="E103" s="1458" t="str">
        <f t="shared" si="9"/>
        <v xml:space="preserve"> </v>
      </c>
      <c r="F103" s="375"/>
      <c r="G103" s="376"/>
      <c r="H103" s="377"/>
      <c r="I103" s="375"/>
      <c r="J103" s="376"/>
      <c r="K103" s="375"/>
      <c r="L103" s="376"/>
      <c r="M103" s="375"/>
      <c r="N103" s="376"/>
      <c r="O103" s="375"/>
      <c r="P103" s="376"/>
      <c r="Q103" s="386"/>
      <c r="R103" s="378">
        <f t="shared" si="8"/>
        <v>0</v>
      </c>
      <c r="S103" s="373"/>
      <c r="T103" s="373"/>
      <c r="U103" s="373"/>
      <c r="V103" s="373"/>
      <c r="W103" s="373"/>
      <c r="X103" s="379">
        <f t="shared" si="11"/>
        <v>0</v>
      </c>
      <c r="Y103" s="379">
        <f t="shared" si="12"/>
        <v>0</v>
      </c>
      <c r="Z103" s="1458" t="str">
        <f t="shared" si="10"/>
        <v xml:space="preserve"> </v>
      </c>
      <c r="AA103" s="380"/>
      <c r="AB103" s="381"/>
      <c r="AC103" s="381"/>
      <c r="AD103" s="382"/>
      <c r="AE103" s="383"/>
      <c r="AF103" s="383"/>
      <c r="AG103" s="382"/>
      <c r="AH103" s="383"/>
      <c r="AI103" s="384"/>
      <c r="AJ103" s="346"/>
    </row>
    <row r="104" spans="1:36" x14ac:dyDescent="0.25">
      <c r="A104" s="6">
        <f t="shared" si="5"/>
        <v>99</v>
      </c>
      <c r="B104" s="372"/>
      <c r="C104" s="373"/>
      <c r="D104" s="385"/>
      <c r="E104" s="1458" t="str">
        <f t="shared" si="9"/>
        <v xml:space="preserve"> </v>
      </c>
      <c r="F104" s="375"/>
      <c r="G104" s="376"/>
      <c r="H104" s="377"/>
      <c r="I104" s="375"/>
      <c r="J104" s="376"/>
      <c r="K104" s="375"/>
      <c r="L104" s="376"/>
      <c r="M104" s="375"/>
      <c r="N104" s="376"/>
      <c r="O104" s="375"/>
      <c r="P104" s="376"/>
      <c r="Q104" s="386"/>
      <c r="R104" s="378">
        <f t="shared" si="8"/>
        <v>0</v>
      </c>
      <c r="S104" s="373"/>
      <c r="T104" s="373"/>
      <c r="U104" s="373"/>
      <c r="V104" s="373"/>
      <c r="W104" s="373"/>
      <c r="X104" s="379">
        <f t="shared" si="11"/>
        <v>0</v>
      </c>
      <c r="Y104" s="379">
        <f t="shared" si="12"/>
        <v>0</v>
      </c>
      <c r="Z104" s="1458" t="str">
        <f t="shared" si="10"/>
        <v xml:space="preserve"> </v>
      </c>
      <c r="AA104" s="380"/>
      <c r="AB104" s="381"/>
      <c r="AC104" s="381"/>
      <c r="AD104" s="382"/>
      <c r="AE104" s="383"/>
      <c r="AF104" s="383"/>
      <c r="AG104" s="382"/>
      <c r="AH104" s="383"/>
      <c r="AI104" s="384"/>
      <c r="AJ104" s="346"/>
    </row>
    <row r="105" spans="1:36" ht="15.75" thickBot="1" x14ac:dyDescent="0.3">
      <c r="A105" s="6">
        <f t="shared" si="5"/>
        <v>100</v>
      </c>
      <c r="B105" s="372"/>
      <c r="C105" s="373"/>
      <c r="D105" s="385"/>
      <c r="E105" s="1458" t="str">
        <f t="shared" si="9"/>
        <v xml:space="preserve"> </v>
      </c>
      <c r="F105" s="375"/>
      <c r="G105" s="376"/>
      <c r="H105" s="377"/>
      <c r="I105" s="375"/>
      <c r="J105" s="376"/>
      <c r="K105" s="375"/>
      <c r="L105" s="376"/>
      <c r="M105" s="375"/>
      <c r="N105" s="376"/>
      <c r="O105" s="375"/>
      <c r="P105" s="376"/>
      <c r="Q105" s="386"/>
      <c r="R105" s="378">
        <f t="shared" si="8"/>
        <v>0</v>
      </c>
      <c r="S105" s="373"/>
      <c r="T105" s="373"/>
      <c r="U105" s="373"/>
      <c r="V105" s="373"/>
      <c r="W105" s="373"/>
      <c r="X105" s="379">
        <f t="shared" si="11"/>
        <v>0</v>
      </c>
      <c r="Y105" s="389">
        <f t="shared" si="12"/>
        <v>0</v>
      </c>
      <c r="Z105" s="1458" t="str">
        <f t="shared" si="10"/>
        <v xml:space="preserve"> </v>
      </c>
      <c r="AA105" s="390"/>
      <c r="AB105" s="391"/>
      <c r="AC105" s="391"/>
      <c r="AD105" s="392"/>
      <c r="AE105" s="393"/>
      <c r="AF105" s="393"/>
      <c r="AG105" s="392"/>
      <c r="AH105" s="393"/>
      <c r="AI105" s="394"/>
      <c r="AJ105" s="346"/>
    </row>
    <row r="106" spans="1:36" x14ac:dyDescent="0.25">
      <c r="A106" s="395"/>
      <c r="B106" s="396"/>
      <c r="C106" s="396"/>
      <c r="D106" s="396"/>
      <c r="E106" s="397"/>
      <c r="F106" s="398"/>
      <c r="G106" s="398"/>
      <c r="H106" s="398"/>
      <c r="I106" s="398"/>
      <c r="J106" s="398"/>
      <c r="K106" s="398"/>
      <c r="L106" s="398"/>
      <c r="M106" s="398"/>
      <c r="N106" s="398"/>
      <c r="O106" s="398"/>
      <c r="P106" s="398"/>
      <c r="Q106" s="398"/>
      <c r="R106" s="398"/>
      <c r="S106" s="398"/>
      <c r="T106" s="398"/>
      <c r="U106" s="398"/>
      <c r="V106" s="398"/>
      <c r="W106" s="398"/>
      <c r="X106" s="398"/>
      <c r="Y106" s="399"/>
      <c r="Z106" s="398"/>
      <c r="AA106" s="400"/>
      <c r="AB106" s="400"/>
      <c r="AC106" s="400"/>
      <c r="AD106" s="400"/>
      <c r="AE106" s="400"/>
      <c r="AF106" s="400"/>
      <c r="AG106" s="400"/>
      <c r="AH106" s="400"/>
      <c r="AI106" s="400"/>
      <c r="AJ106" s="401"/>
    </row>
    <row r="107" spans="1:36" x14ac:dyDescent="0.25">
      <c r="A107" s="402"/>
      <c r="B107" s="403"/>
      <c r="C107" s="403"/>
      <c r="D107" s="403"/>
      <c r="E107" s="403"/>
      <c r="F107" s="404"/>
      <c r="G107" s="405"/>
      <c r="H107" s="405"/>
      <c r="I107" s="404"/>
      <c r="J107" s="405"/>
      <c r="K107" s="405"/>
      <c r="L107" s="405"/>
      <c r="M107" s="405"/>
      <c r="N107" s="405"/>
      <c r="O107" s="405"/>
      <c r="P107" s="405"/>
      <c r="Q107" s="405"/>
      <c r="R107" s="405"/>
      <c r="S107" s="404"/>
      <c r="T107" s="405"/>
      <c r="U107" s="405"/>
      <c r="V107" s="405"/>
      <c r="W107" s="405"/>
      <c r="X107" s="405"/>
      <c r="Y107" s="405"/>
      <c r="Z107" s="405"/>
      <c r="AA107" s="405"/>
      <c r="AB107" s="405"/>
      <c r="AC107" s="405"/>
      <c r="AD107" s="405"/>
      <c r="AE107" s="405"/>
      <c r="AF107" s="405"/>
      <c r="AG107" s="405"/>
      <c r="AH107" s="405"/>
      <c r="AI107" s="405"/>
      <c r="AJ107" s="401"/>
    </row>
    <row r="108" spans="1:36" x14ac:dyDescent="0.25">
      <c r="A108" s="406"/>
      <c r="B108" s="407"/>
      <c r="C108" s="408"/>
      <c r="D108" s="408"/>
      <c r="E108" s="408"/>
      <c r="F108" s="409"/>
      <c r="G108" s="410"/>
      <c r="H108" s="409"/>
      <c r="I108" s="409"/>
      <c r="J108" s="410"/>
      <c r="K108" s="409"/>
      <c r="L108" s="410"/>
      <c r="M108" s="409"/>
      <c r="N108" s="410"/>
      <c r="O108" s="409"/>
      <c r="P108" s="410"/>
      <c r="Q108" s="409"/>
      <c r="R108" s="410"/>
      <c r="S108" s="409"/>
      <c r="T108" s="409"/>
      <c r="U108" s="410"/>
      <c r="V108" s="410"/>
      <c r="W108" s="410"/>
      <c r="X108" s="409"/>
      <c r="Y108" s="409"/>
      <c r="Z108" s="409"/>
      <c r="AA108" s="405"/>
      <c r="AB108" s="405"/>
      <c r="AC108" s="405"/>
      <c r="AD108" s="405"/>
      <c r="AE108" s="405"/>
      <c r="AF108" s="405"/>
      <c r="AG108" s="405"/>
      <c r="AH108" s="405"/>
      <c r="AI108" s="405"/>
      <c r="AJ108" s="401"/>
    </row>
    <row r="109" spans="1:36" ht="15.75" thickBot="1" x14ac:dyDescent="0.3">
      <c r="A109" s="411"/>
      <c r="B109" s="412"/>
      <c r="C109" s="412"/>
      <c r="D109" s="412"/>
      <c r="E109" s="412"/>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4"/>
      <c r="AB109" s="414"/>
      <c r="AC109" s="414"/>
      <c r="AD109" s="414"/>
      <c r="AE109" s="414"/>
      <c r="AF109" s="414"/>
      <c r="AG109" s="414"/>
      <c r="AH109" s="414"/>
      <c r="AI109" s="414"/>
      <c r="AJ109" s="415"/>
    </row>
    <row r="110" spans="1:36" x14ac:dyDescent="0.25">
      <c r="B110" s="416"/>
      <c r="C110" s="417"/>
      <c r="D110" s="310"/>
      <c r="E110" s="417"/>
      <c r="F110" s="418"/>
      <c r="G110" s="418"/>
      <c r="H110" s="42"/>
      <c r="I110" s="418"/>
      <c r="J110" s="418"/>
      <c r="K110" s="418"/>
      <c r="L110" s="418"/>
      <c r="M110" s="418"/>
      <c r="N110" s="418"/>
      <c r="O110" s="418"/>
      <c r="P110" s="418"/>
      <c r="Q110" s="419"/>
      <c r="R110" s="416"/>
      <c r="S110" s="417"/>
      <c r="T110" s="417"/>
      <c r="U110" s="417"/>
      <c r="V110" s="417"/>
      <c r="W110" s="417"/>
      <c r="X110" s="10"/>
      <c r="Y110" s="10"/>
      <c r="Z110" s="10"/>
    </row>
    <row r="111" spans="1:36" x14ac:dyDescent="0.25">
      <c r="B111" s="416"/>
      <c r="C111" s="417"/>
      <c r="D111" s="417"/>
      <c r="E111" s="417"/>
      <c r="F111" s="418"/>
      <c r="G111" s="418"/>
      <c r="H111" s="42"/>
      <c r="I111" s="418"/>
      <c r="J111" s="418"/>
      <c r="K111" s="418"/>
      <c r="L111" s="418"/>
      <c r="M111" s="418"/>
      <c r="N111" s="418"/>
      <c r="O111" s="418"/>
      <c r="P111" s="418"/>
      <c r="Q111" s="419"/>
      <c r="R111" s="416"/>
      <c r="S111" s="417"/>
      <c r="T111" s="417"/>
      <c r="U111" s="417"/>
      <c r="V111" s="417"/>
      <c r="W111" s="417"/>
      <c r="X111" s="10"/>
      <c r="Y111" s="10"/>
      <c r="Z111" s="10"/>
    </row>
    <row r="112" spans="1:36" x14ac:dyDescent="0.25">
      <c r="B112" s="416"/>
      <c r="C112" s="417"/>
      <c r="D112" s="417"/>
      <c r="E112" s="417"/>
      <c r="F112" s="418"/>
      <c r="G112" s="418"/>
      <c r="H112" s="42"/>
      <c r="I112" s="418"/>
      <c r="J112" s="418"/>
      <c r="K112" s="418"/>
      <c r="L112" s="418"/>
      <c r="M112" s="418"/>
      <c r="N112" s="418"/>
      <c r="O112" s="418"/>
      <c r="P112" s="418"/>
      <c r="Q112" s="419"/>
      <c r="R112" s="416"/>
      <c r="S112" s="417"/>
      <c r="T112" s="417"/>
      <c r="U112" s="417"/>
      <c r="V112" s="417"/>
      <c r="W112" s="417"/>
      <c r="X112" s="10"/>
      <c r="Y112" s="10"/>
      <c r="Z112" s="10"/>
    </row>
    <row r="113" spans="2:26" x14ac:dyDescent="0.25">
      <c r="B113" s="416"/>
      <c r="C113" s="417"/>
      <c r="D113" s="417"/>
      <c r="E113" s="417"/>
      <c r="F113" s="418"/>
      <c r="G113" s="418"/>
      <c r="H113" s="42"/>
      <c r="I113" s="418"/>
      <c r="J113" s="418"/>
      <c r="K113" s="418"/>
      <c r="L113" s="418"/>
      <c r="M113" s="418"/>
      <c r="N113" s="418"/>
      <c r="O113" s="418"/>
      <c r="P113" s="418"/>
      <c r="Q113" s="419"/>
      <c r="R113" s="416"/>
      <c r="S113" s="417"/>
      <c r="T113" s="417"/>
      <c r="U113" s="417"/>
      <c r="V113" s="417"/>
      <c r="W113" s="417"/>
      <c r="X113" s="10"/>
      <c r="Y113" s="10"/>
      <c r="Z113" s="10"/>
    </row>
    <row r="114" spans="2:26" x14ac:dyDescent="0.25">
      <c r="B114" s="416"/>
      <c r="C114" s="417"/>
      <c r="D114" s="417"/>
      <c r="E114" s="417"/>
      <c r="F114" s="418"/>
      <c r="G114" s="418"/>
      <c r="H114" s="42"/>
      <c r="I114" s="418"/>
      <c r="J114" s="418"/>
      <c r="K114" s="418"/>
      <c r="L114" s="418"/>
      <c r="M114" s="418"/>
      <c r="N114" s="418"/>
      <c r="O114" s="418"/>
      <c r="P114" s="418"/>
      <c r="Q114" s="419"/>
      <c r="R114" s="416"/>
      <c r="S114" s="417"/>
      <c r="T114" s="417"/>
      <c r="U114" s="417"/>
      <c r="V114" s="417"/>
      <c r="W114" s="417"/>
      <c r="X114" s="10"/>
      <c r="Y114" s="10"/>
      <c r="Z114" s="10"/>
    </row>
    <row r="115" spans="2:26" x14ac:dyDescent="0.25">
      <c r="B115" s="416"/>
      <c r="C115" s="417"/>
      <c r="D115" s="417"/>
      <c r="E115" s="417"/>
      <c r="F115" s="418"/>
      <c r="G115" s="418"/>
      <c r="H115" s="42"/>
      <c r="I115" s="418"/>
      <c r="J115" s="418"/>
      <c r="K115" s="418"/>
      <c r="L115" s="418"/>
      <c r="M115" s="418"/>
      <c r="N115" s="418"/>
      <c r="O115" s="418"/>
      <c r="P115" s="418"/>
      <c r="Q115" s="419"/>
      <c r="R115" s="416"/>
      <c r="S115" s="417"/>
      <c r="T115" s="417"/>
      <c r="U115" s="417"/>
      <c r="V115" s="417"/>
      <c r="W115" s="417"/>
      <c r="X115" s="10"/>
      <c r="Y115" s="10"/>
      <c r="Z115" s="10"/>
    </row>
    <row r="116" spans="2:26" x14ac:dyDescent="0.25">
      <c r="B116" s="416"/>
      <c r="C116" s="417"/>
      <c r="D116" s="417"/>
      <c r="E116" s="417"/>
      <c r="F116" s="418"/>
      <c r="G116" s="418"/>
      <c r="H116" s="42"/>
      <c r="I116" s="418"/>
      <c r="J116" s="418"/>
      <c r="K116" s="418"/>
      <c r="L116" s="418"/>
      <c r="M116" s="418"/>
      <c r="N116" s="418"/>
      <c r="O116" s="418"/>
      <c r="P116" s="418"/>
      <c r="Q116" s="419"/>
      <c r="R116" s="416"/>
      <c r="S116" s="417"/>
      <c r="T116" s="417"/>
      <c r="U116" s="417"/>
      <c r="V116" s="417"/>
      <c r="W116" s="417"/>
      <c r="X116" s="10"/>
      <c r="Y116" s="10"/>
      <c r="Z116" s="10"/>
    </row>
    <row r="117" spans="2:26" x14ac:dyDescent="0.25">
      <c r="B117" s="416"/>
      <c r="C117" s="417"/>
      <c r="D117" s="417"/>
      <c r="E117" s="417"/>
      <c r="F117" s="418"/>
      <c r="G117" s="418"/>
      <c r="H117" s="42"/>
      <c r="I117" s="418"/>
      <c r="J117" s="418"/>
      <c r="K117" s="418"/>
      <c r="L117" s="418"/>
      <c r="M117" s="418"/>
      <c r="N117" s="418"/>
      <c r="O117" s="418"/>
      <c r="P117" s="418"/>
      <c r="Q117" s="419"/>
      <c r="R117" s="416"/>
      <c r="S117" s="417"/>
      <c r="T117" s="417"/>
      <c r="U117" s="417"/>
      <c r="V117" s="417"/>
      <c r="W117" s="417"/>
      <c r="X117" s="10"/>
      <c r="Y117" s="10"/>
      <c r="Z117" s="10"/>
    </row>
    <row r="118" spans="2:26" x14ac:dyDescent="0.25">
      <c r="B118" s="416"/>
      <c r="C118" s="417"/>
      <c r="D118" s="417"/>
      <c r="E118" s="417"/>
      <c r="F118" s="418"/>
      <c r="G118" s="418"/>
      <c r="H118" s="42"/>
      <c r="I118" s="418"/>
      <c r="J118" s="418"/>
      <c r="K118" s="418"/>
      <c r="L118" s="418"/>
      <c r="M118" s="418"/>
      <c r="N118" s="418"/>
      <c r="O118" s="418"/>
      <c r="P118" s="418"/>
      <c r="Q118" s="419"/>
      <c r="R118" s="416"/>
      <c r="S118" s="417"/>
      <c r="T118" s="417"/>
      <c r="U118" s="417"/>
      <c r="V118" s="417"/>
      <c r="W118" s="417"/>
      <c r="X118" s="10"/>
      <c r="Y118" s="10"/>
      <c r="Z118" s="10"/>
    </row>
    <row r="119" spans="2:26" x14ac:dyDescent="0.25">
      <c r="B119" s="416"/>
      <c r="C119" s="417"/>
      <c r="D119" s="417"/>
      <c r="E119" s="417"/>
      <c r="F119" s="418"/>
      <c r="G119" s="418"/>
      <c r="H119" s="42"/>
      <c r="I119" s="418"/>
      <c r="J119" s="418"/>
      <c r="K119" s="418"/>
      <c r="L119" s="418"/>
      <c r="M119" s="418"/>
      <c r="N119" s="418"/>
      <c r="O119" s="418"/>
      <c r="P119" s="418"/>
      <c r="Q119" s="419"/>
      <c r="R119" s="416"/>
      <c r="S119" s="417"/>
      <c r="T119" s="417"/>
      <c r="U119" s="417"/>
      <c r="V119" s="417"/>
      <c r="W119" s="417"/>
      <c r="X119" s="10"/>
      <c r="Y119" s="10"/>
      <c r="Z119" s="10"/>
    </row>
    <row r="120" spans="2:26" x14ac:dyDescent="0.25">
      <c r="B120" s="416"/>
      <c r="C120" s="417"/>
      <c r="D120" s="417"/>
      <c r="E120" s="417"/>
      <c r="F120" s="418"/>
      <c r="G120" s="418"/>
      <c r="H120" s="42"/>
      <c r="I120" s="418"/>
      <c r="J120" s="418"/>
      <c r="K120" s="418"/>
      <c r="L120" s="418"/>
      <c r="M120" s="418"/>
      <c r="N120" s="418"/>
      <c r="O120" s="418"/>
      <c r="P120" s="418"/>
      <c r="Q120" s="419"/>
      <c r="R120" s="416"/>
      <c r="S120" s="417"/>
      <c r="T120" s="417"/>
      <c r="U120" s="417"/>
      <c r="V120" s="417"/>
      <c r="W120" s="417"/>
      <c r="X120" s="10"/>
      <c r="Y120" s="10"/>
      <c r="Z120" s="10"/>
    </row>
    <row r="121" spans="2:26" x14ac:dyDescent="0.25">
      <c r="B121" s="416"/>
      <c r="C121" s="417"/>
      <c r="D121" s="417"/>
      <c r="E121" s="417"/>
      <c r="F121" s="418"/>
      <c r="G121" s="418"/>
      <c r="H121" s="42"/>
      <c r="I121" s="418"/>
      <c r="J121" s="418"/>
      <c r="K121" s="418"/>
      <c r="L121" s="418"/>
      <c r="M121" s="418"/>
      <c r="N121" s="418"/>
      <c r="O121" s="418"/>
      <c r="P121" s="418"/>
      <c r="Q121" s="419"/>
      <c r="R121" s="416"/>
      <c r="S121" s="417"/>
      <c r="T121" s="417"/>
      <c r="U121" s="417"/>
      <c r="V121" s="417"/>
      <c r="W121" s="417"/>
      <c r="X121" s="10"/>
      <c r="Y121" s="10"/>
      <c r="Z121" s="10"/>
    </row>
    <row r="122" spans="2:26" x14ac:dyDescent="0.25">
      <c r="B122" s="416"/>
      <c r="C122" s="417"/>
      <c r="D122" s="417"/>
      <c r="E122" s="417"/>
      <c r="F122" s="418"/>
      <c r="G122" s="418"/>
      <c r="H122" s="42"/>
      <c r="I122" s="418"/>
      <c r="J122" s="418"/>
      <c r="K122" s="418"/>
      <c r="L122" s="418"/>
      <c r="M122" s="418"/>
      <c r="N122" s="418"/>
      <c r="O122" s="418"/>
      <c r="P122" s="418"/>
      <c r="Q122" s="419"/>
      <c r="R122" s="416"/>
      <c r="S122" s="417"/>
      <c r="T122" s="417"/>
      <c r="U122" s="417"/>
      <c r="V122" s="417"/>
      <c r="W122" s="417"/>
      <c r="X122" s="10"/>
      <c r="Y122" s="10"/>
      <c r="Z122" s="10"/>
    </row>
    <row r="123" spans="2:26" x14ac:dyDescent="0.25">
      <c r="B123" s="416"/>
      <c r="C123" s="417"/>
      <c r="D123" s="417"/>
      <c r="E123" s="417"/>
      <c r="F123" s="418"/>
      <c r="G123" s="418"/>
      <c r="H123" s="42"/>
      <c r="I123" s="418"/>
      <c r="J123" s="418"/>
      <c r="K123" s="418"/>
      <c r="L123" s="418"/>
      <c r="M123" s="418"/>
      <c r="N123" s="418"/>
      <c r="O123" s="418"/>
      <c r="P123" s="418"/>
      <c r="Q123" s="419"/>
      <c r="R123" s="416"/>
      <c r="S123" s="417"/>
      <c r="T123" s="417"/>
      <c r="U123" s="417"/>
      <c r="V123" s="417"/>
      <c r="W123" s="417"/>
      <c r="X123" s="10"/>
      <c r="Y123" s="10"/>
      <c r="Z123" s="10"/>
    </row>
    <row r="124" spans="2:26" x14ac:dyDescent="0.25">
      <c r="B124" s="416"/>
      <c r="C124" s="417"/>
      <c r="D124" s="417"/>
      <c r="E124" s="417"/>
      <c r="F124" s="418"/>
      <c r="G124" s="418"/>
      <c r="H124" s="42"/>
      <c r="I124" s="418"/>
      <c r="J124" s="418"/>
      <c r="K124" s="418"/>
      <c r="L124" s="418"/>
      <c r="M124" s="418"/>
      <c r="N124" s="418"/>
      <c r="O124" s="418"/>
      <c r="P124" s="418"/>
      <c r="Q124" s="419"/>
      <c r="R124" s="416"/>
      <c r="S124" s="417"/>
      <c r="T124" s="417"/>
      <c r="U124" s="417"/>
      <c r="V124" s="417"/>
      <c r="W124" s="417"/>
      <c r="X124" s="10"/>
      <c r="Y124" s="10"/>
      <c r="Z124" s="10"/>
    </row>
    <row r="125" spans="2:26" x14ac:dyDescent="0.25">
      <c r="B125" s="416"/>
      <c r="C125" s="417"/>
      <c r="D125" s="417"/>
      <c r="E125" s="417"/>
      <c r="F125" s="418"/>
      <c r="G125" s="418"/>
      <c r="H125" s="42"/>
      <c r="I125" s="418"/>
      <c r="J125" s="418"/>
      <c r="K125" s="418"/>
      <c r="L125" s="418"/>
      <c r="M125" s="418"/>
      <c r="N125" s="418"/>
      <c r="O125" s="418"/>
      <c r="P125" s="418"/>
      <c r="Q125" s="419"/>
      <c r="R125" s="416"/>
      <c r="S125" s="417"/>
      <c r="T125" s="417"/>
      <c r="U125" s="417"/>
      <c r="V125" s="417"/>
      <c r="W125" s="417"/>
      <c r="X125" s="10"/>
      <c r="Y125" s="10"/>
      <c r="Z125" s="10"/>
    </row>
    <row r="126" spans="2:26" x14ac:dyDescent="0.25">
      <c r="B126" s="416"/>
      <c r="C126" s="417"/>
      <c r="D126" s="417"/>
      <c r="E126" s="417"/>
      <c r="F126" s="418"/>
      <c r="G126" s="418"/>
      <c r="H126" s="42"/>
      <c r="I126" s="418"/>
      <c r="J126" s="418"/>
      <c r="K126" s="418"/>
      <c r="L126" s="418"/>
      <c r="M126" s="418"/>
      <c r="N126" s="418"/>
      <c r="O126" s="418"/>
      <c r="P126" s="418"/>
      <c r="Q126" s="419"/>
      <c r="R126" s="416"/>
      <c r="S126" s="417"/>
      <c r="T126" s="417"/>
      <c r="U126" s="417"/>
      <c r="V126" s="417"/>
      <c r="W126" s="417"/>
      <c r="X126" s="10"/>
      <c r="Y126" s="10"/>
      <c r="Z126" s="10"/>
    </row>
    <row r="129" spans="1:12" x14ac:dyDescent="0.25">
      <c r="A129" s="420"/>
      <c r="B129" s="421"/>
      <c r="C129" s="421"/>
      <c r="D129" s="224"/>
      <c r="E129" s="224"/>
      <c r="F129" s="224"/>
      <c r="G129" s="224"/>
      <c r="H129" s="224"/>
      <c r="I129" s="224"/>
      <c r="J129" s="224"/>
      <c r="K129" s="224"/>
      <c r="L129" s="224"/>
    </row>
    <row r="130" spans="1:12" x14ac:dyDescent="0.25">
      <c r="A130" s="420"/>
      <c r="B130" s="421"/>
      <c r="C130" s="421"/>
      <c r="D130" s="224"/>
      <c r="E130" s="224"/>
      <c r="F130" s="224"/>
      <c r="G130" s="224"/>
      <c r="H130" s="224"/>
      <c r="I130" s="224"/>
      <c r="J130" s="224"/>
      <c r="K130" s="224"/>
      <c r="L130" s="224"/>
    </row>
    <row r="131" spans="1:12" x14ac:dyDescent="0.25">
      <c r="A131" s="420"/>
      <c r="B131" s="421"/>
      <c r="C131" s="421"/>
      <c r="D131" s="224"/>
      <c r="E131" s="224"/>
      <c r="F131" s="224"/>
      <c r="G131" s="224"/>
      <c r="H131" s="224"/>
      <c r="I131" s="224"/>
      <c r="J131" s="224"/>
      <c r="K131" s="224"/>
      <c r="L131" s="224"/>
    </row>
    <row r="132" spans="1:12" x14ac:dyDescent="0.25">
      <c r="A132" s="420"/>
      <c r="B132" s="421"/>
      <c r="C132" s="421"/>
      <c r="D132" s="224"/>
      <c r="E132" s="224"/>
      <c r="F132" s="224"/>
      <c r="G132" s="224"/>
      <c r="H132" s="224"/>
      <c r="I132" s="224"/>
      <c r="J132" s="224"/>
      <c r="K132" s="224"/>
      <c r="L132" s="224"/>
    </row>
    <row r="133" spans="1:12" x14ac:dyDescent="0.25">
      <c r="A133" s="420"/>
      <c r="B133" s="421"/>
      <c r="C133" s="421"/>
      <c r="D133" s="224"/>
      <c r="E133" s="224"/>
      <c r="F133" s="224"/>
      <c r="G133" s="224"/>
      <c r="H133" s="224"/>
      <c r="I133" s="224"/>
      <c r="J133" s="224"/>
      <c r="K133" s="224"/>
      <c r="L133" s="224"/>
    </row>
    <row r="134" spans="1:12" x14ac:dyDescent="0.25">
      <c r="A134" s="420"/>
      <c r="B134" s="421"/>
      <c r="C134" s="421"/>
      <c r="D134" s="224"/>
      <c r="E134" s="224"/>
      <c r="F134" s="224"/>
      <c r="G134" s="224"/>
      <c r="H134" s="224"/>
      <c r="I134" s="224"/>
      <c r="J134" s="224"/>
      <c r="K134" s="224"/>
      <c r="L134" s="224"/>
    </row>
    <row r="135" spans="1:12" x14ac:dyDescent="0.25">
      <c r="A135" s="420"/>
      <c r="B135" s="421"/>
      <c r="C135" s="421"/>
      <c r="D135" s="224"/>
      <c r="E135" s="224"/>
      <c r="F135" s="224"/>
      <c r="G135" s="224"/>
      <c r="H135" s="224"/>
      <c r="I135" s="224"/>
      <c r="J135" s="224"/>
      <c r="K135" s="224"/>
      <c r="L135" s="224"/>
    </row>
    <row r="136" spans="1:12" x14ac:dyDescent="0.25">
      <c r="A136" s="420"/>
      <c r="B136" s="421"/>
      <c r="C136" s="421"/>
      <c r="D136" s="224"/>
      <c r="E136" s="224"/>
      <c r="F136" s="224"/>
      <c r="G136" s="224"/>
      <c r="H136" s="224"/>
      <c r="I136" s="224"/>
      <c r="J136" s="224"/>
      <c r="K136" s="224"/>
      <c r="L136" s="224"/>
    </row>
    <row r="137" spans="1:12" x14ac:dyDescent="0.25">
      <c r="A137" s="420"/>
      <c r="B137" s="421"/>
      <c r="C137" s="421"/>
      <c r="D137" s="224"/>
      <c r="E137" s="224"/>
      <c r="F137" s="224"/>
      <c r="G137" s="224"/>
      <c r="H137" s="224"/>
      <c r="I137" s="224"/>
      <c r="J137" s="224"/>
      <c r="K137" s="224"/>
      <c r="L137" s="224"/>
    </row>
    <row r="138" spans="1:12" x14ac:dyDescent="0.25">
      <c r="A138" s="420"/>
      <c r="B138" s="421"/>
      <c r="C138" s="421"/>
      <c r="D138" s="224"/>
      <c r="E138" s="224"/>
      <c r="F138" s="224"/>
      <c r="G138" s="224"/>
      <c r="H138" s="224"/>
      <c r="I138" s="224"/>
      <c r="J138" s="224"/>
      <c r="K138" s="224"/>
      <c r="L138" s="224"/>
    </row>
    <row r="139" spans="1:12" x14ac:dyDescent="0.25">
      <c r="A139" s="420"/>
      <c r="B139" s="421"/>
      <c r="C139" s="421"/>
      <c r="D139" s="224"/>
      <c r="E139" s="224"/>
      <c r="F139" s="224"/>
      <c r="G139" s="224"/>
      <c r="H139" s="224"/>
      <c r="I139" s="224"/>
      <c r="J139" s="224"/>
      <c r="K139" s="224"/>
      <c r="L139" s="224"/>
    </row>
    <row r="140" spans="1:12" x14ac:dyDescent="0.25">
      <c r="A140" s="420"/>
      <c r="B140" s="421"/>
      <c r="C140" s="421"/>
      <c r="D140" s="224"/>
      <c r="E140" s="224"/>
      <c r="F140" s="224"/>
      <c r="G140" s="224"/>
      <c r="H140" s="224"/>
      <c r="I140" s="224"/>
      <c r="J140" s="224"/>
      <c r="K140" s="224"/>
      <c r="L140" s="224"/>
    </row>
    <row r="141" spans="1:12" x14ac:dyDescent="0.25">
      <c r="A141" s="420"/>
      <c r="B141" s="421"/>
      <c r="C141" s="421"/>
      <c r="D141" s="224"/>
      <c r="E141" s="224"/>
      <c r="F141" s="224"/>
      <c r="G141" s="224"/>
      <c r="H141" s="224"/>
      <c r="I141" s="224"/>
      <c r="J141" s="224"/>
      <c r="K141" s="224"/>
      <c r="L141" s="224"/>
    </row>
    <row r="142" spans="1:12" x14ac:dyDescent="0.25">
      <c r="A142" s="420"/>
      <c r="B142" s="421"/>
      <c r="C142" s="421"/>
      <c r="D142" s="224"/>
      <c r="E142" s="224"/>
      <c r="F142" s="224"/>
      <c r="G142" s="224"/>
      <c r="H142" s="224"/>
      <c r="I142" s="224"/>
      <c r="J142" s="224"/>
      <c r="K142" s="224"/>
      <c r="L142" s="224"/>
    </row>
    <row r="143" spans="1:12" x14ac:dyDescent="0.25">
      <c r="A143" s="420"/>
      <c r="B143" s="421"/>
      <c r="C143" s="421"/>
      <c r="D143" s="224"/>
      <c r="E143" s="224"/>
      <c r="F143" s="224"/>
      <c r="G143" s="224"/>
      <c r="H143" s="224"/>
      <c r="I143" s="224"/>
      <c r="J143" s="224"/>
      <c r="K143" s="224"/>
      <c r="L143" s="224"/>
    </row>
    <row r="144" spans="1:12" x14ac:dyDescent="0.25">
      <c r="A144" s="420"/>
      <c r="B144" s="421"/>
      <c r="C144" s="421"/>
      <c r="D144" s="224"/>
      <c r="E144" s="224"/>
      <c r="F144" s="224"/>
      <c r="G144" s="224"/>
      <c r="H144" s="224"/>
      <c r="I144" s="224"/>
      <c r="J144" s="224"/>
      <c r="K144" s="224"/>
      <c r="L144" s="224"/>
    </row>
    <row r="145" spans="1:27" x14ac:dyDescent="0.25">
      <c r="A145" s="420"/>
      <c r="B145" s="421"/>
      <c r="C145" s="421"/>
      <c r="D145" s="224"/>
      <c r="E145" s="224"/>
      <c r="F145" s="224"/>
      <c r="G145" s="224"/>
      <c r="H145" s="224"/>
      <c r="I145" s="224"/>
      <c r="J145" s="224"/>
      <c r="K145" s="224"/>
      <c r="L145" s="224"/>
    </row>
    <row r="146" spans="1:27" x14ac:dyDescent="0.25">
      <c r="A146" s="420"/>
      <c r="B146" s="421"/>
      <c r="C146" s="421"/>
      <c r="D146" s="224"/>
      <c r="E146" s="224"/>
      <c r="F146" s="224"/>
      <c r="G146" s="224"/>
      <c r="H146" s="224"/>
      <c r="I146" s="224"/>
      <c r="J146" s="224"/>
      <c r="K146" s="224"/>
      <c r="L146" s="224"/>
    </row>
    <row r="147" spans="1:27" x14ac:dyDescent="0.25">
      <c r="A147" s="420"/>
      <c r="B147" s="421"/>
      <c r="C147" s="421"/>
      <c r="D147" s="224"/>
      <c r="E147" s="224"/>
      <c r="F147" s="224"/>
      <c r="G147" s="224"/>
      <c r="H147" s="224"/>
      <c r="I147" s="224"/>
      <c r="J147" s="224"/>
      <c r="K147" s="224"/>
      <c r="L147" s="224"/>
    </row>
    <row r="148" spans="1:27" x14ac:dyDescent="0.25">
      <c r="A148" s="420"/>
      <c r="B148" s="421"/>
      <c r="C148" s="421"/>
      <c r="D148" s="224"/>
      <c r="E148" s="224"/>
      <c r="F148" s="224"/>
      <c r="G148" s="224"/>
      <c r="H148" s="224"/>
      <c r="I148" s="224"/>
      <c r="J148" s="224"/>
      <c r="K148" s="224"/>
      <c r="L148" s="224"/>
    </row>
    <row r="149" spans="1:27" ht="55.5" customHeight="1" x14ac:dyDescent="0.25">
      <c r="A149" s="1506"/>
      <c r="B149" s="1507"/>
      <c r="C149" s="1507"/>
      <c r="D149" s="1507"/>
      <c r="E149" s="1507"/>
      <c r="F149" s="1507"/>
      <c r="G149" s="1507"/>
      <c r="H149" s="1508"/>
      <c r="I149" s="1508"/>
      <c r="J149" s="1508"/>
      <c r="K149" s="1508"/>
      <c r="L149" s="1507"/>
    </row>
    <row r="150" spans="1:27" x14ac:dyDescent="0.25">
      <c r="A150" s="1506"/>
      <c r="B150" s="1507"/>
      <c r="C150" s="1507"/>
      <c r="D150" s="1507"/>
      <c r="E150" s="1507"/>
      <c r="F150" s="1507"/>
      <c r="G150" s="1507"/>
      <c r="H150" s="1508"/>
      <c r="I150" s="1508"/>
      <c r="J150" s="1508"/>
      <c r="K150" s="1508"/>
      <c r="L150" s="1507"/>
    </row>
    <row r="153" spans="1:27" x14ac:dyDescent="0.25">
      <c r="A153" s="422"/>
      <c r="B153" s="1506"/>
      <c r="C153" s="1506"/>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1506"/>
      <c r="Z153" s="1506"/>
      <c r="AA153" s="1506"/>
    </row>
    <row r="154" spans="1:27" x14ac:dyDescent="0.25">
      <c r="A154" s="422"/>
      <c r="B154" s="1507"/>
      <c r="C154" s="1507"/>
      <c r="D154" s="421"/>
      <c r="E154" s="421"/>
      <c r="F154" s="421"/>
      <c r="G154" s="421"/>
      <c r="H154" s="421"/>
      <c r="I154" s="421"/>
      <c r="J154" s="421"/>
      <c r="K154" s="421"/>
      <c r="L154" s="421"/>
      <c r="M154" s="421"/>
      <c r="N154" s="421"/>
      <c r="O154" s="421"/>
      <c r="P154" s="421"/>
      <c r="Q154" s="421"/>
      <c r="R154" s="421"/>
      <c r="S154" s="421"/>
      <c r="T154" s="421"/>
      <c r="U154" s="421"/>
      <c r="V154" s="421"/>
      <c r="W154" s="421"/>
      <c r="X154" s="421"/>
      <c r="Y154" s="1507"/>
      <c r="Z154" s="1507"/>
      <c r="AA154" s="1507"/>
    </row>
    <row r="155" spans="1:27" x14ac:dyDescent="0.25">
      <c r="A155" s="422"/>
      <c r="B155" s="1507"/>
      <c r="C155" s="1507"/>
      <c r="D155" s="421"/>
      <c r="E155" s="421"/>
      <c r="F155" s="421"/>
      <c r="G155" s="421"/>
      <c r="H155" s="421"/>
      <c r="I155" s="421"/>
      <c r="J155" s="421"/>
      <c r="K155" s="421"/>
      <c r="L155" s="421"/>
      <c r="M155" s="421"/>
      <c r="N155" s="421"/>
      <c r="O155" s="421"/>
      <c r="P155" s="421"/>
      <c r="Q155" s="421"/>
      <c r="R155" s="421"/>
      <c r="S155" s="421"/>
      <c r="T155" s="421"/>
      <c r="U155" s="421"/>
      <c r="V155" s="421"/>
      <c r="W155" s="421"/>
      <c r="X155" s="421"/>
      <c r="Y155" s="1507"/>
      <c r="Z155" s="1507"/>
      <c r="AA155" s="1507"/>
    </row>
    <row r="156" spans="1:27" x14ac:dyDescent="0.25">
      <c r="A156" s="1509"/>
      <c r="B156" s="1508"/>
      <c r="C156" s="1508"/>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1507"/>
      <c r="Z156" s="1507"/>
      <c r="AA156" s="1507"/>
    </row>
    <row r="157" spans="1:27" x14ac:dyDescent="0.25">
      <c r="A157" s="1509"/>
      <c r="B157" s="1508"/>
      <c r="C157" s="1508"/>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1507"/>
      <c r="Z157" s="1507"/>
      <c r="AA157" s="1507"/>
    </row>
    <row r="158" spans="1:27" x14ac:dyDescent="0.25">
      <c r="A158" s="1509"/>
      <c r="B158" s="1508"/>
      <c r="C158" s="1508"/>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1507"/>
      <c r="Z158" s="1507"/>
      <c r="AA158" s="1507"/>
    </row>
    <row r="159" spans="1:27" x14ac:dyDescent="0.25">
      <c r="A159" s="1509"/>
      <c r="B159" s="1508"/>
      <c r="C159" s="1508"/>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1507"/>
      <c r="Z159" s="1507"/>
      <c r="AA159" s="1507"/>
    </row>
    <row r="160" spans="1:27" x14ac:dyDescent="0.25">
      <c r="A160" s="1509"/>
      <c r="B160" s="1508"/>
      <c r="C160" s="1508"/>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1508"/>
      <c r="Z160" s="1508"/>
      <c r="AA160" s="1508"/>
    </row>
    <row r="161" spans="1:27" x14ac:dyDescent="0.25">
      <c r="A161" s="1509"/>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1508"/>
      <c r="Z161" s="1508"/>
      <c r="AA161" s="1508"/>
    </row>
    <row r="162" spans="1:27" x14ac:dyDescent="0.25">
      <c r="A162" s="1509"/>
      <c r="B162" s="1508"/>
      <c r="C162" s="1508"/>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1508"/>
      <c r="Z162" s="1508"/>
      <c r="AA162" s="1508"/>
    </row>
    <row r="163" spans="1:27" x14ac:dyDescent="0.25">
      <c r="A163" s="1509"/>
      <c r="B163" s="1510"/>
      <c r="C163" s="1510"/>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1508"/>
      <c r="Z163" s="1508"/>
      <c r="AA163" s="1508"/>
    </row>
    <row r="164" spans="1:27" x14ac:dyDescent="0.25">
      <c r="A164" s="1509"/>
      <c r="B164" s="1508"/>
      <c r="C164" s="1508"/>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1507"/>
      <c r="Z164" s="1507"/>
      <c r="AA164" s="1507"/>
    </row>
  </sheetData>
  <mergeCells count="36">
    <mergeCell ref="B155:C155"/>
    <mergeCell ref="Y155:AA155"/>
    <mergeCell ref="B164:C164"/>
    <mergeCell ref="Y164:AA164"/>
    <mergeCell ref="B162:C162"/>
    <mergeCell ref="Y162:AA162"/>
    <mergeCell ref="B163:C163"/>
    <mergeCell ref="Y163:AA163"/>
    <mergeCell ref="A156:A164"/>
    <mergeCell ref="B156:C156"/>
    <mergeCell ref="Y156:AA156"/>
    <mergeCell ref="B157:C157"/>
    <mergeCell ref="Y157:AA157"/>
    <mergeCell ref="B158:C158"/>
    <mergeCell ref="Y158:AA158"/>
    <mergeCell ref="B159:C159"/>
    <mergeCell ref="Y159:AA159"/>
    <mergeCell ref="B160:C160"/>
    <mergeCell ref="Y160:AA160"/>
    <mergeCell ref="Y161:AA161"/>
    <mergeCell ref="Y153:AA153"/>
    <mergeCell ref="B154:C154"/>
    <mergeCell ref="Y154:AA154"/>
    <mergeCell ref="I149:I150"/>
    <mergeCell ref="J149:J150"/>
    <mergeCell ref="K149:K150"/>
    <mergeCell ref="L149:L150"/>
    <mergeCell ref="E149:E150"/>
    <mergeCell ref="F149:F150"/>
    <mergeCell ref="G149:G150"/>
    <mergeCell ref="H149:H150"/>
    <mergeCell ref="A149:A150"/>
    <mergeCell ref="B149:B150"/>
    <mergeCell ref="C149:C150"/>
    <mergeCell ref="D149:D150"/>
    <mergeCell ref="B153:C153"/>
  </mergeCells>
  <phoneticPr fontId="4" type="noConversion"/>
  <pageMargins left="0.75" right="0.75" top="1" bottom="1" header="0.5" footer="0.5"/>
  <pageSetup paperSize="9" orientation="portrait" horizontalDpi="200" verticalDpi="20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008000"/>
  </sheetPr>
  <dimension ref="A1:BI68"/>
  <sheetViews>
    <sheetView topLeftCell="X2" workbookViewId="0">
      <selection activeCell="AQ35" sqref="AQ35"/>
    </sheetView>
  </sheetViews>
  <sheetFormatPr defaultColWidth="30.42578125" defaultRowHeight="15" x14ac:dyDescent="0.25"/>
  <cols>
    <col min="1" max="1" width="9.140625" style="1" customWidth="1"/>
    <col min="2" max="2" width="40.42578125" style="1" bestFit="1" customWidth="1"/>
    <col min="3" max="3" width="11.5703125" style="1" customWidth="1"/>
    <col min="4" max="4" width="13.42578125" style="1" customWidth="1"/>
    <col min="5" max="5" width="12" style="1" customWidth="1"/>
    <col min="6" max="6" width="10.7109375" style="1" customWidth="1"/>
    <col min="7" max="7" width="10.140625" style="1" customWidth="1"/>
    <col min="8" max="8" width="11.42578125" style="1" customWidth="1"/>
    <col min="9" max="9" width="11.7109375" style="1" customWidth="1"/>
    <col min="10" max="10" width="12.7109375" style="1" customWidth="1"/>
    <col min="11" max="11" width="10.7109375" style="1" customWidth="1"/>
    <col min="12" max="12" width="9.140625" style="1" customWidth="1"/>
    <col min="13" max="13" width="10.85546875" style="1" customWidth="1"/>
    <col min="14" max="14" width="12.140625" style="1" customWidth="1"/>
    <col min="15" max="15" width="15.140625" style="1" customWidth="1"/>
    <col min="16" max="16" width="14.7109375" style="1" customWidth="1"/>
    <col min="17" max="17" width="15.140625" style="1" customWidth="1"/>
    <col min="18" max="18" width="11.140625" style="1" customWidth="1"/>
    <col min="19" max="19" width="13.7109375" style="1" customWidth="1"/>
    <col min="20" max="20" width="17.5703125" style="1" customWidth="1"/>
    <col min="21" max="21" width="12.5703125" style="1" customWidth="1"/>
    <col min="22" max="22" width="14" style="1" customWidth="1"/>
    <col min="23" max="23" width="11.85546875" style="1" customWidth="1"/>
    <col min="24" max="24" width="11.42578125" style="1" customWidth="1"/>
    <col min="25" max="25" width="13.140625" style="1" customWidth="1"/>
    <col min="26" max="26" width="9.7109375" style="1" customWidth="1"/>
    <col min="27" max="27" width="12.5703125" style="1" customWidth="1"/>
    <col min="28" max="28" width="11.28515625" style="1" customWidth="1"/>
    <col min="29" max="29" width="16" style="1" customWidth="1"/>
    <col min="30" max="30" width="14.5703125" style="1" customWidth="1"/>
    <col min="31" max="31" width="12.140625" style="1" customWidth="1"/>
    <col min="32" max="32" width="9.5703125" style="1" customWidth="1"/>
    <col min="33" max="33" width="9.140625" style="1" customWidth="1"/>
    <col min="34" max="34" width="9.5703125" style="1" customWidth="1"/>
    <col min="35" max="36" width="9.28515625" style="1" customWidth="1"/>
    <col min="37" max="37" width="8.140625" style="1" bestFit="1" customWidth="1"/>
    <col min="38" max="38" width="5" style="1" customWidth="1"/>
    <col min="39" max="39" width="9" style="1" customWidth="1"/>
    <col min="40" max="40" width="12.7109375" style="1" customWidth="1"/>
    <col min="41" max="41" width="10.7109375" style="1" customWidth="1"/>
    <col min="42" max="42" width="9.42578125" style="1" customWidth="1"/>
    <col min="43" max="43" width="8.28515625" style="1" bestFit="1" customWidth="1"/>
    <col min="44" max="44" width="10.28515625" style="1" bestFit="1" customWidth="1"/>
    <col min="45" max="45" width="11.42578125" style="1" customWidth="1"/>
    <col min="46" max="46" width="12" style="1" customWidth="1"/>
    <col min="47" max="47" width="7.85546875" style="1" bestFit="1" customWidth="1"/>
    <col min="48" max="48" width="9.7109375" style="1" customWidth="1"/>
    <col min="49" max="49" width="15.28515625" style="1" customWidth="1"/>
    <col min="50" max="50" width="15.85546875" style="1" customWidth="1"/>
    <col min="51" max="51" width="10.42578125" style="1" bestFit="1" customWidth="1"/>
    <col min="52" max="52" width="12.85546875" style="1" customWidth="1"/>
    <col min="53" max="53" width="10.42578125" style="1" customWidth="1"/>
    <col min="54" max="54" width="13.140625" style="1" bestFit="1" customWidth="1"/>
    <col min="55" max="55" width="13.28515625" style="1" customWidth="1"/>
    <col min="56" max="56" width="5.7109375" style="1" customWidth="1"/>
    <col min="57" max="16384" width="30.42578125" style="1"/>
  </cols>
  <sheetData>
    <row r="1" spans="1:56" ht="15.75" thickBot="1" x14ac:dyDescent="0.3">
      <c r="A1" s="322" t="s">
        <v>181</v>
      </c>
      <c r="B1" s="323"/>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469"/>
      <c r="AF1" s="324"/>
      <c r="AG1" s="324"/>
      <c r="AH1" s="324"/>
      <c r="AI1" s="324"/>
      <c r="AJ1" s="324"/>
      <c r="AK1" s="325"/>
      <c r="AL1" s="405"/>
      <c r="AM1" s="470"/>
      <c r="AN1" s="471"/>
      <c r="AO1" s="471"/>
      <c r="AP1" s="472"/>
      <c r="AQ1" s="472"/>
      <c r="AR1" s="472"/>
      <c r="AS1" s="472"/>
      <c r="AT1" s="472"/>
      <c r="AU1" s="472"/>
      <c r="AV1" s="472"/>
      <c r="AW1" s="472"/>
      <c r="AX1" s="472"/>
      <c r="AY1" s="472"/>
      <c r="AZ1" s="472"/>
      <c r="BA1" s="472"/>
      <c r="BB1" s="472"/>
      <c r="BC1" s="473"/>
      <c r="BD1" s="326"/>
    </row>
    <row r="2" spans="1:56" s="33" customFormat="1" ht="15.75" thickBot="1" x14ac:dyDescent="0.3">
      <c r="A2" s="432"/>
      <c r="B2" s="328">
        <v>1</v>
      </c>
      <c r="C2" s="329">
        <f t="shared" ref="C2:J2" si="0">B2+1</f>
        <v>2</v>
      </c>
      <c r="D2" s="329">
        <f t="shared" si="0"/>
        <v>3</v>
      </c>
      <c r="E2" s="329">
        <f t="shared" si="0"/>
        <v>4</v>
      </c>
      <c r="F2" s="329">
        <f t="shared" si="0"/>
        <v>5</v>
      </c>
      <c r="G2" s="329">
        <f t="shared" si="0"/>
        <v>6</v>
      </c>
      <c r="H2" s="329">
        <f t="shared" si="0"/>
        <v>7</v>
      </c>
      <c r="I2" s="329">
        <f t="shared" si="0"/>
        <v>8</v>
      </c>
      <c r="J2" s="329">
        <f t="shared" si="0"/>
        <v>9</v>
      </c>
      <c r="K2" s="329">
        <f t="shared" ref="K2:AK2" si="1">J2+1</f>
        <v>10</v>
      </c>
      <c r="L2" s="329">
        <f t="shared" si="1"/>
        <v>11</v>
      </c>
      <c r="M2" s="329">
        <f t="shared" si="1"/>
        <v>12</v>
      </c>
      <c r="N2" s="329">
        <f t="shared" si="1"/>
        <v>13</v>
      </c>
      <c r="O2" s="329">
        <f t="shared" si="1"/>
        <v>14</v>
      </c>
      <c r="P2" s="329">
        <f>O2+1</f>
        <v>15</v>
      </c>
      <c r="Q2" s="329">
        <f>P2+1</f>
        <v>16</v>
      </c>
      <c r="R2" s="329">
        <f>Q2+1</f>
        <v>17</v>
      </c>
      <c r="S2" s="329">
        <f>R2+1</f>
        <v>18</v>
      </c>
      <c r="T2" s="329">
        <f t="shared" si="1"/>
        <v>19</v>
      </c>
      <c r="U2" s="329">
        <f t="shared" si="1"/>
        <v>20</v>
      </c>
      <c r="V2" s="329">
        <f t="shared" si="1"/>
        <v>21</v>
      </c>
      <c r="W2" s="329">
        <f t="shared" si="1"/>
        <v>22</v>
      </c>
      <c r="X2" s="329">
        <f t="shared" si="1"/>
        <v>23</v>
      </c>
      <c r="Y2" s="329">
        <f t="shared" si="1"/>
        <v>24</v>
      </c>
      <c r="Z2" s="329">
        <f t="shared" si="1"/>
        <v>25</v>
      </c>
      <c r="AA2" s="329">
        <f t="shared" si="1"/>
        <v>26</v>
      </c>
      <c r="AB2" s="329">
        <f t="shared" si="1"/>
        <v>27</v>
      </c>
      <c r="AC2" s="329">
        <f t="shared" si="1"/>
        <v>28</v>
      </c>
      <c r="AD2" s="329">
        <f t="shared" si="1"/>
        <v>29</v>
      </c>
      <c r="AE2" s="329">
        <f t="shared" si="1"/>
        <v>30</v>
      </c>
      <c r="AF2" s="329">
        <f t="shared" si="1"/>
        <v>31</v>
      </c>
      <c r="AG2" s="329">
        <f t="shared" si="1"/>
        <v>32</v>
      </c>
      <c r="AH2" s="329">
        <f t="shared" si="1"/>
        <v>33</v>
      </c>
      <c r="AI2" s="329">
        <f t="shared" si="1"/>
        <v>34</v>
      </c>
      <c r="AJ2" s="329">
        <f t="shared" si="1"/>
        <v>35</v>
      </c>
      <c r="AK2" s="330">
        <f t="shared" si="1"/>
        <v>36</v>
      </c>
      <c r="AL2" s="410"/>
      <c r="AM2" s="1"/>
      <c r="AN2" s="531"/>
      <c r="AO2" s="531"/>
      <c r="AP2" s="531"/>
      <c r="AQ2" s="531"/>
      <c r="AR2" s="531"/>
      <c r="AS2" s="531"/>
      <c r="AT2" s="531"/>
      <c r="AU2" s="531"/>
      <c r="AV2" s="531"/>
      <c r="AW2" s="531"/>
      <c r="AX2" s="531"/>
      <c r="AY2" s="531"/>
      <c r="AZ2" s="531"/>
      <c r="BA2" s="531"/>
      <c r="BB2" s="531"/>
      <c r="BC2" s="531"/>
      <c r="BD2" s="1"/>
    </row>
    <row r="3" spans="1:56" ht="15.75" thickBot="1" x14ac:dyDescent="0.3">
      <c r="A3" s="474"/>
      <c r="B3" s="475" t="s">
        <v>203</v>
      </c>
      <c r="C3" s="476" t="s">
        <v>204</v>
      </c>
      <c r="D3" s="477"/>
      <c r="E3" s="477"/>
      <c r="F3" s="477"/>
      <c r="G3" s="477"/>
      <c r="H3" s="477"/>
      <c r="I3" s="477"/>
      <c r="J3" s="478"/>
      <c r="K3" s="479" t="s">
        <v>215</v>
      </c>
      <c r="L3" s="477"/>
      <c r="M3" s="477"/>
      <c r="N3" s="480"/>
      <c r="O3" s="481"/>
      <c r="P3" s="480"/>
      <c r="Q3" s="480"/>
      <c r="R3" s="480"/>
      <c r="S3" s="480"/>
      <c r="T3" s="480"/>
      <c r="U3" s="481"/>
      <c r="V3" s="480"/>
      <c r="W3" s="482"/>
      <c r="X3" s="477" t="s">
        <v>205</v>
      </c>
      <c r="Y3" s="477"/>
      <c r="Z3" s="477"/>
      <c r="AA3" s="477"/>
      <c r="AB3" s="477"/>
      <c r="AC3" s="479" t="s">
        <v>216</v>
      </c>
      <c r="AD3" s="483"/>
      <c r="AE3" s="477" t="s">
        <v>206</v>
      </c>
      <c r="AF3" s="477"/>
      <c r="AG3" s="479" t="s">
        <v>207</v>
      </c>
      <c r="AH3" s="484"/>
      <c r="AI3" s="477" t="s">
        <v>197</v>
      </c>
      <c r="AJ3" s="485"/>
      <c r="AK3" s="486"/>
      <c r="AL3" s="410"/>
      <c r="AN3" s="531"/>
      <c r="AO3" s="531"/>
      <c r="AP3" s="531"/>
      <c r="AQ3" s="531"/>
      <c r="AR3" s="531"/>
      <c r="AS3" s="531"/>
      <c r="AT3" s="531"/>
      <c r="AU3" s="531"/>
      <c r="AV3" s="531"/>
      <c r="AW3" s="531"/>
      <c r="AX3" s="531"/>
      <c r="AY3" s="531"/>
      <c r="AZ3" s="531"/>
      <c r="BA3" s="531"/>
      <c r="BB3" s="531"/>
      <c r="BC3" s="531"/>
    </row>
    <row r="4" spans="1:56" s="363" customFormat="1" ht="64.5" customHeight="1" thickBot="1" x14ac:dyDescent="0.3">
      <c r="A4" s="487" t="s">
        <v>99</v>
      </c>
      <c r="B4" s="488" t="s">
        <v>55</v>
      </c>
      <c r="C4" s="489" t="s">
        <v>91</v>
      </c>
      <c r="D4" s="490" t="s">
        <v>92</v>
      </c>
      <c r="E4" s="354" t="s">
        <v>160</v>
      </c>
      <c r="F4" s="490" t="s">
        <v>244</v>
      </c>
      <c r="G4" s="354" t="s">
        <v>209</v>
      </c>
      <c r="H4" s="490" t="s">
        <v>161</v>
      </c>
      <c r="I4" s="354" t="s">
        <v>162</v>
      </c>
      <c r="J4" s="491" t="s">
        <v>163</v>
      </c>
      <c r="K4" s="492" t="s">
        <v>230</v>
      </c>
      <c r="L4" s="493" t="s">
        <v>231</v>
      </c>
      <c r="M4" s="490" t="s">
        <v>93</v>
      </c>
      <c r="N4" s="490" t="s">
        <v>232</v>
      </c>
      <c r="O4" s="490" t="s">
        <v>229</v>
      </c>
      <c r="P4" s="490" t="s">
        <v>219</v>
      </c>
      <c r="Q4" s="490" t="s">
        <v>220</v>
      </c>
      <c r="R4" s="490" t="s">
        <v>228</v>
      </c>
      <c r="S4" s="490" t="s">
        <v>222</v>
      </c>
      <c r="T4" s="490" t="s">
        <v>221</v>
      </c>
      <c r="U4" s="490" t="s">
        <v>233</v>
      </c>
      <c r="V4" s="493" t="s">
        <v>234</v>
      </c>
      <c r="W4" s="491" t="s">
        <v>235</v>
      </c>
      <c r="X4" s="494" t="s">
        <v>182</v>
      </c>
      <c r="Y4" s="493" t="s">
        <v>225</v>
      </c>
      <c r="Z4" s="493" t="s">
        <v>94</v>
      </c>
      <c r="AA4" s="493" t="s">
        <v>224</v>
      </c>
      <c r="AB4" s="495" t="s">
        <v>256</v>
      </c>
      <c r="AC4" s="492" t="s">
        <v>96</v>
      </c>
      <c r="AD4" s="491" t="s">
        <v>97</v>
      </c>
      <c r="AE4" s="496" t="s">
        <v>191</v>
      </c>
      <c r="AF4" s="355" t="s">
        <v>98</v>
      </c>
      <c r="AG4" s="492" t="s">
        <v>23</v>
      </c>
      <c r="AH4" s="491" t="s">
        <v>98</v>
      </c>
      <c r="AI4" s="497" t="s">
        <v>195</v>
      </c>
      <c r="AJ4" s="498" t="s">
        <v>196</v>
      </c>
      <c r="AK4" s="360" t="s">
        <v>105</v>
      </c>
      <c r="AL4" s="410"/>
      <c r="AM4" s="1"/>
      <c r="AN4" s="531"/>
      <c r="AO4" s="531"/>
      <c r="AP4" s="531"/>
      <c r="AQ4" s="531"/>
      <c r="AR4" s="531"/>
      <c r="AS4" s="531"/>
      <c r="AT4" s="531"/>
      <c r="AU4" s="531"/>
      <c r="AV4" s="531"/>
      <c r="AW4" s="531"/>
      <c r="AX4" s="531"/>
      <c r="AY4" s="531"/>
      <c r="AZ4" s="531"/>
      <c r="BA4" s="531"/>
      <c r="BB4" s="531"/>
      <c r="BC4" s="531"/>
      <c r="BD4" s="1"/>
    </row>
    <row r="5" spans="1:56" s="33" customFormat="1" ht="15.75" thickBot="1" x14ac:dyDescent="0.3">
      <c r="A5" s="364" t="s">
        <v>267</v>
      </c>
      <c r="B5" s="446" t="s">
        <v>267</v>
      </c>
      <c r="C5" s="499" t="s">
        <v>541</v>
      </c>
      <c r="D5" s="500" t="s">
        <v>541</v>
      </c>
      <c r="E5" s="368" t="s">
        <v>27</v>
      </c>
      <c r="F5" s="368" t="s">
        <v>27</v>
      </c>
      <c r="G5" s="368" t="s">
        <v>27</v>
      </c>
      <c r="H5" s="368" t="s">
        <v>193</v>
      </c>
      <c r="I5" s="368" t="s">
        <v>193</v>
      </c>
      <c r="J5" s="369" t="s">
        <v>193</v>
      </c>
      <c r="K5" s="501" t="s">
        <v>26</v>
      </c>
      <c r="L5" s="368" t="s">
        <v>48</v>
      </c>
      <c r="M5" s="368" t="s">
        <v>193</v>
      </c>
      <c r="N5" s="500" t="s">
        <v>541</v>
      </c>
      <c r="O5" s="368" t="s">
        <v>26</v>
      </c>
      <c r="P5" s="368" t="s">
        <v>236</v>
      </c>
      <c r="Q5" s="500" t="s">
        <v>542</v>
      </c>
      <c r="R5" s="368" t="s">
        <v>26</v>
      </c>
      <c r="S5" s="368" t="s">
        <v>236</v>
      </c>
      <c r="T5" s="500" t="s">
        <v>542</v>
      </c>
      <c r="U5" s="368" t="s">
        <v>26</v>
      </c>
      <c r="V5" s="368" t="s">
        <v>48</v>
      </c>
      <c r="W5" s="369" t="s">
        <v>193</v>
      </c>
      <c r="X5" s="447" t="s">
        <v>39</v>
      </c>
      <c r="Y5" s="368" t="s">
        <v>193</v>
      </c>
      <c r="Z5" s="500" t="s">
        <v>39</v>
      </c>
      <c r="AA5" s="368" t="s">
        <v>193</v>
      </c>
      <c r="AB5" s="502" t="s">
        <v>193</v>
      </c>
      <c r="AC5" s="499" t="s">
        <v>460</v>
      </c>
      <c r="AD5" s="503" t="s">
        <v>460</v>
      </c>
      <c r="AE5" s="450" t="s">
        <v>193</v>
      </c>
      <c r="AF5" s="502" t="s">
        <v>193</v>
      </c>
      <c r="AG5" s="504" t="s">
        <v>193</v>
      </c>
      <c r="AH5" s="503" t="s">
        <v>193</v>
      </c>
      <c r="AI5" s="505" t="s">
        <v>48</v>
      </c>
      <c r="AJ5" s="368" t="s">
        <v>48</v>
      </c>
      <c r="AK5" s="503" t="s">
        <v>460</v>
      </c>
      <c r="AL5" s="506"/>
      <c r="AM5" s="1"/>
      <c r="AN5" s="531"/>
      <c r="AO5" s="531"/>
      <c r="AP5" s="531"/>
      <c r="AQ5" s="531"/>
      <c r="AR5" s="531"/>
      <c r="AS5" s="531"/>
      <c r="AT5" s="531"/>
      <c r="AU5" s="531"/>
      <c r="AV5" s="531"/>
      <c r="AW5" s="531"/>
      <c r="AX5" s="531"/>
      <c r="AY5" s="531"/>
      <c r="AZ5" s="531"/>
      <c r="BA5" s="531"/>
      <c r="BB5" s="531"/>
      <c r="BC5" s="531"/>
      <c r="BD5" s="1"/>
    </row>
    <row r="6" spans="1:56" x14ac:dyDescent="0.25">
      <c r="A6" s="451">
        <v>1</v>
      </c>
      <c r="B6" s="452" t="s">
        <v>539</v>
      </c>
      <c r="C6" s="507">
        <v>2</v>
      </c>
      <c r="D6" s="508">
        <v>2</v>
      </c>
      <c r="E6" s="509">
        <v>3.3454545454545452</v>
      </c>
      <c r="F6" s="509">
        <v>1.4</v>
      </c>
      <c r="G6" s="509">
        <v>0</v>
      </c>
      <c r="H6" s="510">
        <v>0</v>
      </c>
      <c r="I6" s="511">
        <v>0</v>
      </c>
      <c r="J6" s="512">
        <v>0</v>
      </c>
      <c r="K6" s="513">
        <v>1</v>
      </c>
      <c r="L6" s="514">
        <v>1</v>
      </c>
      <c r="M6" s="515">
        <v>0.53</v>
      </c>
      <c r="N6" s="515">
        <v>1.7999999999999999E-2</v>
      </c>
      <c r="O6" s="516">
        <v>1</v>
      </c>
      <c r="P6" s="517">
        <v>0</v>
      </c>
      <c r="Q6" s="517">
        <v>0</v>
      </c>
      <c r="R6" s="516">
        <v>1</v>
      </c>
      <c r="S6" s="517">
        <v>0</v>
      </c>
      <c r="T6" s="515">
        <v>0</v>
      </c>
      <c r="U6" s="516">
        <v>15</v>
      </c>
      <c r="V6" s="516">
        <v>30</v>
      </c>
      <c r="W6" s="518">
        <v>0</v>
      </c>
      <c r="X6" s="519">
        <v>1</v>
      </c>
      <c r="Y6" s="515">
        <v>0.05</v>
      </c>
      <c r="Z6" s="520">
        <v>8</v>
      </c>
      <c r="AA6" s="515">
        <v>8</v>
      </c>
      <c r="AB6" s="521">
        <v>0.4</v>
      </c>
      <c r="AC6" s="522">
        <v>0</v>
      </c>
      <c r="AD6" s="523">
        <v>3</v>
      </c>
      <c r="AE6" s="524">
        <v>3</v>
      </c>
      <c r="AF6" s="525">
        <v>2.4</v>
      </c>
      <c r="AG6" s="526">
        <v>7</v>
      </c>
      <c r="AH6" s="527">
        <v>1</v>
      </c>
      <c r="AI6" s="528">
        <v>0</v>
      </c>
      <c r="AJ6" s="529">
        <v>0</v>
      </c>
      <c r="AK6" s="530">
        <v>0</v>
      </c>
      <c r="AL6" s="405"/>
      <c r="AN6" s="531"/>
      <c r="AO6" s="531"/>
      <c r="AP6" s="531"/>
      <c r="AQ6" s="531"/>
      <c r="AR6" s="531"/>
      <c r="AS6" s="531"/>
      <c r="AT6" s="531"/>
      <c r="AU6" s="531"/>
      <c r="AV6" s="531"/>
      <c r="AW6" s="531"/>
      <c r="AX6" s="531"/>
      <c r="AY6" s="531"/>
      <c r="AZ6" s="531"/>
      <c r="BA6" s="531"/>
      <c r="BB6" s="531"/>
      <c r="BC6" s="531"/>
    </row>
    <row r="7" spans="1:56" x14ac:dyDescent="0.25">
      <c r="A7" s="451">
        <f t="shared" ref="A7:A13" si="2">A6+1</f>
        <v>2</v>
      </c>
      <c r="B7" s="452" t="s">
        <v>540</v>
      </c>
      <c r="C7" s="507">
        <v>2</v>
      </c>
      <c r="D7" s="508">
        <v>2</v>
      </c>
      <c r="E7" s="509">
        <v>3.3454545454545452</v>
      </c>
      <c r="F7" s="509">
        <v>1.4</v>
      </c>
      <c r="G7" s="509">
        <v>0</v>
      </c>
      <c r="H7" s="510">
        <v>0</v>
      </c>
      <c r="I7" s="511">
        <v>0</v>
      </c>
      <c r="J7" s="512">
        <v>0</v>
      </c>
      <c r="K7" s="513">
        <v>1</v>
      </c>
      <c r="L7" s="514">
        <v>1</v>
      </c>
      <c r="M7" s="515">
        <v>0.2</v>
      </c>
      <c r="N7" s="515">
        <v>1.7999999999999999E-2</v>
      </c>
      <c r="O7" s="516">
        <v>1</v>
      </c>
      <c r="P7" s="517">
        <v>0</v>
      </c>
      <c r="Q7" s="517">
        <v>0</v>
      </c>
      <c r="R7" s="516">
        <v>1</v>
      </c>
      <c r="S7" s="517">
        <v>0</v>
      </c>
      <c r="T7" s="515">
        <v>0</v>
      </c>
      <c r="U7" s="516">
        <v>15</v>
      </c>
      <c r="V7" s="516">
        <v>30</v>
      </c>
      <c r="W7" s="518">
        <v>0</v>
      </c>
      <c r="X7" s="519">
        <v>1</v>
      </c>
      <c r="Y7" s="515">
        <v>0.05</v>
      </c>
      <c r="Z7" s="520">
        <v>8</v>
      </c>
      <c r="AA7" s="515">
        <v>8</v>
      </c>
      <c r="AB7" s="521">
        <v>0.4</v>
      </c>
      <c r="AC7" s="522">
        <v>0</v>
      </c>
      <c r="AD7" s="523">
        <v>3</v>
      </c>
      <c r="AE7" s="524">
        <v>3</v>
      </c>
      <c r="AF7" s="525">
        <v>2.4</v>
      </c>
      <c r="AG7" s="526">
        <v>7</v>
      </c>
      <c r="AH7" s="527">
        <v>1</v>
      </c>
      <c r="AI7" s="528">
        <v>0</v>
      </c>
      <c r="AJ7" s="529">
        <v>0</v>
      </c>
      <c r="AK7" s="530">
        <v>0</v>
      </c>
      <c r="AL7" s="405"/>
      <c r="AN7" s="531"/>
      <c r="AO7" s="531"/>
      <c r="AP7" s="531"/>
      <c r="AQ7" s="531"/>
      <c r="AR7" s="531"/>
      <c r="AS7" s="531"/>
      <c r="AT7" s="531"/>
      <c r="AU7" s="531"/>
      <c r="AV7" s="531"/>
      <c r="AW7" s="531"/>
      <c r="AX7" s="531"/>
      <c r="AY7" s="531"/>
      <c r="AZ7" s="531"/>
      <c r="BA7" s="531"/>
      <c r="BB7" s="531"/>
      <c r="BC7" s="531"/>
    </row>
    <row r="8" spans="1:56" x14ac:dyDescent="0.25">
      <c r="A8" s="451">
        <f t="shared" si="2"/>
        <v>3</v>
      </c>
      <c r="B8" s="452"/>
      <c r="C8" s="507"/>
      <c r="D8" s="508"/>
      <c r="E8" s="509"/>
      <c r="F8" s="509"/>
      <c r="G8" s="509"/>
      <c r="H8" s="508"/>
      <c r="I8" s="508"/>
      <c r="J8" s="512"/>
      <c r="K8" s="513"/>
      <c r="L8" s="514"/>
      <c r="M8" s="515"/>
      <c r="N8" s="515"/>
      <c r="O8" s="516"/>
      <c r="P8" s="517"/>
      <c r="Q8" s="517"/>
      <c r="R8" s="517"/>
      <c r="S8" s="517"/>
      <c r="T8" s="515"/>
      <c r="U8" s="516"/>
      <c r="V8" s="516"/>
      <c r="W8" s="518"/>
      <c r="X8" s="519"/>
      <c r="Y8" s="515"/>
      <c r="Z8" s="520"/>
      <c r="AA8" s="515"/>
      <c r="AB8" s="521"/>
      <c r="AC8" s="522"/>
      <c r="AD8" s="523"/>
      <c r="AE8" s="524"/>
      <c r="AF8" s="525"/>
      <c r="AG8" s="526"/>
      <c r="AH8" s="527"/>
      <c r="AI8" s="528"/>
      <c r="AJ8" s="529"/>
      <c r="AK8" s="530"/>
      <c r="AL8" s="405"/>
      <c r="AN8" s="531"/>
      <c r="AO8" s="531"/>
      <c r="AP8" s="531"/>
      <c r="AQ8" s="531"/>
      <c r="AR8" s="531"/>
      <c r="AS8" s="531"/>
      <c r="AT8" s="531"/>
      <c r="AU8" s="531"/>
      <c r="AV8" s="531"/>
      <c r="AW8" s="531"/>
      <c r="AX8" s="531"/>
      <c r="AY8" s="531"/>
      <c r="AZ8" s="531"/>
      <c r="BA8" s="531"/>
      <c r="BB8" s="531"/>
      <c r="BC8" s="531"/>
    </row>
    <row r="9" spans="1:56" x14ac:dyDescent="0.25">
      <c r="A9" s="451">
        <f t="shared" si="2"/>
        <v>4</v>
      </c>
      <c r="B9" s="452"/>
      <c r="C9" s="507"/>
      <c r="D9" s="508"/>
      <c r="E9" s="509"/>
      <c r="F9" s="509"/>
      <c r="G9" s="509"/>
      <c r="H9" s="508"/>
      <c r="I9" s="508"/>
      <c r="J9" s="512"/>
      <c r="K9" s="513"/>
      <c r="L9" s="514"/>
      <c r="M9" s="515"/>
      <c r="N9" s="515"/>
      <c r="O9" s="516"/>
      <c r="P9" s="517"/>
      <c r="Q9" s="517"/>
      <c r="R9" s="517"/>
      <c r="S9" s="517"/>
      <c r="T9" s="515"/>
      <c r="U9" s="516"/>
      <c r="V9" s="516"/>
      <c r="W9" s="518"/>
      <c r="X9" s="519"/>
      <c r="Y9" s="515"/>
      <c r="Z9" s="520"/>
      <c r="AA9" s="515"/>
      <c r="AB9" s="521"/>
      <c r="AC9" s="522"/>
      <c r="AD9" s="523"/>
      <c r="AE9" s="524"/>
      <c r="AF9" s="525"/>
      <c r="AG9" s="526"/>
      <c r="AH9" s="527"/>
      <c r="AI9" s="528"/>
      <c r="AJ9" s="529"/>
      <c r="AK9" s="530"/>
      <c r="AL9" s="405"/>
      <c r="AN9" s="531"/>
      <c r="AO9" s="531"/>
      <c r="AP9" s="531"/>
      <c r="AQ9" s="531"/>
      <c r="AR9" s="531"/>
      <c r="AS9" s="531"/>
      <c r="AT9" s="531"/>
      <c r="AU9" s="531"/>
      <c r="AV9" s="531"/>
      <c r="AW9" s="531"/>
      <c r="AX9" s="531"/>
      <c r="AY9" s="531"/>
      <c r="AZ9" s="531"/>
      <c r="BA9" s="531"/>
      <c r="BB9" s="531"/>
      <c r="BC9" s="531"/>
    </row>
    <row r="10" spans="1:56" x14ac:dyDescent="0.25">
      <c r="A10" s="451">
        <f t="shared" si="2"/>
        <v>5</v>
      </c>
      <c r="B10" s="452"/>
      <c r="C10" s="507"/>
      <c r="D10" s="508"/>
      <c r="E10" s="509"/>
      <c r="F10" s="509"/>
      <c r="G10" s="509"/>
      <c r="H10" s="508"/>
      <c r="I10" s="508"/>
      <c r="J10" s="512"/>
      <c r="K10" s="513"/>
      <c r="L10" s="514"/>
      <c r="M10" s="515"/>
      <c r="N10" s="515"/>
      <c r="O10" s="516"/>
      <c r="P10" s="517"/>
      <c r="Q10" s="517"/>
      <c r="R10" s="517"/>
      <c r="S10" s="517"/>
      <c r="T10" s="515"/>
      <c r="U10" s="516"/>
      <c r="V10" s="516"/>
      <c r="W10" s="518"/>
      <c r="X10" s="519"/>
      <c r="Y10" s="515"/>
      <c r="Z10" s="520"/>
      <c r="AA10" s="515"/>
      <c r="AB10" s="521"/>
      <c r="AC10" s="522"/>
      <c r="AD10" s="523"/>
      <c r="AE10" s="524"/>
      <c r="AF10" s="525"/>
      <c r="AG10" s="526"/>
      <c r="AH10" s="527"/>
      <c r="AI10" s="528"/>
      <c r="AJ10" s="529"/>
      <c r="AK10" s="530"/>
      <c r="AL10" s="405"/>
      <c r="AN10" s="531"/>
      <c r="AO10" s="531"/>
      <c r="AP10" s="531"/>
      <c r="AQ10" s="531"/>
      <c r="AR10" s="531"/>
      <c r="AS10" s="531"/>
      <c r="AT10" s="531"/>
      <c r="AU10" s="531"/>
      <c r="AV10" s="531"/>
      <c r="AW10" s="531"/>
      <c r="AX10" s="531"/>
      <c r="AY10" s="531"/>
      <c r="AZ10" s="531"/>
      <c r="BA10" s="531"/>
      <c r="BB10" s="531"/>
      <c r="BC10" s="531"/>
    </row>
    <row r="11" spans="1:56" x14ac:dyDescent="0.25">
      <c r="A11" s="451">
        <f t="shared" si="2"/>
        <v>6</v>
      </c>
      <c r="B11" s="452"/>
      <c r="C11" s="507"/>
      <c r="D11" s="508"/>
      <c r="E11" s="509"/>
      <c r="F11" s="509"/>
      <c r="G11" s="509"/>
      <c r="H11" s="508"/>
      <c r="I11" s="508"/>
      <c r="J11" s="512"/>
      <c r="K11" s="513"/>
      <c r="L11" s="514"/>
      <c r="M11" s="515"/>
      <c r="N11" s="515"/>
      <c r="O11" s="516"/>
      <c r="P11" s="517"/>
      <c r="Q11" s="517"/>
      <c r="R11" s="517"/>
      <c r="S11" s="517"/>
      <c r="T11" s="515"/>
      <c r="U11" s="516"/>
      <c r="V11" s="516"/>
      <c r="W11" s="518"/>
      <c r="X11" s="519"/>
      <c r="Y11" s="515"/>
      <c r="Z11" s="520"/>
      <c r="AA11" s="515"/>
      <c r="AB11" s="521"/>
      <c r="AC11" s="522"/>
      <c r="AD11" s="523"/>
      <c r="AE11" s="524"/>
      <c r="AF11" s="525"/>
      <c r="AG11" s="526"/>
      <c r="AH11" s="527"/>
      <c r="AI11" s="528"/>
      <c r="AJ11" s="529"/>
      <c r="AK11" s="530"/>
      <c r="AL11" s="405"/>
      <c r="AN11" s="531"/>
      <c r="AO11" s="531"/>
      <c r="AP11" s="531"/>
      <c r="AQ11" s="531"/>
      <c r="AR11" s="531"/>
      <c r="AS11" s="531"/>
      <c r="AT11" s="531"/>
      <c r="AU11" s="531"/>
      <c r="AV11" s="531"/>
      <c r="AW11" s="531"/>
      <c r="AX11" s="531"/>
      <c r="AY11" s="531"/>
      <c r="AZ11" s="531"/>
      <c r="BA11" s="531"/>
      <c r="BB11" s="531"/>
      <c r="BC11" s="531"/>
    </row>
    <row r="12" spans="1:56" x14ac:dyDescent="0.25">
      <c r="A12" s="451">
        <f t="shared" si="2"/>
        <v>7</v>
      </c>
      <c r="B12" s="452"/>
      <c r="C12" s="507"/>
      <c r="D12" s="508"/>
      <c r="E12" s="509"/>
      <c r="F12" s="509"/>
      <c r="G12" s="509"/>
      <c r="H12" s="508"/>
      <c r="I12" s="508"/>
      <c r="J12" s="512"/>
      <c r="K12" s="513"/>
      <c r="L12" s="514"/>
      <c r="M12" s="515"/>
      <c r="N12" s="515"/>
      <c r="O12" s="516"/>
      <c r="P12" s="517"/>
      <c r="Q12" s="517"/>
      <c r="R12" s="517"/>
      <c r="S12" s="517"/>
      <c r="T12" s="515"/>
      <c r="U12" s="516"/>
      <c r="V12" s="516"/>
      <c r="W12" s="518"/>
      <c r="X12" s="519"/>
      <c r="Y12" s="515"/>
      <c r="Z12" s="520"/>
      <c r="AA12" s="515"/>
      <c r="AB12" s="521"/>
      <c r="AC12" s="522"/>
      <c r="AD12" s="523"/>
      <c r="AE12" s="524"/>
      <c r="AF12" s="525"/>
      <c r="AG12" s="526"/>
      <c r="AH12" s="527"/>
      <c r="AI12" s="528"/>
      <c r="AJ12" s="529"/>
      <c r="AK12" s="530"/>
      <c r="AL12" s="405"/>
      <c r="AN12" s="531"/>
      <c r="AO12" s="531"/>
      <c r="AP12" s="531"/>
      <c r="AQ12" s="531"/>
      <c r="AR12" s="531"/>
      <c r="AS12" s="531"/>
      <c r="AT12" s="531"/>
      <c r="AU12" s="531"/>
      <c r="AV12" s="531"/>
      <c r="AW12" s="531"/>
      <c r="AX12" s="531"/>
      <c r="AY12" s="531"/>
      <c r="AZ12" s="531"/>
      <c r="BA12" s="531"/>
      <c r="BB12" s="531"/>
      <c r="BC12" s="531"/>
    </row>
    <row r="13" spans="1:56" x14ac:dyDescent="0.25">
      <c r="A13" s="451">
        <f t="shared" si="2"/>
        <v>8</v>
      </c>
      <c r="B13" s="452"/>
      <c r="C13" s="507"/>
      <c r="D13" s="508"/>
      <c r="E13" s="509"/>
      <c r="F13" s="509"/>
      <c r="G13" s="509"/>
      <c r="H13" s="508"/>
      <c r="I13" s="508"/>
      <c r="J13" s="512"/>
      <c r="K13" s="513"/>
      <c r="L13" s="514"/>
      <c r="M13" s="515"/>
      <c r="N13" s="515"/>
      <c r="O13" s="516"/>
      <c r="P13" s="517"/>
      <c r="Q13" s="517"/>
      <c r="R13" s="517"/>
      <c r="S13" s="517"/>
      <c r="T13" s="515"/>
      <c r="U13" s="516"/>
      <c r="V13" s="516"/>
      <c r="W13" s="518"/>
      <c r="X13" s="519"/>
      <c r="Y13" s="515"/>
      <c r="Z13" s="520"/>
      <c r="AA13" s="515"/>
      <c r="AB13" s="521"/>
      <c r="AC13" s="522"/>
      <c r="AD13" s="523"/>
      <c r="AE13" s="524"/>
      <c r="AF13" s="525"/>
      <c r="AG13" s="526"/>
      <c r="AH13" s="527"/>
      <c r="AI13" s="528"/>
      <c r="AJ13" s="529"/>
      <c r="AK13" s="530"/>
      <c r="AL13" s="405"/>
      <c r="AN13" s="531"/>
      <c r="AO13" s="531"/>
      <c r="AP13" s="531"/>
      <c r="AQ13" s="531"/>
      <c r="AR13" s="531"/>
      <c r="AS13" s="531"/>
      <c r="AT13" s="531"/>
      <c r="AU13" s="531"/>
      <c r="AV13" s="531"/>
      <c r="AW13" s="531"/>
      <c r="AX13" s="531"/>
      <c r="AY13" s="531"/>
      <c r="AZ13" s="531"/>
      <c r="BA13" s="531"/>
      <c r="BB13" s="531"/>
      <c r="BC13" s="531"/>
    </row>
    <row r="14" spans="1:56" x14ac:dyDescent="0.25">
      <c r="A14" s="451">
        <f t="shared" ref="A14:A49" si="3">A13+1</f>
        <v>9</v>
      </c>
      <c r="B14" s="452"/>
      <c r="C14" s="507"/>
      <c r="D14" s="508"/>
      <c r="E14" s="509"/>
      <c r="F14" s="509"/>
      <c r="G14" s="509"/>
      <c r="H14" s="508"/>
      <c r="I14" s="508"/>
      <c r="J14" s="512"/>
      <c r="K14" s="513"/>
      <c r="L14" s="514"/>
      <c r="M14" s="515"/>
      <c r="N14" s="515"/>
      <c r="O14" s="516"/>
      <c r="P14" s="517"/>
      <c r="Q14" s="517"/>
      <c r="R14" s="517"/>
      <c r="S14" s="517"/>
      <c r="T14" s="515"/>
      <c r="U14" s="516"/>
      <c r="V14" s="516"/>
      <c r="W14" s="518"/>
      <c r="X14" s="519"/>
      <c r="Y14" s="515"/>
      <c r="Z14" s="520"/>
      <c r="AA14" s="515"/>
      <c r="AB14" s="521"/>
      <c r="AC14" s="522"/>
      <c r="AD14" s="523"/>
      <c r="AE14" s="524"/>
      <c r="AF14" s="525"/>
      <c r="AG14" s="526"/>
      <c r="AH14" s="527"/>
      <c r="AI14" s="528"/>
      <c r="AJ14" s="529"/>
      <c r="AK14" s="530"/>
      <c r="AL14" s="405"/>
      <c r="AN14" s="531"/>
      <c r="AO14" s="531"/>
      <c r="AP14" s="531"/>
      <c r="AQ14" s="531"/>
      <c r="AR14" s="531"/>
      <c r="AS14" s="531"/>
      <c r="AT14" s="531"/>
      <c r="AU14" s="531"/>
      <c r="AV14" s="531"/>
      <c r="AW14" s="531"/>
      <c r="AX14" s="531"/>
      <c r="AY14" s="531"/>
      <c r="AZ14" s="531"/>
      <c r="BA14" s="531"/>
      <c r="BB14" s="531"/>
      <c r="BC14" s="531"/>
    </row>
    <row r="15" spans="1:56" x14ac:dyDescent="0.25">
      <c r="A15" s="451">
        <f t="shared" si="3"/>
        <v>10</v>
      </c>
      <c r="B15" s="452"/>
      <c r="C15" s="507"/>
      <c r="D15" s="508"/>
      <c r="E15" s="509"/>
      <c r="F15" s="509"/>
      <c r="G15" s="509"/>
      <c r="H15" s="508"/>
      <c r="I15" s="508"/>
      <c r="J15" s="512"/>
      <c r="K15" s="513"/>
      <c r="L15" s="514"/>
      <c r="M15" s="515"/>
      <c r="N15" s="515"/>
      <c r="O15" s="516"/>
      <c r="P15" s="517"/>
      <c r="Q15" s="517"/>
      <c r="R15" s="517"/>
      <c r="S15" s="517"/>
      <c r="T15" s="515"/>
      <c r="U15" s="516"/>
      <c r="V15" s="516"/>
      <c r="W15" s="518"/>
      <c r="X15" s="519"/>
      <c r="Y15" s="515"/>
      <c r="Z15" s="520"/>
      <c r="AA15" s="515"/>
      <c r="AB15" s="521"/>
      <c r="AC15" s="522"/>
      <c r="AD15" s="523"/>
      <c r="AE15" s="524"/>
      <c r="AF15" s="525"/>
      <c r="AG15" s="526"/>
      <c r="AH15" s="527"/>
      <c r="AI15" s="528"/>
      <c r="AJ15" s="529"/>
      <c r="AK15" s="530"/>
      <c r="AL15" s="405"/>
      <c r="AN15" s="531"/>
      <c r="AO15" s="531"/>
      <c r="AP15" s="531"/>
      <c r="AQ15" s="531"/>
      <c r="AR15" s="531"/>
      <c r="AS15" s="531"/>
      <c r="AT15" s="531"/>
      <c r="AU15" s="531"/>
      <c r="AV15" s="531"/>
      <c r="AW15" s="531"/>
      <c r="AX15" s="531"/>
      <c r="AY15" s="531"/>
      <c r="AZ15" s="531"/>
      <c r="BA15" s="531"/>
      <c r="BB15" s="531"/>
      <c r="BC15" s="531"/>
    </row>
    <row r="16" spans="1:56" x14ac:dyDescent="0.25">
      <c r="A16" s="451">
        <f t="shared" si="3"/>
        <v>11</v>
      </c>
      <c r="B16" s="452"/>
      <c r="C16" s="507"/>
      <c r="D16" s="508"/>
      <c r="E16" s="509"/>
      <c r="F16" s="509"/>
      <c r="G16" s="509"/>
      <c r="H16" s="508"/>
      <c r="I16" s="508"/>
      <c r="J16" s="512"/>
      <c r="K16" s="513"/>
      <c r="L16" s="514"/>
      <c r="M16" s="515"/>
      <c r="N16" s="515"/>
      <c r="O16" s="516"/>
      <c r="P16" s="517"/>
      <c r="Q16" s="517"/>
      <c r="R16" s="517"/>
      <c r="S16" s="517"/>
      <c r="T16" s="515"/>
      <c r="U16" s="516"/>
      <c r="V16" s="516"/>
      <c r="W16" s="518"/>
      <c r="X16" s="519"/>
      <c r="Y16" s="515"/>
      <c r="Z16" s="520"/>
      <c r="AA16" s="515"/>
      <c r="AB16" s="521"/>
      <c r="AC16" s="522"/>
      <c r="AD16" s="523"/>
      <c r="AE16" s="524"/>
      <c r="AF16" s="525"/>
      <c r="AG16" s="526"/>
      <c r="AH16" s="527"/>
      <c r="AI16" s="528"/>
      <c r="AJ16" s="529"/>
      <c r="AK16" s="530"/>
      <c r="AL16" s="405"/>
      <c r="AN16" s="531"/>
      <c r="AO16" s="531"/>
      <c r="AP16" s="531"/>
      <c r="AQ16" s="531"/>
      <c r="AR16" s="531"/>
      <c r="AS16" s="531"/>
      <c r="AT16" s="531"/>
      <c r="AU16" s="531"/>
      <c r="AV16" s="531"/>
      <c r="AW16" s="531"/>
      <c r="AX16" s="531"/>
      <c r="AY16" s="531"/>
      <c r="AZ16" s="531"/>
      <c r="BA16" s="531"/>
      <c r="BB16" s="531"/>
      <c r="BC16" s="531"/>
    </row>
    <row r="17" spans="1:55" x14ac:dyDescent="0.25">
      <c r="A17" s="451">
        <f t="shared" si="3"/>
        <v>12</v>
      </c>
      <c r="B17" s="452"/>
      <c r="C17" s="507"/>
      <c r="D17" s="508"/>
      <c r="E17" s="509"/>
      <c r="F17" s="509"/>
      <c r="G17" s="509"/>
      <c r="H17" s="508"/>
      <c r="I17" s="508"/>
      <c r="J17" s="512"/>
      <c r="K17" s="513"/>
      <c r="L17" s="514"/>
      <c r="M17" s="515"/>
      <c r="N17" s="515"/>
      <c r="O17" s="516"/>
      <c r="P17" s="517"/>
      <c r="Q17" s="517"/>
      <c r="R17" s="517"/>
      <c r="S17" s="517"/>
      <c r="T17" s="515"/>
      <c r="U17" s="516"/>
      <c r="V17" s="516"/>
      <c r="W17" s="518"/>
      <c r="X17" s="519"/>
      <c r="Y17" s="515"/>
      <c r="Z17" s="520"/>
      <c r="AA17" s="515"/>
      <c r="AB17" s="521"/>
      <c r="AC17" s="522"/>
      <c r="AD17" s="523"/>
      <c r="AE17" s="524"/>
      <c r="AF17" s="525"/>
      <c r="AG17" s="526"/>
      <c r="AH17" s="527"/>
      <c r="AI17" s="528"/>
      <c r="AJ17" s="529"/>
      <c r="AK17" s="530"/>
      <c r="AL17" s="405"/>
      <c r="AN17" s="531"/>
      <c r="AO17" s="531"/>
      <c r="AP17" s="531"/>
      <c r="AQ17" s="531"/>
      <c r="AR17" s="531"/>
      <c r="AS17" s="531"/>
      <c r="AT17" s="531"/>
      <c r="AU17" s="531"/>
      <c r="AV17" s="531"/>
      <c r="AW17" s="531"/>
      <c r="AX17" s="531"/>
      <c r="AY17" s="531"/>
      <c r="AZ17" s="531"/>
      <c r="BA17" s="531"/>
      <c r="BB17" s="531"/>
      <c r="BC17" s="531"/>
    </row>
    <row r="18" spans="1:55" x14ac:dyDescent="0.25">
      <c r="A18" s="451">
        <f t="shared" si="3"/>
        <v>13</v>
      </c>
      <c r="B18" s="452"/>
      <c r="C18" s="507"/>
      <c r="D18" s="508"/>
      <c r="E18" s="509"/>
      <c r="F18" s="509"/>
      <c r="G18" s="509"/>
      <c r="H18" s="508"/>
      <c r="I18" s="508"/>
      <c r="J18" s="512"/>
      <c r="K18" s="513"/>
      <c r="L18" s="514"/>
      <c r="M18" s="515"/>
      <c r="N18" s="515"/>
      <c r="O18" s="516"/>
      <c r="P18" s="517"/>
      <c r="Q18" s="517"/>
      <c r="R18" s="517"/>
      <c r="S18" s="517"/>
      <c r="T18" s="515"/>
      <c r="U18" s="516"/>
      <c r="V18" s="516"/>
      <c r="W18" s="518"/>
      <c r="X18" s="519"/>
      <c r="Y18" s="515"/>
      <c r="Z18" s="520"/>
      <c r="AA18" s="515"/>
      <c r="AB18" s="521"/>
      <c r="AC18" s="522"/>
      <c r="AD18" s="523"/>
      <c r="AE18" s="524"/>
      <c r="AF18" s="525"/>
      <c r="AG18" s="526"/>
      <c r="AH18" s="527"/>
      <c r="AI18" s="528"/>
      <c r="AJ18" s="529"/>
      <c r="AK18" s="530"/>
      <c r="AL18" s="405"/>
      <c r="AN18" s="531"/>
      <c r="AO18" s="531"/>
      <c r="AP18" s="531"/>
      <c r="AQ18" s="531"/>
      <c r="AR18" s="531"/>
      <c r="AS18" s="531"/>
      <c r="AT18" s="531"/>
      <c r="AU18" s="531"/>
      <c r="AV18" s="531"/>
      <c r="AW18" s="531"/>
      <c r="AX18" s="531"/>
      <c r="AY18" s="531"/>
      <c r="AZ18" s="531"/>
      <c r="BA18" s="531"/>
      <c r="BB18" s="531"/>
      <c r="BC18" s="531"/>
    </row>
    <row r="19" spans="1:55" x14ac:dyDescent="0.25">
      <c r="A19" s="451">
        <f t="shared" si="3"/>
        <v>14</v>
      </c>
      <c r="B19" s="452"/>
      <c r="C19" s="507"/>
      <c r="D19" s="508"/>
      <c r="E19" s="509"/>
      <c r="F19" s="509"/>
      <c r="G19" s="509"/>
      <c r="H19" s="508"/>
      <c r="I19" s="508"/>
      <c r="J19" s="512"/>
      <c r="K19" s="513"/>
      <c r="L19" s="514"/>
      <c r="M19" s="515"/>
      <c r="N19" s="515"/>
      <c r="O19" s="516"/>
      <c r="P19" s="517"/>
      <c r="Q19" s="517"/>
      <c r="R19" s="517"/>
      <c r="S19" s="517"/>
      <c r="T19" s="515"/>
      <c r="U19" s="516"/>
      <c r="V19" s="516"/>
      <c r="W19" s="518"/>
      <c r="X19" s="519"/>
      <c r="Y19" s="515"/>
      <c r="Z19" s="520"/>
      <c r="AA19" s="515"/>
      <c r="AB19" s="521"/>
      <c r="AC19" s="522"/>
      <c r="AD19" s="523"/>
      <c r="AE19" s="524"/>
      <c r="AF19" s="525"/>
      <c r="AG19" s="526"/>
      <c r="AH19" s="527"/>
      <c r="AI19" s="528"/>
      <c r="AJ19" s="529"/>
      <c r="AK19" s="530"/>
      <c r="AL19" s="405"/>
      <c r="AN19" s="531"/>
      <c r="AO19" s="531"/>
      <c r="AP19" s="531"/>
      <c r="AQ19" s="531"/>
      <c r="AR19" s="531"/>
      <c r="AS19" s="531"/>
      <c r="AT19" s="531"/>
      <c r="AU19" s="531"/>
      <c r="AV19" s="531"/>
      <c r="AW19" s="531"/>
      <c r="AX19" s="531"/>
      <c r="AY19" s="531"/>
      <c r="AZ19" s="531"/>
      <c r="BA19" s="531"/>
      <c r="BB19" s="531"/>
      <c r="BC19" s="531"/>
    </row>
    <row r="20" spans="1:55" x14ac:dyDescent="0.25">
      <c r="A20" s="451">
        <f t="shared" si="3"/>
        <v>15</v>
      </c>
      <c r="B20" s="452"/>
      <c r="C20" s="507"/>
      <c r="D20" s="508"/>
      <c r="E20" s="509"/>
      <c r="F20" s="509"/>
      <c r="G20" s="509"/>
      <c r="H20" s="508"/>
      <c r="I20" s="508"/>
      <c r="J20" s="512"/>
      <c r="K20" s="513"/>
      <c r="L20" s="514"/>
      <c r="M20" s="515"/>
      <c r="N20" s="515"/>
      <c r="O20" s="516"/>
      <c r="P20" s="517"/>
      <c r="Q20" s="517"/>
      <c r="R20" s="517"/>
      <c r="S20" s="517"/>
      <c r="T20" s="515"/>
      <c r="U20" s="516"/>
      <c r="V20" s="516"/>
      <c r="W20" s="518"/>
      <c r="X20" s="519"/>
      <c r="Y20" s="515"/>
      <c r="Z20" s="520"/>
      <c r="AA20" s="515"/>
      <c r="AB20" s="521"/>
      <c r="AC20" s="522"/>
      <c r="AD20" s="523"/>
      <c r="AE20" s="524"/>
      <c r="AF20" s="525"/>
      <c r="AG20" s="526"/>
      <c r="AH20" s="527"/>
      <c r="AI20" s="528"/>
      <c r="AJ20" s="529"/>
      <c r="AK20" s="530"/>
      <c r="AL20" s="405"/>
      <c r="AN20" s="531"/>
      <c r="AO20" s="531"/>
      <c r="AP20" s="531"/>
      <c r="AQ20" s="531"/>
      <c r="AR20" s="531"/>
      <c r="AS20" s="531"/>
      <c r="AT20" s="531"/>
      <c r="AU20" s="531"/>
      <c r="AV20" s="531"/>
      <c r="AW20" s="531"/>
      <c r="AX20" s="531"/>
      <c r="AY20" s="531"/>
      <c r="AZ20" s="531"/>
      <c r="BA20" s="531"/>
      <c r="BB20" s="531"/>
      <c r="BC20" s="531"/>
    </row>
    <row r="21" spans="1:55" x14ac:dyDescent="0.25">
      <c r="A21" s="451">
        <f t="shared" si="3"/>
        <v>16</v>
      </c>
      <c r="B21" s="452"/>
      <c r="C21" s="507"/>
      <c r="D21" s="508"/>
      <c r="E21" s="509"/>
      <c r="F21" s="509"/>
      <c r="G21" s="509"/>
      <c r="H21" s="508"/>
      <c r="I21" s="508"/>
      <c r="J21" s="512"/>
      <c r="K21" s="513"/>
      <c r="L21" s="514"/>
      <c r="M21" s="515"/>
      <c r="N21" s="515"/>
      <c r="O21" s="516"/>
      <c r="P21" s="517"/>
      <c r="Q21" s="517"/>
      <c r="R21" s="517"/>
      <c r="S21" s="517"/>
      <c r="T21" s="515"/>
      <c r="U21" s="516"/>
      <c r="V21" s="516"/>
      <c r="W21" s="518"/>
      <c r="X21" s="519"/>
      <c r="Y21" s="515"/>
      <c r="Z21" s="520"/>
      <c r="AA21" s="515"/>
      <c r="AB21" s="521"/>
      <c r="AC21" s="522"/>
      <c r="AD21" s="523"/>
      <c r="AE21" s="524"/>
      <c r="AF21" s="525"/>
      <c r="AG21" s="526"/>
      <c r="AH21" s="527"/>
      <c r="AI21" s="528"/>
      <c r="AJ21" s="529"/>
      <c r="AK21" s="530"/>
      <c r="AL21" s="405"/>
      <c r="AN21" s="531"/>
      <c r="AO21" s="531"/>
      <c r="AP21" s="531"/>
      <c r="AQ21" s="531"/>
      <c r="AR21" s="531"/>
      <c r="AS21" s="531"/>
      <c r="AT21" s="531"/>
      <c r="AU21" s="531"/>
      <c r="AV21" s="531"/>
      <c r="AW21" s="531"/>
      <c r="AX21" s="531"/>
      <c r="AY21" s="531"/>
      <c r="AZ21" s="531"/>
      <c r="BA21" s="531"/>
      <c r="BB21" s="531"/>
      <c r="BC21" s="531"/>
    </row>
    <row r="22" spans="1:55" x14ac:dyDescent="0.25">
      <c r="A22" s="451">
        <f t="shared" si="3"/>
        <v>17</v>
      </c>
      <c r="B22" s="452"/>
      <c r="C22" s="507"/>
      <c r="D22" s="508"/>
      <c r="E22" s="509"/>
      <c r="F22" s="509"/>
      <c r="G22" s="509"/>
      <c r="H22" s="508"/>
      <c r="I22" s="508"/>
      <c r="J22" s="512"/>
      <c r="K22" s="513"/>
      <c r="L22" s="514"/>
      <c r="M22" s="515"/>
      <c r="N22" s="515"/>
      <c r="O22" s="516"/>
      <c r="P22" s="517"/>
      <c r="Q22" s="517"/>
      <c r="R22" s="517"/>
      <c r="S22" s="517"/>
      <c r="T22" s="515"/>
      <c r="U22" s="516"/>
      <c r="V22" s="516"/>
      <c r="W22" s="518"/>
      <c r="X22" s="519"/>
      <c r="Y22" s="515"/>
      <c r="Z22" s="520"/>
      <c r="AA22" s="515"/>
      <c r="AB22" s="521"/>
      <c r="AC22" s="522"/>
      <c r="AD22" s="523"/>
      <c r="AE22" s="524"/>
      <c r="AF22" s="525"/>
      <c r="AG22" s="526"/>
      <c r="AH22" s="527"/>
      <c r="AI22" s="528"/>
      <c r="AJ22" s="529"/>
      <c r="AK22" s="530"/>
      <c r="AL22" s="405"/>
      <c r="AN22" s="531"/>
      <c r="AO22" s="531"/>
      <c r="AP22" s="531"/>
      <c r="AQ22" s="531"/>
      <c r="AR22" s="531"/>
      <c r="AS22" s="531"/>
      <c r="AT22" s="531"/>
      <c r="AU22" s="531"/>
      <c r="AV22" s="531"/>
      <c r="AW22" s="531"/>
      <c r="AX22" s="531"/>
      <c r="AY22" s="531"/>
      <c r="AZ22" s="531"/>
      <c r="BA22" s="531"/>
      <c r="BB22" s="531"/>
      <c r="BC22" s="531"/>
    </row>
    <row r="23" spans="1:55" x14ac:dyDescent="0.25">
      <c r="A23" s="451">
        <f t="shared" si="3"/>
        <v>18</v>
      </c>
      <c r="B23" s="452"/>
      <c r="C23" s="507"/>
      <c r="D23" s="508"/>
      <c r="E23" s="509"/>
      <c r="F23" s="509"/>
      <c r="G23" s="509"/>
      <c r="H23" s="508"/>
      <c r="I23" s="508"/>
      <c r="J23" s="512"/>
      <c r="K23" s="513"/>
      <c r="L23" s="514"/>
      <c r="M23" s="515"/>
      <c r="N23" s="515"/>
      <c r="O23" s="516"/>
      <c r="P23" s="517"/>
      <c r="Q23" s="517"/>
      <c r="R23" s="516"/>
      <c r="S23" s="517"/>
      <c r="T23" s="515"/>
      <c r="U23" s="516"/>
      <c r="V23" s="516"/>
      <c r="W23" s="518"/>
      <c r="X23" s="519"/>
      <c r="Y23" s="515"/>
      <c r="Z23" s="520"/>
      <c r="AA23" s="515"/>
      <c r="AB23" s="521"/>
      <c r="AC23" s="522"/>
      <c r="AD23" s="523"/>
      <c r="AE23" s="524"/>
      <c r="AF23" s="525"/>
      <c r="AG23" s="526"/>
      <c r="AH23" s="527"/>
      <c r="AI23" s="528"/>
      <c r="AJ23" s="529"/>
      <c r="AK23" s="530"/>
      <c r="AL23" s="405"/>
      <c r="AN23" s="531"/>
      <c r="AO23" s="531"/>
      <c r="AP23" s="531"/>
      <c r="AQ23" s="531"/>
      <c r="AR23" s="531"/>
      <c r="AS23" s="531"/>
      <c r="AT23" s="531"/>
      <c r="AU23" s="531"/>
      <c r="AV23" s="531"/>
      <c r="AW23" s="531"/>
      <c r="AX23" s="531"/>
      <c r="AY23" s="531"/>
      <c r="AZ23" s="531"/>
      <c r="BA23" s="531"/>
      <c r="BB23" s="531"/>
      <c r="BC23" s="531"/>
    </row>
    <row r="24" spans="1:55" x14ac:dyDescent="0.25">
      <c r="A24" s="451">
        <f t="shared" si="3"/>
        <v>19</v>
      </c>
      <c r="B24" s="452"/>
      <c r="C24" s="507"/>
      <c r="D24" s="508"/>
      <c r="E24" s="509"/>
      <c r="F24" s="509"/>
      <c r="G24" s="509"/>
      <c r="H24" s="508"/>
      <c r="I24" s="508"/>
      <c r="J24" s="512"/>
      <c r="K24" s="513"/>
      <c r="L24" s="514"/>
      <c r="M24" s="515"/>
      <c r="N24" s="515"/>
      <c r="O24" s="516"/>
      <c r="P24" s="517"/>
      <c r="Q24" s="517"/>
      <c r="R24" s="516"/>
      <c r="S24" s="517"/>
      <c r="T24" s="515"/>
      <c r="U24" s="516"/>
      <c r="V24" s="516"/>
      <c r="W24" s="518"/>
      <c r="X24" s="519"/>
      <c r="Y24" s="515"/>
      <c r="Z24" s="520"/>
      <c r="AA24" s="515"/>
      <c r="AB24" s="521"/>
      <c r="AC24" s="522"/>
      <c r="AD24" s="523"/>
      <c r="AE24" s="524"/>
      <c r="AF24" s="525"/>
      <c r="AG24" s="526"/>
      <c r="AH24" s="527"/>
      <c r="AI24" s="528"/>
      <c r="AJ24" s="529"/>
      <c r="AK24" s="530"/>
      <c r="AL24" s="405"/>
      <c r="AN24" s="531"/>
      <c r="AO24" s="531"/>
      <c r="AP24" s="531"/>
      <c r="AQ24" s="531"/>
      <c r="AR24" s="531"/>
      <c r="AS24" s="531"/>
      <c r="AT24" s="531"/>
      <c r="AU24" s="531"/>
      <c r="AV24" s="531"/>
      <c r="AW24" s="531"/>
      <c r="AX24" s="531"/>
      <c r="AY24" s="531"/>
      <c r="AZ24" s="531"/>
      <c r="BA24" s="531"/>
      <c r="BB24" s="531"/>
      <c r="BC24" s="531"/>
    </row>
    <row r="25" spans="1:55" x14ac:dyDescent="0.25">
      <c r="A25" s="451">
        <f t="shared" si="3"/>
        <v>20</v>
      </c>
      <c r="B25" s="452"/>
      <c r="C25" s="507"/>
      <c r="D25" s="508"/>
      <c r="E25" s="509"/>
      <c r="F25" s="509"/>
      <c r="G25" s="509"/>
      <c r="H25" s="508"/>
      <c r="I25" s="508"/>
      <c r="J25" s="512"/>
      <c r="K25" s="513"/>
      <c r="L25" s="514"/>
      <c r="M25" s="515"/>
      <c r="N25" s="515"/>
      <c r="O25" s="516"/>
      <c r="P25" s="517"/>
      <c r="Q25" s="517"/>
      <c r="R25" s="516"/>
      <c r="S25" s="517"/>
      <c r="T25" s="515"/>
      <c r="U25" s="516"/>
      <c r="V25" s="516"/>
      <c r="W25" s="518"/>
      <c r="X25" s="519"/>
      <c r="Y25" s="515"/>
      <c r="Z25" s="520"/>
      <c r="AA25" s="515"/>
      <c r="AB25" s="521"/>
      <c r="AC25" s="522"/>
      <c r="AD25" s="523"/>
      <c r="AE25" s="524"/>
      <c r="AF25" s="525"/>
      <c r="AG25" s="526"/>
      <c r="AH25" s="527"/>
      <c r="AI25" s="528"/>
      <c r="AJ25" s="529"/>
      <c r="AK25" s="530"/>
      <c r="AL25" s="405"/>
      <c r="AN25" s="531"/>
      <c r="AO25" s="531"/>
      <c r="AP25" s="531"/>
      <c r="AQ25" s="531"/>
      <c r="AR25" s="531"/>
      <c r="AS25" s="531"/>
      <c r="AT25" s="531"/>
      <c r="AU25" s="531"/>
      <c r="AV25" s="531"/>
      <c r="AW25" s="531"/>
      <c r="AX25" s="531"/>
      <c r="AY25" s="531"/>
      <c r="AZ25" s="531"/>
      <c r="BA25" s="531"/>
      <c r="BB25" s="531"/>
      <c r="BC25" s="531"/>
    </row>
    <row r="26" spans="1:55" x14ac:dyDescent="0.25">
      <c r="A26" s="451">
        <f t="shared" si="3"/>
        <v>21</v>
      </c>
      <c r="B26" s="452"/>
      <c r="C26" s="507"/>
      <c r="D26" s="508"/>
      <c r="E26" s="509"/>
      <c r="F26" s="509"/>
      <c r="G26" s="509"/>
      <c r="H26" s="510"/>
      <c r="I26" s="511"/>
      <c r="J26" s="512"/>
      <c r="K26" s="513"/>
      <c r="L26" s="514"/>
      <c r="M26" s="515"/>
      <c r="N26" s="515"/>
      <c r="O26" s="516"/>
      <c r="P26" s="517"/>
      <c r="Q26" s="517"/>
      <c r="R26" s="516"/>
      <c r="S26" s="517"/>
      <c r="T26" s="515"/>
      <c r="U26" s="516"/>
      <c r="V26" s="516"/>
      <c r="W26" s="518"/>
      <c r="X26" s="519"/>
      <c r="Y26" s="515"/>
      <c r="Z26" s="520"/>
      <c r="AA26" s="515"/>
      <c r="AB26" s="521"/>
      <c r="AC26" s="522"/>
      <c r="AD26" s="523"/>
      <c r="AE26" s="524"/>
      <c r="AF26" s="525"/>
      <c r="AG26" s="526"/>
      <c r="AH26" s="527"/>
      <c r="AI26" s="528"/>
      <c r="AJ26" s="529"/>
      <c r="AK26" s="530"/>
      <c r="AL26" s="405"/>
      <c r="AN26" s="531"/>
      <c r="AO26" s="531"/>
      <c r="AP26" s="531"/>
      <c r="AQ26" s="531"/>
      <c r="AR26" s="531"/>
      <c r="AS26" s="531"/>
      <c r="AT26" s="531"/>
      <c r="AU26" s="531"/>
      <c r="AV26" s="531"/>
      <c r="AW26" s="531"/>
      <c r="AX26" s="531"/>
      <c r="AY26" s="531"/>
      <c r="AZ26" s="531"/>
      <c r="BA26" s="531"/>
      <c r="BB26" s="531"/>
      <c r="BC26" s="531"/>
    </row>
    <row r="27" spans="1:55" x14ac:dyDescent="0.25">
      <c r="A27" s="451">
        <f t="shared" si="3"/>
        <v>22</v>
      </c>
      <c r="B27" s="452"/>
      <c r="C27" s="507"/>
      <c r="D27" s="508"/>
      <c r="E27" s="509"/>
      <c r="F27" s="509"/>
      <c r="G27" s="509"/>
      <c r="H27" s="510"/>
      <c r="I27" s="511"/>
      <c r="J27" s="512"/>
      <c r="K27" s="513"/>
      <c r="L27" s="514"/>
      <c r="M27" s="515"/>
      <c r="N27" s="515"/>
      <c r="O27" s="516"/>
      <c r="P27" s="517"/>
      <c r="Q27" s="517"/>
      <c r="R27" s="516"/>
      <c r="S27" s="517"/>
      <c r="T27" s="515"/>
      <c r="U27" s="516"/>
      <c r="V27" s="516"/>
      <c r="W27" s="518"/>
      <c r="X27" s="519"/>
      <c r="Y27" s="515"/>
      <c r="Z27" s="520"/>
      <c r="AA27" s="515"/>
      <c r="AB27" s="521"/>
      <c r="AC27" s="522"/>
      <c r="AD27" s="523"/>
      <c r="AE27" s="524"/>
      <c r="AF27" s="525"/>
      <c r="AG27" s="526"/>
      <c r="AH27" s="527"/>
      <c r="AI27" s="528"/>
      <c r="AJ27" s="529"/>
      <c r="AK27" s="530"/>
      <c r="AL27" s="405"/>
      <c r="AN27" s="531"/>
      <c r="AO27" s="531"/>
      <c r="AP27" s="531"/>
      <c r="AQ27" s="531"/>
      <c r="AR27" s="531"/>
      <c r="AS27" s="531"/>
      <c r="AT27" s="531"/>
      <c r="AU27" s="531"/>
      <c r="AV27" s="531"/>
      <c r="AW27" s="531"/>
      <c r="AX27" s="531"/>
      <c r="AY27" s="531"/>
      <c r="AZ27" s="531"/>
      <c r="BA27" s="531"/>
      <c r="BB27" s="531"/>
      <c r="BC27" s="531"/>
    </row>
    <row r="28" spans="1:55" x14ac:dyDescent="0.25">
      <c r="A28" s="451">
        <f t="shared" si="3"/>
        <v>23</v>
      </c>
      <c r="B28" s="452"/>
      <c r="C28" s="507"/>
      <c r="D28" s="508"/>
      <c r="E28" s="509"/>
      <c r="F28" s="509"/>
      <c r="G28" s="509"/>
      <c r="H28" s="510"/>
      <c r="I28" s="511"/>
      <c r="J28" s="512"/>
      <c r="K28" s="513"/>
      <c r="L28" s="514"/>
      <c r="M28" s="515"/>
      <c r="N28" s="515"/>
      <c r="O28" s="516"/>
      <c r="P28" s="517"/>
      <c r="Q28" s="517"/>
      <c r="R28" s="516"/>
      <c r="S28" s="517"/>
      <c r="T28" s="515"/>
      <c r="U28" s="516"/>
      <c r="V28" s="516"/>
      <c r="W28" s="518"/>
      <c r="X28" s="519"/>
      <c r="Y28" s="515"/>
      <c r="Z28" s="520"/>
      <c r="AA28" s="515"/>
      <c r="AB28" s="521"/>
      <c r="AC28" s="522"/>
      <c r="AD28" s="523"/>
      <c r="AE28" s="524"/>
      <c r="AF28" s="525"/>
      <c r="AG28" s="526"/>
      <c r="AH28" s="527"/>
      <c r="AI28" s="528"/>
      <c r="AJ28" s="529"/>
      <c r="AK28" s="530"/>
      <c r="AL28" s="405"/>
      <c r="AN28" s="531"/>
      <c r="AO28" s="531"/>
      <c r="AP28" s="531"/>
      <c r="AQ28" s="531"/>
      <c r="AR28" s="531"/>
      <c r="AS28" s="531"/>
      <c r="AT28" s="531"/>
      <c r="AU28" s="531"/>
      <c r="AV28" s="531"/>
      <c r="AW28" s="531"/>
      <c r="AX28" s="531"/>
      <c r="AY28" s="531"/>
      <c r="AZ28" s="531"/>
      <c r="BA28" s="531"/>
      <c r="BB28" s="531"/>
      <c r="BC28" s="531"/>
    </row>
    <row r="29" spans="1:55" x14ac:dyDescent="0.25">
      <c r="A29" s="451">
        <f t="shared" si="3"/>
        <v>24</v>
      </c>
      <c r="B29" s="452"/>
      <c r="C29" s="507"/>
      <c r="D29" s="508"/>
      <c r="E29" s="509"/>
      <c r="F29" s="509"/>
      <c r="G29" s="509"/>
      <c r="H29" s="510"/>
      <c r="I29" s="511"/>
      <c r="J29" s="512"/>
      <c r="K29" s="513"/>
      <c r="L29" s="514"/>
      <c r="M29" s="515"/>
      <c r="N29" s="515"/>
      <c r="O29" s="516"/>
      <c r="P29" s="517"/>
      <c r="Q29" s="517"/>
      <c r="R29" s="516"/>
      <c r="S29" s="517"/>
      <c r="T29" s="515"/>
      <c r="U29" s="516"/>
      <c r="V29" s="516"/>
      <c r="W29" s="518"/>
      <c r="X29" s="519"/>
      <c r="Y29" s="515"/>
      <c r="Z29" s="520"/>
      <c r="AA29" s="515"/>
      <c r="AB29" s="521"/>
      <c r="AC29" s="522"/>
      <c r="AD29" s="523"/>
      <c r="AE29" s="524"/>
      <c r="AF29" s="525"/>
      <c r="AG29" s="526"/>
      <c r="AH29" s="527"/>
      <c r="AI29" s="528"/>
      <c r="AJ29" s="529"/>
      <c r="AK29" s="530"/>
      <c r="AL29" s="405"/>
      <c r="AN29" s="531"/>
      <c r="AO29" s="531"/>
      <c r="AP29" s="531"/>
      <c r="AQ29" s="531"/>
      <c r="AR29" s="531"/>
      <c r="AS29" s="531"/>
      <c r="AT29" s="531"/>
      <c r="AU29" s="531"/>
      <c r="AV29" s="531"/>
      <c r="AW29" s="531"/>
      <c r="AX29" s="531"/>
      <c r="AY29" s="531"/>
      <c r="AZ29" s="531"/>
      <c r="BA29" s="531"/>
      <c r="BB29" s="531"/>
      <c r="BC29" s="531"/>
    </row>
    <row r="30" spans="1:55" x14ac:dyDescent="0.25">
      <c r="A30" s="451">
        <f t="shared" si="3"/>
        <v>25</v>
      </c>
      <c r="B30" s="452"/>
      <c r="C30" s="507"/>
      <c r="D30" s="508"/>
      <c r="E30" s="509"/>
      <c r="F30" s="509"/>
      <c r="G30" s="509"/>
      <c r="H30" s="510"/>
      <c r="I30" s="511"/>
      <c r="J30" s="512"/>
      <c r="K30" s="513"/>
      <c r="L30" s="514"/>
      <c r="M30" s="515"/>
      <c r="N30" s="515"/>
      <c r="O30" s="516"/>
      <c r="P30" s="517"/>
      <c r="Q30" s="517"/>
      <c r="R30" s="516"/>
      <c r="S30" s="517"/>
      <c r="T30" s="515"/>
      <c r="U30" s="516"/>
      <c r="V30" s="516"/>
      <c r="W30" s="518"/>
      <c r="X30" s="519"/>
      <c r="Y30" s="515"/>
      <c r="Z30" s="520"/>
      <c r="AA30" s="515"/>
      <c r="AB30" s="521"/>
      <c r="AC30" s="522"/>
      <c r="AD30" s="523"/>
      <c r="AE30" s="524"/>
      <c r="AF30" s="525"/>
      <c r="AG30" s="526"/>
      <c r="AH30" s="527"/>
      <c r="AI30" s="528"/>
      <c r="AJ30" s="529"/>
      <c r="AK30" s="530"/>
      <c r="AL30" s="405"/>
      <c r="AN30" s="531"/>
      <c r="AO30" s="531"/>
      <c r="AP30" s="531"/>
      <c r="AQ30" s="531"/>
      <c r="AR30" s="531"/>
      <c r="AS30" s="531"/>
      <c r="AT30" s="531"/>
      <c r="AU30" s="531"/>
      <c r="AV30" s="531"/>
      <c r="AW30" s="531"/>
      <c r="AX30" s="531"/>
      <c r="AY30" s="531"/>
      <c r="AZ30" s="531"/>
      <c r="BA30" s="531"/>
      <c r="BB30" s="531"/>
      <c r="BC30" s="531"/>
    </row>
    <row r="31" spans="1:55" x14ac:dyDescent="0.25">
      <c r="A31" s="451">
        <f t="shared" si="3"/>
        <v>26</v>
      </c>
      <c r="B31" s="452"/>
      <c r="C31" s="507"/>
      <c r="D31" s="508"/>
      <c r="E31" s="509"/>
      <c r="F31" s="509"/>
      <c r="G31" s="509"/>
      <c r="H31" s="510"/>
      <c r="I31" s="511"/>
      <c r="J31" s="512"/>
      <c r="K31" s="513"/>
      <c r="L31" s="514"/>
      <c r="M31" s="515"/>
      <c r="N31" s="515"/>
      <c r="O31" s="516"/>
      <c r="P31" s="517"/>
      <c r="Q31" s="517"/>
      <c r="R31" s="516"/>
      <c r="S31" s="517"/>
      <c r="T31" s="515"/>
      <c r="U31" s="516"/>
      <c r="V31" s="516"/>
      <c r="W31" s="518"/>
      <c r="X31" s="519"/>
      <c r="Y31" s="515"/>
      <c r="Z31" s="520"/>
      <c r="AA31" s="515"/>
      <c r="AB31" s="521"/>
      <c r="AC31" s="522"/>
      <c r="AD31" s="523"/>
      <c r="AE31" s="524"/>
      <c r="AF31" s="525"/>
      <c r="AG31" s="526"/>
      <c r="AH31" s="527"/>
      <c r="AI31" s="528"/>
      <c r="AJ31" s="529"/>
      <c r="AK31" s="530"/>
      <c r="AL31" s="405"/>
      <c r="AN31" s="531"/>
      <c r="AO31" s="531"/>
      <c r="AP31" s="531"/>
      <c r="AQ31" s="531"/>
      <c r="AR31" s="531"/>
      <c r="AS31" s="531"/>
      <c r="AT31" s="531"/>
      <c r="AU31" s="531"/>
      <c r="AV31" s="531"/>
      <c r="AW31" s="531"/>
      <c r="AX31" s="531"/>
      <c r="AY31" s="531"/>
      <c r="AZ31" s="531"/>
      <c r="BA31" s="531"/>
      <c r="BB31" s="531"/>
      <c r="BC31" s="531"/>
    </row>
    <row r="32" spans="1:55" x14ac:dyDescent="0.25">
      <c r="A32" s="451">
        <f t="shared" si="3"/>
        <v>27</v>
      </c>
      <c r="B32" s="452"/>
      <c r="C32" s="507"/>
      <c r="D32" s="508"/>
      <c r="E32" s="509"/>
      <c r="F32" s="509"/>
      <c r="G32" s="509"/>
      <c r="H32" s="510"/>
      <c r="I32" s="511"/>
      <c r="J32" s="512"/>
      <c r="K32" s="513"/>
      <c r="L32" s="514"/>
      <c r="M32" s="515"/>
      <c r="N32" s="515"/>
      <c r="O32" s="516"/>
      <c r="P32" s="517"/>
      <c r="Q32" s="517"/>
      <c r="R32" s="516"/>
      <c r="S32" s="517"/>
      <c r="T32" s="515"/>
      <c r="U32" s="516"/>
      <c r="V32" s="516"/>
      <c r="W32" s="518"/>
      <c r="X32" s="519"/>
      <c r="Y32" s="515"/>
      <c r="Z32" s="520"/>
      <c r="AA32" s="515"/>
      <c r="AB32" s="521"/>
      <c r="AC32" s="522"/>
      <c r="AD32" s="523"/>
      <c r="AE32" s="524"/>
      <c r="AF32" s="525"/>
      <c r="AG32" s="526"/>
      <c r="AH32" s="527"/>
      <c r="AI32" s="528"/>
      <c r="AJ32" s="529"/>
      <c r="AK32" s="530"/>
      <c r="AL32" s="405"/>
      <c r="AN32" s="531"/>
      <c r="AO32" s="531"/>
      <c r="AP32" s="531"/>
      <c r="AQ32" s="531"/>
      <c r="AR32" s="531"/>
      <c r="AS32" s="531"/>
      <c r="AT32" s="531"/>
      <c r="AU32" s="531"/>
      <c r="AV32" s="531"/>
      <c r="AW32" s="531"/>
      <c r="AX32" s="531"/>
      <c r="AY32" s="531"/>
      <c r="AZ32" s="531"/>
      <c r="BA32" s="531"/>
      <c r="BB32" s="531"/>
      <c r="BC32" s="531"/>
    </row>
    <row r="33" spans="1:61" x14ac:dyDescent="0.25">
      <c r="A33" s="451">
        <f t="shared" si="3"/>
        <v>28</v>
      </c>
      <c r="B33" s="452"/>
      <c r="C33" s="507"/>
      <c r="D33" s="508"/>
      <c r="E33" s="509"/>
      <c r="F33" s="509"/>
      <c r="G33" s="509"/>
      <c r="H33" s="510"/>
      <c r="I33" s="511"/>
      <c r="J33" s="512"/>
      <c r="K33" s="513"/>
      <c r="L33" s="514"/>
      <c r="M33" s="515"/>
      <c r="N33" s="515"/>
      <c r="O33" s="516"/>
      <c r="P33" s="517"/>
      <c r="Q33" s="517"/>
      <c r="R33" s="516"/>
      <c r="S33" s="517"/>
      <c r="T33" s="515"/>
      <c r="U33" s="516"/>
      <c r="V33" s="516"/>
      <c r="W33" s="518"/>
      <c r="X33" s="519"/>
      <c r="Y33" s="515"/>
      <c r="Z33" s="520"/>
      <c r="AA33" s="515"/>
      <c r="AB33" s="521"/>
      <c r="AC33" s="522"/>
      <c r="AD33" s="523"/>
      <c r="AE33" s="524"/>
      <c r="AF33" s="525"/>
      <c r="AG33" s="526"/>
      <c r="AH33" s="527"/>
      <c r="AI33" s="528"/>
      <c r="AJ33" s="529"/>
      <c r="AK33" s="530"/>
      <c r="AL33" s="405"/>
      <c r="AN33" s="531"/>
      <c r="AO33" s="531"/>
      <c r="AP33" s="531"/>
      <c r="AQ33" s="531"/>
      <c r="AR33" s="531"/>
      <c r="AS33" s="531"/>
      <c r="AT33" s="531"/>
      <c r="AU33" s="531"/>
      <c r="AV33" s="531"/>
      <c r="AW33" s="531"/>
      <c r="AX33" s="531"/>
      <c r="AY33" s="531"/>
      <c r="AZ33" s="531"/>
      <c r="BA33" s="531"/>
      <c r="BB33" s="531"/>
      <c r="BC33" s="531"/>
    </row>
    <row r="34" spans="1:61" x14ac:dyDescent="0.25">
      <c r="A34" s="451">
        <f t="shared" si="3"/>
        <v>29</v>
      </c>
      <c r="B34" s="452"/>
      <c r="C34" s="507"/>
      <c r="D34" s="508"/>
      <c r="E34" s="509"/>
      <c r="F34" s="509"/>
      <c r="G34" s="509"/>
      <c r="H34" s="510"/>
      <c r="I34" s="511"/>
      <c r="J34" s="512"/>
      <c r="K34" s="513"/>
      <c r="L34" s="514"/>
      <c r="M34" s="515"/>
      <c r="N34" s="515"/>
      <c r="O34" s="516"/>
      <c r="P34" s="517"/>
      <c r="Q34" s="517"/>
      <c r="R34" s="516"/>
      <c r="S34" s="517"/>
      <c r="T34" s="515"/>
      <c r="U34" s="516"/>
      <c r="V34" s="516"/>
      <c r="W34" s="518"/>
      <c r="X34" s="519"/>
      <c r="Y34" s="515"/>
      <c r="Z34" s="520"/>
      <c r="AA34" s="515"/>
      <c r="AB34" s="521"/>
      <c r="AC34" s="522"/>
      <c r="AD34" s="523"/>
      <c r="AE34" s="524"/>
      <c r="AF34" s="525"/>
      <c r="AG34" s="526"/>
      <c r="AH34" s="527"/>
      <c r="AI34" s="528"/>
      <c r="AJ34" s="529"/>
      <c r="AK34" s="530"/>
      <c r="AL34" s="405"/>
      <c r="AN34" s="531"/>
      <c r="AO34" s="531"/>
      <c r="AP34" s="531"/>
      <c r="AQ34" s="531"/>
      <c r="AR34" s="531"/>
      <c r="AS34" s="531"/>
      <c r="AT34" s="531"/>
      <c r="AU34" s="531"/>
      <c r="AV34" s="531"/>
      <c r="AW34" s="531"/>
      <c r="AX34" s="531"/>
      <c r="AY34" s="531"/>
      <c r="AZ34" s="531"/>
      <c r="BA34" s="531"/>
      <c r="BB34" s="531"/>
      <c r="BC34" s="531"/>
    </row>
    <row r="35" spans="1:61" x14ac:dyDescent="0.25">
      <c r="A35" s="451">
        <f t="shared" si="3"/>
        <v>30</v>
      </c>
      <c r="B35" s="452"/>
      <c r="C35" s="507"/>
      <c r="D35" s="508"/>
      <c r="E35" s="509"/>
      <c r="F35" s="509"/>
      <c r="G35" s="509"/>
      <c r="H35" s="510"/>
      <c r="I35" s="511"/>
      <c r="J35" s="512"/>
      <c r="K35" s="513"/>
      <c r="L35" s="514"/>
      <c r="M35" s="515"/>
      <c r="N35" s="515"/>
      <c r="O35" s="516"/>
      <c r="P35" s="517"/>
      <c r="Q35" s="517"/>
      <c r="R35" s="516"/>
      <c r="S35" s="517"/>
      <c r="T35" s="515"/>
      <c r="U35" s="516"/>
      <c r="V35" s="516"/>
      <c r="W35" s="518"/>
      <c r="X35" s="519"/>
      <c r="Y35" s="515"/>
      <c r="Z35" s="520"/>
      <c r="AA35" s="515"/>
      <c r="AB35" s="521"/>
      <c r="AC35" s="522"/>
      <c r="AD35" s="523"/>
      <c r="AE35" s="524"/>
      <c r="AF35" s="525"/>
      <c r="AG35" s="526"/>
      <c r="AH35" s="527"/>
      <c r="AI35" s="528"/>
      <c r="AJ35" s="529"/>
      <c r="AK35" s="530"/>
      <c r="AL35" s="405"/>
      <c r="AN35" s="531"/>
      <c r="AO35" s="531"/>
      <c r="AP35" s="531"/>
      <c r="AQ35" s="531"/>
      <c r="AR35" s="531"/>
      <c r="AS35" s="531"/>
      <c r="AT35" s="531"/>
      <c r="AU35" s="531"/>
      <c r="AV35" s="531"/>
      <c r="AW35" s="531"/>
      <c r="AX35" s="531"/>
      <c r="AY35" s="531"/>
      <c r="AZ35" s="531"/>
      <c r="BA35" s="531"/>
      <c r="BB35" s="531"/>
      <c r="BC35" s="531"/>
    </row>
    <row r="36" spans="1:61" x14ac:dyDescent="0.25">
      <c r="A36" s="451">
        <f t="shared" si="3"/>
        <v>31</v>
      </c>
      <c r="B36" s="452"/>
      <c r="C36" s="507"/>
      <c r="D36" s="508"/>
      <c r="E36" s="509"/>
      <c r="F36" s="509"/>
      <c r="G36" s="509"/>
      <c r="H36" s="510"/>
      <c r="I36" s="511"/>
      <c r="J36" s="512"/>
      <c r="K36" s="513"/>
      <c r="L36" s="514"/>
      <c r="M36" s="515"/>
      <c r="N36" s="515"/>
      <c r="O36" s="516"/>
      <c r="P36" s="517"/>
      <c r="Q36" s="517"/>
      <c r="R36" s="516"/>
      <c r="S36" s="517"/>
      <c r="T36" s="515"/>
      <c r="U36" s="516"/>
      <c r="V36" s="516"/>
      <c r="W36" s="518"/>
      <c r="X36" s="519"/>
      <c r="Y36" s="515"/>
      <c r="Z36" s="520"/>
      <c r="AA36" s="515"/>
      <c r="AB36" s="521"/>
      <c r="AC36" s="522"/>
      <c r="AD36" s="523"/>
      <c r="AE36" s="524"/>
      <c r="AF36" s="525"/>
      <c r="AG36" s="526"/>
      <c r="AH36" s="527"/>
      <c r="AI36" s="528"/>
      <c r="AJ36" s="529"/>
      <c r="AK36" s="530"/>
      <c r="AL36" s="405"/>
      <c r="AN36" s="531"/>
      <c r="AO36" s="531"/>
      <c r="AP36" s="531"/>
      <c r="AQ36" s="531"/>
      <c r="AR36" s="531"/>
      <c r="AS36" s="531"/>
      <c r="AT36" s="531"/>
      <c r="AU36" s="531"/>
      <c r="AV36" s="531"/>
      <c r="AW36" s="531"/>
      <c r="AX36" s="531"/>
      <c r="AY36" s="531"/>
      <c r="AZ36" s="531"/>
      <c r="BA36" s="531"/>
      <c r="BB36" s="531"/>
      <c r="BC36" s="531"/>
      <c r="BI36" s="531"/>
    </row>
    <row r="37" spans="1:61" x14ac:dyDescent="0.25">
      <c r="A37" s="451">
        <f t="shared" si="3"/>
        <v>32</v>
      </c>
      <c r="B37" s="452"/>
      <c r="C37" s="507"/>
      <c r="D37" s="508"/>
      <c r="E37" s="509"/>
      <c r="F37" s="509"/>
      <c r="G37" s="509"/>
      <c r="H37" s="510"/>
      <c r="I37" s="511"/>
      <c r="J37" s="512"/>
      <c r="K37" s="513"/>
      <c r="L37" s="514"/>
      <c r="M37" s="515"/>
      <c r="N37" s="515"/>
      <c r="O37" s="516"/>
      <c r="P37" s="517"/>
      <c r="Q37" s="517"/>
      <c r="R37" s="516"/>
      <c r="S37" s="517"/>
      <c r="T37" s="515"/>
      <c r="U37" s="516"/>
      <c r="V37" s="516"/>
      <c r="W37" s="518"/>
      <c r="X37" s="519"/>
      <c r="Y37" s="515"/>
      <c r="Z37" s="520"/>
      <c r="AA37" s="515"/>
      <c r="AB37" s="521"/>
      <c r="AC37" s="522"/>
      <c r="AD37" s="523"/>
      <c r="AE37" s="524"/>
      <c r="AF37" s="525"/>
      <c r="AG37" s="526"/>
      <c r="AH37" s="527"/>
      <c r="AI37" s="528"/>
      <c r="AJ37" s="529"/>
      <c r="AK37" s="530"/>
      <c r="AL37" s="405"/>
      <c r="AN37" s="531"/>
      <c r="AO37" s="531"/>
      <c r="AP37" s="531"/>
      <c r="AQ37" s="531"/>
      <c r="AR37" s="531"/>
      <c r="AS37" s="531"/>
      <c r="AT37" s="531"/>
      <c r="AU37" s="531"/>
      <c r="AV37" s="531"/>
      <c r="AW37" s="531"/>
      <c r="AX37" s="531"/>
      <c r="AY37" s="531"/>
      <c r="AZ37" s="531"/>
      <c r="BA37" s="531"/>
      <c r="BB37" s="531"/>
      <c r="BC37" s="531"/>
      <c r="BI37" s="531"/>
    </row>
    <row r="38" spans="1:61" x14ac:dyDescent="0.25">
      <c r="A38" s="451">
        <f t="shared" si="3"/>
        <v>33</v>
      </c>
      <c r="B38" s="452"/>
      <c r="C38" s="507"/>
      <c r="D38" s="508"/>
      <c r="E38" s="509"/>
      <c r="F38" s="509"/>
      <c r="G38" s="509"/>
      <c r="H38" s="510"/>
      <c r="I38" s="511"/>
      <c r="J38" s="512"/>
      <c r="K38" s="513"/>
      <c r="L38" s="514"/>
      <c r="M38" s="515"/>
      <c r="N38" s="515"/>
      <c r="O38" s="516"/>
      <c r="P38" s="517"/>
      <c r="Q38" s="517"/>
      <c r="R38" s="516"/>
      <c r="S38" s="517"/>
      <c r="T38" s="515"/>
      <c r="U38" s="516"/>
      <c r="V38" s="516"/>
      <c r="W38" s="518"/>
      <c r="X38" s="519"/>
      <c r="Y38" s="515"/>
      <c r="Z38" s="520"/>
      <c r="AA38" s="515"/>
      <c r="AB38" s="521"/>
      <c r="AC38" s="522"/>
      <c r="AD38" s="523"/>
      <c r="AE38" s="524"/>
      <c r="AF38" s="525"/>
      <c r="AG38" s="526"/>
      <c r="AH38" s="527"/>
      <c r="AI38" s="528"/>
      <c r="AJ38" s="529"/>
      <c r="AK38" s="530"/>
      <c r="AL38" s="405"/>
      <c r="AN38" s="531"/>
      <c r="AO38" s="531"/>
      <c r="AP38" s="531"/>
      <c r="AQ38" s="531"/>
      <c r="AR38" s="531"/>
      <c r="AS38" s="531"/>
      <c r="AT38" s="531"/>
      <c r="AU38" s="531"/>
      <c r="AV38" s="531"/>
      <c r="AW38" s="531"/>
      <c r="AX38" s="531"/>
      <c r="AY38" s="531"/>
      <c r="AZ38" s="531"/>
      <c r="BA38" s="531"/>
      <c r="BB38" s="531"/>
      <c r="BC38" s="531"/>
      <c r="BI38" s="531"/>
    </row>
    <row r="39" spans="1:61" x14ac:dyDescent="0.25">
      <c r="A39" s="451">
        <f t="shared" si="3"/>
        <v>34</v>
      </c>
      <c r="B39" s="452"/>
      <c r="C39" s="507"/>
      <c r="D39" s="508"/>
      <c r="E39" s="509"/>
      <c r="F39" s="509"/>
      <c r="G39" s="509"/>
      <c r="H39" s="510"/>
      <c r="I39" s="511"/>
      <c r="J39" s="512"/>
      <c r="K39" s="513"/>
      <c r="L39" s="514"/>
      <c r="M39" s="515"/>
      <c r="N39" s="515"/>
      <c r="O39" s="516"/>
      <c r="P39" s="517"/>
      <c r="Q39" s="517"/>
      <c r="R39" s="516"/>
      <c r="S39" s="517"/>
      <c r="T39" s="515"/>
      <c r="U39" s="516"/>
      <c r="V39" s="516"/>
      <c r="W39" s="518"/>
      <c r="X39" s="519"/>
      <c r="Y39" s="515"/>
      <c r="Z39" s="520"/>
      <c r="AA39" s="515"/>
      <c r="AB39" s="521"/>
      <c r="AC39" s="522"/>
      <c r="AD39" s="523"/>
      <c r="AE39" s="524"/>
      <c r="AF39" s="525"/>
      <c r="AG39" s="526"/>
      <c r="AH39" s="527"/>
      <c r="AI39" s="528"/>
      <c r="AJ39" s="529"/>
      <c r="AK39" s="530"/>
      <c r="AL39" s="405"/>
      <c r="AN39" s="531"/>
      <c r="AO39" s="531"/>
      <c r="AP39" s="531"/>
      <c r="AQ39" s="531"/>
      <c r="AR39" s="531"/>
      <c r="AS39" s="531"/>
      <c r="AT39" s="531"/>
      <c r="AU39" s="531"/>
      <c r="AV39" s="531"/>
      <c r="AW39" s="531"/>
      <c r="AX39" s="531"/>
      <c r="AY39" s="531"/>
      <c r="AZ39" s="531"/>
      <c r="BA39" s="531"/>
      <c r="BB39" s="531"/>
      <c r="BC39" s="531"/>
      <c r="BI39" s="531"/>
    </row>
    <row r="40" spans="1:61" x14ac:dyDescent="0.25">
      <c r="A40" s="451">
        <f t="shared" si="3"/>
        <v>35</v>
      </c>
      <c r="B40" s="452"/>
      <c r="C40" s="507"/>
      <c r="D40" s="508"/>
      <c r="E40" s="509"/>
      <c r="F40" s="509"/>
      <c r="G40" s="509"/>
      <c r="H40" s="510"/>
      <c r="I40" s="511"/>
      <c r="J40" s="512"/>
      <c r="K40" s="513"/>
      <c r="L40" s="514"/>
      <c r="M40" s="515"/>
      <c r="N40" s="515"/>
      <c r="O40" s="516"/>
      <c r="P40" s="517"/>
      <c r="Q40" s="517"/>
      <c r="R40" s="516"/>
      <c r="S40" s="517"/>
      <c r="T40" s="515"/>
      <c r="U40" s="516"/>
      <c r="V40" s="516"/>
      <c r="W40" s="518"/>
      <c r="X40" s="519"/>
      <c r="Y40" s="515"/>
      <c r="Z40" s="520"/>
      <c r="AA40" s="515"/>
      <c r="AB40" s="521"/>
      <c r="AC40" s="522"/>
      <c r="AD40" s="523"/>
      <c r="AE40" s="524"/>
      <c r="AF40" s="525"/>
      <c r="AG40" s="526"/>
      <c r="AH40" s="527"/>
      <c r="AI40" s="528"/>
      <c r="AJ40" s="529"/>
      <c r="AK40" s="530"/>
      <c r="AL40" s="405"/>
      <c r="AN40" s="531"/>
      <c r="AO40" s="531"/>
      <c r="AP40" s="531"/>
      <c r="AQ40" s="531"/>
      <c r="AR40" s="531"/>
      <c r="AS40" s="531"/>
      <c r="AT40" s="531"/>
      <c r="AU40" s="531"/>
      <c r="AV40" s="531"/>
      <c r="AW40" s="531"/>
      <c r="AX40" s="531"/>
      <c r="AY40" s="531"/>
      <c r="AZ40" s="531"/>
      <c r="BA40" s="531"/>
      <c r="BB40" s="531"/>
      <c r="BC40" s="531"/>
      <c r="BI40" s="531"/>
    </row>
    <row r="41" spans="1:61" x14ac:dyDescent="0.25">
      <c r="A41" s="451">
        <f t="shared" si="3"/>
        <v>36</v>
      </c>
      <c r="B41" s="452"/>
      <c r="C41" s="507"/>
      <c r="D41" s="508"/>
      <c r="E41" s="509"/>
      <c r="F41" s="509"/>
      <c r="G41" s="509"/>
      <c r="H41" s="510"/>
      <c r="I41" s="511"/>
      <c r="J41" s="512"/>
      <c r="K41" s="513"/>
      <c r="L41" s="514"/>
      <c r="M41" s="515"/>
      <c r="N41" s="515"/>
      <c r="O41" s="516"/>
      <c r="P41" s="517"/>
      <c r="Q41" s="517"/>
      <c r="R41" s="516"/>
      <c r="S41" s="517"/>
      <c r="T41" s="515"/>
      <c r="U41" s="516"/>
      <c r="V41" s="516"/>
      <c r="W41" s="518"/>
      <c r="X41" s="519"/>
      <c r="Y41" s="515"/>
      <c r="Z41" s="520"/>
      <c r="AA41" s="515"/>
      <c r="AB41" s="521"/>
      <c r="AC41" s="522"/>
      <c r="AD41" s="523"/>
      <c r="AE41" s="524"/>
      <c r="AF41" s="525"/>
      <c r="AG41" s="526"/>
      <c r="AH41" s="527"/>
      <c r="AI41" s="528"/>
      <c r="AJ41" s="529"/>
      <c r="AK41" s="530"/>
      <c r="AL41" s="405"/>
      <c r="AN41" s="531"/>
      <c r="AO41" s="531"/>
      <c r="AP41" s="531"/>
      <c r="AQ41" s="531"/>
      <c r="AR41" s="531"/>
      <c r="AS41" s="531"/>
      <c r="AT41" s="531"/>
      <c r="AU41" s="531"/>
      <c r="AV41" s="531"/>
      <c r="AW41" s="531"/>
      <c r="AX41" s="531"/>
      <c r="AY41" s="531"/>
      <c r="AZ41" s="531"/>
      <c r="BA41" s="531"/>
      <c r="BB41" s="531"/>
      <c r="BC41" s="531"/>
      <c r="BI41" s="531"/>
    </row>
    <row r="42" spans="1:61" x14ac:dyDescent="0.25">
      <c r="A42" s="451">
        <f t="shared" si="3"/>
        <v>37</v>
      </c>
      <c r="B42" s="452"/>
      <c r="C42" s="507"/>
      <c r="D42" s="508"/>
      <c r="E42" s="509"/>
      <c r="F42" s="509"/>
      <c r="G42" s="509"/>
      <c r="H42" s="510"/>
      <c r="I42" s="511"/>
      <c r="J42" s="512"/>
      <c r="K42" s="513"/>
      <c r="L42" s="514"/>
      <c r="M42" s="515"/>
      <c r="N42" s="515"/>
      <c r="O42" s="516"/>
      <c r="P42" s="517"/>
      <c r="Q42" s="517"/>
      <c r="R42" s="516"/>
      <c r="S42" s="517"/>
      <c r="T42" s="515"/>
      <c r="U42" s="516"/>
      <c r="V42" s="516"/>
      <c r="W42" s="518"/>
      <c r="X42" s="519"/>
      <c r="Y42" s="515"/>
      <c r="Z42" s="520"/>
      <c r="AA42" s="515"/>
      <c r="AB42" s="521"/>
      <c r="AC42" s="522"/>
      <c r="AD42" s="523"/>
      <c r="AE42" s="524"/>
      <c r="AF42" s="525"/>
      <c r="AG42" s="526"/>
      <c r="AH42" s="527"/>
      <c r="AI42" s="528"/>
      <c r="AJ42" s="529"/>
      <c r="AK42" s="530"/>
      <c r="AL42" s="405"/>
      <c r="AN42" s="531"/>
      <c r="AO42" s="531"/>
      <c r="AP42" s="531"/>
      <c r="AQ42" s="531"/>
      <c r="AR42" s="531"/>
      <c r="AS42" s="531"/>
      <c r="AT42" s="531"/>
      <c r="AU42" s="531"/>
      <c r="AV42" s="531"/>
      <c r="AW42" s="531"/>
      <c r="AX42" s="531"/>
      <c r="AY42" s="531"/>
      <c r="AZ42" s="531"/>
      <c r="BA42" s="531"/>
      <c r="BB42" s="531"/>
      <c r="BC42" s="531"/>
      <c r="BI42" s="531"/>
    </row>
    <row r="43" spans="1:61" x14ac:dyDescent="0.25">
      <c r="A43" s="451">
        <f t="shared" si="3"/>
        <v>38</v>
      </c>
      <c r="B43" s="452"/>
      <c r="C43" s="507"/>
      <c r="D43" s="508"/>
      <c r="E43" s="509"/>
      <c r="F43" s="509"/>
      <c r="G43" s="509"/>
      <c r="H43" s="510"/>
      <c r="I43" s="511"/>
      <c r="J43" s="512"/>
      <c r="K43" s="513"/>
      <c r="L43" s="514"/>
      <c r="M43" s="515"/>
      <c r="N43" s="515"/>
      <c r="O43" s="516"/>
      <c r="P43" s="517"/>
      <c r="Q43" s="517"/>
      <c r="R43" s="516"/>
      <c r="S43" s="517"/>
      <c r="T43" s="515"/>
      <c r="U43" s="516"/>
      <c r="V43" s="516"/>
      <c r="W43" s="518"/>
      <c r="X43" s="519"/>
      <c r="Y43" s="515"/>
      <c r="Z43" s="520"/>
      <c r="AA43" s="515"/>
      <c r="AB43" s="521"/>
      <c r="AC43" s="522"/>
      <c r="AD43" s="523"/>
      <c r="AE43" s="524"/>
      <c r="AF43" s="525"/>
      <c r="AG43" s="526"/>
      <c r="AH43" s="527"/>
      <c r="AI43" s="528"/>
      <c r="AJ43" s="529"/>
      <c r="AK43" s="530"/>
      <c r="AL43" s="405"/>
      <c r="AN43" s="531"/>
      <c r="AO43" s="531"/>
      <c r="AP43" s="531"/>
      <c r="AQ43" s="531"/>
      <c r="AR43" s="531"/>
      <c r="AS43" s="531"/>
      <c r="AT43" s="531"/>
      <c r="AU43" s="531"/>
      <c r="AV43" s="531"/>
      <c r="AW43" s="531"/>
      <c r="AX43" s="531"/>
      <c r="AY43" s="531"/>
      <c r="AZ43" s="531"/>
      <c r="BA43" s="531"/>
      <c r="BB43" s="531"/>
      <c r="BC43" s="531"/>
      <c r="BI43" s="531"/>
    </row>
    <row r="44" spans="1:61" x14ac:dyDescent="0.25">
      <c r="A44" s="451">
        <f t="shared" si="3"/>
        <v>39</v>
      </c>
      <c r="B44" s="452"/>
      <c r="C44" s="507"/>
      <c r="D44" s="508"/>
      <c r="E44" s="509"/>
      <c r="F44" s="509"/>
      <c r="G44" s="509"/>
      <c r="H44" s="510"/>
      <c r="I44" s="511"/>
      <c r="J44" s="512"/>
      <c r="K44" s="513"/>
      <c r="L44" s="514"/>
      <c r="M44" s="515"/>
      <c r="N44" s="515"/>
      <c r="O44" s="516"/>
      <c r="P44" s="517"/>
      <c r="Q44" s="517"/>
      <c r="R44" s="516"/>
      <c r="S44" s="517"/>
      <c r="T44" s="515"/>
      <c r="U44" s="516"/>
      <c r="V44" s="516"/>
      <c r="W44" s="518"/>
      <c r="X44" s="519"/>
      <c r="Y44" s="515"/>
      <c r="Z44" s="520"/>
      <c r="AA44" s="515"/>
      <c r="AB44" s="521"/>
      <c r="AC44" s="522"/>
      <c r="AD44" s="523"/>
      <c r="AE44" s="524"/>
      <c r="AF44" s="525"/>
      <c r="AG44" s="526"/>
      <c r="AH44" s="527"/>
      <c r="AI44" s="528"/>
      <c r="AJ44" s="529"/>
      <c r="AK44" s="530"/>
      <c r="AL44" s="405"/>
      <c r="AN44" s="531"/>
      <c r="AO44" s="531"/>
      <c r="AP44" s="531"/>
      <c r="AQ44" s="531"/>
      <c r="AR44" s="531"/>
      <c r="AS44" s="531"/>
      <c r="AT44" s="531"/>
      <c r="AU44" s="531"/>
      <c r="AV44" s="531"/>
      <c r="AW44" s="531"/>
      <c r="AX44" s="531"/>
      <c r="AY44" s="531"/>
      <c r="AZ44" s="531"/>
      <c r="BA44" s="531"/>
      <c r="BB44" s="531"/>
      <c r="BC44" s="531"/>
      <c r="BI44" s="531"/>
    </row>
    <row r="45" spans="1:61" x14ac:dyDescent="0.25">
      <c r="A45" s="451">
        <f t="shared" si="3"/>
        <v>40</v>
      </c>
      <c r="B45" s="452"/>
      <c r="C45" s="507"/>
      <c r="D45" s="508"/>
      <c r="E45" s="509"/>
      <c r="F45" s="509"/>
      <c r="G45" s="509"/>
      <c r="H45" s="510"/>
      <c r="I45" s="511"/>
      <c r="J45" s="512"/>
      <c r="K45" s="513"/>
      <c r="L45" s="514"/>
      <c r="M45" s="515"/>
      <c r="N45" s="515"/>
      <c r="O45" s="516"/>
      <c r="P45" s="517"/>
      <c r="Q45" s="517"/>
      <c r="R45" s="516"/>
      <c r="S45" s="517"/>
      <c r="T45" s="515"/>
      <c r="U45" s="516"/>
      <c r="V45" s="516"/>
      <c r="W45" s="518"/>
      <c r="X45" s="519"/>
      <c r="Y45" s="515"/>
      <c r="Z45" s="520"/>
      <c r="AA45" s="515"/>
      <c r="AB45" s="521"/>
      <c r="AC45" s="522"/>
      <c r="AD45" s="523"/>
      <c r="AE45" s="524"/>
      <c r="AF45" s="525"/>
      <c r="AG45" s="526"/>
      <c r="AH45" s="527"/>
      <c r="AI45" s="528"/>
      <c r="AJ45" s="529"/>
      <c r="AK45" s="530"/>
      <c r="AL45" s="405"/>
      <c r="AN45" s="531"/>
      <c r="AO45" s="531"/>
      <c r="AP45" s="531"/>
      <c r="AQ45" s="531"/>
      <c r="AR45" s="531"/>
      <c r="AS45" s="531"/>
      <c r="AT45" s="531"/>
      <c r="AU45" s="531"/>
      <c r="AV45" s="531"/>
      <c r="AW45" s="531"/>
      <c r="AX45" s="531"/>
      <c r="AY45" s="531"/>
      <c r="AZ45" s="531"/>
      <c r="BA45" s="531"/>
      <c r="BB45" s="531"/>
      <c r="BC45" s="531"/>
      <c r="BI45" s="531"/>
    </row>
    <row r="46" spans="1:61" x14ac:dyDescent="0.25">
      <c r="A46" s="451">
        <f t="shared" si="3"/>
        <v>41</v>
      </c>
      <c r="B46" s="452"/>
      <c r="C46" s="507"/>
      <c r="D46" s="508"/>
      <c r="E46" s="509"/>
      <c r="F46" s="509"/>
      <c r="G46" s="509"/>
      <c r="H46" s="510"/>
      <c r="I46" s="511"/>
      <c r="J46" s="512"/>
      <c r="K46" s="513"/>
      <c r="L46" s="514"/>
      <c r="M46" s="515"/>
      <c r="N46" s="515"/>
      <c r="O46" s="516"/>
      <c r="P46" s="517"/>
      <c r="Q46" s="517"/>
      <c r="R46" s="516"/>
      <c r="S46" s="517"/>
      <c r="T46" s="515"/>
      <c r="U46" s="516"/>
      <c r="V46" s="516"/>
      <c r="W46" s="518"/>
      <c r="X46" s="519"/>
      <c r="Y46" s="515"/>
      <c r="Z46" s="520"/>
      <c r="AA46" s="515"/>
      <c r="AB46" s="521"/>
      <c r="AC46" s="522"/>
      <c r="AD46" s="523"/>
      <c r="AE46" s="524"/>
      <c r="AF46" s="525"/>
      <c r="AG46" s="526"/>
      <c r="AH46" s="527"/>
      <c r="AI46" s="528"/>
      <c r="AJ46" s="529"/>
      <c r="AK46" s="530"/>
      <c r="AL46" s="405"/>
      <c r="AN46" s="531"/>
      <c r="AO46" s="531"/>
      <c r="AP46" s="531"/>
      <c r="AQ46" s="531"/>
      <c r="AR46" s="531"/>
      <c r="AS46" s="531"/>
      <c r="AT46" s="531"/>
      <c r="AU46" s="531"/>
      <c r="AV46" s="531"/>
      <c r="AW46" s="531"/>
      <c r="AX46" s="531"/>
      <c r="AY46" s="531"/>
      <c r="AZ46" s="531"/>
      <c r="BA46" s="531"/>
      <c r="BB46" s="531"/>
      <c r="BC46" s="531"/>
      <c r="BI46" s="531"/>
    </row>
    <row r="47" spans="1:61" x14ac:dyDescent="0.25">
      <c r="A47" s="451">
        <f t="shared" si="3"/>
        <v>42</v>
      </c>
      <c r="B47" s="452"/>
      <c r="C47" s="507"/>
      <c r="D47" s="508"/>
      <c r="E47" s="509"/>
      <c r="F47" s="509"/>
      <c r="G47" s="509"/>
      <c r="H47" s="510"/>
      <c r="I47" s="511"/>
      <c r="J47" s="512"/>
      <c r="K47" s="513"/>
      <c r="L47" s="514"/>
      <c r="M47" s="515"/>
      <c r="N47" s="515"/>
      <c r="O47" s="516"/>
      <c r="P47" s="517"/>
      <c r="Q47" s="517"/>
      <c r="R47" s="516"/>
      <c r="S47" s="517"/>
      <c r="T47" s="515"/>
      <c r="U47" s="516"/>
      <c r="V47" s="516"/>
      <c r="W47" s="518"/>
      <c r="X47" s="519"/>
      <c r="Y47" s="515"/>
      <c r="Z47" s="520"/>
      <c r="AA47" s="515"/>
      <c r="AB47" s="521"/>
      <c r="AC47" s="522"/>
      <c r="AD47" s="523"/>
      <c r="AE47" s="524"/>
      <c r="AF47" s="525"/>
      <c r="AG47" s="526"/>
      <c r="AH47" s="527"/>
      <c r="AI47" s="528"/>
      <c r="AJ47" s="529"/>
      <c r="AK47" s="530"/>
      <c r="AL47" s="405"/>
      <c r="AN47" s="531"/>
      <c r="AO47" s="531"/>
      <c r="AP47" s="531"/>
      <c r="AQ47" s="531"/>
      <c r="AR47" s="531"/>
      <c r="AS47" s="531"/>
      <c r="AT47" s="531"/>
      <c r="AU47" s="531"/>
      <c r="AV47" s="531"/>
      <c r="AW47" s="531"/>
      <c r="AX47" s="531"/>
      <c r="AY47" s="531"/>
      <c r="AZ47" s="531"/>
      <c r="BA47" s="531"/>
      <c r="BB47" s="531"/>
      <c r="BC47" s="531"/>
      <c r="BI47" s="531"/>
    </row>
    <row r="48" spans="1:61" x14ac:dyDescent="0.25">
      <c r="A48" s="451">
        <f t="shared" si="3"/>
        <v>43</v>
      </c>
      <c r="B48" s="452"/>
      <c r="C48" s="507"/>
      <c r="D48" s="508"/>
      <c r="E48" s="509"/>
      <c r="F48" s="509"/>
      <c r="G48" s="509"/>
      <c r="H48" s="510"/>
      <c r="I48" s="511"/>
      <c r="J48" s="512"/>
      <c r="K48" s="513"/>
      <c r="L48" s="514"/>
      <c r="M48" s="515"/>
      <c r="N48" s="515"/>
      <c r="O48" s="516"/>
      <c r="P48" s="517"/>
      <c r="Q48" s="517"/>
      <c r="R48" s="516"/>
      <c r="S48" s="517"/>
      <c r="T48" s="515"/>
      <c r="U48" s="516"/>
      <c r="V48" s="516"/>
      <c r="W48" s="518"/>
      <c r="X48" s="519"/>
      <c r="Y48" s="515"/>
      <c r="Z48" s="520"/>
      <c r="AA48" s="515"/>
      <c r="AB48" s="521"/>
      <c r="AC48" s="522"/>
      <c r="AD48" s="523"/>
      <c r="AE48" s="524"/>
      <c r="AF48" s="525"/>
      <c r="AG48" s="526"/>
      <c r="AH48" s="527"/>
      <c r="AI48" s="528"/>
      <c r="AJ48" s="529"/>
      <c r="AK48" s="530"/>
      <c r="AL48" s="405"/>
      <c r="AN48" s="531"/>
      <c r="AO48" s="531"/>
      <c r="AP48" s="531"/>
      <c r="AQ48" s="531"/>
      <c r="AR48" s="531"/>
      <c r="AS48" s="531"/>
      <c r="AT48" s="531"/>
      <c r="AU48" s="531"/>
      <c r="AV48" s="531"/>
      <c r="AW48" s="531"/>
      <c r="AX48" s="531"/>
      <c r="AY48" s="531"/>
      <c r="AZ48" s="531"/>
      <c r="BA48" s="531"/>
      <c r="BB48" s="531"/>
      <c r="BC48" s="531"/>
      <c r="BI48" s="531"/>
    </row>
    <row r="49" spans="1:61" ht="15.75" thickBot="1" x14ac:dyDescent="0.3">
      <c r="A49" s="532">
        <f t="shared" si="3"/>
        <v>44</v>
      </c>
      <c r="B49" s="533"/>
      <c r="C49" s="534"/>
      <c r="D49" s="535"/>
      <c r="E49" s="536"/>
      <c r="F49" s="536"/>
      <c r="G49" s="536"/>
      <c r="H49" s="537"/>
      <c r="I49" s="538"/>
      <c r="J49" s="539"/>
      <c r="K49" s="540"/>
      <c r="L49" s="541"/>
      <c r="M49" s="542"/>
      <c r="N49" s="542"/>
      <c r="O49" s="543"/>
      <c r="P49" s="544"/>
      <c r="Q49" s="544"/>
      <c r="R49" s="543"/>
      <c r="S49" s="544"/>
      <c r="T49" s="542"/>
      <c r="U49" s="543"/>
      <c r="V49" s="543"/>
      <c r="W49" s="545"/>
      <c r="X49" s="546"/>
      <c r="Y49" s="542"/>
      <c r="Z49" s="547"/>
      <c r="AA49" s="542"/>
      <c r="AB49" s="548"/>
      <c r="AC49" s="549"/>
      <c r="AD49" s="550"/>
      <c r="AE49" s="551"/>
      <c r="AF49" s="552"/>
      <c r="AG49" s="553"/>
      <c r="AH49" s="554"/>
      <c r="AI49" s="555"/>
      <c r="AJ49" s="556"/>
      <c r="AK49" s="557"/>
      <c r="AL49" s="405"/>
      <c r="AN49" s="531"/>
      <c r="AO49" s="531"/>
      <c r="AP49" s="531"/>
      <c r="AQ49" s="531"/>
      <c r="AR49" s="531"/>
      <c r="AS49" s="531"/>
      <c r="AT49" s="531"/>
      <c r="AU49" s="531"/>
      <c r="AV49" s="531"/>
      <c r="AW49" s="531"/>
      <c r="AX49" s="531"/>
      <c r="AY49" s="531"/>
      <c r="AZ49" s="531"/>
      <c r="BA49" s="531"/>
      <c r="BB49" s="531"/>
      <c r="BC49" s="531"/>
      <c r="BI49" s="531"/>
    </row>
    <row r="50" spans="1:61" x14ac:dyDescent="0.25">
      <c r="A50" s="461"/>
      <c r="B50" s="558"/>
      <c r="C50" s="559"/>
      <c r="D50" s="559"/>
      <c r="E50" s="559"/>
      <c r="F50" s="559"/>
      <c r="G50" s="560"/>
      <c r="H50" s="560"/>
      <c r="I50" s="561"/>
      <c r="J50" s="559"/>
      <c r="K50" s="562"/>
      <c r="L50" s="562"/>
      <c r="M50" s="563"/>
      <c r="N50" s="564"/>
      <c r="O50" s="564"/>
      <c r="P50" s="564"/>
      <c r="Q50" s="564"/>
      <c r="R50" s="564"/>
      <c r="S50" s="564"/>
      <c r="T50" s="564"/>
      <c r="U50" s="564"/>
      <c r="V50" s="564"/>
      <c r="W50" s="564"/>
      <c r="X50" s="564"/>
      <c r="Y50" s="564"/>
      <c r="Z50" s="564"/>
      <c r="AA50" s="564"/>
      <c r="AB50" s="564"/>
      <c r="AC50" s="396"/>
      <c r="AD50" s="559"/>
      <c r="AE50" s="559"/>
      <c r="AF50" s="396"/>
      <c r="AG50" s="396"/>
      <c r="AH50" s="396"/>
      <c r="AI50" s="396"/>
      <c r="AJ50" s="396"/>
      <c r="AK50" s="396"/>
      <c r="AL50" s="405"/>
      <c r="AN50" s="531"/>
      <c r="AO50" s="531"/>
      <c r="AP50" s="531"/>
      <c r="AQ50" s="531"/>
      <c r="AR50" s="531"/>
      <c r="AS50" s="531"/>
      <c r="AT50" s="531"/>
      <c r="AU50" s="531"/>
      <c r="AV50" s="531"/>
      <c r="AW50" s="531"/>
      <c r="AX50" s="531"/>
      <c r="AY50" s="531"/>
      <c r="AZ50" s="531"/>
      <c r="BA50" s="531"/>
      <c r="BB50" s="531"/>
      <c r="BC50" s="531"/>
      <c r="BI50" s="531"/>
    </row>
    <row r="51" spans="1:61" x14ac:dyDescent="0.25">
      <c r="A51" s="402"/>
      <c r="B51" s="565"/>
      <c r="C51" s="404"/>
      <c r="D51" s="404"/>
      <c r="E51" s="404"/>
      <c r="F51" s="404"/>
      <c r="G51" s="566"/>
      <c r="H51" s="566"/>
      <c r="I51" s="567"/>
      <c r="J51" s="404"/>
      <c r="K51" s="568"/>
      <c r="L51" s="568"/>
      <c r="M51" s="569"/>
      <c r="N51" s="570"/>
      <c r="O51" s="570"/>
      <c r="P51" s="570"/>
      <c r="Q51" s="570"/>
      <c r="R51" s="570"/>
      <c r="S51" s="570"/>
      <c r="T51" s="570"/>
      <c r="U51" s="570"/>
      <c r="V51" s="570"/>
      <c r="W51" s="570"/>
      <c r="X51" s="570"/>
      <c r="Y51" s="570"/>
      <c r="Z51" s="570"/>
      <c r="AA51" s="570"/>
      <c r="AB51" s="570"/>
      <c r="AC51" s="403"/>
      <c r="AD51" s="404"/>
      <c r="AE51" s="404"/>
      <c r="AF51" s="403"/>
      <c r="AG51" s="403"/>
      <c r="AH51" s="403"/>
      <c r="AI51" s="403"/>
      <c r="AJ51" s="403"/>
      <c r="AK51" s="403"/>
      <c r="AL51" s="405"/>
      <c r="AN51" s="531"/>
      <c r="AO51" s="531"/>
      <c r="AP51" s="531"/>
      <c r="AQ51" s="531"/>
      <c r="AR51" s="531"/>
      <c r="AS51" s="531"/>
      <c r="AT51" s="531"/>
      <c r="AU51" s="531"/>
      <c r="AV51" s="531"/>
      <c r="AW51" s="531"/>
      <c r="AX51" s="531"/>
      <c r="AY51" s="531"/>
      <c r="AZ51" s="531"/>
      <c r="BA51" s="531"/>
      <c r="BB51" s="531"/>
      <c r="BC51" s="531"/>
      <c r="BI51" s="531"/>
    </row>
    <row r="52" spans="1:61" x14ac:dyDescent="0.25">
      <c r="A52" s="402"/>
      <c r="B52" s="565"/>
      <c r="C52" s="404"/>
      <c r="D52" s="404"/>
      <c r="E52" s="404"/>
      <c r="F52" s="404"/>
      <c r="G52" s="566"/>
      <c r="H52" s="566"/>
      <c r="I52" s="567"/>
      <c r="J52" s="404"/>
      <c r="K52" s="568"/>
      <c r="L52" s="568"/>
      <c r="M52" s="569"/>
      <c r="N52" s="570"/>
      <c r="O52" s="570"/>
      <c r="P52" s="570"/>
      <c r="Q52" s="570"/>
      <c r="R52" s="570"/>
      <c r="S52" s="570"/>
      <c r="T52" s="570"/>
      <c r="U52" s="570"/>
      <c r="V52" s="570"/>
      <c r="W52" s="570"/>
      <c r="X52" s="570"/>
      <c r="Y52" s="570"/>
      <c r="Z52" s="570"/>
      <c r="AA52" s="570"/>
      <c r="AB52" s="570"/>
      <c r="AC52" s="403"/>
      <c r="AD52" s="404"/>
      <c r="AE52" s="404"/>
      <c r="AF52" s="403"/>
      <c r="AG52" s="403"/>
      <c r="AH52" s="403"/>
      <c r="AI52" s="403"/>
      <c r="AJ52" s="403"/>
      <c r="AK52" s="403"/>
      <c r="AL52" s="405"/>
      <c r="AN52" s="531"/>
      <c r="AO52" s="531"/>
      <c r="AP52" s="531"/>
      <c r="AQ52" s="531"/>
      <c r="AR52" s="531"/>
      <c r="AS52" s="531"/>
      <c r="AT52" s="531"/>
      <c r="AU52" s="531"/>
      <c r="AV52" s="531"/>
      <c r="AW52" s="531"/>
      <c r="AX52" s="531"/>
      <c r="AY52" s="531"/>
      <c r="AZ52" s="531"/>
      <c r="BA52" s="531"/>
      <c r="BB52" s="531"/>
      <c r="BC52" s="531"/>
    </row>
    <row r="53" spans="1:61" x14ac:dyDescent="0.25">
      <c r="A53" s="402"/>
      <c r="B53" s="565"/>
      <c r="C53" s="404"/>
      <c r="D53" s="404"/>
      <c r="E53" s="404"/>
      <c r="F53" s="404"/>
      <c r="G53" s="566"/>
      <c r="H53" s="566"/>
      <c r="I53" s="567"/>
      <c r="J53" s="404"/>
      <c r="K53" s="568"/>
      <c r="L53" s="568"/>
      <c r="M53" s="569"/>
      <c r="N53" s="570"/>
      <c r="O53" s="570"/>
      <c r="P53" s="570"/>
      <c r="Q53" s="570"/>
      <c r="R53" s="570"/>
      <c r="S53" s="570"/>
      <c r="T53" s="570"/>
      <c r="U53" s="570"/>
      <c r="V53" s="570"/>
      <c r="W53" s="570"/>
      <c r="X53" s="570"/>
      <c r="Y53" s="570"/>
      <c r="Z53" s="570"/>
      <c r="AA53" s="570"/>
      <c r="AB53" s="570"/>
      <c r="AC53" s="403"/>
      <c r="AD53" s="404"/>
      <c r="AE53" s="404"/>
      <c r="AF53" s="403"/>
      <c r="AG53" s="403"/>
      <c r="AH53" s="403"/>
      <c r="AI53" s="403"/>
      <c r="AJ53" s="403"/>
      <c r="AK53" s="403"/>
      <c r="AL53" s="405"/>
      <c r="AN53" s="531"/>
      <c r="AO53" s="531"/>
      <c r="AP53" s="531"/>
      <c r="AQ53" s="531"/>
      <c r="AR53" s="531"/>
      <c r="AS53" s="531"/>
      <c r="AT53" s="531"/>
      <c r="AU53" s="531"/>
      <c r="AV53" s="531"/>
      <c r="AW53" s="531"/>
      <c r="AX53" s="531"/>
      <c r="AY53" s="531"/>
      <c r="AZ53" s="531"/>
      <c r="BA53" s="531"/>
      <c r="BB53" s="531"/>
      <c r="BC53" s="531"/>
    </row>
    <row r="54" spans="1:61" ht="15.75" thickBot="1" x14ac:dyDescent="0.3">
      <c r="A54" s="411"/>
      <c r="B54" s="571"/>
      <c r="C54" s="572"/>
      <c r="D54" s="572"/>
      <c r="E54" s="572"/>
      <c r="F54" s="572"/>
      <c r="G54" s="573"/>
      <c r="H54" s="573"/>
      <c r="I54" s="574"/>
      <c r="J54" s="572"/>
      <c r="K54" s="575"/>
      <c r="L54" s="575"/>
      <c r="M54" s="576"/>
      <c r="N54" s="577"/>
      <c r="O54" s="577"/>
      <c r="P54" s="577"/>
      <c r="Q54" s="577"/>
      <c r="R54" s="577"/>
      <c r="S54" s="577"/>
      <c r="T54" s="577"/>
      <c r="U54" s="577"/>
      <c r="V54" s="577"/>
      <c r="W54" s="577"/>
      <c r="X54" s="577"/>
      <c r="Y54" s="577"/>
      <c r="Z54" s="577"/>
      <c r="AA54" s="577"/>
      <c r="AB54" s="577"/>
      <c r="AC54" s="412"/>
      <c r="AD54" s="572"/>
      <c r="AE54" s="572"/>
      <c r="AF54" s="412"/>
      <c r="AG54" s="412"/>
      <c r="AH54" s="412"/>
      <c r="AI54" s="412"/>
      <c r="AJ54" s="412"/>
      <c r="AK54" s="412"/>
      <c r="AL54" s="405"/>
      <c r="AN54" s="531"/>
      <c r="AO54" s="531"/>
      <c r="AP54" s="531"/>
      <c r="AQ54" s="531"/>
      <c r="AR54" s="531"/>
      <c r="AS54" s="531"/>
      <c r="AT54" s="531"/>
      <c r="AU54" s="531"/>
      <c r="AV54" s="531"/>
      <c r="AW54" s="531"/>
      <c r="AX54" s="531"/>
      <c r="AY54" s="531"/>
      <c r="AZ54" s="531"/>
      <c r="BA54" s="531"/>
      <c r="BB54" s="531"/>
      <c r="BC54" s="531"/>
    </row>
    <row r="55" spans="1:61" x14ac:dyDescent="0.25">
      <c r="B55" s="578"/>
      <c r="C55" s="579"/>
      <c r="D55" s="579"/>
      <c r="E55" s="579"/>
      <c r="F55" s="579"/>
      <c r="G55" s="580"/>
      <c r="H55" s="580"/>
      <c r="I55" s="581"/>
      <c r="J55" s="579"/>
      <c r="K55" s="582"/>
      <c r="L55" s="582"/>
      <c r="M55" s="583"/>
      <c r="N55" s="584"/>
      <c r="O55" s="584"/>
      <c r="P55" s="584"/>
      <c r="Q55" s="584"/>
      <c r="R55" s="584"/>
      <c r="S55" s="584"/>
      <c r="T55" s="584"/>
      <c r="U55" s="584"/>
      <c r="V55" s="584"/>
      <c r="W55" s="584"/>
      <c r="X55" s="584"/>
      <c r="Y55" s="584"/>
      <c r="Z55" s="584"/>
      <c r="AA55" s="584"/>
      <c r="AB55" s="584"/>
      <c r="AC55" s="33"/>
      <c r="AD55" s="579"/>
      <c r="AE55" s="579"/>
      <c r="AF55" s="33"/>
      <c r="AG55" s="33"/>
      <c r="AH55" s="33"/>
      <c r="AI55" s="33"/>
      <c r="AJ55" s="33"/>
      <c r="AK55" s="33"/>
      <c r="AL55" s="33"/>
      <c r="AN55" s="531"/>
      <c r="AO55" s="531"/>
      <c r="AP55" s="531"/>
      <c r="AQ55" s="531"/>
      <c r="AR55" s="531"/>
      <c r="AS55" s="531"/>
      <c r="AT55" s="531"/>
      <c r="AU55" s="531"/>
      <c r="AV55" s="531"/>
      <c r="AW55" s="531"/>
      <c r="AX55" s="531"/>
      <c r="AY55" s="531"/>
      <c r="AZ55" s="531"/>
      <c r="BA55" s="531"/>
      <c r="BB55" s="531"/>
      <c r="BC55" s="531"/>
    </row>
    <row r="56" spans="1:61" x14ac:dyDescent="0.25">
      <c r="B56" s="578"/>
      <c r="C56" s="579"/>
      <c r="D56" s="579"/>
      <c r="E56" s="579"/>
      <c r="F56" s="579"/>
      <c r="G56" s="580"/>
      <c r="H56" s="580"/>
      <c r="I56" s="581"/>
      <c r="J56" s="579"/>
      <c r="K56" s="582"/>
      <c r="L56" s="582"/>
      <c r="M56" s="583"/>
      <c r="N56" s="584"/>
      <c r="O56" s="584"/>
      <c r="P56" s="584"/>
      <c r="Q56" s="584"/>
      <c r="R56" s="584"/>
      <c r="S56" s="584"/>
      <c r="T56" s="584"/>
      <c r="U56" s="584"/>
      <c r="V56" s="584"/>
      <c r="W56" s="584"/>
      <c r="X56" s="584"/>
      <c r="Y56" s="584"/>
      <c r="Z56" s="584"/>
      <c r="AA56" s="584"/>
      <c r="AB56" s="584"/>
      <c r="AC56" s="33"/>
      <c r="AD56" s="579"/>
      <c r="AE56" s="579"/>
      <c r="AF56" s="33"/>
      <c r="AG56" s="33"/>
      <c r="AH56" s="33"/>
      <c r="AI56" s="33"/>
      <c r="AJ56" s="33"/>
      <c r="AK56" s="33"/>
      <c r="AL56" s="33"/>
      <c r="AN56" s="531"/>
      <c r="AO56" s="531"/>
      <c r="AP56" s="531"/>
      <c r="AQ56" s="531"/>
      <c r="AR56" s="531"/>
      <c r="AS56" s="531"/>
      <c r="AT56" s="531"/>
      <c r="AU56" s="531"/>
      <c r="AV56" s="531"/>
      <c r="AW56" s="531"/>
      <c r="AX56" s="531"/>
      <c r="AY56" s="531"/>
      <c r="AZ56" s="531"/>
      <c r="BA56" s="531"/>
      <c r="BB56" s="531"/>
      <c r="BC56" s="531"/>
    </row>
    <row r="57" spans="1:61" x14ac:dyDescent="0.25">
      <c r="B57" s="578"/>
      <c r="C57" s="579"/>
      <c r="D57" s="579"/>
      <c r="E57" s="579"/>
      <c r="F57" s="579"/>
      <c r="G57" s="580"/>
      <c r="H57" s="580"/>
      <c r="I57" s="581"/>
      <c r="J57" s="579"/>
      <c r="K57" s="582"/>
      <c r="L57" s="582"/>
      <c r="M57" s="583"/>
      <c r="N57" s="584"/>
      <c r="O57" s="584"/>
      <c r="P57" s="584"/>
      <c r="Q57" s="584"/>
      <c r="R57" s="584"/>
      <c r="S57" s="584"/>
      <c r="T57" s="584"/>
      <c r="U57" s="584"/>
      <c r="V57" s="584"/>
      <c r="W57" s="584"/>
      <c r="X57" s="584"/>
      <c r="Y57" s="584"/>
      <c r="Z57" s="584"/>
      <c r="AA57" s="584"/>
      <c r="AB57" s="584"/>
      <c r="AC57" s="33"/>
      <c r="AD57" s="579"/>
      <c r="AE57" s="579"/>
      <c r="AF57" s="33"/>
      <c r="AG57" s="33"/>
      <c r="AH57" s="33"/>
      <c r="AI57" s="33"/>
      <c r="AJ57" s="33"/>
      <c r="AK57" s="33"/>
      <c r="AL57" s="33"/>
      <c r="AN57" s="531"/>
      <c r="AO57" s="531"/>
      <c r="AP57" s="531"/>
      <c r="AQ57" s="531"/>
      <c r="AR57" s="531"/>
      <c r="AS57" s="531"/>
      <c r="AT57" s="531"/>
      <c r="AU57" s="531"/>
      <c r="AV57" s="531"/>
      <c r="AW57" s="531"/>
      <c r="AX57" s="531"/>
      <c r="AY57" s="531"/>
      <c r="AZ57" s="531"/>
      <c r="BA57" s="531"/>
      <c r="BB57" s="531"/>
      <c r="BC57" s="531"/>
    </row>
    <row r="58" spans="1:61" x14ac:dyDescent="0.25">
      <c r="B58" s="578"/>
      <c r="C58" s="579"/>
      <c r="D58" s="579"/>
      <c r="E58" s="579"/>
      <c r="F58" s="579"/>
      <c r="G58" s="580"/>
      <c r="H58" s="580"/>
      <c r="I58" s="581"/>
      <c r="J58" s="579"/>
      <c r="K58" s="582"/>
      <c r="L58" s="582"/>
      <c r="M58" s="583"/>
      <c r="N58" s="584"/>
      <c r="O58" s="584"/>
      <c r="P58" s="584"/>
      <c r="Q58" s="584"/>
      <c r="R58" s="584"/>
      <c r="S58" s="584"/>
      <c r="T58" s="584"/>
      <c r="U58" s="584"/>
      <c r="V58" s="584"/>
      <c r="W58" s="584"/>
      <c r="X58" s="584"/>
      <c r="Y58" s="584"/>
      <c r="Z58" s="584"/>
      <c r="AA58" s="584"/>
      <c r="AB58" s="584"/>
      <c r="AC58" s="33"/>
      <c r="AD58" s="579"/>
      <c r="AE58" s="579"/>
      <c r="AF58" s="33"/>
      <c r="AG58" s="33"/>
      <c r="AH58" s="33"/>
      <c r="AI58" s="33"/>
      <c r="AJ58" s="33"/>
      <c r="AK58" s="33"/>
      <c r="AL58" s="33"/>
      <c r="AN58" s="531"/>
      <c r="AO58" s="531"/>
      <c r="AP58" s="531"/>
      <c r="AQ58" s="531"/>
      <c r="AR58" s="531"/>
      <c r="AS58" s="531"/>
      <c r="AT58" s="531"/>
      <c r="AU58" s="531"/>
      <c r="AV58" s="531"/>
      <c r="AW58" s="531"/>
      <c r="AX58" s="531"/>
      <c r="AY58" s="531"/>
      <c r="AZ58" s="531"/>
      <c r="BA58" s="531"/>
      <c r="BB58" s="531"/>
      <c r="BC58" s="531"/>
    </row>
    <row r="59" spans="1:61" x14ac:dyDescent="0.25">
      <c r="B59" s="578"/>
      <c r="C59" s="579"/>
      <c r="D59" s="579"/>
      <c r="E59" s="579"/>
      <c r="F59" s="579"/>
      <c r="G59" s="580"/>
      <c r="H59" s="580"/>
      <c r="I59" s="581"/>
      <c r="J59" s="579"/>
      <c r="K59" s="582"/>
      <c r="L59" s="582"/>
      <c r="M59" s="583"/>
      <c r="N59" s="584"/>
      <c r="O59" s="584"/>
      <c r="P59" s="584"/>
      <c r="Q59" s="584"/>
      <c r="R59" s="584"/>
      <c r="S59" s="584"/>
      <c r="T59" s="584"/>
      <c r="U59" s="584"/>
      <c r="V59" s="584"/>
      <c r="W59" s="584"/>
      <c r="X59" s="584"/>
      <c r="Y59" s="584"/>
      <c r="Z59" s="584"/>
      <c r="AA59" s="584"/>
      <c r="AB59" s="584"/>
      <c r="AC59" s="33"/>
      <c r="AD59" s="579"/>
      <c r="AE59" s="579"/>
      <c r="AF59" s="33"/>
      <c r="AG59" s="33"/>
      <c r="AH59" s="33"/>
      <c r="AI59" s="33"/>
      <c r="AJ59" s="33"/>
      <c r="AK59" s="33"/>
      <c r="AL59" s="33"/>
      <c r="AN59" s="531"/>
      <c r="AO59" s="531"/>
      <c r="AP59" s="531"/>
      <c r="AQ59" s="531"/>
      <c r="AR59" s="531"/>
      <c r="AS59" s="531"/>
      <c r="AT59" s="531"/>
      <c r="AU59" s="531"/>
      <c r="AV59" s="531"/>
      <c r="AW59" s="531"/>
      <c r="AX59" s="531"/>
      <c r="AY59" s="531"/>
      <c r="AZ59" s="531"/>
      <c r="BA59" s="531"/>
      <c r="BB59" s="531"/>
      <c r="BC59" s="531"/>
    </row>
    <row r="60" spans="1:61" x14ac:dyDescent="0.25">
      <c r="B60" s="578"/>
      <c r="C60" s="579"/>
      <c r="D60" s="579"/>
      <c r="E60" s="579"/>
      <c r="F60" s="579"/>
      <c r="G60" s="580"/>
      <c r="H60" s="580"/>
      <c r="I60" s="581"/>
      <c r="J60" s="579"/>
      <c r="K60" s="582"/>
      <c r="L60" s="582"/>
      <c r="M60" s="583"/>
      <c r="N60" s="584"/>
      <c r="O60" s="584"/>
      <c r="P60" s="584"/>
      <c r="Q60" s="584"/>
      <c r="R60" s="584"/>
      <c r="S60" s="584"/>
      <c r="T60" s="584"/>
      <c r="U60" s="584"/>
      <c r="V60" s="584"/>
      <c r="W60" s="584"/>
      <c r="X60" s="584"/>
      <c r="Y60" s="584"/>
      <c r="Z60" s="584"/>
      <c r="AA60" s="584"/>
      <c r="AB60" s="584"/>
      <c r="AC60" s="33"/>
      <c r="AD60" s="579"/>
      <c r="AE60" s="579"/>
      <c r="AF60" s="33"/>
      <c r="AG60" s="33"/>
      <c r="AH60" s="33"/>
      <c r="AI60" s="33"/>
      <c r="AJ60" s="33"/>
      <c r="AK60" s="33"/>
      <c r="AL60" s="33"/>
      <c r="AN60" s="531"/>
      <c r="AO60" s="531"/>
      <c r="AP60" s="531"/>
      <c r="AQ60" s="531"/>
      <c r="AR60" s="531"/>
      <c r="AS60" s="531"/>
      <c r="AT60" s="531"/>
      <c r="AU60" s="531"/>
      <c r="AV60" s="531"/>
      <c r="AW60" s="531"/>
      <c r="AX60" s="531"/>
      <c r="AY60" s="531"/>
      <c r="AZ60" s="531"/>
      <c r="BA60" s="531"/>
      <c r="BB60" s="531"/>
      <c r="BC60" s="531"/>
    </row>
    <row r="61" spans="1:61" x14ac:dyDescent="0.25">
      <c r="B61" s="578"/>
      <c r="C61" s="579"/>
      <c r="D61" s="579"/>
      <c r="E61" s="579"/>
      <c r="F61" s="579"/>
      <c r="G61" s="580"/>
      <c r="H61" s="580"/>
      <c r="I61" s="581"/>
      <c r="J61" s="579"/>
      <c r="K61" s="582"/>
      <c r="L61" s="582"/>
      <c r="M61" s="583"/>
      <c r="N61" s="584"/>
      <c r="O61" s="584"/>
      <c r="P61" s="584"/>
      <c r="Q61" s="584"/>
      <c r="R61" s="584"/>
      <c r="S61" s="584"/>
      <c r="T61" s="584"/>
      <c r="U61" s="584"/>
      <c r="V61" s="584"/>
      <c r="W61" s="584"/>
      <c r="X61" s="584"/>
      <c r="Y61" s="584"/>
      <c r="Z61" s="584"/>
      <c r="AA61" s="584"/>
      <c r="AB61" s="584"/>
      <c r="AC61" s="33"/>
      <c r="AD61" s="579"/>
      <c r="AE61" s="579"/>
      <c r="AF61" s="33"/>
      <c r="AG61" s="33"/>
      <c r="AH61" s="33"/>
      <c r="AI61" s="33"/>
      <c r="AJ61" s="33"/>
      <c r="AK61" s="33"/>
      <c r="AL61" s="33"/>
    </row>
    <row r="62" spans="1:61" x14ac:dyDescent="0.25">
      <c r="B62" s="578"/>
      <c r="C62" s="579"/>
      <c r="D62" s="579"/>
      <c r="E62" s="579"/>
      <c r="F62" s="579"/>
      <c r="G62" s="580"/>
      <c r="H62" s="580"/>
      <c r="I62" s="581"/>
      <c r="J62" s="579"/>
      <c r="K62" s="582"/>
      <c r="L62" s="582"/>
      <c r="M62" s="583"/>
      <c r="N62" s="584"/>
      <c r="O62" s="584"/>
      <c r="P62" s="584"/>
      <c r="Q62" s="584"/>
      <c r="R62" s="584"/>
      <c r="S62" s="584"/>
      <c r="T62" s="584"/>
      <c r="U62" s="584"/>
      <c r="V62" s="584"/>
      <c r="W62" s="584"/>
      <c r="X62" s="584"/>
      <c r="Y62" s="584"/>
      <c r="Z62" s="584"/>
      <c r="AA62" s="584"/>
      <c r="AB62" s="584"/>
      <c r="AC62" s="33"/>
      <c r="AD62" s="579"/>
      <c r="AE62" s="579"/>
      <c r="AF62" s="33"/>
      <c r="AG62" s="33"/>
      <c r="AH62" s="33"/>
      <c r="AI62" s="33"/>
      <c r="AJ62" s="33"/>
      <c r="AK62" s="33"/>
      <c r="AL62" s="33"/>
    </row>
    <row r="63" spans="1:61" x14ac:dyDescent="0.25">
      <c r="B63" s="578"/>
      <c r="C63" s="579"/>
      <c r="D63" s="579"/>
      <c r="E63" s="579"/>
      <c r="F63" s="579"/>
      <c r="G63" s="580"/>
      <c r="H63" s="580"/>
      <c r="I63" s="581"/>
      <c r="J63" s="579"/>
      <c r="K63" s="582"/>
      <c r="L63" s="582"/>
      <c r="M63" s="583"/>
      <c r="N63" s="584"/>
      <c r="O63" s="584"/>
      <c r="P63" s="584"/>
      <c r="Q63" s="584"/>
      <c r="R63" s="584"/>
      <c r="S63" s="584"/>
      <c r="T63" s="584"/>
      <c r="U63" s="584"/>
      <c r="V63" s="584"/>
      <c r="W63" s="584"/>
      <c r="X63" s="584"/>
      <c r="Y63" s="584"/>
      <c r="Z63" s="584"/>
      <c r="AA63" s="584"/>
      <c r="AB63" s="584"/>
      <c r="AC63" s="33"/>
      <c r="AD63" s="579"/>
      <c r="AE63" s="579"/>
      <c r="AF63" s="33"/>
      <c r="AG63" s="33"/>
      <c r="AH63" s="33"/>
      <c r="AI63" s="33"/>
      <c r="AJ63" s="33"/>
      <c r="AK63" s="33"/>
      <c r="AL63" s="33"/>
    </row>
    <row r="64" spans="1:61" x14ac:dyDescent="0.25">
      <c r="B64" s="578"/>
      <c r="C64" s="579"/>
      <c r="D64" s="579"/>
      <c r="E64" s="579"/>
      <c r="F64" s="579"/>
      <c r="G64" s="580"/>
      <c r="H64" s="580"/>
      <c r="I64" s="581"/>
      <c r="J64" s="579"/>
      <c r="K64" s="582"/>
      <c r="L64" s="582"/>
      <c r="M64" s="583"/>
      <c r="N64" s="584"/>
      <c r="O64" s="584"/>
      <c r="P64" s="584"/>
      <c r="Q64" s="584"/>
      <c r="R64" s="584"/>
      <c r="S64" s="584"/>
      <c r="T64" s="584"/>
      <c r="U64" s="584"/>
      <c r="V64" s="584"/>
      <c r="W64" s="584"/>
      <c r="X64" s="584"/>
      <c r="Y64" s="584"/>
      <c r="Z64" s="584"/>
      <c r="AA64" s="584"/>
      <c r="AB64" s="584"/>
      <c r="AC64" s="33"/>
      <c r="AD64" s="579"/>
      <c r="AE64" s="579"/>
      <c r="AF64" s="33"/>
      <c r="AG64" s="33"/>
      <c r="AH64" s="33"/>
      <c r="AI64" s="33"/>
      <c r="AJ64" s="33"/>
      <c r="AK64" s="33"/>
      <c r="AL64" s="33"/>
    </row>
    <row r="65" spans="2:38" x14ac:dyDescent="0.25">
      <c r="B65" s="578"/>
      <c r="C65" s="579"/>
      <c r="D65" s="579"/>
      <c r="E65" s="579"/>
      <c r="F65" s="579"/>
      <c r="G65" s="580"/>
      <c r="H65" s="580"/>
      <c r="I65" s="581"/>
      <c r="J65" s="579"/>
      <c r="K65" s="582"/>
      <c r="L65" s="582"/>
      <c r="M65" s="583"/>
      <c r="N65" s="584"/>
      <c r="O65" s="584"/>
      <c r="P65" s="584"/>
      <c r="Q65" s="584"/>
      <c r="R65" s="584"/>
      <c r="S65" s="584"/>
      <c r="T65" s="584"/>
      <c r="U65" s="584"/>
      <c r="V65" s="584"/>
      <c r="W65" s="584"/>
      <c r="X65" s="584"/>
      <c r="Y65" s="584"/>
      <c r="Z65" s="584"/>
      <c r="AA65" s="584"/>
      <c r="AB65" s="584"/>
      <c r="AC65" s="33"/>
      <c r="AD65" s="579"/>
      <c r="AE65" s="579"/>
      <c r="AF65" s="33"/>
      <c r="AG65" s="33"/>
      <c r="AH65" s="33"/>
      <c r="AI65" s="33"/>
      <c r="AJ65" s="33"/>
      <c r="AK65" s="33"/>
      <c r="AL65" s="33"/>
    </row>
    <row r="66" spans="2:38" x14ac:dyDescent="0.25">
      <c r="B66" s="578"/>
      <c r="C66" s="579"/>
      <c r="D66" s="579"/>
      <c r="E66" s="579"/>
      <c r="F66" s="579"/>
      <c r="G66" s="580"/>
      <c r="H66" s="580"/>
      <c r="I66" s="581"/>
      <c r="J66" s="579"/>
      <c r="K66" s="582"/>
      <c r="L66" s="582"/>
      <c r="M66" s="583"/>
      <c r="N66" s="584"/>
      <c r="O66" s="584"/>
      <c r="P66" s="584"/>
      <c r="Q66" s="584"/>
      <c r="R66" s="584"/>
      <c r="S66" s="584"/>
      <c r="T66" s="584"/>
      <c r="U66" s="584"/>
      <c r="V66" s="584"/>
      <c r="W66" s="584"/>
      <c r="X66" s="584"/>
      <c r="Y66" s="584"/>
      <c r="Z66" s="584"/>
      <c r="AA66" s="584"/>
      <c r="AB66" s="584"/>
      <c r="AC66" s="33"/>
      <c r="AD66" s="579"/>
      <c r="AE66" s="579"/>
      <c r="AF66" s="33"/>
      <c r="AG66" s="33"/>
      <c r="AH66" s="33"/>
      <c r="AI66" s="33"/>
      <c r="AJ66" s="33"/>
      <c r="AK66" s="33"/>
      <c r="AL66" s="33"/>
    </row>
    <row r="67" spans="2:38" x14ac:dyDescent="0.25">
      <c r="B67" s="578"/>
      <c r="C67" s="579"/>
      <c r="D67" s="579"/>
      <c r="E67" s="579"/>
      <c r="F67" s="579"/>
      <c r="G67" s="580"/>
      <c r="H67" s="580"/>
      <c r="I67" s="581"/>
      <c r="J67" s="579"/>
      <c r="K67" s="582"/>
      <c r="L67" s="582"/>
      <c r="M67" s="583"/>
      <c r="N67" s="584"/>
      <c r="O67" s="584"/>
      <c r="P67" s="584"/>
      <c r="Q67" s="584"/>
      <c r="R67" s="584"/>
      <c r="S67" s="584"/>
      <c r="T67" s="584"/>
      <c r="U67" s="584"/>
      <c r="V67" s="584"/>
      <c r="W67" s="584"/>
      <c r="X67" s="584"/>
      <c r="Y67" s="584"/>
      <c r="Z67" s="584"/>
      <c r="AA67" s="584"/>
      <c r="AB67" s="584"/>
      <c r="AC67" s="33"/>
      <c r="AD67" s="579"/>
      <c r="AE67" s="579"/>
      <c r="AF67" s="33"/>
      <c r="AG67" s="33"/>
      <c r="AH67" s="33"/>
      <c r="AI67" s="33"/>
      <c r="AJ67" s="33"/>
      <c r="AK67" s="33"/>
      <c r="AL67" s="33"/>
    </row>
    <row r="68" spans="2:38" x14ac:dyDescent="0.25">
      <c r="B68" s="578"/>
      <c r="C68" s="579"/>
      <c r="D68" s="579"/>
      <c r="E68" s="579"/>
      <c r="F68" s="579"/>
      <c r="G68" s="580"/>
      <c r="H68" s="580"/>
      <c r="I68" s="581"/>
      <c r="J68" s="579"/>
      <c r="K68" s="582"/>
      <c r="L68" s="582"/>
      <c r="M68" s="583"/>
      <c r="N68" s="584"/>
      <c r="O68" s="584"/>
      <c r="P68" s="584"/>
      <c r="Q68" s="584"/>
      <c r="R68" s="584"/>
      <c r="S68" s="584"/>
      <c r="T68" s="584"/>
      <c r="U68" s="584"/>
      <c r="V68" s="584"/>
      <c r="W68" s="584"/>
      <c r="X68" s="584"/>
      <c r="Y68" s="584"/>
      <c r="Z68" s="584"/>
      <c r="AA68" s="584"/>
      <c r="AB68" s="584"/>
      <c r="AC68" s="33"/>
      <c r="AD68" s="579"/>
      <c r="AE68" s="579"/>
      <c r="AF68" s="33"/>
      <c r="AG68" s="33"/>
      <c r="AH68" s="33"/>
      <c r="AI68" s="33"/>
      <c r="AJ68" s="33"/>
      <c r="AK68" s="33"/>
      <c r="AL68" s="33"/>
    </row>
  </sheetData>
  <phoneticPr fontId="4"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Options and results</vt:lpstr>
      <vt:lpstr>Systemlist</vt:lpstr>
      <vt:lpstr>Unit</vt:lpstr>
      <vt:lpstr>Optimisation</vt:lpstr>
      <vt:lpstr>Arablesystem</vt:lpstr>
      <vt:lpstr>Forestrysystem</vt:lpstr>
      <vt:lpstr>Agroforestrysystem</vt:lpstr>
      <vt:lpstr>Arablefinance</vt:lpstr>
      <vt:lpstr>Treecost</vt:lpstr>
      <vt:lpstr>Treevalue</vt:lpstr>
      <vt:lpstr>Treegrant</vt:lpstr>
      <vt:lpstr>Tabular results</vt:lpstr>
      <vt:lpstr>Plot</vt:lpstr>
    </vt:vector>
  </TitlesOfParts>
  <Company>Cranfield University at Silsoe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Anil Graves</dc:creator>
  <cp:lastModifiedBy>Paul Burgess</cp:lastModifiedBy>
  <cp:lastPrinted>2003-05-20T16:32:34Z</cp:lastPrinted>
  <dcterms:created xsi:type="dcterms:W3CDTF">2002-09-24T07:53:43Z</dcterms:created>
  <dcterms:modified xsi:type="dcterms:W3CDTF">2024-02-05T19:49:36Z</dcterms:modified>
</cp:coreProperties>
</file>